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ategy Guide" sheetId="1" r:id="rId5"/>
    <sheet state="visible" name="Indexes" sheetId="2" r:id="rId6"/>
    <sheet state="visible" name="Gravity Squeeze" sheetId="3" r:id="rId7"/>
    <sheet state="visible" name="Momentum with Pullback" sheetId="4" r:id="rId8"/>
    <sheet state="visible" name="Bearish EMA Cross (Down)" sheetId="5" r:id="rId9"/>
    <sheet state="visible" name="EMA Cross Momentum" sheetId="6" r:id="rId10"/>
    <sheet state="visible" name="Gamma Scan" sheetId="7" r:id="rId11"/>
    <sheet state="visible" name="Small Cap Multibaggers" sheetId="8" r:id="rId12"/>
    <sheet state="visible" name="Volatility Squeeze" sheetId="9" r:id="rId13"/>
    <sheet state="visible" name="MEME Screen" sheetId="10" r:id="rId14"/>
  </sheets>
  <definedNames>
    <definedName hidden="1" localSheetId="3" name="_xlnm._FilterDatabase">'Momentum with Pullback'!$A$1:$AI$55</definedName>
  </definedNames>
  <calcPr/>
</workbook>
</file>

<file path=xl/sharedStrings.xml><?xml version="1.0" encoding="utf-8"?>
<sst xmlns="http://schemas.openxmlformats.org/spreadsheetml/2006/main" count="34369" uniqueCount="6271">
  <si>
    <t>ScanTime</t>
  </si>
  <si>
    <t>Strategy</t>
  </si>
  <si>
    <t>Description</t>
  </si>
  <si>
    <t>Key Filters</t>
  </si>
  <si>
    <t>Best For</t>
  </si>
  <si>
    <t>Risk Level</t>
  </si>
  <si>
    <t>Scan Time</t>
  </si>
  <si>
    <t>CurrentPrice</t>
  </si>
  <si>
    <t>Momentum with Pullback</t>
  </si>
  <si>
    <t>Multi-timeframe EMA stack (Daily/Weekly/Monthly) with Stochastic pullback</t>
  </si>
  <si>
    <t>EMA8&gt;21&gt;34&gt;55&gt;89 on D/W/M, SMA50&gt;EMA200, Stoch&lt;40, Within 1 ATR of EMA21</t>
  </si>
  <si>
    <t>Buying dips in confirmed uptrends</t>
  </si>
  <si>
    <t>Lower (trend confirmed)</t>
  </si>
  <si>
    <t>~10 seconds</t>
  </si>
  <si>
    <t>Volatility Squeeze</t>
  </si>
  <si>
    <t>Stocks with compressed volatility ready to break out (ATR squeeze)</t>
  </si>
  <si>
    <t>SqueezeRatio&lt;1.0, EMA Stack aligned, RelVol&gt;=1.3x, Not at 52wk high</t>
  </si>
  <si>
    <t>Catching breakouts before they happen</t>
  </si>
  <si>
    <t>Higher (breakout may fail)</t>
  </si>
  <si>
    <t>~15 seconds</t>
  </si>
  <si>
    <t>MEME Screen</t>
  </si>
  <si>
    <t>Top 30 highest IV stocks from top 200 by volume</t>
  </si>
  <si>
    <t>Top 200 by Volume, sorted by Implied Volatility</t>
  </si>
  <si>
    <t>High volatility plays, options trading</t>
  </si>
  <si>
    <t>High (meme stocks)</t>
  </si>
  <si>
    <t>~2-3 minutes (fetches option chains)</t>
  </si>
  <si>
    <t>Small Cap Multibaggers</t>
  </si>
  <si>
    <t>Quality small caps with growth fundamentals</t>
  </si>
  <si>
    <t>MCap 10M-1B, Gross Margin 30-100%, Rev Growth&gt;15%, FCF&gt;0, Debt/EBITDA&lt;2x</t>
  </si>
  <si>
    <t>Long-term growth investing in small caps</t>
  </si>
  <si>
    <t>Medium-High (small cap volatility)</t>
  </si>
  <si>
    <t>Gamma Scan</t>
  </si>
  <si>
    <t>Momentum stocks near high open interest option strikes</t>
  </si>
  <si>
    <t>TAO EMA Stack, Near high-OI strikes within 2%, Min OI 1000</t>
  </si>
  <si>
    <t>Options-driven price levels, gamma squeeze plays</t>
  </si>
  <si>
    <t>Medium (technical setups)</t>
  </si>
  <si>
    <t>~3-5 minutes (fetches option chains)</t>
  </si>
  <si>
    <t>EMA Cross Momentum</t>
  </si>
  <si>
    <t>Bullish EMA crossover signals</t>
  </si>
  <si>
    <t>EMA8 crossing above EMA21, Volume confirmation</t>
  </si>
  <si>
    <t>Trend reversals to the upside</t>
  </si>
  <si>
    <t>Medium</t>
  </si>
  <si>
    <t>Bearish EMA Cross (Down)</t>
  </si>
  <si>
    <t>Bearish EMA crossover signals for shorts/exits</t>
  </si>
  <si>
    <t>EMA8 crossing below EMA21, Volume confirmation</t>
  </si>
  <si>
    <t>Short setups, exit signals for longs</t>
  </si>
  <si>
    <t>Cash Secured Puts (Wheel)</t>
  </si>
  <si>
    <t>CSP wheel strategy candidates with good premium</t>
  </si>
  <si>
    <t>Price range, Min weekly ROC, Golden Cross, Near EMA support</t>
  </si>
  <si>
    <t>Wheel strategy, income generation</t>
  </si>
  <si>
    <t>Lower (selling puts on quality stocks)</t>
  </si>
  <si>
    <t>SPY</t>
  </si>
  <si>
    <t>BTC</t>
  </si>
  <si>
    <t>QQQ</t>
  </si>
  <si>
    <t>VIX</t>
  </si>
  <si>
    <t>GLD</t>
  </si>
  <si>
    <t>ETH</t>
  </si>
  <si>
    <t>Symbol</t>
  </si>
  <si>
    <t>Company</t>
  </si>
  <si>
    <t>WeekEnding</t>
  </si>
  <si>
    <t>ticker</t>
  </si>
  <si>
    <t>close</t>
  </si>
  <si>
    <t>change</t>
  </si>
  <si>
    <t>sector</t>
  </si>
  <si>
    <t>volume</t>
  </si>
  <si>
    <t>high</t>
  </si>
  <si>
    <t>low</t>
  </si>
  <si>
    <t>open</t>
  </si>
  <si>
    <t>ADX</t>
  </si>
  <si>
    <t>ATR</t>
  </si>
  <si>
    <t>ATR|1W</t>
  </si>
  <si>
    <t>average_volume_10d_calc</t>
  </si>
  <si>
    <t>relative_volume_10d_calc</t>
  </si>
  <si>
    <t>market_cap_basic</t>
  </si>
  <si>
    <t>SMA50</t>
  </si>
  <si>
    <t>EMA200</t>
  </si>
  <si>
    <t>RSI</t>
  </si>
  <si>
    <t>price_52_week_high</t>
  </si>
  <si>
    <t>SqueezeRatio</t>
  </si>
  <si>
    <t>Gravity</t>
  </si>
  <si>
    <t>GravityAnomaly</t>
  </si>
  <si>
    <t>Is_Hammer</t>
  </si>
  <si>
    <t>Is_Doji</t>
  </si>
  <si>
    <t>Is_Gravity_Coil</t>
  </si>
  <si>
    <t>Signals</t>
  </si>
  <si>
    <t>GCL</t>
  </si>
  <si>
    <t>GCL Global Holdings Ltd</t>
  </si>
  <si>
    <t>NASDAQ:GCL</t>
  </si>
  <si>
    <t>Technology Services</t>
  </si>
  <si>
    <t>🔨 Wick ✨ Doji 🔥 Anomaly 21.4 ⚡ Tight</t>
  </si>
  <si>
    <t>GMHS</t>
  </si>
  <si>
    <t>Gamehaus Holdings Inc.</t>
  </si>
  <si>
    <t>NASDAQ:GMHS</t>
  </si>
  <si>
    <t>Finance</t>
  </si>
  <si>
    <t>🔥 Anomaly 5.9 ⚡ Tight</t>
  </si>
  <si>
    <t>ORKT</t>
  </si>
  <si>
    <t>Orangekloud Technology Inc.</t>
  </si>
  <si>
    <t>NASDAQ:ORKT</t>
  </si>
  <si>
    <t>🔥 Anomaly 5.1 ⚡ Tight</t>
  </si>
  <si>
    <t>INLF</t>
  </si>
  <si>
    <t>INLIF LIMITED</t>
  </si>
  <si>
    <t>NASDAQ:INLF</t>
  </si>
  <si>
    <t>Producer Manufacturing</t>
  </si>
  <si>
    <t>🔥 Anomaly 4.0 ⚡ Tight</t>
  </si>
  <si>
    <t>TANH</t>
  </si>
  <si>
    <t>Tantech Holdings Ltd.</t>
  </si>
  <si>
    <t>NASDAQ:TANH</t>
  </si>
  <si>
    <t>Process Industries</t>
  </si>
  <si>
    <t>✨ Doji 🔥 Anomaly 3.9 ⚡ Tight</t>
  </si>
  <si>
    <t>LOBO</t>
  </si>
  <si>
    <t>LOBO TECHNOLOGIES LTD.</t>
  </si>
  <si>
    <t>NASDAQ:LOBO</t>
  </si>
  <si>
    <t>Consumer Durables</t>
  </si>
  <si>
    <t>⚡ Tight</t>
  </si>
  <si>
    <t>VIVS</t>
  </si>
  <si>
    <t>VivoSim Labs, Inc.</t>
  </si>
  <si>
    <t>NASDAQ:VIVS</t>
  </si>
  <si>
    <t>Health Technology</t>
  </si>
  <si>
    <t>✨ Doji ⚡ Tight</t>
  </si>
  <si>
    <t>UK</t>
  </si>
  <si>
    <t>Ucommune International Ltd</t>
  </si>
  <si>
    <t>NASDAQ:UK</t>
  </si>
  <si>
    <t>—</t>
  </si>
  <si>
    <t>CLIR</t>
  </si>
  <si>
    <t>ClearSign Technologies Corporation</t>
  </si>
  <si>
    <t>NASDAQ:CLIR</t>
  </si>
  <si>
    <t>INEO</t>
  </si>
  <si>
    <t>INNEOVA Holdings Limited</t>
  </si>
  <si>
    <t>NASDAQ:INEO</t>
  </si>
  <si>
    <t>Distribution Services</t>
  </si>
  <si>
    <t>UDMY</t>
  </si>
  <si>
    <t>Udemy, Inc.</t>
  </si>
  <si>
    <t>NASDAQ:UDMY</t>
  </si>
  <si>
    <t>🕳️ Gravity Coil ⚡ Tight</t>
  </si>
  <si>
    <t>TBHC</t>
  </si>
  <si>
    <t>The Brand House Collective, Inc</t>
  </si>
  <si>
    <t>NASDAQ:TBHC</t>
  </si>
  <si>
    <t>Retail Trade</t>
  </si>
  <si>
    <t>✨ Doji</t>
  </si>
  <si>
    <t>LPRO</t>
  </si>
  <si>
    <t>Open Lending Corporation</t>
  </si>
  <si>
    <t>NASDAQ:LPRO</t>
  </si>
  <si>
    <t>NPWR</t>
  </si>
  <si>
    <t>NET Power Inc.</t>
  </si>
  <si>
    <t>NYSE:NPWR</t>
  </si>
  <si>
    <t>🔨 Wick ✨ Doji ⚡ Tight</t>
  </si>
  <si>
    <t>KLC</t>
  </si>
  <si>
    <t>KinderCare Learning Companies, Inc.</t>
  </si>
  <si>
    <t>NYSE:KLC</t>
  </si>
  <si>
    <t>Consumer Services</t>
  </si>
  <si>
    <t>BNC</t>
  </si>
  <si>
    <t>CEA Industries Inc.</t>
  </si>
  <si>
    <t>NASDAQ:BNC</t>
  </si>
  <si>
    <t>ELAB</t>
  </si>
  <si>
    <t>PMGC Holdings Inc.</t>
  </si>
  <si>
    <t>NASDAQ:ELAB</t>
  </si>
  <si>
    <t>FUSE</t>
  </si>
  <si>
    <t>Fusemachines Inc.</t>
  </si>
  <si>
    <t>🔥 Anomaly 127.9 ⚡ Tight</t>
  </si>
  <si>
    <t>NASDAQ:FUSE</t>
  </si>
  <si>
    <t>SWVL</t>
  </si>
  <si>
    <t>Swvl Holdings Corp</t>
  </si>
  <si>
    <t>Transportation</t>
  </si>
  <si>
    <t>🔥 Anomaly 26.6</t>
  </si>
  <si>
    <t>NASDAQ:SWVL</t>
  </si>
  <si>
    <t>TLIH</t>
  </si>
  <si>
    <t>Ten-League International Holdings Limited</t>
  </si>
  <si>
    <t>🔥 Anomaly 2.4 ⚡ Tight</t>
  </si>
  <si>
    <t>NASDAQ:TLIH</t>
  </si>
  <si>
    <t>PAVS</t>
  </si>
  <si>
    <t>Paranovus Entertainment Technology Ltd.</t>
  </si>
  <si>
    <t>🔥 Anomaly 1.7 ⚡ Tight</t>
  </si>
  <si>
    <t>NASDAQ:PAVS</t>
  </si>
  <si>
    <t>EDSA</t>
  </si>
  <si>
    <t>Edesa Biotech, Inc.</t>
  </si>
  <si>
    <t>🔨 Wick ⚡ Tight</t>
  </si>
  <si>
    <t>NASDAQ:EDSA</t>
  </si>
  <si>
    <t>BOLD</t>
  </si>
  <si>
    <t>Boundless Bio, Inc.</t>
  </si>
  <si>
    <t>🔨 Wick</t>
  </si>
  <si>
    <t>NASDAQ:BOLD</t>
  </si>
  <si>
    <t>INMB</t>
  </si>
  <si>
    <t>INmune Bio Inc.</t>
  </si>
  <si>
    <t>NASDAQ:INMB</t>
  </si>
  <si>
    <t>ACCL</t>
  </si>
  <si>
    <t>Acco Group Holdings Limited</t>
  </si>
  <si>
    <t>Commercial Services</t>
  </si>
  <si>
    <t>NASDAQ:ACCL</t>
  </si>
  <si>
    <t>TOI</t>
  </si>
  <si>
    <t>The Oncology Institute, Inc.</t>
  </si>
  <si>
    <t>Health Services</t>
  </si>
  <si>
    <t>NASDAQ:TOI</t>
  </si>
  <si>
    <t>BTCS</t>
  </si>
  <si>
    <t>BTCS Inc.</t>
  </si>
  <si>
    <t>NASDAQ:BTCS</t>
  </si>
  <si>
    <t>VERI</t>
  </si>
  <si>
    <t>Veritone, Inc.</t>
  </si>
  <si>
    <t>NASDAQ:VERI</t>
  </si>
  <si>
    <t>DFLI</t>
  </si>
  <si>
    <t>Dragonfly Energy Holdings Corp</t>
  </si>
  <si>
    <t>NASDAQ:DFLI</t>
  </si>
  <si>
    <t>RPGL</t>
  </si>
  <si>
    <t>Republic Power Group Limited</t>
  </si>
  <si>
    <t>NASDAQ:RPGL</t>
  </si>
  <si>
    <t>MAMO</t>
  </si>
  <si>
    <t>Massimo Group</t>
  </si>
  <si>
    <t>🔨 Wick ✨ Doji 🔥 Anomaly 59.2</t>
  </si>
  <si>
    <t>NASDAQ:MAMO</t>
  </si>
  <si>
    <t>CDT</t>
  </si>
  <si>
    <t>CDT Equity Inc.</t>
  </si>
  <si>
    <t>🔥 Anomaly 2.6 ⚡ Tight</t>
  </si>
  <si>
    <t>NASDAQ:CDT</t>
  </si>
  <si>
    <t>LIMN</t>
  </si>
  <si>
    <t>Liminatus Pharma, Inc.</t>
  </si>
  <si>
    <t>🔥 Anomaly 2.0 ⚡ Tight</t>
  </si>
  <si>
    <t>NASDAQ:LIMN</t>
  </si>
  <si>
    <t>FATN</t>
  </si>
  <si>
    <t>FatPipe, Inc.</t>
  </si>
  <si>
    <t>🔥 Anomaly 1.8 ⚡ Tight</t>
  </si>
  <si>
    <t>NASDAQ:FATN</t>
  </si>
  <si>
    <t>PIII</t>
  </si>
  <si>
    <t>P3 Health Partners Inc.</t>
  </si>
  <si>
    <t>🔥 Anomaly 1.6 ⚡ Tight</t>
  </si>
  <si>
    <t>NASDAQ:PIII</t>
  </si>
  <si>
    <t>CINT</t>
  </si>
  <si>
    <t>CI&amp;T Inc</t>
  </si>
  <si>
    <t>🔨 Wick ✨ Doji</t>
  </si>
  <si>
    <t>NYSE:CINT</t>
  </si>
  <si>
    <t>CYN</t>
  </si>
  <si>
    <t>Cyngn Inc.</t>
  </si>
  <si>
    <t>NASDAQ:CYN</t>
  </si>
  <si>
    <t>MIST</t>
  </si>
  <si>
    <t>Milestone Pharmaceuticals Inc.</t>
  </si>
  <si>
    <t>NASDAQ:MIST</t>
  </si>
  <si>
    <t>STSS</t>
  </si>
  <si>
    <t>Sharps Technology Inc.</t>
  </si>
  <si>
    <t>NASDAQ:STSS</t>
  </si>
  <si>
    <t>PYXS</t>
  </si>
  <si>
    <t>Pyxis Oncology, Inc.</t>
  </si>
  <si>
    <t>NASDAQ:PYXS</t>
  </si>
  <si>
    <t>APPS</t>
  </si>
  <si>
    <t>Digital Turbine, Inc.</t>
  </si>
  <si>
    <t>NASDAQ:APPS</t>
  </si>
  <si>
    <t>TPET</t>
  </si>
  <si>
    <t>Trio Petroleum Corp.</t>
  </si>
  <si>
    <t>Energy Minerals</t>
  </si>
  <si>
    <t>AMEX:TPET</t>
  </si>
  <si>
    <t>PROK</t>
  </si>
  <si>
    <t>ProKidney Corp.</t>
  </si>
  <si>
    <t>NASDAQ:PROK</t>
  </si>
  <si>
    <t>CRBU</t>
  </si>
  <si>
    <t>Caribou Biosciences, Inc.</t>
  </si>
  <si>
    <t>NASDAQ:CRBU</t>
  </si>
  <si>
    <t>MDCX</t>
  </si>
  <si>
    <t>Medicus Pharma Ltd.</t>
  </si>
  <si>
    <t>NASDAQ:MDCX</t>
  </si>
  <si>
    <t>EVGN</t>
  </si>
  <si>
    <t>Evogene Ltd.</t>
  </si>
  <si>
    <t>🔥 Anomaly 18.5</t>
  </si>
  <si>
    <t>NASDAQ:EVGN</t>
  </si>
  <si>
    <t>MMA</t>
  </si>
  <si>
    <t>Mixed Martial Arts Group Limited</t>
  </si>
  <si>
    <t>🔥 Anomaly 1.5 ⚡ Tight</t>
  </si>
  <si>
    <t>AMEX:MMA</t>
  </si>
  <si>
    <t>MTEN</t>
  </si>
  <si>
    <t>Mingteng International Corporation Inc.</t>
  </si>
  <si>
    <t>NASDAQ:MTEN</t>
  </si>
  <si>
    <t>🔥 Anomaly 22.0</t>
  </si>
  <si>
    <t>SUNE</t>
  </si>
  <si>
    <t>SUNation Energy, Inc.</t>
  </si>
  <si>
    <t>Industrial Services</t>
  </si>
  <si>
    <t>NASDAQ:SUNE</t>
  </si>
  <si>
    <t>IKT</t>
  </si>
  <si>
    <t>Inhibikase Therapeutics, Inc.</t>
  </si>
  <si>
    <t>NASDAQ:IKT</t>
  </si>
  <si>
    <t>TOPP</t>
  </si>
  <si>
    <t>Toppoint Holdings Inc.</t>
  </si>
  <si>
    <t>AMEX:TOPP</t>
  </si>
  <si>
    <t>GETY</t>
  </si>
  <si>
    <t>Getty Images Holdings, Inc.</t>
  </si>
  <si>
    <t>NYSE:GETY</t>
  </si>
  <si>
    <t>CTOR</t>
  </si>
  <si>
    <t>Citius Oncology, Inc.</t>
  </si>
  <si>
    <t>NASDAQ:CTOR</t>
  </si>
  <si>
    <t>IMG</t>
  </si>
  <si>
    <t>CIMG Inc.</t>
  </si>
  <si>
    <t>Consumer Non-Durables</t>
  </si>
  <si>
    <t>NASDAQ:IMG</t>
  </si>
  <si>
    <t>STEX</t>
  </si>
  <si>
    <t>Streamex Corp.</t>
  </si>
  <si>
    <t>NASDAQ:STEX</t>
  </si>
  <si>
    <t>AIM</t>
  </si>
  <si>
    <t>AIM ImmunoTech Inc.</t>
  </si>
  <si>
    <t>🔥 Anomaly 11.7 ⚡ Tight</t>
  </si>
  <si>
    <t>AMEX:AIM</t>
  </si>
  <si>
    <t>TEAD</t>
  </si>
  <si>
    <t>Teads Holding Co.</t>
  </si>
  <si>
    <t>🔥 Anomaly 9.8 ⚡ Tight</t>
  </si>
  <si>
    <t>NASDAQ:TEAD</t>
  </si>
  <si>
    <t>MBIO</t>
  </si>
  <si>
    <t>Mustang Bio, Inc.</t>
  </si>
  <si>
    <t>🔥 Anomaly 2.1 ⚡ Tight</t>
  </si>
  <si>
    <t>NASDAQ:MBIO</t>
  </si>
  <si>
    <t>NIVF</t>
  </si>
  <si>
    <t>NewGenIvf Group Limited</t>
  </si>
  <si>
    <t>NASDAQ:NIVF</t>
  </si>
  <si>
    <t>IVDA</t>
  </si>
  <si>
    <t>Iveda Solutions, Inc.</t>
  </si>
  <si>
    <t>Electronic Technology</t>
  </si>
  <si>
    <t>NASDAQ:IVDA</t>
  </si>
  <si>
    <t>🔥 Anomaly 12.1 ⚡ Tight</t>
  </si>
  <si>
    <t>🔥 Anomaly 6.6 ⚡ Tight</t>
  </si>
  <si>
    <t>TRUG</t>
  </si>
  <si>
    <t>TruGolf Holdings, Inc.</t>
  </si>
  <si>
    <t>🔥 Anomaly 3.1 ⚡ Tight</t>
  </si>
  <si>
    <t>NASDAQ:TRUG</t>
  </si>
  <si>
    <t>ESLA</t>
  </si>
  <si>
    <t>Estrella Immunopharma, Inc.</t>
  </si>
  <si>
    <t>🔥 Anomaly 2.0</t>
  </si>
  <si>
    <t>NASDAQ:ESLA</t>
  </si>
  <si>
    <t>TELA</t>
  </si>
  <si>
    <t>TELA Bio, Inc.</t>
  </si>
  <si>
    <t>NASDAQ:TELA</t>
  </si>
  <si>
    <t>EPOW</t>
  </si>
  <si>
    <t>Sunrise New Energy Co., Ltd</t>
  </si>
  <si>
    <t>NASDAQ:EPOW</t>
  </si>
  <si>
    <t>RVSN</t>
  </si>
  <si>
    <t>Rail Vision Ltd.</t>
  </si>
  <si>
    <t>NASDAQ:RVSN</t>
  </si>
  <si>
    <t>FLYE</t>
  </si>
  <si>
    <t>Fly-E Group, Inc.</t>
  </si>
  <si>
    <t>🔥 Anomaly 9.5 ⚡ Tight</t>
  </si>
  <si>
    <t>NASDAQ:FLYE</t>
  </si>
  <si>
    <t>CMND</t>
  </si>
  <si>
    <t>Clearmind Medicine Inc.</t>
  </si>
  <si>
    <t>Non-Energy Minerals</t>
  </si>
  <si>
    <t>🔥 Anomaly 5.7 ⚡ Tight</t>
  </si>
  <si>
    <t>NASDAQ:CMND</t>
  </si>
  <si>
    <t>UPXI</t>
  </si>
  <si>
    <t>Upexi, Inc.</t>
  </si>
  <si>
    <t>NASDAQ:UPXI</t>
  </si>
  <si>
    <t>CETX</t>
  </si>
  <si>
    <t>Cemtrex Inc.</t>
  </si>
  <si>
    <t>NASDAQ:CETX</t>
  </si>
  <si>
    <t>SOBR</t>
  </si>
  <si>
    <t>SOBR Safe, Inc.</t>
  </si>
  <si>
    <t>NASDAQ:SOBR</t>
  </si>
  <si>
    <t>BRLS</t>
  </si>
  <si>
    <t>Borealis Foods Inc.</t>
  </si>
  <si>
    <t>🔥 Anomaly 30.4 ⚡ Tight</t>
  </si>
  <si>
    <t>NASDAQ:BRLS</t>
  </si>
  <si>
    <t>RITR</t>
  </si>
  <si>
    <t>Reitar Logtech Holdings Limited</t>
  </si>
  <si>
    <t>🔥 Anomaly 14.0 ⚡ Tight</t>
  </si>
  <si>
    <t>NASDAQ:RITR</t>
  </si>
  <si>
    <t>MPU</t>
  </si>
  <si>
    <t>Mega Matrix Inc.</t>
  </si>
  <si>
    <t>AMEX:MPU</t>
  </si>
  <si>
    <t>LHSW</t>
  </si>
  <si>
    <t>Lianhe Sowell International Group Ltd</t>
  </si>
  <si>
    <t>NASDAQ:LHSW</t>
  </si>
  <si>
    <t>CETY</t>
  </si>
  <si>
    <t>Clean Energy Technologies, Inc.</t>
  </si>
  <si>
    <t>NASDAQ:CETY</t>
  </si>
  <si>
    <t>ICU</t>
  </si>
  <si>
    <t>SeaStar Medical Holding Corporation</t>
  </si>
  <si>
    <t>NASDAQ:ICU</t>
  </si>
  <si>
    <t>ANIX</t>
  </si>
  <si>
    <t>Anixa Biosciences, Inc.</t>
  </si>
  <si>
    <t>NASDAQ:ANIX</t>
  </si>
  <si>
    <t>SOPA</t>
  </si>
  <si>
    <t>Society Pass Incorporated</t>
  </si>
  <si>
    <t>NASDAQ:SOPA</t>
  </si>
  <si>
    <t>MYNZ</t>
  </si>
  <si>
    <t>Mainz Biomed N.V.</t>
  </si>
  <si>
    <t>NASDAQ:MYNZ</t>
  </si>
  <si>
    <t>CNET</t>
  </si>
  <si>
    <t>ZW Data Action Technologies Inc.</t>
  </si>
  <si>
    <t>🔥 Anomaly 26.9</t>
  </si>
  <si>
    <t>NASDAQ:CNET</t>
  </si>
  <si>
    <t>PHIO</t>
  </si>
  <si>
    <t>Phio Pharmaceuticals Corp.</t>
  </si>
  <si>
    <t>🔥 Anomaly 25.2 ⚡ Tight</t>
  </si>
  <si>
    <t>NASDAQ:PHIO</t>
  </si>
  <si>
    <t>MBOT</t>
  </si>
  <si>
    <t>Microbot Medical Inc.</t>
  </si>
  <si>
    <t>NASDAQ:MBOT</t>
  </si>
  <si>
    <t>CYCU</t>
  </si>
  <si>
    <t>Cycurion, Inc.</t>
  </si>
  <si>
    <t>NASDAQ:CYCU</t>
  </si>
  <si>
    <t>🔥 Anomaly 24.9</t>
  </si>
  <si>
    <t>🔥 Anomaly 22.9 ⚡ Tight</t>
  </si>
  <si>
    <t>MWYN</t>
  </si>
  <si>
    <t>Marwynn Holdings, Inc.</t>
  </si>
  <si>
    <t>🔥 Anomaly 11.5 ⚡ Tight</t>
  </si>
  <si>
    <t>NASDAQ:MWYN</t>
  </si>
  <si>
    <t>CCTG</t>
  </si>
  <si>
    <t>CCSC Technology International Holdings Limited</t>
  </si>
  <si>
    <t>NASDAQ:CCTG</t>
  </si>
  <si>
    <t>XTNT</t>
  </si>
  <si>
    <t>Xtant Medical Holdings, Inc.</t>
  </si>
  <si>
    <t>AMEX:XTNT</t>
  </si>
  <si>
    <t>SSKN</t>
  </si>
  <si>
    <t>Strata Skin Sciences, Inc.</t>
  </si>
  <si>
    <t>NASDAQ:SSKN</t>
  </si>
  <si>
    <t>DCOY</t>
  </si>
  <si>
    <t>Decoy Therapeutics Inc.</t>
  </si>
  <si>
    <t>NASDAQ:DCOY</t>
  </si>
  <si>
    <t>AEHL</t>
  </si>
  <si>
    <t>Antelope Enterprise Holdings Limited</t>
  </si>
  <si>
    <t>NASDAQ:AEHL</t>
  </si>
  <si>
    <t>BNRG</t>
  </si>
  <si>
    <t>Brenmiller Energy Ltd</t>
  </si>
  <si>
    <t>🔥 Anomaly 3.6 ⚡ Tight</t>
  </si>
  <si>
    <t>NASDAQ:BNRG</t>
  </si>
  <si>
    <t>TMDE</t>
  </si>
  <si>
    <t>TMD Energy Limited</t>
  </si>
  <si>
    <t>AMEX:TMDE</t>
  </si>
  <si>
    <t>DFSC</t>
  </si>
  <si>
    <t>DEFSEC Technologies Inc.</t>
  </si>
  <si>
    <t>NASDAQ:DFSC</t>
  </si>
  <si>
    <t>STIM</t>
  </si>
  <si>
    <t>Neuronetics, Inc.</t>
  </si>
  <si>
    <t>NASDAQ:STIM</t>
  </si>
  <si>
    <t>LITS</t>
  </si>
  <si>
    <t>Lite Strategy, Inc.</t>
  </si>
  <si>
    <t>NASDAQ:LITS</t>
  </si>
  <si>
    <t>PMI</t>
  </si>
  <si>
    <t>Picard Medical, Inc.</t>
  </si>
  <si>
    <t>🔥 Anomaly 3.0 ⚡ Tight</t>
  </si>
  <si>
    <t>AMEX:PMI</t>
  </si>
  <si>
    <t>ONCO</t>
  </si>
  <si>
    <t>Onconetix, Inc.</t>
  </si>
  <si>
    <t>🔥 Anomaly 2.7 ⚡ Tight</t>
  </si>
  <si>
    <t>NASDAQ:ONCO</t>
  </si>
  <si>
    <t>PRHI</t>
  </si>
  <si>
    <t>Presurance Holdings, Inc.</t>
  </si>
  <si>
    <t>NASDAQ:PRHI</t>
  </si>
  <si>
    <t>VTAK</t>
  </si>
  <si>
    <t>Catheter Precision, Inc.</t>
  </si>
  <si>
    <t>AMEX:VTAK</t>
  </si>
  <si>
    <t>RIME</t>
  </si>
  <si>
    <t>Algorhythm Holdings, Inc.</t>
  </si>
  <si>
    <t>NASDAQ:RIME</t>
  </si>
  <si>
    <t>GRO</t>
  </si>
  <si>
    <t>Brazil Potash Corp.</t>
  </si>
  <si>
    <t>AMEX:GRO</t>
  </si>
  <si>
    <t>GP</t>
  </si>
  <si>
    <t>GreenPower Motor Company Inc.</t>
  </si>
  <si>
    <t>🔥 Anomaly 4.4 ⚡ Tight</t>
  </si>
  <si>
    <t>NASDAQ:GP</t>
  </si>
  <si>
    <t>ELOG</t>
  </si>
  <si>
    <t>Eastern International Ltd.</t>
  </si>
  <si>
    <t>🔥 Anomaly 1.9 ⚡ Tight</t>
  </si>
  <si>
    <t>NASDAQ:ELOG</t>
  </si>
  <si>
    <t>ATOM</t>
  </si>
  <si>
    <t>Atomera Incorporated</t>
  </si>
  <si>
    <t>🔥 Anomaly 1.8</t>
  </si>
  <si>
    <t>NASDAQ:ATOM</t>
  </si>
  <si>
    <t>RAIN</t>
  </si>
  <si>
    <t>Rain Enhancement Technologies Holdco, Inc.</t>
  </si>
  <si>
    <t>NASDAQ:RAIN</t>
  </si>
  <si>
    <t>SDA</t>
  </si>
  <si>
    <t>SunCar Technology Group Inc.</t>
  </si>
  <si>
    <t>NASDAQ:SDA</t>
  </si>
  <si>
    <t>DVLT</t>
  </si>
  <si>
    <t>Datavault AI Inc.</t>
  </si>
  <si>
    <t>NASDAQ:DVLT</t>
  </si>
  <si>
    <t>RETO</t>
  </si>
  <si>
    <t>ReTo Eco-Solutions, Inc.</t>
  </si>
  <si>
    <t>🔥 Anomaly 5.6 ⚡ Tight</t>
  </si>
  <si>
    <t>NASDAQ:RETO</t>
  </si>
  <si>
    <t>🔥 Anomaly 3.9 ⚡ Tight</t>
  </si>
  <si>
    <t>🔨 Wick 🔥 Anomaly 2.0 ⚡ Tight</t>
  </si>
  <si>
    <t>🔥 Anomaly 1.9</t>
  </si>
  <si>
    <t>CNVS</t>
  </si>
  <si>
    <t>Cineverse Corp.</t>
  </si>
  <si>
    <t>NASDAQ:CNVS</t>
  </si>
  <si>
    <t>IPDN</t>
  </si>
  <si>
    <t>Professional Diversity Network, Inc.</t>
  </si>
  <si>
    <t>NASDAQ:IPDN</t>
  </si>
  <si>
    <t>RPAY</t>
  </si>
  <si>
    <t>Repay Holdings Corporation</t>
  </si>
  <si>
    <t>NASDAQ:RPAY</t>
  </si>
  <si>
    <t>GVH</t>
  </si>
  <si>
    <t>Globavend Holdings Limited - Ord Shares</t>
  </si>
  <si>
    <t>🔥 Anomaly 22.6 ⚡ Tight</t>
  </si>
  <si>
    <t>NASDAQ:GVH</t>
  </si>
  <si>
    <t>BDMD</t>
  </si>
  <si>
    <t>Baird Medical Investment Holdings Ltd</t>
  </si>
  <si>
    <t>🔥 Anomaly 7.6 ⚡ Tight</t>
  </si>
  <si>
    <t>NASDAQ:BDMD</t>
  </si>
  <si>
    <t>GMM</t>
  </si>
  <si>
    <t>Global Mofy AI Limited</t>
  </si>
  <si>
    <t>🔥 Anomaly 4.4</t>
  </si>
  <si>
    <t>NASDAQ:GMM</t>
  </si>
  <si>
    <t>TLS</t>
  </si>
  <si>
    <t>Telos Corporation</t>
  </si>
  <si>
    <t>NASDAQ:TLS</t>
  </si>
  <si>
    <t>BCTX</t>
  </si>
  <si>
    <t>BriaCell Therapeutics Corp.</t>
  </si>
  <si>
    <t>NASDAQ:BCTX</t>
  </si>
  <si>
    <t>WBUY</t>
  </si>
  <si>
    <t>WEBUY GLOBAL LTD.</t>
  </si>
  <si>
    <t>🔥 Anomaly 4.5 ⚡ Tight</t>
  </si>
  <si>
    <t>NASDAQ:WBUY</t>
  </si>
  <si>
    <t>AUUD</t>
  </si>
  <si>
    <t>Auddia Inc.</t>
  </si>
  <si>
    <t>🔥 Anomaly 2.3 ⚡ Tight</t>
  </si>
  <si>
    <t>NASDAQ:AUUD</t>
  </si>
  <si>
    <t>LRHC</t>
  </si>
  <si>
    <t>La Rosa Holdings Corp.</t>
  </si>
  <si>
    <t>NASDAQ:LRHC</t>
  </si>
  <si>
    <t>BRBS</t>
  </si>
  <si>
    <t>Blue Ridge Bankshares, Inc.</t>
  </si>
  <si>
    <t>🔥 Anomaly 1.6</t>
  </si>
  <si>
    <t>AMEX:BRBS</t>
  </si>
  <si>
    <t>RSSS</t>
  </si>
  <si>
    <t>Research Solutions, Inc</t>
  </si>
  <si>
    <t>NASDAQ:RSSS</t>
  </si>
  <si>
    <t>MNDR</t>
  </si>
  <si>
    <t>Mobile-health Network Solutions</t>
  </si>
  <si>
    <t>NASDAQ:MNDR</t>
  </si>
  <si>
    <t>ACIU</t>
  </si>
  <si>
    <t>AC Immune SA</t>
  </si>
  <si>
    <t>NASDAQ:ACIU</t>
  </si>
  <si>
    <t>NNVC</t>
  </si>
  <si>
    <t>NanoViricides, Inc.</t>
  </si>
  <si>
    <t>AMEX:NNVC</t>
  </si>
  <si>
    <t>ENVB</t>
  </si>
  <si>
    <t>Enveric Biosciences, Inc.</t>
  </si>
  <si>
    <t>🔥 Anomaly 32.6 ⚡ Tight</t>
  </si>
  <si>
    <t>NASDAQ:ENVB</t>
  </si>
  <si>
    <t>RUBI</t>
  </si>
  <si>
    <t>Rubico Inc.</t>
  </si>
  <si>
    <t>NASDAQ:RUBI</t>
  </si>
  <si>
    <t>BON</t>
  </si>
  <si>
    <t>Bon Natural Life Limited</t>
  </si>
  <si>
    <t>🔥 Anomaly 6.4 ⚡ Tight</t>
  </si>
  <si>
    <t>NASDAQ:BON</t>
  </si>
  <si>
    <t>LBGJ</t>
  </si>
  <si>
    <t>Li Bang International Corporation Inc.</t>
  </si>
  <si>
    <t>🔥 Anomaly 4.1</t>
  </si>
  <si>
    <t>NASDAQ:LBGJ</t>
  </si>
  <si>
    <t>DRMA</t>
  </si>
  <si>
    <t>Dermata Therapeutics, Inc.</t>
  </si>
  <si>
    <t>🔥 Anomaly 3.4 ⚡ Tight</t>
  </si>
  <si>
    <t>NASDAQ:DRMA</t>
  </si>
  <si>
    <t>YIBO</t>
  </si>
  <si>
    <t>Planet Image International Limited</t>
  </si>
  <si>
    <t>NASDAQ:YIBO</t>
  </si>
  <si>
    <t>BIAF</t>
  </si>
  <si>
    <t>bioAffinity Technologies, Inc.</t>
  </si>
  <si>
    <t>NASDAQ:BIAF</t>
  </si>
  <si>
    <t>TRAW</t>
  </si>
  <si>
    <t>Traws Pharma, Inc.</t>
  </si>
  <si>
    <t>NASDAQ:TRAW</t>
  </si>
  <si>
    <t>PFSA</t>
  </si>
  <si>
    <t>Profusa, Inc.</t>
  </si>
  <si>
    <t>NASDAQ:PFSA</t>
  </si>
  <si>
    <t>🔨 Wick 🔥 Anomaly 34.0 ⚡ Tight</t>
  </si>
  <si>
    <t>🔥 Anomaly 6.9 ⚡ Tight</t>
  </si>
  <si>
    <t>🔥 Anomaly 4.3</t>
  </si>
  <si>
    <t>ALVO</t>
  </si>
  <si>
    <t>Alvotech</t>
  </si>
  <si>
    <t>NASDAQ:ALVO</t>
  </si>
  <si>
    <t>USEG</t>
  </si>
  <si>
    <t>U.S. Energy Corp.</t>
  </si>
  <si>
    <t>NASDAQ:USEG</t>
  </si>
  <si>
    <t>MDAI</t>
  </si>
  <si>
    <t>Spectral AI, Inc.</t>
  </si>
  <si>
    <t>NASDAQ:MDAI</t>
  </si>
  <si>
    <t>RMSG</t>
  </si>
  <si>
    <t>Real Messenger Corporation</t>
  </si>
  <si>
    <t>NASDAQ:RMSG</t>
  </si>
  <si>
    <t>MGRX</t>
  </si>
  <si>
    <t>Mangoceuticals, Inc.</t>
  </si>
  <si>
    <t>🔥 Anomaly 8.4 ⚡ Tight</t>
  </si>
  <si>
    <t>NASDAQ:MGRX</t>
  </si>
  <si>
    <t>GFAI</t>
  </si>
  <si>
    <t>Guardforce AI Co., Limited</t>
  </si>
  <si>
    <t>🔥 Anomaly 5.0</t>
  </si>
  <si>
    <t>NASDAQ:GFAI</t>
  </si>
  <si>
    <t>RCT</t>
  </si>
  <si>
    <t>RedCloud Holdings plc</t>
  </si>
  <si>
    <t>🔥 Anomaly 3.3 ⚡ Tight</t>
  </si>
  <si>
    <t>NASDAQ:RCT</t>
  </si>
  <si>
    <t>BIYA</t>
  </si>
  <si>
    <t>Baiya International Group Inc.</t>
  </si>
  <si>
    <t>🔥 Anomaly 2.9 ⚡ Tight</t>
  </si>
  <si>
    <t>NASDAQ:BIYA</t>
  </si>
  <si>
    <t>IVF</t>
  </si>
  <si>
    <t>INVO Fertility, Inc.</t>
  </si>
  <si>
    <t>🔨 Wick 🔥 Anomaly 2.2 ⚡ Tight</t>
  </si>
  <si>
    <t>NASDAQ:IVF</t>
  </si>
  <si>
    <t>AIOS</t>
  </si>
  <si>
    <t>AIOS Tech Inc.</t>
  </si>
  <si>
    <t>NASDAQ:AIOS</t>
  </si>
  <si>
    <t>GIBO</t>
  </si>
  <si>
    <t>GIBO Holdings Limited</t>
  </si>
  <si>
    <t>NASDAQ:GIBO</t>
  </si>
  <si>
    <t>BJDX</t>
  </si>
  <si>
    <t>Bluejay Diagnostics, Inc.</t>
  </si>
  <si>
    <t>NASDAQ:BJDX</t>
  </si>
  <si>
    <t>ELDN</t>
  </si>
  <si>
    <t>Eledon Pharmaceuticals, Inc.</t>
  </si>
  <si>
    <t>NASDAQ:ELDN</t>
  </si>
  <si>
    <t>CRE</t>
  </si>
  <si>
    <t>Cre8 Enterprise Limited</t>
  </si>
  <si>
    <t>NASDAQ:CRE</t>
  </si>
  <si>
    <t>🔥 Anomaly 12.4 ⚡ Tight</t>
  </si>
  <si>
    <t>🔥 Anomaly 9.1 ⚡ Tight</t>
  </si>
  <si>
    <t>✨ Doji 🔥 Anomaly 5.1</t>
  </si>
  <si>
    <t>IPW</t>
  </si>
  <si>
    <t>iPower Inc.</t>
  </si>
  <si>
    <t>NASDAQ:IPW</t>
  </si>
  <si>
    <t>🔨 Wick ✨ Doji 🔥 Anomaly 2.3 ⚡ Tight</t>
  </si>
  <si>
    <t>CRCT</t>
  </si>
  <si>
    <t>Cricut, Inc.</t>
  </si>
  <si>
    <t>NASDAQ:CRCT</t>
  </si>
  <si>
    <t>🕳️ Gravity Coil</t>
  </si>
  <si>
    <t>NRXP</t>
  </si>
  <si>
    <t>NRX Pharmaceuticals, Inc.</t>
  </si>
  <si>
    <t>NASDAQ:NRXP</t>
  </si>
  <si>
    <t>CDXS</t>
  </si>
  <si>
    <t>Codexis, Inc.</t>
  </si>
  <si>
    <t>NASDAQ:CDXS</t>
  </si>
  <si>
    <t>OCGN</t>
  </si>
  <si>
    <t>Ocugen, Inc.</t>
  </si>
  <si>
    <t>NASDAQ:OCGN</t>
  </si>
  <si>
    <t>CDLX</t>
  </si>
  <si>
    <t>Cardlytics, Inc. Common Stock</t>
  </si>
  <si>
    <t>NASDAQ:CDLX</t>
  </si>
  <si>
    <t>TOMZ</t>
  </si>
  <si>
    <t>TOMI Environmental Solutions, Inc.</t>
  </si>
  <si>
    <t>✨ Doji 🔥 Anomaly 57.1</t>
  </si>
  <si>
    <t>NASDAQ:TOMZ</t>
  </si>
  <si>
    <t>YMAT</t>
  </si>
  <si>
    <t>J-Star Holding Co., Ltd.</t>
  </si>
  <si>
    <t>🔥 Anomaly 49.0 ⚡ Tight</t>
  </si>
  <si>
    <t>NASDAQ:YMAT</t>
  </si>
  <si>
    <t>✨ Doji 🔥 Anomaly 4.5</t>
  </si>
  <si>
    <t>MGN</t>
  </si>
  <si>
    <t>Megan Holdings Limited</t>
  </si>
  <si>
    <t>NASDAQ:MGN</t>
  </si>
  <si>
    <t>PMEC</t>
  </si>
  <si>
    <t>Primech Holdings Ltd.</t>
  </si>
  <si>
    <t>🔥 Anomaly 1.5</t>
  </si>
  <si>
    <t>NASDAQ:PMEC</t>
  </si>
  <si>
    <t>GNPX</t>
  </si>
  <si>
    <t>Genprex, Inc.</t>
  </si>
  <si>
    <t>NASDAQ:GNPX</t>
  </si>
  <si>
    <t>TLPH</t>
  </si>
  <si>
    <t>Talphera, Inc.</t>
  </si>
  <si>
    <t>NASDAQ:TLPH</t>
  </si>
  <si>
    <t>ENLV</t>
  </si>
  <si>
    <t>Enlivex Therapeutics Ltd.</t>
  </si>
  <si>
    <t>NASDAQ:ENLV</t>
  </si>
  <si>
    <t>🔥 Anomaly 53.8</t>
  </si>
  <si>
    <t>🔥 Anomaly 52.0 ⚡ Tight</t>
  </si>
  <si>
    <t>🔥 Anomaly 3.2</t>
  </si>
  <si>
    <t>NCMI</t>
  </si>
  <si>
    <t>National CineMedia, Inc.</t>
  </si>
  <si>
    <t>NASDAQ:NCMI</t>
  </si>
  <si>
    <t>OPAL</t>
  </si>
  <si>
    <t>OPAL Fuels Inc.</t>
  </si>
  <si>
    <t>NASDAQ:OPAL</t>
  </si>
  <si>
    <t>ELBM</t>
  </si>
  <si>
    <t>Electra Battery Materials Corporation</t>
  </si>
  <si>
    <t>NASDAQ:ELBM</t>
  </si>
  <si>
    <t>DTCX</t>
  </si>
  <si>
    <t>Datacentrex, Inc.</t>
  </si>
  <si>
    <t>NASDAQ:DTCX</t>
  </si>
  <si>
    <t>TBI</t>
  </si>
  <si>
    <t>TrueBlue, Inc.</t>
  </si>
  <si>
    <t>NYSE:TBI</t>
  </si>
  <si>
    <t>KWM</t>
  </si>
  <si>
    <t>K Wave Media, Ltd.</t>
  </si>
  <si>
    <t>NASDAQ:KWM</t>
  </si>
  <si>
    <t>UP</t>
  </si>
  <si>
    <t>Wheels Up Experience Inc.</t>
  </si>
  <si>
    <t>NYSE:UP</t>
  </si>
  <si>
    <t>AUID</t>
  </si>
  <si>
    <t>authID Inc.</t>
  </si>
  <si>
    <t>NASDAQ:AUID</t>
  </si>
  <si>
    <t>TJGC</t>
  </si>
  <si>
    <t>TJGC Group Limited</t>
  </si>
  <si>
    <t>🔥 Anomaly 8.7 ⚡ Tight</t>
  </si>
  <si>
    <t>NASDAQ:TJGC</t>
  </si>
  <si>
    <t>LRMR</t>
  </si>
  <si>
    <t>Larimar Therapeutics, Inc.</t>
  </si>
  <si>
    <t>🔥 Anomaly 7.3</t>
  </si>
  <si>
    <t>NASDAQ:LRMR</t>
  </si>
  <si>
    <t>EVC</t>
  </si>
  <si>
    <t>Entravision Communications Corporation</t>
  </si>
  <si>
    <t>NYSE:EVC</t>
  </si>
  <si>
    <t>BKYI</t>
  </si>
  <si>
    <t>BIO-key International, Inc.</t>
  </si>
  <si>
    <t>NASDAQ:BKYI</t>
  </si>
  <si>
    <t>IBIO</t>
  </si>
  <si>
    <t>iBio, Inc.</t>
  </si>
  <si>
    <t>NASDAQ:IBIO</t>
  </si>
  <si>
    <t>GIPR</t>
  </si>
  <si>
    <t>Generation Income Properties Inc.</t>
  </si>
  <si>
    <t>NASDAQ:GIPR</t>
  </si>
  <si>
    <t>VSME</t>
  </si>
  <si>
    <t>VS Media Holdings Limited</t>
  </si>
  <si>
    <t>🔥 Anomaly 5.2 ⚡ Tight</t>
  </si>
  <si>
    <t>NASDAQ:VSME</t>
  </si>
  <si>
    <t>OGEN</t>
  </si>
  <si>
    <t>Oragenics Inc.</t>
  </si>
  <si>
    <t>🔥 Anomaly 3.2 ⚡ Tight</t>
  </si>
  <si>
    <t>AMEX:OGEN</t>
  </si>
  <si>
    <t>LGVN</t>
  </si>
  <si>
    <t>Longeveron Inc.</t>
  </si>
  <si>
    <t>✨ Doji 🔥 Anomaly 1.8 ⚡ Tight</t>
  </si>
  <si>
    <t>NASDAQ:LGVN</t>
  </si>
  <si>
    <t>INBS</t>
  </si>
  <si>
    <t>Intelligent Bio Solutions Inc.</t>
  </si>
  <si>
    <t>NASDAQ:INBS</t>
  </si>
  <si>
    <t>INVZ</t>
  </si>
  <si>
    <t>Innoviz Technologies Ltd.</t>
  </si>
  <si>
    <t>NASDAQ:INVZ</t>
  </si>
  <si>
    <t>ORBS</t>
  </si>
  <si>
    <t>Eightco Holdings Inc.</t>
  </si>
  <si>
    <t>NASDAQ:ORBS</t>
  </si>
  <si>
    <t>HYLN</t>
  </si>
  <si>
    <t>Hyliion Holdings Corp.</t>
  </si>
  <si>
    <t>AMEX:HYLN</t>
  </si>
  <si>
    <t>ASPN</t>
  </si>
  <si>
    <t>Aspen Aerogels, Inc.</t>
  </si>
  <si>
    <t>NYSE:ASPN</t>
  </si>
  <si>
    <t>MSGY</t>
  </si>
  <si>
    <t>Masonglory Limited</t>
  </si>
  <si>
    <t>NASDAQ:MSGY</t>
  </si>
  <si>
    <t>KAPA</t>
  </si>
  <si>
    <t>Kairos Pharma, Ltd.</t>
  </si>
  <si>
    <t>🔥 Anomaly 9.6 ⚡ Tight</t>
  </si>
  <si>
    <t>AMEX:KAPA</t>
  </si>
  <si>
    <t>SBEV</t>
  </si>
  <si>
    <t>Splash Beverage Group, Inc. (NV)</t>
  </si>
  <si>
    <t>AMEX:SBEV</t>
  </si>
  <si>
    <t>PMVP</t>
  </si>
  <si>
    <t>PMV Pharmaceuticals, Inc.</t>
  </si>
  <si>
    <t>NASDAQ:PMVP</t>
  </si>
  <si>
    <t>VMAR</t>
  </si>
  <si>
    <t>Vision Marine Technologies Inc.</t>
  </si>
  <si>
    <t>NASDAQ:VMAR</t>
  </si>
  <si>
    <t>PEW</t>
  </si>
  <si>
    <t>GrabAGun Digital Holdings Inc.</t>
  </si>
  <si>
    <t>NYSE:PEW</t>
  </si>
  <si>
    <t>CRON</t>
  </si>
  <si>
    <t>Cronos Group Inc. Common Share</t>
  </si>
  <si>
    <t>NASDAQ:CRON</t>
  </si>
  <si>
    <t>ARBE</t>
  </si>
  <si>
    <t>Arbe Robotics Ltd.</t>
  </si>
  <si>
    <t>NASDAQ:ARBE</t>
  </si>
  <si>
    <t>DCGO</t>
  </si>
  <si>
    <t>DocGo Inc.</t>
  </si>
  <si>
    <t>NASDAQ:DCGO</t>
  </si>
  <si>
    <t>VEEA</t>
  </si>
  <si>
    <t>Veea Inc.</t>
  </si>
  <si>
    <t>✨ Doji 🔥 Anomaly 8.5 ⚡ Tight</t>
  </si>
  <si>
    <t>NASDAQ:VEEA</t>
  </si>
  <si>
    <t>SES</t>
  </si>
  <si>
    <t>SES AI Corporation</t>
  </si>
  <si>
    <t>NYSE:SES</t>
  </si>
  <si>
    <t>NRDY</t>
  </si>
  <si>
    <t>Nerdy Inc.</t>
  </si>
  <si>
    <t>NYSE:NRDY</t>
  </si>
  <si>
    <t>BZFD</t>
  </si>
  <si>
    <t>BuzzFeed, Inc.</t>
  </si>
  <si>
    <t>NASDAQ:BZFD</t>
  </si>
  <si>
    <t>JAGX</t>
  </si>
  <si>
    <t>Jaguar Health, Inc.</t>
  </si>
  <si>
    <t>NASDAQ:JAGX</t>
  </si>
  <si>
    <t>CLOV</t>
  </si>
  <si>
    <t>Clover Health Investments, Corp.</t>
  </si>
  <si>
    <t>NASDAQ:CLOV</t>
  </si>
  <si>
    <t>STAK</t>
  </si>
  <si>
    <t>STAK Inc.</t>
  </si>
  <si>
    <t>🔥 Anomaly 77.6 ⚡ Tight</t>
  </si>
  <si>
    <t>NASDAQ:STAK</t>
  </si>
  <si>
    <t>EONR</t>
  </si>
  <si>
    <t>EON Resources Inc.</t>
  </si>
  <si>
    <t>🔥 Anomaly 3.4</t>
  </si>
  <si>
    <t>AMEX:EONR</t>
  </si>
  <si>
    <t>DFNS</t>
  </si>
  <si>
    <t>T3 Defense Inc.</t>
  </si>
  <si>
    <t>NASDAQ:DFNS</t>
  </si>
  <si>
    <t>PROP</t>
  </si>
  <si>
    <t>Prairie Operating Co.</t>
  </si>
  <si>
    <t>NASDAQ:PROP</t>
  </si>
  <si>
    <t>HYPR</t>
  </si>
  <si>
    <t>Hyperfine, Inc.</t>
  </si>
  <si>
    <t>NASDAQ:HYPR</t>
  </si>
  <si>
    <t>UFG</t>
  </si>
  <si>
    <t>Uni-Fuels Holdings Limited</t>
  </si>
  <si>
    <t>NASDAQ:UFG</t>
  </si>
  <si>
    <t>SMXT</t>
  </si>
  <si>
    <t>Solarmax Technology Inc.</t>
  </si>
  <si>
    <t>NASDAQ:SMXT</t>
  </si>
  <si>
    <t>LUNG</t>
  </si>
  <si>
    <t>Pulmonx Corporation</t>
  </si>
  <si>
    <t>NASDAQ:LUNG</t>
  </si>
  <si>
    <t>MOBX</t>
  </si>
  <si>
    <t>Mobix Labs, Inc.</t>
  </si>
  <si>
    <t>🔥 Anomaly 5.4</t>
  </si>
  <si>
    <t>NASDAQ:MOBX</t>
  </si>
  <si>
    <t>RYOJ</t>
  </si>
  <si>
    <t>rYojbaba Co., Ltd.</t>
  </si>
  <si>
    <t>✨ Doji 🔥 Anomaly 4.4 ⚡ Tight</t>
  </si>
  <si>
    <t>NASDAQ:RYOJ</t>
  </si>
  <si>
    <t>GWH</t>
  </si>
  <si>
    <t>ESS Tech, Inc.</t>
  </si>
  <si>
    <t>NYSE:GWH</t>
  </si>
  <si>
    <t>HIHO</t>
  </si>
  <si>
    <t>Highway Holdings Limited</t>
  </si>
  <si>
    <t>NASDAQ:HIHO</t>
  </si>
  <si>
    <t>NXDR</t>
  </si>
  <si>
    <t>Nextdoor Holdings, Inc.</t>
  </si>
  <si>
    <t>NYSE:NXDR</t>
  </si>
  <si>
    <t>SYNX</t>
  </si>
  <si>
    <t>Silynxcom Ltd.</t>
  </si>
  <si>
    <t>AMEX:SYNX</t>
  </si>
  <si>
    <t>FEMY</t>
  </si>
  <si>
    <t>Femasys Inc.</t>
  </si>
  <si>
    <t>NASDAQ:FEMY</t>
  </si>
  <si>
    <t>🔥 Anomaly 7.3 ⚡ Tight</t>
  </si>
  <si>
    <t>CCO</t>
  </si>
  <si>
    <t>Clear Channel Outdoor Holdings, Inc.</t>
  </si>
  <si>
    <t>NYSE:CCO</t>
  </si>
  <si>
    <t>INDI</t>
  </si>
  <si>
    <t>indie Semiconductor, Inc.</t>
  </si>
  <si>
    <t>NASDAQ:INDI</t>
  </si>
  <si>
    <t>MIRA</t>
  </si>
  <si>
    <t>MIRA Pharmaceuticals, Inc.</t>
  </si>
  <si>
    <t>NASDAQ:MIRA</t>
  </si>
  <si>
    <t>QCLS</t>
  </si>
  <si>
    <t>Q/C Technologies, Inc.</t>
  </si>
  <si>
    <t>NASDAQ:QCLS</t>
  </si>
  <si>
    <t>HTOO</t>
  </si>
  <si>
    <t>Fusion Fuel Green PLC</t>
  </si>
  <si>
    <t>🔥 Anomaly 66.0 ⚡ Tight</t>
  </si>
  <si>
    <t>NASDAQ:HTOO</t>
  </si>
  <si>
    <t>BTAI</t>
  </si>
  <si>
    <t>BioXcel Therapeutics, Inc.</t>
  </si>
  <si>
    <t>🔥 Anomaly 11.1 ⚡ Tight</t>
  </si>
  <si>
    <t>NASDAQ:BTAI</t>
  </si>
  <si>
    <t>VBIX</t>
  </si>
  <si>
    <t>Viewbix Inc.</t>
  </si>
  <si>
    <t>🔨 Wick 🔥 Anomaly 6.4 ⚡ Tight</t>
  </si>
  <si>
    <t>NASDAQ:VBIX</t>
  </si>
  <si>
    <t>FARM</t>
  </si>
  <si>
    <t>Farmer Brothers Company</t>
  </si>
  <si>
    <t>NASDAQ:FARM</t>
  </si>
  <si>
    <t>XPL</t>
  </si>
  <si>
    <t>Solitario Resources Corp.</t>
  </si>
  <si>
    <t>AMEX:XPL</t>
  </si>
  <si>
    <t>MX</t>
  </si>
  <si>
    <t>Magnachip Semiconductor Corporation</t>
  </si>
  <si>
    <t>NYSE:MX</t>
  </si>
  <si>
    <t>NNBR</t>
  </si>
  <si>
    <t>NN, Inc.</t>
  </si>
  <si>
    <t>NASDAQ:NNBR</t>
  </si>
  <si>
    <t>🔥 Anomaly 8.2 ⚡ Tight</t>
  </si>
  <si>
    <t>✨ Doji 🔥 Anomaly 3.4 ⚡ Tight</t>
  </si>
  <si>
    <t>NA</t>
  </si>
  <si>
    <t>Nano Labs Ltd</t>
  </si>
  <si>
    <t>✨ Doji 🔥 Anomaly 2.1 ⚡ Tight</t>
  </si>
  <si>
    <t>NASDAQ:NA</t>
  </si>
  <si>
    <t>PMAX</t>
  </si>
  <si>
    <t>Powell Max Limited</t>
  </si>
  <si>
    <t>Communications</t>
  </si>
  <si>
    <t>NASDAQ:PMAX</t>
  </si>
  <si>
    <t>JZXN</t>
  </si>
  <si>
    <t>Jiuzi Holdings, Inc.</t>
  </si>
  <si>
    <t>NASDAQ:JZXN</t>
  </si>
  <si>
    <t>BLNE</t>
  </si>
  <si>
    <t>Beeline Holdings, Inc.</t>
  </si>
  <si>
    <t>NASDAQ:BLNE</t>
  </si>
  <si>
    <t>MVIS</t>
  </si>
  <si>
    <t>MicroVision, Inc.</t>
  </si>
  <si>
    <t>NASDAQ:MVIS</t>
  </si>
  <si>
    <t>ECX</t>
  </si>
  <si>
    <t>ECARX Holdings Inc.</t>
  </si>
  <si>
    <t>NASDAQ:ECX</t>
  </si>
  <si>
    <t>AZI</t>
  </si>
  <si>
    <t>Autozi Internet Technology (Global) Ltd.</t>
  </si>
  <si>
    <t>🔥 Anomaly 20.1 ⚡ Tight</t>
  </si>
  <si>
    <t>NASDAQ:AZI</t>
  </si>
  <si>
    <t>✨ Doji 🔥 Anomaly 3.0 ⚡ Tight</t>
  </si>
  <si>
    <t>🔥 Anomaly 2.2 ⚡ Tight</t>
  </si>
  <si>
    <t>TIVC</t>
  </si>
  <si>
    <t>Tivic Health Systems, Inc.</t>
  </si>
  <si>
    <t>NASDAQ:TIVC</t>
  </si>
  <si>
    <t>✨ Doji 🕳️ Gravity Coil 🔥 Anomaly 1.9 ⚡ Tight</t>
  </si>
  <si>
    <t>NVVE</t>
  </si>
  <si>
    <t>Nuvve Holding Corp.</t>
  </si>
  <si>
    <t>NASDAQ:NVVE</t>
  </si>
  <si>
    <t>DTCK</t>
  </si>
  <si>
    <t>Davis Commodities Limited</t>
  </si>
  <si>
    <t>NASDAQ:DTCK</t>
  </si>
  <si>
    <t>SEED</t>
  </si>
  <si>
    <t>Origin Agritech Limited</t>
  </si>
  <si>
    <t>NASDAQ:SEED</t>
  </si>
  <si>
    <t>BTBD</t>
  </si>
  <si>
    <t>BT Brands, Inc.</t>
  </si>
  <si>
    <t>NASDAQ:BTBD</t>
  </si>
  <si>
    <t>XRX</t>
  </si>
  <si>
    <t>Xerox Holdings Corporation</t>
  </si>
  <si>
    <t>NASDAQ:XRX</t>
  </si>
  <si>
    <t>MYO</t>
  </si>
  <si>
    <t>Myomo Inc.</t>
  </si>
  <si>
    <t>AMEX:MYO</t>
  </si>
  <si>
    <t>NFE</t>
  </si>
  <si>
    <t>New Fortress Energy Inc.</t>
  </si>
  <si>
    <t>Utilities</t>
  </si>
  <si>
    <t>NASDAQ:NFE</t>
  </si>
  <si>
    <t>CCLD</t>
  </si>
  <si>
    <t>CareCloud, Inc.</t>
  </si>
  <si>
    <t>NASDAQ:CCLD</t>
  </si>
  <si>
    <t>AIRS</t>
  </si>
  <si>
    <t>AirSculpt Technologies, Inc.</t>
  </si>
  <si>
    <t>NASDAQ:AIRS</t>
  </si>
  <si>
    <t>CURV</t>
  </si>
  <si>
    <t>Torrid Holdings Inc.</t>
  </si>
  <si>
    <t>NYSE:CURV</t>
  </si>
  <si>
    <t>OSRH</t>
  </si>
  <si>
    <t>OSR Holdings, Inc.</t>
  </si>
  <si>
    <t>NASDAQ:OSRH</t>
  </si>
  <si>
    <t>LASE</t>
  </si>
  <si>
    <t>Laser Photonics Corporation</t>
  </si>
  <si>
    <t>NASDAQ:LASE</t>
  </si>
  <si>
    <t>SEV</t>
  </si>
  <si>
    <t>Aptera Motors Corp.</t>
  </si>
  <si>
    <t>NASDAQ:SEV</t>
  </si>
  <si>
    <t>COOT</t>
  </si>
  <si>
    <t>Australian Oilseeds Holdings Limited</t>
  </si>
  <si>
    <t>NASDAQ:COOT</t>
  </si>
  <si>
    <t>CELU</t>
  </si>
  <si>
    <t>Celularity Inc.</t>
  </si>
  <si>
    <t>🔥 Anomaly 15.2 ⚡ Tight</t>
  </si>
  <si>
    <t>NASDAQ:CELU</t>
  </si>
  <si>
    <t>SKYE</t>
  </si>
  <si>
    <t>Skye Bioscience, Inc.</t>
  </si>
  <si>
    <t>🔥 Anomaly 5.4 ⚡ Tight</t>
  </si>
  <si>
    <t>NASDAQ:SKYE</t>
  </si>
  <si>
    <t>MRNO</t>
  </si>
  <si>
    <t>Murano Global Investments PLC</t>
  </si>
  <si>
    <t>NASDAQ:MRNO</t>
  </si>
  <si>
    <t>NXGL</t>
  </si>
  <si>
    <t>NexGel, Inc</t>
  </si>
  <si>
    <t>🔥 Anomaly 2.6</t>
  </si>
  <si>
    <t>NASDAQ:NXGL</t>
  </si>
  <si>
    <t>CAPS</t>
  </si>
  <si>
    <t>Capstone Holding Corp.</t>
  </si>
  <si>
    <t>NASDAQ:CAPS</t>
  </si>
  <si>
    <t>PAPL</t>
  </si>
  <si>
    <t>Pineapple Financial Inc.</t>
  </si>
  <si>
    <t>✨ Doji 🔥 Anomaly 2.3 ⚡ Tight</t>
  </si>
  <si>
    <t>AMEX:PAPL</t>
  </si>
  <si>
    <t>BEAT</t>
  </si>
  <si>
    <t>Heartbeam, Inc.</t>
  </si>
  <si>
    <t>NASDAQ:BEAT</t>
  </si>
  <si>
    <t>YAAS</t>
  </si>
  <si>
    <t>Youxin Technology Ltd</t>
  </si>
  <si>
    <t>NASDAQ:YAAS</t>
  </si>
  <si>
    <t>COOK</t>
  </si>
  <si>
    <t>Traeger, Inc.</t>
  </si>
  <si>
    <t>NYSE:COOK</t>
  </si>
  <si>
    <t>DDD</t>
  </si>
  <si>
    <t>3D Systems Corporation</t>
  </si>
  <si>
    <t>NYSE:DDD</t>
  </si>
  <si>
    <t>WLDS</t>
  </si>
  <si>
    <t>Wearable Devices Ltd.</t>
  </si>
  <si>
    <t>NASDAQ:WLDS</t>
  </si>
  <si>
    <t>SXTP</t>
  </si>
  <si>
    <t>60 Degrees Pharmaceuticals, Inc.</t>
  </si>
  <si>
    <t>🔥 Anomaly 27.1 ⚡ Tight</t>
  </si>
  <si>
    <t>NASDAQ:SXTP</t>
  </si>
  <si>
    <t>TLYS</t>
  </si>
  <si>
    <t>Tilly's, Inc.</t>
  </si>
  <si>
    <t>🔨 Wick ✨ Doji 🔥 Anomaly 17.0 ⚡ Tight</t>
  </si>
  <si>
    <t>NYSE:TLYS</t>
  </si>
  <si>
    <t>🔥 Anomaly 11.0 ⚡ Tight</t>
  </si>
  <si>
    <t>🕳️ Gravity Coil 🔥 Anomaly 2.8 ⚡ Tight</t>
  </si>
  <si>
    <t>FTEL</t>
  </si>
  <si>
    <t>Fitell Corporation</t>
  </si>
  <si>
    <t>NASDAQ:FTEL</t>
  </si>
  <si>
    <t>MYSE</t>
  </si>
  <si>
    <t>Myseum, Inc.</t>
  </si>
  <si>
    <t>NASDAQ:MYSE</t>
  </si>
  <si>
    <t>GIFT</t>
  </si>
  <si>
    <t>Giftify, Inc.</t>
  </si>
  <si>
    <t>NASDAQ:GIFT</t>
  </si>
  <si>
    <t>CODX</t>
  </si>
  <si>
    <t>Co-Diagnostics, Inc.</t>
  </si>
  <si>
    <t>NASDAQ:CODX</t>
  </si>
  <si>
    <t>SERA</t>
  </si>
  <si>
    <t>Sera Prognostics, Inc.</t>
  </si>
  <si>
    <t>NASDAQ:SERA</t>
  </si>
  <si>
    <t>PNBK</t>
  </si>
  <si>
    <t>Patriot National Bancorp Inc.</t>
  </si>
  <si>
    <t>NASDAQ:PNBK</t>
  </si>
  <si>
    <t>BMBL</t>
  </si>
  <si>
    <t>Bumble Inc.</t>
  </si>
  <si>
    <t>NASDAQ:BMBL</t>
  </si>
  <si>
    <t>VVOS</t>
  </si>
  <si>
    <t>Vivos Therapeutics, Inc.</t>
  </si>
  <si>
    <t>NASDAQ:VVOS</t>
  </si>
  <si>
    <t>BWEN</t>
  </si>
  <si>
    <t>Broadwind, Inc.</t>
  </si>
  <si>
    <t>NASDAQ:BWEN</t>
  </si>
  <si>
    <t>ABAT</t>
  </si>
  <si>
    <t>American Battery Technology Company</t>
  </si>
  <si>
    <t>NASDAQ:ABAT</t>
  </si>
  <si>
    <t>LDI</t>
  </si>
  <si>
    <t>loanDepot, Inc.</t>
  </si>
  <si>
    <t>NYSE:LDI</t>
  </si>
  <si>
    <t>PLCE</t>
  </si>
  <si>
    <t>Children's Place, Inc. (The)</t>
  </si>
  <si>
    <t>NASDAQ:PLCE</t>
  </si>
  <si>
    <t>MNTK</t>
  </si>
  <si>
    <t>Montauk Renewables, Inc.</t>
  </si>
  <si>
    <t>NASDAQ:MNTK</t>
  </si>
  <si>
    <t>LFMD</t>
  </si>
  <si>
    <t>LifeMD, Inc.</t>
  </si>
  <si>
    <t>NASDAQ:LFMD</t>
  </si>
  <si>
    <t>LCUT</t>
  </si>
  <si>
    <t>Lifetime Brands, Inc.</t>
  </si>
  <si>
    <t>🔥 Anomaly 22.4</t>
  </si>
  <si>
    <t>NASDAQ:LCUT</t>
  </si>
  <si>
    <t>AGRZ</t>
  </si>
  <si>
    <t>Agroz Inc.</t>
  </si>
  <si>
    <t>🔥 Anomaly 6.0 ⚡ Tight</t>
  </si>
  <si>
    <t>NASDAQ:AGRZ</t>
  </si>
  <si>
    <t>POLA</t>
  </si>
  <si>
    <t>Polar Power, Inc.</t>
  </si>
  <si>
    <t>🔥 Anomaly 4.7 ⚡ Tight</t>
  </si>
  <si>
    <t>NASDAQ:POLA</t>
  </si>
  <si>
    <t>GEG</t>
  </si>
  <si>
    <t>Great Elm Group, Inc.</t>
  </si>
  <si>
    <t>✨ Doji 🔥 Anomaly 2.2</t>
  </si>
  <si>
    <t>NASDAQ:GEG</t>
  </si>
  <si>
    <t>✨ Doji 🕳️ Gravity Coil 🔥 Anomaly 2.1 ⚡ Tight</t>
  </si>
  <si>
    <t>🔥 Anomaly 1.7</t>
  </si>
  <si>
    <t>TMQ</t>
  </si>
  <si>
    <t>Trilogy Metals Inc.</t>
  </si>
  <si>
    <t>AMEX:TMQ</t>
  </si>
  <si>
    <t>SNDL</t>
  </si>
  <si>
    <t>SNDL Inc.</t>
  </si>
  <si>
    <t>NASDAQ:SNDL</t>
  </si>
  <si>
    <t>XLO</t>
  </si>
  <si>
    <t>Xilio Therapeutics, Inc.</t>
  </si>
  <si>
    <t>NASDAQ:XLO</t>
  </si>
  <si>
    <t>CURI</t>
  </si>
  <si>
    <t>CuriosityStream Inc.</t>
  </si>
  <si>
    <t>NASDAQ:CURI</t>
  </si>
  <si>
    <t>EDBL</t>
  </si>
  <si>
    <t>Edible Garden AG Incorporated</t>
  </si>
  <si>
    <t>NASDAQ:EDBL</t>
  </si>
  <si>
    <t>ORIS</t>
  </si>
  <si>
    <t>Oriental Rise Holdings Limited</t>
  </si>
  <si>
    <t>NASDAQ:ORIS</t>
  </si>
  <si>
    <t>Stoch_K</t>
  </si>
  <si>
    <t>ATR_1W</t>
  </si>
  <si>
    <t>Stoch_D</t>
  </si>
  <si>
    <t>EMA8</t>
  </si>
  <si>
    <t>EMA21</t>
  </si>
  <si>
    <t>EMA34</t>
  </si>
  <si>
    <t>EMA55</t>
  </si>
  <si>
    <t>EMA89</t>
  </si>
  <si>
    <t>dist_to_21</t>
  </si>
  <si>
    <t>ADEA</t>
  </si>
  <si>
    <t>Adeia Inc.</t>
  </si>
  <si>
    <t>NASDAQ:ADEA</t>
  </si>
  <si>
    <t>UAMY</t>
  </si>
  <si>
    <t>United States Antimony Corporation</t>
  </si>
  <si>
    <t>AMEX:UAMY</t>
  </si>
  <si>
    <t>AEHR</t>
  </si>
  <si>
    <t>Aehr Test Systems</t>
  </si>
  <si>
    <t>NASDAQ:AEHR</t>
  </si>
  <si>
    <t>ASM</t>
  </si>
  <si>
    <t>Avino Silver &amp; Gold Mines Ltd.</t>
  </si>
  <si>
    <t>AMEX:ASM</t>
  </si>
  <si>
    <t>FCF</t>
  </si>
  <si>
    <t>First</t>
  </si>
  <si>
    <t>NYSE:FCF</t>
  </si>
  <si>
    <t>NPKI</t>
  </si>
  <si>
    <t>NPK International Inc.</t>
  </si>
  <si>
    <t>NYSE:NPKI</t>
  </si>
  <si>
    <t>NSSC</t>
  </si>
  <si>
    <t>NAPCO Security Technologies, Inc.</t>
  </si>
  <si>
    <t>🚀 Graduation</t>
  </si>
  <si>
    <t>NASDAQ:NSSC</t>
  </si>
  <si>
    <t>TRS</t>
  </si>
  <si>
    <t>TriMas Corporation</t>
  </si>
  <si>
    <t>NASDAQ:TRS</t>
  </si>
  <si>
    <t>INVA</t>
  </si>
  <si>
    <t>Innoviva, Inc.</t>
  </si>
  <si>
    <t>NASDAQ:INVA</t>
  </si>
  <si>
    <t>NYSE:UAMY</t>
  </si>
  <si>
    <t>UTI</t>
  </si>
  <si>
    <t>Universal Technical Institute Inc</t>
  </si>
  <si>
    <t>NYSE:UTI</t>
  </si>
  <si>
    <t>Stoch.K</t>
  </si>
  <si>
    <t>Stoch.D</t>
  </si>
  <si>
    <t>EMA50</t>
  </si>
  <si>
    <t>SMA200</t>
  </si>
  <si>
    <t>price_52_week_low</t>
  </si>
  <si>
    <t>ema_spread_pct</t>
  </si>
  <si>
    <t>TCPC</t>
  </si>
  <si>
    <t>BlackRock TCP Capital Corp.</t>
  </si>
  <si>
    <t>NASDAQ:TCPC</t>
  </si>
  <si>
    <t>📉 Recent Cross 🔊 Vol 12.4x</t>
  </si>
  <si>
    <t>GSBD</t>
  </si>
  <si>
    <t>Goldman Sachs BDC, Inc.</t>
  </si>
  <si>
    <t>NYSE:GSBD</t>
  </si>
  <si>
    <t>Miscellaneous</t>
  </si>
  <si>
    <t>🔊 Vol 2.1x</t>
  </si>
  <si>
    <t>OCSL</t>
  </si>
  <si>
    <t>Oaktree Specialty Lending Corporation</t>
  </si>
  <si>
    <t>NASDAQ:OCSL</t>
  </si>
  <si>
    <t>BXSL</t>
  </si>
  <si>
    <t>Blackstone Secured Lending Fund</t>
  </si>
  <si>
    <t>NYSE:BXSL</t>
  </si>
  <si>
    <t>ALKT</t>
  </si>
  <si>
    <t>Alkami Technology, Inc.</t>
  </si>
  <si>
    <t>NASDAQ:ALKT</t>
  </si>
  <si>
    <t>ROCK</t>
  </si>
  <si>
    <t>Gibraltar Industries, Inc.</t>
  </si>
  <si>
    <t>NASDAQ:ROCK</t>
  </si>
  <si>
    <t>📉 Recent Cross</t>
  </si>
  <si>
    <t>WLY</t>
  </si>
  <si>
    <t>John Wiley &amp; Sons, Inc.</t>
  </si>
  <si>
    <t>NYSE:WLY</t>
  </si>
  <si>
    <t>🔊 Vol 2.8x 🔋 Squeeze (0.77)</t>
  </si>
  <si>
    <t>QLYS</t>
  </si>
  <si>
    <t>Qualys, Inc.</t>
  </si>
  <si>
    <t>NASDAQ:QLYS</t>
  </si>
  <si>
    <t>VOYA</t>
  </si>
  <si>
    <t>Voya Financial, Inc.</t>
  </si>
  <si>
    <t>NYSE:VOYA</t>
  </si>
  <si>
    <t>🩸 FRESH BREAKDOWN</t>
  </si>
  <si>
    <t>FMC</t>
  </si>
  <si>
    <t>FMC Corporation</t>
  </si>
  <si>
    <t>NYSE:FMC</t>
  </si>
  <si>
    <t>🩸 FRESH BREAKDOWN 🔊 Vol 2.3x 🔋 Squeeze (0.74)</t>
  </si>
  <si>
    <t>RDN</t>
  </si>
  <si>
    <t>Radian Group Inc.</t>
  </si>
  <si>
    <t>NYSE:RDN</t>
  </si>
  <si>
    <t>MTG</t>
  </si>
  <si>
    <t>MGIC Investment Corporation</t>
  </si>
  <si>
    <t>NYSE:MTG</t>
  </si>
  <si>
    <t>🔊 Vol 2.3x</t>
  </si>
  <si>
    <t>RSKD</t>
  </si>
  <si>
    <t>Riskified Ltd.</t>
  </si>
  <si>
    <t>NYSE:RSKD</t>
  </si>
  <si>
    <t>🩸 FRESH BREAKDOWN 🔋 Squeeze (0.70)</t>
  </si>
  <si>
    <t>🩸 FRESH BREAKDOWN 🔊 Vol 3.9x 🔋 Squeeze (0.70)</t>
  </si>
  <si>
    <t>BOOM</t>
  </si>
  <si>
    <t>DMC Global Inc.</t>
  </si>
  <si>
    <t>NASDAQ:BOOM</t>
  </si>
  <si>
    <t>🔊 Vol 5.5x</t>
  </si>
  <si>
    <t>MMSI</t>
  </si>
  <si>
    <t>Merit Medical Systems, Inc.</t>
  </si>
  <si>
    <t>NASDAQ:MMSI</t>
  </si>
  <si>
    <t>FWONK</t>
  </si>
  <si>
    <t>Liberty Media Corporation - Series C Liberty Formu</t>
  </si>
  <si>
    <t>NASDAQ:FWONK</t>
  </si>
  <si>
    <t>ERII</t>
  </si>
  <si>
    <t>Energy Recovery, Inc.</t>
  </si>
  <si>
    <t>NASDAQ:ERII</t>
  </si>
  <si>
    <t>🔊 Vol 12.2x 💥 Expanding Vol</t>
  </si>
  <si>
    <t>BRK.B</t>
  </si>
  <si>
    <t>Berkshire Hathaway Inc. New</t>
  </si>
  <si>
    <t>NYSE:BRK.B</t>
  </si>
  <si>
    <t>🩸 FRESH BREAKDOWN 🔊 Vol 2.1x</t>
  </si>
  <si>
    <t>LULU</t>
  </si>
  <si>
    <t>lululemon athletica inc.</t>
  </si>
  <si>
    <t>NASDAQ:LULU</t>
  </si>
  <si>
    <t>BK/PK</t>
  </si>
  <si>
    <t>The Bank Of New York Mellon Corporation Depositary</t>
  </si>
  <si>
    <t>NYSE:BK/PK</t>
  </si>
  <si>
    <t>🩸 FRESH BREAKDOWN 🔊 Vol 6.5x</t>
  </si>
  <si>
    <t>LOGI</t>
  </si>
  <si>
    <t>Logitech International S.A. - Registered Shares</t>
  </si>
  <si>
    <t>NASDAQ:LOGI</t>
  </si>
  <si>
    <t>MET/PA</t>
  </si>
  <si>
    <t>MetLife, Inc. Preferred Series A Floating Rate</t>
  </si>
  <si>
    <t>NYSE:MET/PA</t>
  </si>
  <si>
    <t>🩸 FRESH BREAKDOWN 🔊 Vol 4.7x</t>
  </si>
  <si>
    <t>🔊 Vol 2.4x</t>
  </si>
  <si>
    <t>BR</t>
  </si>
  <si>
    <t>Broadridge Financial Solutions, Inc.</t>
  </si>
  <si>
    <t>NYSE:BR</t>
  </si>
  <si>
    <t>PCOR</t>
  </si>
  <si>
    <t>Procore Technologies, Inc.</t>
  </si>
  <si>
    <t>NYSE:PCOR</t>
  </si>
  <si>
    <t>UNM</t>
  </si>
  <si>
    <t>Unum Group</t>
  </si>
  <si>
    <t>NYSE:UNM</t>
  </si>
  <si>
    <t>NTGR</t>
  </si>
  <si>
    <t>NETGEAR, Inc.</t>
  </si>
  <si>
    <t>NASDAQ:NTGR</t>
  </si>
  <si>
    <t>🔋 Squeeze (0.74)</t>
  </si>
  <si>
    <t>ADBE</t>
  </si>
  <si>
    <t>Adobe Inc.</t>
  </si>
  <si>
    <t>NASDAQ:ADBE</t>
  </si>
  <si>
    <t>TTAN</t>
  </si>
  <si>
    <t>ServiceTitan, Inc.</t>
  </si>
  <si>
    <t>NASDAQ:TTAN</t>
  </si>
  <si>
    <t>📉 Recent Cross 🔊 Vol 2.3x</t>
  </si>
  <si>
    <t>WABC</t>
  </si>
  <si>
    <t>Westamerica Bancorporation</t>
  </si>
  <si>
    <t>NASDAQ:WABC</t>
  </si>
  <si>
    <t>📉 Recent Cross 🔊 Vol 4.5x</t>
  </si>
  <si>
    <t>INTU</t>
  </si>
  <si>
    <t>Intuit Inc.</t>
  </si>
  <si>
    <t>NASDAQ:INTU</t>
  </si>
  <si>
    <t>EG</t>
  </si>
  <si>
    <t>Everest Group, Ltd.</t>
  </si>
  <si>
    <t>NYSE:EG</t>
  </si>
  <si>
    <t>TT</t>
  </si>
  <si>
    <t>Trane Technologies plc</t>
  </si>
  <si>
    <t>NYSE:TT</t>
  </si>
  <si>
    <t>FOXF</t>
  </si>
  <si>
    <t>Fox Factory Holding Corp.</t>
  </si>
  <si>
    <t>NASDAQ:FOXF</t>
  </si>
  <si>
    <t>FOX</t>
  </si>
  <si>
    <t>Fox Corporation</t>
  </si>
  <si>
    <t>NASDAQ:FOX</t>
  </si>
  <si>
    <t>🔊 Vol 3.8x</t>
  </si>
  <si>
    <t>CRL</t>
  </si>
  <si>
    <t>Charles River Laboratories International, Inc.</t>
  </si>
  <si>
    <t>NYSE:CRL</t>
  </si>
  <si>
    <t>CRI</t>
  </si>
  <si>
    <t>Carter's, Inc.</t>
  </si>
  <si>
    <t>NYSE:CRI</t>
  </si>
  <si>
    <t>OMF</t>
  </si>
  <si>
    <t>OneMain Holdings, Inc.</t>
  </si>
  <si>
    <t>NYSE:OMF</t>
  </si>
  <si>
    <t>🐻 Strong Bear (40)</t>
  </si>
  <si>
    <t>🔊 Vol 2.2x</t>
  </si>
  <si>
    <t>PRU</t>
  </si>
  <si>
    <t>Prudential Financial, Inc.</t>
  </si>
  <si>
    <t>NYSE:PRU</t>
  </si>
  <si>
    <t>AGO</t>
  </si>
  <si>
    <t>Assured Guaranty Ltd.</t>
  </si>
  <si>
    <t>NYSE:AGO</t>
  </si>
  <si>
    <t>KMPR</t>
  </si>
  <si>
    <t>Kemper Corporation</t>
  </si>
  <si>
    <t>NYSE:KMPR</t>
  </si>
  <si>
    <t>GLAD</t>
  </si>
  <si>
    <t>Gladstone Capital Corporation</t>
  </si>
  <si>
    <t>NASDAQ:GLAD</t>
  </si>
  <si>
    <t>🔊 Vol 2.6x</t>
  </si>
  <si>
    <t>TAP</t>
  </si>
  <si>
    <t>Molson Coors Beverage Company</t>
  </si>
  <si>
    <t>NYSE:TAP</t>
  </si>
  <si>
    <t>DHI</t>
  </si>
  <si>
    <t>D.R. Horton, Inc.</t>
  </si>
  <si>
    <t>NYSE:DHI</t>
  </si>
  <si>
    <t>BEPC</t>
  </si>
  <si>
    <t>Brookfield Renewable Corporation</t>
  </si>
  <si>
    <t>NYSE:BEPC</t>
  </si>
  <si>
    <t>🔥 FRESH CROSS</t>
  </si>
  <si>
    <t>MLAC</t>
  </si>
  <si>
    <t>Mountain Lake Acquisition Corp.</t>
  </si>
  <si>
    <t>NASDAQ:MLAC</t>
  </si>
  <si>
    <t>🔥 FRESH CROSS 🚀 Vol 6.4x 🔋 Squeeze (0.71)</t>
  </si>
  <si>
    <t>HI</t>
  </si>
  <si>
    <t>Hillenbrand Inc</t>
  </si>
  <si>
    <t>NYSE:HI</t>
  </si>
  <si>
    <t>✨ Recent Cross 🚀 Vol 2.0x 🔋 Squeeze (0.14)</t>
  </si>
  <si>
    <t>TXNM</t>
  </si>
  <si>
    <t>TXNM Energy, Inc.</t>
  </si>
  <si>
    <t>NYSE:TXNM</t>
  </si>
  <si>
    <t>✨ Recent Cross 🚀 Vol 5.0x 🔋 Squeeze (0.71) 💪 Strong Trend (49)</t>
  </si>
  <si>
    <t>EWBC</t>
  </si>
  <si>
    <t>East West Bancorp, Inc.</t>
  </si>
  <si>
    <t>NASDAQ:EWBC</t>
  </si>
  <si>
    <t>✨ Recent Cross</t>
  </si>
  <si>
    <t>ZM</t>
  </si>
  <si>
    <t>Zoom Communications, Inc.</t>
  </si>
  <si>
    <t>NASDAQ:ZM</t>
  </si>
  <si>
    <t>✨ Recent Cross 🚀 Vol 3.9x</t>
  </si>
  <si>
    <t>AB</t>
  </si>
  <si>
    <t>AllianceBernstein Holding L.P.</t>
  </si>
  <si>
    <t>NYSE:AB</t>
  </si>
  <si>
    <t>✨ Recent Cross 🚀 Vol 5.4x</t>
  </si>
  <si>
    <t>WEC</t>
  </si>
  <si>
    <t>WEC Energy Group, Inc.</t>
  </si>
  <si>
    <t>NYSE:WEC</t>
  </si>
  <si>
    <t>RY</t>
  </si>
  <si>
    <t>Royal Bank Of Canada</t>
  </si>
  <si>
    <t>NYSE:RY</t>
  </si>
  <si>
    <t>COCO</t>
  </si>
  <si>
    <t>The Vita Coco Company, Inc.</t>
  </si>
  <si>
    <t>NASDAQ:COCO</t>
  </si>
  <si>
    <t>NWE</t>
  </si>
  <si>
    <t>NorthWestern Energy Group, Inc.</t>
  </si>
  <si>
    <t>NASDAQ:NWE</t>
  </si>
  <si>
    <t>TSCO</t>
  </si>
  <si>
    <t>Tractor Supply Company</t>
  </si>
  <si>
    <t>NASDAQ:TSCO</t>
  </si>
  <si>
    <t>MPLX</t>
  </si>
  <si>
    <t>MPLX LP</t>
  </si>
  <si>
    <t>NYSE:MPLX</t>
  </si>
  <si>
    <t>EXPO</t>
  </si>
  <si>
    <t>Exponent, Inc.</t>
  </si>
  <si>
    <t>NASDAQ:EXPO</t>
  </si>
  <si>
    <t>AVT</t>
  </si>
  <si>
    <t>Avnet, Inc.</t>
  </si>
  <si>
    <t>NASDAQ:AVT</t>
  </si>
  <si>
    <t>BKH</t>
  </si>
  <si>
    <t>Black Hills Corporation</t>
  </si>
  <si>
    <t>NYSE:BKH</t>
  </si>
  <si>
    <t>UGI</t>
  </si>
  <si>
    <t>UGI Corporation</t>
  </si>
  <si>
    <t>NYSE:UGI</t>
  </si>
  <si>
    <t>VLY</t>
  </si>
  <si>
    <t>Valley National Bancorp</t>
  </si>
  <si>
    <t>NASDAQ:VLY</t>
  </si>
  <si>
    <t>SCZM</t>
  </si>
  <si>
    <t>Santacruz Silver Mining Ltd.</t>
  </si>
  <si>
    <t>NASDAQ:SCZM</t>
  </si>
  <si>
    <t>🔥 FRESH CROSS 🔋 Squeeze (0.67)</t>
  </si>
  <si>
    <t>🔥 FRESH CROSS 🚀 Vol 4.7x 🔋 Squeeze (0.72)</t>
  </si>
  <si>
    <t>SBXD</t>
  </si>
  <si>
    <t>SilverBox Corp IV</t>
  </si>
  <si>
    <t>NYSE:SBXD</t>
  </si>
  <si>
    <t>🔥 FRESH CROSS 🚀 Vol 19.4x 💪 Strong Trend (61)</t>
  </si>
  <si>
    <t>VACH</t>
  </si>
  <si>
    <t>Voyager Acquisition Corp</t>
  </si>
  <si>
    <t>NASDAQ:VACH</t>
  </si>
  <si>
    <t>🔥 FRESH CROSS 🚀 Vol 3.2x 🔋 Squeeze (0.70)</t>
  </si>
  <si>
    <t>FTW</t>
  </si>
  <si>
    <t>EQV Ventures Acquisition Corp.</t>
  </si>
  <si>
    <t>NYSE:FTW</t>
  </si>
  <si>
    <t>🔥 FRESH CROSS 🚀 Vol 10.0x 💪 Strong Trend (83)</t>
  </si>
  <si>
    <t>HOLX</t>
  </si>
  <si>
    <t>Hologic, Inc.</t>
  </si>
  <si>
    <t>NASDAQ:HOLX</t>
  </si>
  <si>
    <t>🔥 FRESH CROSS 🔋 Squeeze (0.32)</t>
  </si>
  <si>
    <t>C/PN</t>
  </si>
  <si>
    <t xml:space="preserve">Citigroup Capital XIII 7.875% Fixed rate Floating </t>
  </si>
  <si>
    <t>NYSE:C/PN</t>
  </si>
  <si>
    <t>✨ Recent Cross 🚀 Vol 4.4x</t>
  </si>
  <si>
    <t>SHCO</t>
  </si>
  <si>
    <t>Soho House &amp; Co Inc.</t>
  </si>
  <si>
    <t>NYSE:SHCO</t>
  </si>
  <si>
    <t>BPOP</t>
  </si>
  <si>
    <t>Popular, Inc.</t>
  </si>
  <si>
    <t>NASDAQ:BPOP</t>
  </si>
  <si>
    <t>PFE</t>
  </si>
  <si>
    <t>Pfizer, Inc.</t>
  </si>
  <si>
    <t>NYSE:PFE</t>
  </si>
  <si>
    <t>FFWM</t>
  </si>
  <si>
    <t>First Foundation Inc.</t>
  </si>
  <si>
    <t>NYSE:FFWM</t>
  </si>
  <si>
    <t>SWX</t>
  </si>
  <si>
    <t>Southwest Gas Holdings, Inc.</t>
  </si>
  <si>
    <t>NYSE:SWX</t>
  </si>
  <si>
    <t>KNOP</t>
  </si>
  <si>
    <t>KNOT Offshore Partners LP</t>
  </si>
  <si>
    <t>NYSE:KNOP</t>
  </si>
  <si>
    <t>🚀 Vol 2.4x</t>
  </si>
  <si>
    <t>GM</t>
  </si>
  <si>
    <t>General Motors Company</t>
  </si>
  <si>
    <t>NYSE:GM</t>
  </si>
  <si>
    <t>AER</t>
  </si>
  <si>
    <t>AerCap Holdings N.V.</t>
  </si>
  <si>
    <t>NYSE:AER</t>
  </si>
  <si>
    <t>HALO</t>
  </si>
  <si>
    <t>Halozyme Therapeutics, Inc.</t>
  </si>
  <si>
    <t>NASDAQ:HALO</t>
  </si>
  <si>
    <t>NBBK</t>
  </si>
  <si>
    <t>NB Bancorp, Inc.</t>
  </si>
  <si>
    <t>NASDAQ:NBBK</t>
  </si>
  <si>
    <t>🚀 Vol 3.3x</t>
  </si>
  <si>
    <t>TAC</t>
  </si>
  <si>
    <t>TransAlta Corporation</t>
  </si>
  <si>
    <t>NYSE:TAC</t>
  </si>
  <si>
    <t>🔥 FRESH CROSS 🔋 Squeeze (0.14)</t>
  </si>
  <si>
    <t>GTLS</t>
  </si>
  <si>
    <t>Chart Industries, Inc.</t>
  </si>
  <si>
    <t>NYSE:GTLS</t>
  </si>
  <si>
    <t>🔥 FRESH CROSS 🔋 Squeeze (0.25) 💪 Strong Trend (49)</t>
  </si>
  <si>
    <t>RMD</t>
  </si>
  <si>
    <t>ResMed Inc.</t>
  </si>
  <si>
    <t>NYSE:RMD</t>
  </si>
  <si>
    <t>BEP</t>
  </si>
  <si>
    <t>Brookfield Renewable Partners L.P. Limited Partner</t>
  </si>
  <si>
    <t>NYSE:BEP</t>
  </si>
  <si>
    <t>NDAQ</t>
  </si>
  <si>
    <t>Nasdaq, Inc.</t>
  </si>
  <si>
    <t>NASDAQ:NDAQ</t>
  </si>
  <si>
    <t>🚀 Vol 3.7x</t>
  </si>
  <si>
    <t>WAL</t>
  </si>
  <si>
    <t>Western Alliance Bancorporation</t>
  </si>
  <si>
    <t>NYSE:WAL</t>
  </si>
  <si>
    <t>CCL</t>
  </si>
  <si>
    <t>Carnival Corporation</t>
  </si>
  <si>
    <t>NYSE:CCL</t>
  </si>
  <si>
    <t>GIG</t>
  </si>
  <si>
    <t>GigCapital7 Corp.</t>
  </si>
  <si>
    <t>NASDAQ:GIG</t>
  </si>
  <si>
    <t>🔥 FRESH CROSS 🚀 Vol 2.4x 🔋 Squeeze (0.54) 💪 Strong Trend (46)</t>
  </si>
  <si>
    <t>🔥 FRESH CROSS 🚀 Vol 2.8x 🔋 Squeeze (0.72)</t>
  </si>
  <si>
    <t>POLE</t>
  </si>
  <si>
    <t>Andretti Acquisition Corp. II</t>
  </si>
  <si>
    <t>NASDAQ:POLE</t>
  </si>
  <si>
    <t>🔥 FRESH CROSS 🚀 Vol 6.5x 🔋 Squeeze (0.63) 💪 Strong Trend (49)</t>
  </si>
  <si>
    <t>🔥 FRESH CROSS 🔋 Squeeze (0.25) 💪 Strong Trend (47)</t>
  </si>
  <si>
    <t>🔥 FRESH CROSS 🔋 Squeeze (0.13)</t>
  </si>
  <si>
    <t>JAMF</t>
  </si>
  <si>
    <t>Jamf Holding Corp.</t>
  </si>
  <si>
    <t>NASDAQ:JAMF</t>
  </si>
  <si>
    <t>✨ Recent Cross 🚀 Vol 7.4x 🔋 Squeeze (0.13)</t>
  </si>
  <si>
    <t>SR/PA</t>
  </si>
  <si>
    <t xml:space="preserve">Spire Inc. Depositary Shares, each representing a </t>
  </si>
  <si>
    <t>NYSE:SR/PA</t>
  </si>
  <si>
    <t>✨ Recent Cross 🚀 Vol 17.1x 🔋 Squeeze (0.56)</t>
  </si>
  <si>
    <t>AMP</t>
  </si>
  <si>
    <t>Ameriprise Financial, Inc.</t>
  </si>
  <si>
    <t>NYSE:AMP</t>
  </si>
  <si>
    <t>BIPC</t>
  </si>
  <si>
    <t>Brookfield Infrastructure Corporation</t>
  </si>
  <si>
    <t>NYSE:BIPC</t>
  </si>
  <si>
    <t>ESQ</t>
  </si>
  <si>
    <t>Esquire Financial Holdings, Inc.</t>
  </si>
  <si>
    <t>NASDAQ:ESQ</t>
  </si>
  <si>
    <t>🚀 Vol 3.5x 💪 Strong Trend (48)</t>
  </si>
  <si>
    <t>ALV</t>
  </si>
  <si>
    <t>Autoliv, Inc.</t>
  </si>
  <si>
    <t>NYSE:ALV</t>
  </si>
  <si>
    <t>✨ Recent Cross 🚀 Vol 9.1x 🔋 Squeeze (0.13)</t>
  </si>
  <si>
    <t>VZ</t>
  </si>
  <si>
    <t>Verizon Communications Inc.</t>
  </si>
  <si>
    <t>NYSE:VZ</t>
  </si>
  <si>
    <t>✨ Recent Cross 🚀 Vol 2.4x</t>
  </si>
  <si>
    <t>EA</t>
  </si>
  <si>
    <t>Electronic Arts Inc.</t>
  </si>
  <si>
    <t>NASDAQ:EA</t>
  </si>
  <si>
    <t>🔥 FRESH CROSS 🔋 Squeeze (0.29)</t>
  </si>
  <si>
    <t>🔥 FRESH CROSS 🔋 Squeeze (0.26) 💪 Strong Trend (46)</t>
  </si>
  <si>
    <t>CAPN</t>
  </si>
  <si>
    <t>Cayson Acquisition Corp</t>
  </si>
  <si>
    <t>NASDAQ:CAPN</t>
  </si>
  <si>
    <t>🔥 FRESH CROSS 🚀 Vol 11.6x 💪 Strong Trend (78)</t>
  </si>
  <si>
    <t>✨ Recent Cross 🚀 Vol 4.1x 🔋 Squeeze (0.57)</t>
  </si>
  <si>
    <t>✨ Recent Cross 🚀 Vol 3.8x</t>
  </si>
  <si>
    <t>SCE/PK</t>
  </si>
  <si>
    <t>Southern California Edison Company 5.45% Fixed-to-</t>
  </si>
  <si>
    <t>NYSE:SCE/PK</t>
  </si>
  <si>
    <t>🔥 FRESH CROSS 🚀 Vol 30.0x 🔋 Squeeze (0.59)</t>
  </si>
  <si>
    <t>🔥 FRESH CROSS 🚀 Vol 2.3x 🔋 Squeeze (0.29)</t>
  </si>
  <si>
    <t>PRA</t>
  </si>
  <si>
    <t>ProAssurance Corporation</t>
  </si>
  <si>
    <t>NYSE:PRA</t>
  </si>
  <si>
    <t>🔥 FRESH CROSS 🔋 Squeeze (0.61)</t>
  </si>
  <si>
    <t>T</t>
  </si>
  <si>
    <t>AT&amp;T Inc.</t>
  </si>
  <si>
    <t>NYSE:T</t>
  </si>
  <si>
    <t>✨ Recent Cross 🚀 Vol 4.5x 🔋 Squeeze (0.57)</t>
  </si>
  <si>
    <t>JCI</t>
  </si>
  <si>
    <t>Johnson Controls International plc</t>
  </si>
  <si>
    <t>NYSE:JCI</t>
  </si>
  <si>
    <t>SEE</t>
  </si>
  <si>
    <t>Sealed Air Corporation</t>
  </si>
  <si>
    <t>NYSE:SEE</t>
  </si>
  <si>
    <t>✨ Recent Cross 🔋 Squeeze (0.26)</t>
  </si>
  <si>
    <t>✨ Recent Cross 🚀 Vol 4.5x</t>
  </si>
  <si>
    <t>ECPG</t>
  </si>
  <si>
    <t>Encore Capital Group Inc</t>
  </si>
  <si>
    <t>NASDAQ:ECPG</t>
  </si>
  <si>
    <t>🚀 Vol 2.1x</t>
  </si>
  <si>
    <t>FAF</t>
  </si>
  <si>
    <t>First American Corporation (New)</t>
  </si>
  <si>
    <t>NYSE:FAF</t>
  </si>
  <si>
    <t>🚀 Vol 2.2x</t>
  </si>
  <si>
    <t>DTE</t>
  </si>
  <si>
    <t>DTE Energy Company</t>
  </si>
  <si>
    <t>NYSE:DTE</t>
  </si>
  <si>
    <t>SLF</t>
  </si>
  <si>
    <t>Sun Life Financial Inc.</t>
  </si>
  <si>
    <t>NYSE:SLF</t>
  </si>
  <si>
    <t>CSCO</t>
  </si>
  <si>
    <t>Cisco Systems, Inc.</t>
  </si>
  <si>
    <t>NASDAQ:CSCO</t>
  </si>
  <si>
    <t>FHN</t>
  </si>
  <si>
    <t>First Horizon Corporation</t>
  </si>
  <si>
    <t>NYSE:FHN</t>
  </si>
  <si>
    <t>🚀 Vol 2.5x</t>
  </si>
  <si>
    <t>NFG</t>
  </si>
  <si>
    <t>National Fuel Gas Company</t>
  </si>
  <si>
    <t>NYSE:NFG</t>
  </si>
  <si>
    <t>OPLN</t>
  </si>
  <si>
    <t>OPENLANE, Inc.</t>
  </si>
  <si>
    <t>NYSE:OPLN</t>
  </si>
  <si>
    <t>CSGS</t>
  </si>
  <si>
    <t>CSG Systems International, Inc.</t>
  </si>
  <si>
    <t>NASDAQ:CSGS</t>
  </si>
  <si>
    <t>🔋 Squeeze (0.36) 💪 Strong Trend (45)</t>
  </si>
  <si>
    <t>LAUR</t>
  </si>
  <si>
    <t>Laureate Education, Inc.</t>
  </si>
  <si>
    <t>NASDAQ:LAUR</t>
  </si>
  <si>
    <t>BMY</t>
  </si>
  <si>
    <t>Bristol-Myers Squibb Company</t>
  </si>
  <si>
    <t>NYSE:BMY</t>
  </si>
  <si>
    <t>EVRG</t>
  </si>
  <si>
    <t>Evergy, Inc.</t>
  </si>
  <si>
    <t>NASDAQ:EVRG</t>
  </si>
  <si>
    <t>TOWN</t>
  </si>
  <si>
    <t>Towne Bank</t>
  </si>
  <si>
    <t>NASDAQ:TOWN</t>
  </si>
  <si>
    <t>ABX</t>
  </si>
  <si>
    <t>Abacus Global Management, Inc.</t>
  </si>
  <si>
    <t>NYSE:ABX</t>
  </si>
  <si>
    <t>ETHM</t>
  </si>
  <si>
    <t>Dynamix Corporation</t>
  </si>
  <si>
    <t>NASDAQ:ETHM</t>
  </si>
  <si>
    <t>🔥 FRESH CROSS 🚀 Vol 5.4x 🔋 Squeeze (0.29)</t>
  </si>
  <si>
    <t>🔥 FRESH CROSS 🚀 Vol 3.4x 🔋 Squeeze (0.61) 💪 Strong Trend (50)</t>
  </si>
  <si>
    <t>DMAA</t>
  </si>
  <si>
    <t>Drugs Made In America Acquisition Corp.</t>
  </si>
  <si>
    <t>NASDAQ:DMAA</t>
  </si>
  <si>
    <t>🔥 FRESH CROSS 🚀 Vol 35.7x</t>
  </si>
  <si>
    <t>ALF</t>
  </si>
  <si>
    <t>Centurion Acquisition Corp.</t>
  </si>
  <si>
    <t>NASDAQ:ALF</t>
  </si>
  <si>
    <t>🔥 FRESH CROSS 🚀 Vol 24.2x 🔋 Squeeze (0.78) 💪 Strong Trend (54)</t>
  </si>
  <si>
    <t>🔥 FRESH CROSS 🚀 Vol 2.0x 🔋 Squeeze (0.75)</t>
  </si>
  <si>
    <t>FIBK</t>
  </si>
  <si>
    <t>First Interstate BancSystem, Inc.</t>
  </si>
  <si>
    <t>NASDAQ:FIBK</t>
  </si>
  <si>
    <t>🔥 FRESH CROSS 🔋 Squeeze (0.13) 💪 Strong Trend (41)</t>
  </si>
  <si>
    <t>XWIN</t>
  </si>
  <si>
    <t>XMAX, Inc.</t>
  </si>
  <si>
    <t>NASDAQ:XWIN</t>
  </si>
  <si>
    <t>AVDL</t>
  </si>
  <si>
    <t>Avadel Pharmaceuticals plc</t>
  </si>
  <si>
    <t>NASDAQ:AVDL</t>
  </si>
  <si>
    <t>✨ Recent Cross 🔋 Squeeze (0.22)</t>
  </si>
  <si>
    <t>BAC/PM</t>
  </si>
  <si>
    <t>Bank of America Corporation Depositary Shares, eac</t>
  </si>
  <si>
    <t>NYSE:BAC/PM</t>
  </si>
  <si>
    <t>✨ Recent Cross 🚀 Vol 2.6x 🔋 Squeeze (0.74)</t>
  </si>
  <si>
    <t>NRGV</t>
  </si>
  <si>
    <t>Energy Vault Holdings, Inc.</t>
  </si>
  <si>
    <t>NYSE:NRGV</t>
  </si>
  <si>
    <t>FFIC</t>
  </si>
  <si>
    <t>Flushing Financial Corporation</t>
  </si>
  <si>
    <t>NASDAQ:FFIC</t>
  </si>
  <si>
    <t>DVA</t>
  </si>
  <si>
    <t>DaVita Inc.</t>
  </si>
  <si>
    <t>NYSE:DVA</t>
  </si>
  <si>
    <t>🚀 Vol 3.9x</t>
  </si>
  <si>
    <t>RNA</t>
  </si>
  <si>
    <t>Avidity Biosciences, Inc.</t>
  </si>
  <si>
    <t>NASDAQ:RNA</t>
  </si>
  <si>
    <t>🔋 Squeeze (0.18) 💪 Strong Trend (52)</t>
  </si>
  <si>
    <t>FBIN</t>
  </si>
  <si>
    <t>Fortune Brands Innovations, Inc.</t>
  </si>
  <si>
    <t>NYSE:FBIN</t>
  </si>
  <si>
    <t>CGNX</t>
  </si>
  <si>
    <t>Cognex Corporation</t>
  </si>
  <si>
    <t>NASDAQ:CGNX</t>
  </si>
  <si>
    <t>FE</t>
  </si>
  <si>
    <t>FirstEnergy Corp.</t>
  </si>
  <si>
    <t>NYSE:FE</t>
  </si>
  <si>
    <t>ASH</t>
  </si>
  <si>
    <t>Ashland Inc.</t>
  </si>
  <si>
    <t>NYSE:ASH</t>
  </si>
  <si>
    <t>SEMR</t>
  </si>
  <si>
    <t>SEMrush Holdings, Inc.</t>
  </si>
  <si>
    <t>NYSE:SEMR</t>
  </si>
  <si>
    <t>🔋 Squeeze (0.16) 💪 Strong Trend (65)</t>
  </si>
  <si>
    <t>SWK</t>
  </si>
  <si>
    <t>Stanley Black &amp; Decker, Inc.</t>
  </si>
  <si>
    <t>NYSE:SWK</t>
  </si>
  <si>
    <t>EAF</t>
  </si>
  <si>
    <t>GrafTech International Ltd.</t>
  </si>
  <si>
    <t>NYSE:EAF</t>
  </si>
  <si>
    <t>🔥 FRESH CROSS 🚀 Vol 2.1x</t>
  </si>
  <si>
    <t>SEDG</t>
  </si>
  <si>
    <t>SolarEdge Technologies, Inc.</t>
  </si>
  <si>
    <t>NASDAQ:SEDG</t>
  </si>
  <si>
    <t>🔋 Squeeze (0.18) 💪 Strong Trend (53)</t>
  </si>
  <si>
    <t>FTV</t>
  </si>
  <si>
    <t>Fortive Corporation</t>
  </si>
  <si>
    <t>NYSE:FTV</t>
  </si>
  <si>
    <t>EGHT</t>
  </si>
  <si>
    <t>8x8 Inc</t>
  </si>
  <si>
    <t>NASDAQ:EGHT</t>
  </si>
  <si>
    <t>🔥 FRESH CROSS 🚀 Vol 20.4x</t>
  </si>
  <si>
    <t>BAC</t>
  </si>
  <si>
    <t>Bank of America Corporation</t>
  </si>
  <si>
    <t>NYSE:BAC</t>
  </si>
  <si>
    <t>AL</t>
  </si>
  <si>
    <t>Air Lease Corporation</t>
  </si>
  <si>
    <t>NYSE:AL</t>
  </si>
  <si>
    <t>🔥 FRESH CROSS 🔋 Squeeze (0.28)</t>
  </si>
  <si>
    <t>🔥 FRESH CROSS 🔋 Squeeze (0.30) 💪 Strong Trend (46)</t>
  </si>
  <si>
    <t>✨ Recent Cross 🚀 Vol 3.2x</t>
  </si>
  <si>
    <t>✨ Recent Cross 🔋 Squeeze (0.25)</t>
  </si>
  <si>
    <t>TPR</t>
  </si>
  <si>
    <t>Tapestry, Inc.</t>
  </si>
  <si>
    <t>NYSE:TPR</t>
  </si>
  <si>
    <t>🚀 Vol 2.1x 🔋 Squeeze (0.18) 💪 Strong Trend (53)</t>
  </si>
  <si>
    <t>KR</t>
  </si>
  <si>
    <t>Kroger Company (The)</t>
  </si>
  <si>
    <t>NYSE:KR</t>
  </si>
  <si>
    <t>🚀 Vol 2.8x</t>
  </si>
  <si>
    <t>AIT</t>
  </si>
  <si>
    <t>Applied Industrial Technologies, Inc.</t>
  </si>
  <si>
    <t>NYSE:AIT</t>
  </si>
  <si>
    <t>CCEP</t>
  </si>
  <si>
    <t>Coca-Cola Europacific Partners plc</t>
  </si>
  <si>
    <t>NASDAQ:CCEP</t>
  </si>
  <si>
    <t>SITM</t>
  </si>
  <si>
    <t>SiTime Corporation</t>
  </si>
  <si>
    <t>NASDAQ:SITM</t>
  </si>
  <si>
    <t>🔋 Squeeze (0.16) 💪 Strong Trend (63)</t>
  </si>
  <si>
    <t>NI</t>
  </si>
  <si>
    <t>NiSource Inc</t>
  </si>
  <si>
    <t>NYSE:NI</t>
  </si>
  <si>
    <t>🔥 FRESH CROSS 🚀 Vol 2.8x 🔋 Squeeze (0.50)</t>
  </si>
  <si>
    <t>🔥 FRESH CROSS 🚀 Vol 3.6x 🔋 Squeeze (0.26)</t>
  </si>
  <si>
    <t>🔥 FRESH CROSS 🚀 Vol 3.7x 🔋 Squeeze (0.50) 💪 Strong Trend (47)</t>
  </si>
  <si>
    <t>CPAY</t>
  </si>
  <si>
    <t>Corpay, Inc.</t>
  </si>
  <si>
    <t>NYSE:CPAY</t>
  </si>
  <si>
    <t>🔥 FRESH CROSS 🚀 Vol 5.9x 🔋 Squeeze (0.48)</t>
  </si>
  <si>
    <t>🔥 FRESH CROSS 🚀 Vol 3.8x 💪 Strong Trend (82)</t>
  </si>
  <si>
    <t>DK</t>
  </si>
  <si>
    <t>Delek US Holdings, Inc.</t>
  </si>
  <si>
    <t>NYSE:DK</t>
  </si>
  <si>
    <t>✨ Recent Cross 🚀 Vol 2.1x 🔋 Squeeze (0.24)</t>
  </si>
  <si>
    <t>ALL</t>
  </si>
  <si>
    <t>Allstate Corporation (The)</t>
  </si>
  <si>
    <t>NYSE:ALL</t>
  </si>
  <si>
    <t>✨ Recent Cross 🔋 Squeeze (0.22) 💪 Strong Trend (41)</t>
  </si>
  <si>
    <t>SEM</t>
  </si>
  <si>
    <t>Select Medical Holdings Corporation</t>
  </si>
  <si>
    <t>NYSE:SEM</t>
  </si>
  <si>
    <t>✨ Recent Cross 🔋 Squeeze (0.68)</t>
  </si>
  <si>
    <t>JHG</t>
  </si>
  <si>
    <t>Janus Henderson Group plc</t>
  </si>
  <si>
    <t>NYSE:JHG</t>
  </si>
  <si>
    <t>🔋 Squeeze (0.41)</t>
  </si>
  <si>
    <t>ALGN</t>
  </si>
  <si>
    <t>Align Technology, Inc.</t>
  </si>
  <si>
    <t>NASDAQ:ALGN</t>
  </si>
  <si>
    <t>FRGE</t>
  </si>
  <si>
    <t>Forge Global Holdings, Inc.</t>
  </si>
  <si>
    <t>NYSE:FRGE</t>
  </si>
  <si>
    <t>🚀 Vol 2.9x 🔋 Squeeze (0.18) 💪 Strong Trend (53)</t>
  </si>
  <si>
    <t>BFH</t>
  </si>
  <si>
    <t>Bread Financial Holdings, Inc.</t>
  </si>
  <si>
    <t>NYSE:BFH</t>
  </si>
  <si>
    <t>MMM</t>
  </si>
  <si>
    <t>3M Company</t>
  </si>
  <si>
    <t>NYSE:MMM</t>
  </si>
  <si>
    <t>HPE/PC</t>
  </si>
  <si>
    <t>Hewlett Packard Enterprise Company 7.625% Series C</t>
  </si>
  <si>
    <t>NYSE:HPE/PC</t>
  </si>
  <si>
    <t>🔥 FRESH CROSS 🚀 Vol 3.0x</t>
  </si>
  <si>
    <t>KNF</t>
  </si>
  <si>
    <t>Knife Riv Holding Co.</t>
  </si>
  <si>
    <t>NYSE:KNF</t>
  </si>
  <si>
    <t>🔋 Squeeze (0.40) 💪 Strong Trend (40)</t>
  </si>
  <si>
    <t>EXAS</t>
  </si>
  <si>
    <t>Exact Sciences Corporation</t>
  </si>
  <si>
    <t>NASDAQ:EXAS</t>
  </si>
  <si>
    <t>🔋 Squeeze (0.28) 💪 Strong Trend (59)</t>
  </si>
  <si>
    <t>🔥 FRESH CROSS 🚀 Vol 9.0x 🔋 Squeeze (0.53) 💪 Strong Trend (45)</t>
  </si>
  <si>
    <t>🔥 FRESH CROSS 🔋 Squeeze (0.45)</t>
  </si>
  <si>
    <t>🔥 FRESH CROSS 🔋 Squeeze (0.14) 💪 Strong Trend (46)</t>
  </si>
  <si>
    <t>PACK</t>
  </si>
  <si>
    <t>Ranpak Holdings Corp</t>
  </si>
  <si>
    <t>NYSE:PACK</t>
  </si>
  <si>
    <t>✨ Recent Cross 🔋 Squeeze (0.23) 💪 Strong Trend (43)</t>
  </si>
  <si>
    <t>OSW</t>
  </si>
  <si>
    <t>OneSpaWorld Holdings Limited</t>
  </si>
  <si>
    <t>NASDAQ:OSW</t>
  </si>
  <si>
    <t>✨ Recent Cross 🚀 Vol 2.5x</t>
  </si>
  <si>
    <t>THS</t>
  </si>
  <si>
    <t>Treehouse Foods, Inc.</t>
  </si>
  <si>
    <t>NYSE:THS</t>
  </si>
  <si>
    <t>🚀 Vol 2.2x 🔋 Squeeze (0.39) 💪 Strong Trend (44)</t>
  </si>
  <si>
    <t>🔥 FRESH CROSS 🚀 Vol 3.2x 🔋 Squeeze (0.51) 💪 Strong Trend (45)</t>
  </si>
  <si>
    <t>🔥 FRESH CROSS 🚀 Vol 3.4x 🔋 Squeeze (0.50)</t>
  </si>
  <si>
    <t>✨ Recent Cross 🔋 Squeeze (0.23) 💪 Strong Trend (44)</t>
  </si>
  <si>
    <t>🚀 Vol 6.0x 🔋 Squeeze (0.39) 💪 Strong Trend (44)</t>
  </si>
  <si>
    <t>OPRT</t>
  </si>
  <si>
    <t>Oportun Financial Corporation</t>
  </si>
  <si>
    <t>NASDAQ:OPRT</t>
  </si>
  <si>
    <t>🔥 FRESH CROSS 🚀 Vol 3.6x 🔋 Squeeze (0.50)</t>
  </si>
  <si>
    <t>✨ Recent Cross 🚀 Vol 2.5x 🔋 Squeeze (0.23) 💪 Strong Trend (44)</t>
  </si>
  <si>
    <t>SN</t>
  </si>
  <si>
    <t>SharkNinja, Inc.</t>
  </si>
  <si>
    <t>NYSE:SN</t>
  </si>
  <si>
    <t>✨ Recent Cross 🔋 Squeeze (0.18) 💪 Strong Trend (53)</t>
  </si>
  <si>
    <t>CTAS</t>
  </si>
  <si>
    <t>Cintas Corporation</t>
  </si>
  <si>
    <t>NASDAQ:CTAS</t>
  </si>
  <si>
    <t>GS</t>
  </si>
  <si>
    <t>Goldman Sachs Group, Inc. (The)</t>
  </si>
  <si>
    <t>NYSE:GS</t>
  </si>
  <si>
    <t>💥 Expanding Vol</t>
  </si>
  <si>
    <t>AEE</t>
  </si>
  <si>
    <t>Ameren Corporation</t>
  </si>
  <si>
    <t>NYSE:AEE</t>
  </si>
  <si>
    <t>🚀 Vol 28.8x 🔋 Squeeze (0.39) 💪 Strong Trend (43)</t>
  </si>
  <si>
    <t>TGNA</t>
  </si>
  <si>
    <t>TEGNA Inc</t>
  </si>
  <si>
    <t>NYSE:TGNA</t>
  </si>
  <si>
    <t>🔥 FRESH CROSS 🔋 Squeeze (0.31) 💪 Strong Trend (44)</t>
  </si>
  <si>
    <t>✨ Recent Cross 🚀 Vol 4.0x 🔋 Squeeze (0.24) 💪 Strong Trend (46)</t>
  </si>
  <si>
    <t>AMG</t>
  </si>
  <si>
    <t>Affiliated Managers Group, Inc.</t>
  </si>
  <si>
    <t>NYSE:AMG</t>
  </si>
  <si>
    <t>🚀 Vol 3.0x</t>
  </si>
  <si>
    <t>SPHR</t>
  </si>
  <si>
    <t>Sphere Entertainment Co.</t>
  </si>
  <si>
    <t>NYSE:SPHR</t>
  </si>
  <si>
    <t>DC</t>
  </si>
  <si>
    <t>Dakota Gold Corp.</t>
  </si>
  <si>
    <t>AMEX:DC</t>
  </si>
  <si>
    <t>🔥 FRESH CROSS 🚀 Vol 6.1x 💪 Strong Trend (80)</t>
  </si>
  <si>
    <t>✨ Recent Cross 🔋 Squeeze (0.23)</t>
  </si>
  <si>
    <t>✨ Recent Cross 🚀 Vol 26.1x 🔋 Squeeze (0.24) 💪 Strong Trend (46)</t>
  </si>
  <si>
    <t>✨ Recent Cross 🔋 Squeeze (0.43) 💪 Strong Trend (45)</t>
  </si>
  <si>
    <t>LPTH</t>
  </si>
  <si>
    <t>LightPath Technologies, Inc.</t>
  </si>
  <si>
    <t>NASDAQ:LPTH</t>
  </si>
  <si>
    <t>🚀 Vol 2.5x 💥 Expanding Vol</t>
  </si>
  <si>
    <t>🔋 Squeeze (0.18) 💪 Strong Trend (46)</t>
  </si>
  <si>
    <t>🚀 Vol 2.4x 🔋 Squeeze (0.41) 💪 Strong Trend (41)</t>
  </si>
  <si>
    <t>H</t>
  </si>
  <si>
    <t>Hyatt Hotels Corporation</t>
  </si>
  <si>
    <t>NYSE:H</t>
  </si>
  <si>
    <t>🚀 Vol 2.0x 💥 Expanding Vol</t>
  </si>
  <si>
    <t>NHIC</t>
  </si>
  <si>
    <t>NewHold Investment Corp III</t>
  </si>
  <si>
    <t>NASDAQ:NHIC</t>
  </si>
  <si>
    <t>🔥 FRESH CROSS 🚀 Vol 6.6x</t>
  </si>
  <si>
    <t>IMXI</t>
  </si>
  <si>
    <t>International Money Express, Inc.</t>
  </si>
  <si>
    <t>NASDAQ:IMXI</t>
  </si>
  <si>
    <t>🔥 FRESH CROSS 🚀 Vol 3.3x 🔋 Squeeze (0.27)</t>
  </si>
  <si>
    <t>🚀 Vol 2.6x 🔋 Squeeze (0.42) 💪 Strong Trend (43)</t>
  </si>
  <si>
    <t>🔥 FRESH CROSS 🚀 Vol 3.5x 🔋 Squeeze (0.27)</t>
  </si>
  <si>
    <t>PDFS</t>
  </si>
  <si>
    <t>PDF Solutions, Inc.</t>
  </si>
  <si>
    <t>NASDAQ:PDFS</t>
  </si>
  <si>
    <t>ETON</t>
  </si>
  <si>
    <t>Eton Pharmaceuticals, Inc.</t>
  </si>
  <si>
    <t>NASDAQ:ETON</t>
  </si>
  <si>
    <t>🚀 Vol 3.1x 🔋 Squeeze (0.42) 💪 Strong Trend (43)</t>
  </si>
  <si>
    <t>VC</t>
  </si>
  <si>
    <t>Visteon Corporation</t>
  </si>
  <si>
    <t>NASDAQ:VC</t>
  </si>
  <si>
    <t>SRE</t>
  </si>
  <si>
    <t>DBA Sempra</t>
  </si>
  <si>
    <t>NYSE:SRE</t>
  </si>
  <si>
    <t>SEI</t>
  </si>
  <si>
    <t>Solaris Energy Infrastructure, Inc.</t>
  </si>
  <si>
    <t>NYSE:SEI</t>
  </si>
  <si>
    <t>🚀 Vol 2.1x 💥 Expanding Vol</t>
  </si>
  <si>
    <t>LEGT</t>
  </si>
  <si>
    <t>Legato Merger Corp. III</t>
  </si>
  <si>
    <t>AMEX:LEGT</t>
  </si>
  <si>
    <t>🔥 FRESH CROSS 🚀 Vol 9.4x 🔋 Squeeze (0.72)</t>
  </si>
  <si>
    <t>🔥 FRESH CROSS 🚀 Vol 9.0x 💪 Strong Trend (59)</t>
  </si>
  <si>
    <t>ORA</t>
  </si>
  <si>
    <t>Ormat Technologies, Inc.</t>
  </si>
  <si>
    <t>NYSE:ORA</t>
  </si>
  <si>
    <t>🔋 Squeeze (0.47) 💪 Strong Trend (45)</t>
  </si>
  <si>
    <t>QUIK</t>
  </si>
  <si>
    <t>QuickLogic Corporation</t>
  </si>
  <si>
    <t>NASDAQ:QUIK</t>
  </si>
  <si>
    <t>🔥 FRESH CROSS 🚀 Vol 3.7x</t>
  </si>
  <si>
    <t>TCMD</t>
  </si>
  <si>
    <t>Tactile Systems Technology, Inc.</t>
  </si>
  <si>
    <t>NASDAQ:TCMD</t>
  </si>
  <si>
    <t>✨ Recent Cross 🚀 Vol 5.0x 💥 Expanding Vol</t>
  </si>
  <si>
    <t>🔋 Squeeze (0.51) 💪 Strong Trend (47)</t>
  </si>
  <si>
    <t>🔥 FRESH CROSS 🚀 Vol 4.8x 💪 Strong Trend (57)</t>
  </si>
  <si>
    <t>✨ Recent Cross 🚀 Vol 2.1x 💥 Expanding Vol</t>
  </si>
  <si>
    <t>OSS</t>
  </si>
  <si>
    <t>One Stop Systems, Inc.</t>
  </si>
  <si>
    <t>NASDAQ:OSS</t>
  </si>
  <si>
    <t>✨ Recent Cross 🚀 Vol 3.1x 💥 Expanding Vol</t>
  </si>
  <si>
    <t>SCE/PN</t>
  </si>
  <si>
    <t>SCE Trust VIII 6.95% Trust Preference Securities</t>
  </si>
  <si>
    <t>NYSE:SCE/PN</t>
  </si>
  <si>
    <t>✨ Recent Cross 🚀 Vol 18.3x 🔋 Squeeze (0.76) 💪 Strong Trend (50)</t>
  </si>
  <si>
    <t>JXN</t>
  </si>
  <si>
    <t>Jackson Financial Inc.</t>
  </si>
  <si>
    <t>NYSE:JXN</t>
  </si>
  <si>
    <t>CELC</t>
  </si>
  <si>
    <t>Celcuity Inc.</t>
  </si>
  <si>
    <t>NASDAQ:CELC</t>
  </si>
  <si>
    <t>✨ Recent Cross 🔋 Squeeze (0.20)</t>
  </si>
  <si>
    <t>GRAL</t>
  </si>
  <si>
    <t>GRAIL, Inc.</t>
  </si>
  <si>
    <t>NASDAQ:GRAL</t>
  </si>
  <si>
    <t>DRS</t>
  </si>
  <si>
    <t>Leonardo DRS, Inc.</t>
  </si>
  <si>
    <t>NASDAQ:DRS</t>
  </si>
  <si>
    <t>🚀 Vol 3.5x 💥 Expanding Vol</t>
  </si>
  <si>
    <t>ZNTL</t>
  </si>
  <si>
    <t>Zentalis Pharmaceuticals, Inc.</t>
  </si>
  <si>
    <t>NASDAQ:ZNTL</t>
  </si>
  <si>
    <t>NKTX</t>
  </si>
  <si>
    <t>Nkarta, Inc.</t>
  </si>
  <si>
    <t>NASDAQ:NKTX</t>
  </si>
  <si>
    <t>LKQ</t>
  </si>
  <si>
    <t>LKQ Corporation</t>
  </si>
  <si>
    <t>NASDAQ:LKQ</t>
  </si>
  <si>
    <t>🔋 Squeeze (0.52) 💪 Strong Trend (48)</t>
  </si>
  <si>
    <t>🔥 FRESH CROSS 🔋 Squeeze (0.34)</t>
  </si>
  <si>
    <t>🔥 FRESH CROSS 🔋 Squeeze (0.29) 💪 Strong Trend (47)</t>
  </si>
  <si>
    <t>✨ Recent Cross 🔋 Squeeze (0.33)</t>
  </si>
  <si>
    <t>✨ Recent Cross 🔋 Squeeze (0.17)</t>
  </si>
  <si>
    <t>✨ Recent Cross 🚀 Vol 2.3x 🔋 Squeeze (0.18) 💪 Strong Trend (43)</t>
  </si>
  <si>
    <t>🚀 Vol 2.3x</t>
  </si>
  <si>
    <t>EPRX</t>
  </si>
  <si>
    <t>Eupraxia Pharmaceuticals Inc.</t>
  </si>
  <si>
    <t>NASDAQ:EPRX</t>
  </si>
  <si>
    <t>✨ Recent Cross 🚀 Vol 2.2x 🔋 Squeeze (0.33)</t>
  </si>
  <si>
    <t>✨ Recent Cross 🚀 Vol 3.0x 🔋 Squeeze (0.18) 💪 Strong Trend (43)</t>
  </si>
  <si>
    <t>✨ Recent Cross 🚀 Vol 2.4x 🔋 Squeeze (0.17)</t>
  </si>
  <si>
    <t>✨ Recent Cross 💥 Expanding Vol</t>
  </si>
  <si>
    <t>🚀 Vol 2.9x</t>
  </si>
  <si>
    <t>CALY</t>
  </si>
  <si>
    <t>Callaway Golf Company</t>
  </si>
  <si>
    <t>NYSE:CALY</t>
  </si>
  <si>
    <t>EB</t>
  </si>
  <si>
    <t>Eventbrite, Inc.</t>
  </si>
  <si>
    <t>NYSE:EB</t>
  </si>
  <si>
    <t>🔋 Squeeze (0.23)</t>
  </si>
  <si>
    <t>LILA</t>
  </si>
  <si>
    <t>Liberty Latin America Ltd.</t>
  </si>
  <si>
    <t>NASDAQ:LILA</t>
  </si>
  <si>
    <t>AWI</t>
  </si>
  <si>
    <t>Armstrong World Industries Inc</t>
  </si>
  <si>
    <t>NYSE:AWI</t>
  </si>
  <si>
    <t>AUST</t>
  </si>
  <si>
    <t>Austin Gold Corp.</t>
  </si>
  <si>
    <t>AMEX:AUST</t>
  </si>
  <si>
    <t>WTRG</t>
  </si>
  <si>
    <t>Essential Utilities, Inc.</t>
  </si>
  <si>
    <t>NYSE:WTRG</t>
  </si>
  <si>
    <t>✨ Recent Cross 🔋 Squeeze (0.35)</t>
  </si>
  <si>
    <t>NEXA</t>
  </si>
  <si>
    <t>Nexa Resources S.A.</t>
  </si>
  <si>
    <t>NYSE:NEXA</t>
  </si>
  <si>
    <t>MBAV</t>
  </si>
  <si>
    <t>M3-Brigade Acquisition V Corp.</t>
  </si>
  <si>
    <t>NASDAQ:MBAV</t>
  </si>
  <si>
    <t>🔥 FRESH CROSS 🚀 Vol 15.0x 🔋 Squeeze (0.56) 💪 Strong Trend (50)</t>
  </si>
  <si>
    <t>LWAC</t>
  </si>
  <si>
    <t>LightWave Acquisition Corp.</t>
  </si>
  <si>
    <t>NASDAQ:LWAC</t>
  </si>
  <si>
    <t>🔥 FRESH CROSS 🚀 Vol 4.4x 🔋 Squeeze (0.11)</t>
  </si>
  <si>
    <t>✨ Recent Cross 🔋 Squeeze (0.19) 💪 Strong Trend (41)</t>
  </si>
  <si>
    <t>✨ Recent Cross 🚀 Vol 3.7x 🔋 Squeeze (0.36)</t>
  </si>
  <si>
    <t>🚀 Vol 2.6x</t>
  </si>
  <si>
    <t>BCC</t>
  </si>
  <si>
    <t>Boise Cascade, L.L.C.</t>
  </si>
  <si>
    <t>NYSE:BCC</t>
  </si>
  <si>
    <t>NVCR</t>
  </si>
  <si>
    <t>NovoCure Limited</t>
  </si>
  <si>
    <t>NASDAQ:NVCR</t>
  </si>
  <si>
    <t>🔥 FRESH CROSS 🚀 Vol 2.0x</t>
  </si>
  <si>
    <t>HYAC</t>
  </si>
  <si>
    <t>Haymaker Acquisition Corp. 4</t>
  </si>
  <si>
    <t>NYSE:HYAC</t>
  </si>
  <si>
    <t>🔥 FRESH CROSS 🚀 Vol 13.3x</t>
  </si>
  <si>
    <t>ATHS</t>
  </si>
  <si>
    <t>Athene Holding Ltd. 7.250% Fixed-Rate Reset Junior</t>
  </si>
  <si>
    <t>NYSE:ATHS</t>
  </si>
  <si>
    <t>🔥 FRESH CROSS 🚀 Vol 13.1x</t>
  </si>
  <si>
    <t>RZB</t>
  </si>
  <si>
    <t>Reinsurance Group of America, Incorporated 5.75% F</t>
  </si>
  <si>
    <t>NYSE:RZB</t>
  </si>
  <si>
    <t>🔥 FRESH CROSS 🚀 Vol 7.4x</t>
  </si>
  <si>
    <t>AHL/PF</t>
  </si>
  <si>
    <t>Aspen Insurance Holdings Limited Depositary Shares</t>
  </si>
  <si>
    <t>NYSE:AHL/PF</t>
  </si>
  <si>
    <t>🔥 FRESH CROSS 🚀 Vol 11.8x</t>
  </si>
  <si>
    <t>✨ Recent Cross 🔋 Squeeze (0.19)</t>
  </si>
  <si>
    <t>✨ Recent Cross 🔋 Squeeze (0.38)</t>
  </si>
  <si>
    <t>CLDX</t>
  </si>
  <si>
    <t>Celldex Therapeutics, Inc.</t>
  </si>
  <si>
    <t>NASDAQ:CLDX</t>
  </si>
  <si>
    <t>🚀 Vol 4.8x</t>
  </si>
  <si>
    <t>UTHR</t>
  </si>
  <si>
    <t>United Therapeutics Corporation</t>
  </si>
  <si>
    <t>NASDAQ:UTHR</t>
  </si>
  <si>
    <t>MCHPP</t>
  </si>
  <si>
    <t>Microchip Technology Incorporated - Depositary Sha</t>
  </si>
  <si>
    <t>NASDAQ:MCHPP</t>
  </si>
  <si>
    <t>DOLE</t>
  </si>
  <si>
    <t>Dole plc</t>
  </si>
  <si>
    <t>NYSE:DOLE</t>
  </si>
  <si>
    <t>GANX</t>
  </si>
  <si>
    <t>Gain Therapeutics, Inc.</t>
  </si>
  <si>
    <t>NASDAQ:GANX</t>
  </si>
  <si>
    <t>🔋 Squeeze (0.77) 💪 Strong Trend (42)</t>
  </si>
  <si>
    <t>🔥 FRESH CROSS 🚀 Vol 3.6x 💪 Strong Trend (41)</t>
  </si>
  <si>
    <t>✨ Recent Cross 🔋 Squeeze (0.37) 💪 Strong Trend (40)</t>
  </si>
  <si>
    <t>CELH</t>
  </si>
  <si>
    <t>Celsius Holdings, Inc.</t>
  </si>
  <si>
    <t>NASDAQ:CELH</t>
  </si>
  <si>
    <t>PRME</t>
  </si>
  <si>
    <t>Prime Medicine, Inc.</t>
  </si>
  <si>
    <t>NASDAQ:PRME</t>
  </si>
  <si>
    <t>🚀 Vol 3.1x 🔋 Squeeze (0.76)</t>
  </si>
  <si>
    <t>GSIT</t>
  </si>
  <si>
    <t>GSI Technology, Inc.</t>
  </si>
  <si>
    <t>NASDAQ:GSIT</t>
  </si>
  <si>
    <t>SFNC</t>
  </si>
  <si>
    <t>Simmons First National Corporation</t>
  </si>
  <si>
    <t>NASDAQ:SFNC</t>
  </si>
  <si>
    <t>ARLO</t>
  </si>
  <si>
    <t>Arlo Technologies, Inc.</t>
  </si>
  <si>
    <t>NYSE:ARLO</t>
  </si>
  <si>
    <t>🔥 FRESH CROSS 🚀 Vol 3.8x</t>
  </si>
  <si>
    <t>RNAM</t>
  </si>
  <si>
    <t>NASDAQ:RNAM</t>
  </si>
  <si>
    <t>✨ Recent Cross 🚀 Vol 3.8x 🔋 Squeeze (0.20)</t>
  </si>
  <si>
    <t>✨ Recent Cross 🔋 Squeeze (0.21)</t>
  </si>
  <si>
    <t>GCT</t>
  </si>
  <si>
    <t>GigaCloud Technology Inc</t>
  </si>
  <si>
    <t>NASDAQ:GCT</t>
  </si>
  <si>
    <t>WBD</t>
  </si>
  <si>
    <t>Warner Bros. Discovery, Inc. - Series A</t>
  </si>
  <si>
    <t>NASDAQ:WBD</t>
  </si>
  <si>
    <t>🚀 Vol 2.3x 🔋 Squeeze (0.63)</t>
  </si>
  <si>
    <t>PRAA</t>
  </si>
  <si>
    <t>PRA Group, Inc.</t>
  </si>
  <si>
    <t>NASDAQ:PRAA</t>
  </si>
  <si>
    <t>INUV</t>
  </si>
  <si>
    <t>Inuvo, Inc.</t>
  </si>
  <si>
    <t>AMEX:INUV</t>
  </si>
  <si>
    <t>🚀 Vol 9.9x</t>
  </si>
  <si>
    <t>🔥 FRESH CROSS 🚀 Vol 7.5x</t>
  </si>
  <si>
    <t>OACC</t>
  </si>
  <si>
    <t>Oaktree Acquisition Corp. III Life Sciences</t>
  </si>
  <si>
    <t>NASDAQ:OACC</t>
  </si>
  <si>
    <t>🔥 FRESH CROSS 🚀 Vol 20.9x 💥 Expanding Vol</t>
  </si>
  <si>
    <t>🔥 FRESH CROSS 🔋 Squeeze (0.35) 💪 Strong Trend (45)</t>
  </si>
  <si>
    <t>CFLT</t>
  </si>
  <si>
    <t>Confluent, Inc.</t>
  </si>
  <si>
    <t>NASDAQ:CFLT</t>
  </si>
  <si>
    <t>🔋 Squeeze (0.19)</t>
  </si>
  <si>
    <t>🔥 FRESH CROSS 🔋 Squeeze (0.35)</t>
  </si>
  <si>
    <t>🔥 FRESH CROSS 🚀 Vol 17.5x</t>
  </si>
  <si>
    <t>🔥 FRESH CROSS 🚀 Vol 26.2x 💥 Expanding Vol</t>
  </si>
  <si>
    <t>🚀 Vol 2.0x 🔋 Squeeze (0.78)</t>
  </si>
  <si>
    <t>DAWN</t>
  </si>
  <si>
    <t>Day One Biopharmaceuticals, Inc.</t>
  </si>
  <si>
    <t>NASDAQ:DAWN</t>
  </si>
  <si>
    <t>🚀 Vol 5.6x</t>
  </si>
  <si>
    <t>GFL</t>
  </si>
  <si>
    <t xml:space="preserve">GFL Environmental Inc. Subordinate voting shares, </t>
  </si>
  <si>
    <t>NYSE:GFL</t>
  </si>
  <si>
    <t>NEE/PS</t>
  </si>
  <si>
    <t>NextEra Energy, Inc. 7.299% Corporate</t>
  </si>
  <si>
    <t>NYSE:NEE/PS</t>
  </si>
  <si>
    <t>🚀 Vol 3.6x</t>
  </si>
  <si>
    <t>SWIM</t>
  </si>
  <si>
    <t>Latham Group, Inc.</t>
  </si>
  <si>
    <t>NASDAQ:SWIM</t>
  </si>
  <si>
    <t>🔥 FRESH CROSS 🚀 Vol 2.2x 🔋 Squeeze (0.34)</t>
  </si>
  <si>
    <t>🔥 FRESH CROSS 🚀 Vol 6.0x 💪 Strong Trend (53)</t>
  </si>
  <si>
    <t>ACDC</t>
  </si>
  <si>
    <t>ProFrac Holding Corp.</t>
  </si>
  <si>
    <t>NASDAQ:ACDC</t>
  </si>
  <si>
    <t>CE</t>
  </si>
  <si>
    <t>Celanese Corporation</t>
  </si>
  <si>
    <t>NYSE:CE</t>
  </si>
  <si>
    <t>🔋 Squeeze (0.73)</t>
  </si>
  <si>
    <t>🔥 FRESH CROSS 🚀 Vol 2.6x 💥 Expanding Vol</t>
  </si>
  <si>
    <t>🔥 FRESH CROSS 🚀 Vol 18.5x</t>
  </si>
  <si>
    <t>SLDB</t>
  </si>
  <si>
    <t>Solid Biosciences Inc.</t>
  </si>
  <si>
    <t>NASDAQ:SLDB</t>
  </si>
  <si>
    <t>✨ Recent Cross 🚀 Vol 5.2x</t>
  </si>
  <si>
    <t>ALNT</t>
  </si>
  <si>
    <t>Allient Inc.</t>
  </si>
  <si>
    <t>NASDAQ:ALNT</t>
  </si>
  <si>
    <t>🚀 Vol 3.0x 💥 Expanding Vol</t>
  </si>
  <si>
    <t>🔥 FRESH CROSS 🚀 Vol 2.4x 🔋 Squeeze (0.37)</t>
  </si>
  <si>
    <t>PLMK</t>
  </si>
  <si>
    <t>Plum Acquisition Corp. IV</t>
  </si>
  <si>
    <t>NASDAQ:PLMK</t>
  </si>
  <si>
    <t>🔥 FRESH CROSS 🚀 Vol 121.6x 💪 Strong Trend (42)</t>
  </si>
  <si>
    <t>🔥 FRESH CROSS 🔋 Squeeze (0.40)</t>
  </si>
  <si>
    <t>DTI</t>
  </si>
  <si>
    <t>Drilling Tools International Corporation</t>
  </si>
  <si>
    <t>NASDAQ:DTI</t>
  </si>
  <si>
    <t>🔥 FRESH CROSS 🚀 Vol 2.7x 💥 Expanding Vol</t>
  </si>
  <si>
    <t>🔥 FRESH CROSS 🚀 Vol 3.3x 🔋 Squeeze (0.39)</t>
  </si>
  <si>
    <t>✨ Recent Cross 🔋 Squeeze (0.38) 💪 Strong Trend (49)</t>
  </si>
  <si>
    <t>YUMC</t>
  </si>
  <si>
    <t>Yum China Holdings, Inc.</t>
  </si>
  <si>
    <t>NYSE:YUMC</t>
  </si>
  <si>
    <t>✨ Recent Cross 🔋 Squeeze (0.41) 💪 Strong Trend (45)</t>
  </si>
  <si>
    <t>✨ Recent Cross 🔋 Squeeze (0.28)</t>
  </si>
  <si>
    <t>CC</t>
  </si>
  <si>
    <t>Chemours Company (The)</t>
  </si>
  <si>
    <t>NYSE:CC</t>
  </si>
  <si>
    <t>🚀 Vol 17.1x 🔋 Squeeze (0.30)</t>
  </si>
  <si>
    <t>PLXS</t>
  </si>
  <si>
    <t>Plexus Corp.</t>
  </si>
  <si>
    <t>NASDAQ:PLXS</t>
  </si>
  <si>
    <t>CGNT</t>
  </si>
  <si>
    <t>Cognyte Software Ltd.</t>
  </si>
  <si>
    <t>NASDAQ:CGNT</t>
  </si>
  <si>
    <t>BG</t>
  </si>
  <si>
    <t>Bunge Limited</t>
  </si>
  <si>
    <t>NYSE:BG</t>
  </si>
  <si>
    <t>SPRO</t>
  </si>
  <si>
    <t>Spero Therapeutics, Inc.</t>
  </si>
  <si>
    <t>NASDAQ:SPRO</t>
  </si>
  <si>
    <t>🔥 FRESH CROSS 🔋 Squeeze (0.42)</t>
  </si>
  <si>
    <t>DYN</t>
  </si>
  <si>
    <t>Dyne Therapeutics, Inc.</t>
  </si>
  <si>
    <t>NASDAQ:DYN</t>
  </si>
  <si>
    <t>🔥 FRESH CROSS 🚀 Vol 2.4x</t>
  </si>
  <si>
    <t>🔥 FRESH CROSS 🔋 Squeeze (0.39) 💪 Strong Trend (50)</t>
  </si>
  <si>
    <t>✨ Recent Cross 🚀 Vol 3.3x 🔋 Squeeze (0.18)</t>
  </si>
  <si>
    <t>CWEN.A</t>
  </si>
  <si>
    <t>Clearway Energy, Inc.</t>
  </si>
  <si>
    <t>NYSE:CWEN.A</t>
  </si>
  <si>
    <t>🚀 Vol 3.1x</t>
  </si>
  <si>
    <t>EW</t>
  </si>
  <si>
    <t>Edwards Lifesciences Corporation</t>
  </si>
  <si>
    <t>NYSE:EW</t>
  </si>
  <si>
    <t>NIC</t>
  </si>
  <si>
    <t>Nicolet Bankshares Inc.</t>
  </si>
  <si>
    <t>NYSE:NIC</t>
  </si>
  <si>
    <t>🔥 FRESH CROSS 🔋 Squeeze (0.38) 💪 Strong Trend (50)</t>
  </si>
  <si>
    <t>ARW</t>
  </si>
  <si>
    <t>Arrow Electronics, Inc.</t>
  </si>
  <si>
    <t>NYSE:ARW</t>
  </si>
  <si>
    <t>🚀 Vol 2.3x 💥 Expanding Vol</t>
  </si>
  <si>
    <t>VRTX</t>
  </si>
  <si>
    <t>Vertex Pharmaceuticals Incorporated</t>
  </si>
  <si>
    <t>NASDAQ:VRTX</t>
  </si>
  <si>
    <t>FOLD</t>
  </si>
  <si>
    <t>Amicus Therapeutics, Inc.</t>
  </si>
  <si>
    <t>NASDAQ:FOLD</t>
  </si>
  <si>
    <t>🔋 Squeeze (0.20) 💪 Strong Trend (59)</t>
  </si>
  <si>
    <t>HRTG</t>
  </si>
  <si>
    <t>Heritage Insurance Holdings, Inc.</t>
  </si>
  <si>
    <t>NYSE:HRTG</t>
  </si>
  <si>
    <t>POR</t>
  </si>
  <si>
    <t>Portland General Electric Co</t>
  </si>
  <si>
    <t>NYSE:POR</t>
  </si>
  <si>
    <t>CLBK</t>
  </si>
  <si>
    <t>Columbia Financial, Inc.</t>
  </si>
  <si>
    <t>NASDAQ:CLBK</t>
  </si>
  <si>
    <t>SABS</t>
  </si>
  <si>
    <t>SAB Biotherapeutics, Inc.</t>
  </si>
  <si>
    <t>NASDAQ:SABS</t>
  </si>
  <si>
    <t>🚀 Vol 6.3x</t>
  </si>
  <si>
    <t>🔥 FRESH CROSS 🔋 Squeeze (0.36) 💪 Strong Trend (49)</t>
  </si>
  <si>
    <t>CWEN</t>
  </si>
  <si>
    <t>NYSE:CWEN</t>
  </si>
  <si>
    <t>BIP</t>
  </si>
  <si>
    <t>Brookfield Infrastructure Partners LP Limited Part</t>
  </si>
  <si>
    <t>NYSE:BIP</t>
  </si>
  <si>
    <t>USFD</t>
  </si>
  <si>
    <t>US Foods Holding Corp.</t>
  </si>
  <si>
    <t>NYSE:USFD</t>
  </si>
  <si>
    <t>QIPT</t>
  </si>
  <si>
    <t>Quipt Home Medical Corp.</t>
  </si>
  <si>
    <t>NASDAQ:QIPT</t>
  </si>
  <si>
    <t>🚀 Vol 4.0x 🔋 Squeeze (0.26) 💪 Strong Trend (52)</t>
  </si>
  <si>
    <t>GRDN</t>
  </si>
  <si>
    <t>Guardian Pharmacy Services, Inc.</t>
  </si>
  <si>
    <t>NYSE:GRDN</t>
  </si>
  <si>
    <t>GPAT</t>
  </si>
  <si>
    <t>GP-Act III Acquisition Corp.</t>
  </si>
  <si>
    <t>NASDAQ:GPAT</t>
  </si>
  <si>
    <t>🔥 FRESH CROSS 🚀 Vol 12.9x</t>
  </si>
  <si>
    <t>🔥 FRESH CROSS 💪 Strong Trend (40)</t>
  </si>
  <si>
    <t>AAP</t>
  </si>
  <si>
    <t>Advance Auto Parts Inc.</t>
  </si>
  <si>
    <t>NYSE:AAP</t>
  </si>
  <si>
    <t>BGC</t>
  </si>
  <si>
    <t>BGC Group, Inc.</t>
  </si>
  <si>
    <t>NASDAQ:BGC</t>
  </si>
  <si>
    <t>✨ Recent Cross 🚀 Vol 2.0x 💥 Expanding Vol</t>
  </si>
  <si>
    <t>✨ Recent Cross 🚀 Vol 2.1x 🔋 Squeeze (0.16)</t>
  </si>
  <si>
    <t>INVE</t>
  </si>
  <si>
    <t>Identiv, Inc.</t>
  </si>
  <si>
    <t>NASDAQ:INVE</t>
  </si>
  <si>
    <t>✨ Recent Cross 🚀 Vol 9.3x</t>
  </si>
  <si>
    <t>TROX</t>
  </si>
  <si>
    <t>Tronox Holdings plc</t>
  </si>
  <si>
    <t>NYSE:TROX</t>
  </si>
  <si>
    <t>🚀 Vol 3.0x 🔋 Squeeze (0.25) 💪 Strong Trend (51)</t>
  </si>
  <si>
    <t>🚀 Vol 2.0x</t>
  </si>
  <si>
    <t>NFBK</t>
  </si>
  <si>
    <t>Northfield Bancorp, Inc.</t>
  </si>
  <si>
    <t>NASDAQ:NFBK</t>
  </si>
  <si>
    <t>✨ Recent Cross 🚀 Vol 2.0x</t>
  </si>
  <si>
    <t>✨ Recent Cross 🚀 Vol 2.6x</t>
  </si>
  <si>
    <t>YUM</t>
  </si>
  <si>
    <t>Yum! Brands, Inc.</t>
  </si>
  <si>
    <t>NYSE:YUM</t>
  </si>
  <si>
    <t>🔥 FRESH CROSS 🚀 Vol 2.8x</t>
  </si>
  <si>
    <t>BLDP</t>
  </si>
  <si>
    <t>Ballard Power Systems, Inc.</t>
  </si>
  <si>
    <t>NASDAQ:BLDP</t>
  </si>
  <si>
    <t>✨ Recent Cross 🔋 Squeeze (0.29)</t>
  </si>
  <si>
    <t>✨ Recent Cross 🚀 Vol 2.4x 🔋 Squeeze (0.20)</t>
  </si>
  <si>
    <t>BCE</t>
  </si>
  <si>
    <t>BCE, Inc.</t>
  </si>
  <si>
    <t>NYSE:BCE</t>
  </si>
  <si>
    <t>🔋 Squeeze (0.19) 💪 Strong Trend (59)</t>
  </si>
  <si>
    <t>POWI</t>
  </si>
  <si>
    <t>Power Integrations, Inc.</t>
  </si>
  <si>
    <t>NASDAQ:POWI</t>
  </si>
  <si>
    <t>FDX</t>
  </si>
  <si>
    <t>FedEx Corporation</t>
  </si>
  <si>
    <t>NYSE:FDX</t>
  </si>
  <si>
    <t>🔥 FRESH CROSS 🚀 Vol 3.6x</t>
  </si>
  <si>
    <t>🔥 FRESH CROSS 🔋 Squeeze (0.41)</t>
  </si>
  <si>
    <t>🔥 FRESH CROSS 🚀 Vol 2.2x 🔋 Squeeze (0.24)</t>
  </si>
  <si>
    <t>BKR</t>
  </si>
  <si>
    <t>Baker Hughes Company</t>
  </si>
  <si>
    <t>NASDAQ:BKR</t>
  </si>
  <si>
    <t>FCN</t>
  </si>
  <si>
    <t>FTI Consulting, Inc.</t>
  </si>
  <si>
    <t>NYSE:FCN</t>
  </si>
  <si>
    <t>🔥 FRESH CROSS 🚀 Vol 2.6x</t>
  </si>
  <si>
    <t>MOV</t>
  </si>
  <si>
    <t>Movado Group Inc.</t>
  </si>
  <si>
    <t>NYSE:MOV</t>
  </si>
  <si>
    <t>🔥 FRESH CROSS 🚀 Vol 2.3x 💥 Expanding Vol</t>
  </si>
  <si>
    <t>🔥 FRESH CROSS 🚀 Vol 2.7x 🔋 Squeeze (0.37) 💪 Strong Trend (43)</t>
  </si>
  <si>
    <t>EXPE</t>
  </si>
  <si>
    <t>Expedia Group, Inc.</t>
  </si>
  <si>
    <t>NASDAQ:EXPE</t>
  </si>
  <si>
    <t>🔥 FRESH CROSS 🚀 Vol 2.5x</t>
  </si>
  <si>
    <t>✨ Recent Cross 🔋 Squeeze (0.77)</t>
  </si>
  <si>
    <t>TK</t>
  </si>
  <si>
    <t>Teekay Corporation Ltd.</t>
  </si>
  <si>
    <t>NYSE:TK</t>
  </si>
  <si>
    <t>✨ Recent Cross 🚀 Vol 10.2x 🔋 Squeeze (0.31) 💪 Strong Trend (43)</t>
  </si>
  <si>
    <t>AMR</t>
  </si>
  <si>
    <t>Alpha Metallurgical Resources, Inc.</t>
  </si>
  <si>
    <t>NYSE:AMR</t>
  </si>
  <si>
    <t>NHC</t>
  </si>
  <si>
    <t>National HealthCare Corporation</t>
  </si>
  <si>
    <t>AMEX:NHC</t>
  </si>
  <si>
    <t>🚀 Vol 4.3x</t>
  </si>
  <si>
    <t>🚀 Vol 2.9x 🔋 Squeeze (0.18) 💪 Strong Trend (60)</t>
  </si>
  <si>
    <t>KEX</t>
  </si>
  <si>
    <t>Kirby Corporation</t>
  </si>
  <si>
    <t>NYSE:KEX</t>
  </si>
  <si>
    <t>CME</t>
  </si>
  <si>
    <t>CME Group Inc.</t>
  </si>
  <si>
    <t>NASDAQ:CME</t>
  </si>
  <si>
    <t>GRMN</t>
  </si>
  <si>
    <t>Garmin Ltd.</t>
  </si>
  <si>
    <t>NYSE:GRMN</t>
  </si>
  <si>
    <t>ONTF</t>
  </si>
  <si>
    <t>ON24, Inc.</t>
  </si>
  <si>
    <t>NYSE:ONTF</t>
  </si>
  <si>
    <t>🔋 Squeeze (0.29) 💪 Strong Trend (58)</t>
  </si>
  <si>
    <t>VIRT</t>
  </si>
  <si>
    <t>Virtu Financial, Inc.</t>
  </si>
  <si>
    <t>NYSE:VIRT</t>
  </si>
  <si>
    <t>🚀 Vol 3.4x</t>
  </si>
  <si>
    <t>KODK</t>
  </si>
  <si>
    <t>Eastman Kodak Company</t>
  </si>
  <si>
    <t>NYSE:KODK</t>
  </si>
  <si>
    <t>LIN</t>
  </si>
  <si>
    <t>Linde plc</t>
  </si>
  <si>
    <t>NASDAQ:LIN</t>
  </si>
  <si>
    <t>DIOD</t>
  </si>
  <si>
    <t>Diodes Incorporated</t>
  </si>
  <si>
    <t>NASDAQ:DIOD</t>
  </si>
  <si>
    <t>POWL</t>
  </si>
  <si>
    <t>Powell Industries, Inc.</t>
  </si>
  <si>
    <t>NASDAQ:POWL</t>
  </si>
  <si>
    <t>JAZZ</t>
  </si>
  <si>
    <t>Jazz Pharmaceuticals plc</t>
  </si>
  <si>
    <t>NASDAQ:JAZZ</t>
  </si>
  <si>
    <t>VCIC</t>
  </si>
  <si>
    <t>Vine Hill Capital Investment Corp.</t>
  </si>
  <si>
    <t>NASDAQ:VCIC</t>
  </si>
  <si>
    <t>🔥 FRESH CROSS 🔋 Squeeze (0.48)</t>
  </si>
  <si>
    <t>GRC</t>
  </si>
  <si>
    <t>Gorman-Rupp Company (The)</t>
  </si>
  <si>
    <t>NYSE:GRC</t>
  </si>
  <si>
    <t>🔥 FRESH CROSS 🚀 Vol 2.2x 💥 Expanding Vol</t>
  </si>
  <si>
    <t>🔥 FRESH CROSS 💥 Expanding Vol</t>
  </si>
  <si>
    <t>🔥 FRESH CROSS 🚀 Vol 41.3x 🔋 Squeeze (0.45)</t>
  </si>
  <si>
    <t>IDN</t>
  </si>
  <si>
    <t>Intellicheck, Inc.</t>
  </si>
  <si>
    <t>NASDAQ:IDN</t>
  </si>
  <si>
    <t>RCI</t>
  </si>
  <si>
    <t>Rogers Communication, Inc.</t>
  </si>
  <si>
    <t>NYSE:RCI</t>
  </si>
  <si>
    <t>APYX</t>
  </si>
  <si>
    <t>Apyx Medical Corporation</t>
  </si>
  <si>
    <t>NASDAQ:APYX</t>
  </si>
  <si>
    <t>IBAC</t>
  </si>
  <si>
    <t>IB Acquisition Corp.</t>
  </si>
  <si>
    <t>NASDAQ:IBAC</t>
  </si>
  <si>
    <t>✨ Recent Cross 🚀 Vol 24.6x 💥 Expanding Vol</t>
  </si>
  <si>
    <t>FDP</t>
  </si>
  <si>
    <t>Fresh Del Monte Produce, Inc.</t>
  </si>
  <si>
    <t>NYSE:FDP</t>
  </si>
  <si>
    <t>MOD</t>
  </si>
  <si>
    <t>Modine Manufacturing Company</t>
  </si>
  <si>
    <t>NYSE:MOD</t>
  </si>
  <si>
    <t>DTM</t>
  </si>
  <si>
    <t>DT Midstream, Inc.</t>
  </si>
  <si>
    <t>NYSE:DTM</t>
  </si>
  <si>
    <t>🔋 Squeeze (0.30) 💪 Strong Trend (57)</t>
  </si>
  <si>
    <t>🔥 FRESH CROSS 🔋 Squeeze (0.49)</t>
  </si>
  <si>
    <t>🔥 FRESH CROSS 🚀 Vol 5.2x 💥 Expanding Vol</t>
  </si>
  <si>
    <t>MACI</t>
  </si>
  <si>
    <t>Melar Acquisition Corp. I</t>
  </si>
  <si>
    <t>NASDAQ:MACI</t>
  </si>
  <si>
    <t>🔥 FRESH CROSS 🚀 Vol 32.5x 🔋 Squeeze (0.76) 💪 Strong Trend (46)</t>
  </si>
  <si>
    <t>LFUS</t>
  </si>
  <si>
    <t>Littelfuse, Inc.</t>
  </si>
  <si>
    <t>NASDAQ:LFUS</t>
  </si>
  <si>
    <t>ATI</t>
  </si>
  <si>
    <t>ATI Inc.</t>
  </si>
  <si>
    <t>NYSE:ATI</t>
  </si>
  <si>
    <t>SHIP</t>
  </si>
  <si>
    <t>Seanergy Maritime Holdings Corp.</t>
  </si>
  <si>
    <t>NASDAQ:SHIP</t>
  </si>
  <si>
    <t>🚀 Vol 2.7x</t>
  </si>
  <si>
    <t>SFD</t>
  </si>
  <si>
    <t>Smithfield Foods, Inc.</t>
  </si>
  <si>
    <t>NASDAQ:SFD</t>
  </si>
  <si>
    <t>🔥 FRESH CROSS 🚀 Vol 45.9x 🔋 Squeeze (0.59) 💪 Strong Trend (44)</t>
  </si>
  <si>
    <t>CGEM</t>
  </si>
  <si>
    <t>Cullinan Therapeutics, Inc.</t>
  </si>
  <si>
    <t>NASDAQ:CGEM</t>
  </si>
  <si>
    <t>AIR</t>
  </si>
  <si>
    <t>AAR Corp.</t>
  </si>
  <si>
    <t>NYSE:AIR</t>
  </si>
  <si>
    <t>🔥 FRESH CROSS 🚀 Vol 2.1x 💥 Expanding Vol</t>
  </si>
  <si>
    <t>GNRC</t>
  </si>
  <si>
    <t>Generac Holdings Inc.</t>
  </si>
  <si>
    <t>NYSE:GNRC</t>
  </si>
  <si>
    <t>FLOC</t>
  </si>
  <si>
    <t>Flowco Holdings Inc.</t>
  </si>
  <si>
    <t>NYSE:FLOC</t>
  </si>
  <si>
    <t>SND</t>
  </si>
  <si>
    <t>Smart Sand, Inc.</t>
  </si>
  <si>
    <t>NASDAQ:SND</t>
  </si>
  <si>
    <t>🔋 Squeeze (0.28) 💪 Strong Trend (58)</t>
  </si>
  <si>
    <t>FDMT</t>
  </si>
  <si>
    <t>4D Molecular Therapeutics, Inc.</t>
  </si>
  <si>
    <t>NASDAQ:FDMT</t>
  </si>
  <si>
    <t>PAYS</t>
  </si>
  <si>
    <t>Paysign, Inc.</t>
  </si>
  <si>
    <t>NASDAQ:PAYS</t>
  </si>
  <si>
    <t>🚀 Vol 14.1x</t>
  </si>
  <si>
    <t>MSGS</t>
  </si>
  <si>
    <t>Madison Square Garden Sports Corp.</t>
  </si>
  <si>
    <t>NYSE:MSGS</t>
  </si>
  <si>
    <t>JBS</t>
  </si>
  <si>
    <t>JBS N.V.</t>
  </si>
  <si>
    <t>NYSE:JBS</t>
  </si>
  <si>
    <t>🔥 FRESH CROSS 🚀 Vol 2.7x</t>
  </si>
  <si>
    <t>🔥 FRESH CROSS 🚀 Vol 3.0x 🔋 Squeeze (0.59) 💪 Strong Trend (43)</t>
  </si>
  <si>
    <t>🔥 FRESH CROSS 🚀 Vol 5.3x</t>
  </si>
  <si>
    <t>MDGL</t>
  </si>
  <si>
    <t>Madrigal Pharmaceuticals, Inc.</t>
  </si>
  <si>
    <t>NASDAQ:MDGL</t>
  </si>
  <si>
    <t>OLPX</t>
  </si>
  <si>
    <t>Olaplex Holdings, Inc.</t>
  </si>
  <si>
    <t>NASDAQ:OLPX</t>
  </si>
  <si>
    <t>🚀 Vol 45.4x 💥 Expanding Vol</t>
  </si>
  <si>
    <t>MTSI</t>
  </si>
  <si>
    <t>MACOM Technology Solutions Holdings, Inc.</t>
  </si>
  <si>
    <t>NASDAQ:MTSI</t>
  </si>
  <si>
    <t>🔥 FRESH CROSS 🚀 Vol 29.6x 💪 Strong Trend (64)</t>
  </si>
  <si>
    <t>ETR</t>
  </si>
  <si>
    <t>Entergy Corporation</t>
  </si>
  <si>
    <t>NYSE:ETR</t>
  </si>
  <si>
    <t>CWAN</t>
  </si>
  <si>
    <t>Clearwater Analytics Holdings, Inc.</t>
  </si>
  <si>
    <t>NYSE:CWAN</t>
  </si>
  <si>
    <t>🔥 FRESH CROSS 🚀 Vol 4.4x 🔋 Squeeze (0.46)</t>
  </si>
  <si>
    <t>PNW</t>
  </si>
  <si>
    <t>Pinnacle West Capital Corporation</t>
  </si>
  <si>
    <t>NYSE:PNW</t>
  </si>
  <si>
    <t>✨ Recent Cross 🔋 Squeeze (0.40) 💪 Strong Trend (41)</t>
  </si>
  <si>
    <t>CLNE</t>
  </si>
  <si>
    <t>Clean Energy Fuels Corp.</t>
  </si>
  <si>
    <t>NASDAQ:CLNE</t>
  </si>
  <si>
    <t>MRX</t>
  </si>
  <si>
    <t>Marex Group plc</t>
  </si>
  <si>
    <t>NASDAQ:MRX</t>
  </si>
  <si>
    <t>🚀 Vol 3.5x</t>
  </si>
  <si>
    <t>🔋 Squeeze (0.25) 💪 Strong Trend (58)</t>
  </si>
  <si>
    <t>TGT</t>
  </si>
  <si>
    <t>Target Corporation</t>
  </si>
  <si>
    <t>NYSE:TGT</t>
  </si>
  <si>
    <t>BGS</t>
  </si>
  <si>
    <t>B&amp;G Foods, Inc.</t>
  </si>
  <si>
    <t>NYSE:BGS</t>
  </si>
  <si>
    <t>🔥 FRESH CROSS 🚀 Vol 5.0x</t>
  </si>
  <si>
    <t>🔥 FRESH CROSS 🚀 Vol 4.1x 🔋 Squeeze (0.48)</t>
  </si>
  <si>
    <t>KZR</t>
  </si>
  <si>
    <t>Kezar Life Sciences, Inc.</t>
  </si>
  <si>
    <t>NASDAQ:KZR</t>
  </si>
  <si>
    <t>🔥 FRESH CROSS 🚀 Vol 56.9x 💥 Expanding Vol</t>
  </si>
  <si>
    <t>VFS</t>
  </si>
  <si>
    <t>VinFast Auto Ltd.</t>
  </si>
  <si>
    <t>NASDAQ:VFS</t>
  </si>
  <si>
    <t>NTR</t>
  </si>
  <si>
    <t>Nutrien Ltd.</t>
  </si>
  <si>
    <t>NYSE:NTR</t>
  </si>
  <si>
    <t>🔥 FRESH CROSS 🚀 Vol 19.1x 💥 Expanding Vol</t>
  </si>
  <si>
    <t>🔥 FRESH CROSS 🚀 Vol 11.5x</t>
  </si>
  <si>
    <t>AFBI</t>
  </si>
  <si>
    <t>Affinity Bancshares, Inc.</t>
  </si>
  <si>
    <t>NASDAQ:AFBI</t>
  </si>
  <si>
    <t>🚀 Vol 95.5x 💥 Expanding Vol</t>
  </si>
  <si>
    <t>CTLP</t>
  </si>
  <si>
    <t>Cantaloupe, Inc.</t>
  </si>
  <si>
    <t>NASDAQ:CTLP</t>
  </si>
  <si>
    <t>🔋 Squeeze (0.25) 💪 Strong Trend (59)</t>
  </si>
  <si>
    <t>WMB</t>
  </si>
  <si>
    <t>Williams Companies, Inc. (The)</t>
  </si>
  <si>
    <t>NYSE:WMB</t>
  </si>
  <si>
    <t>CBT</t>
  </si>
  <si>
    <t>Cabot Corporation</t>
  </si>
  <si>
    <t>NYSE:CBT</t>
  </si>
  <si>
    <t>ALKS</t>
  </si>
  <si>
    <t>Alkermes plc</t>
  </si>
  <si>
    <t>NASDAQ:ALKS</t>
  </si>
  <si>
    <t>🚀 Vol 4.7x</t>
  </si>
  <si>
    <t>EIX</t>
  </si>
  <si>
    <t>Edison International</t>
  </si>
  <si>
    <t>NYSE:EIX</t>
  </si>
  <si>
    <t>BPYPM</t>
  </si>
  <si>
    <t>Brookfield Property Partners L.P. - 6.25%</t>
  </si>
  <si>
    <t>NASDAQ:BPYPM</t>
  </si>
  <si>
    <t>🚀 Vol 27.6x 💥 Expanding Vol</t>
  </si>
  <si>
    <t>CW</t>
  </si>
  <si>
    <t>Curtiss-Wright Corporation</t>
  </si>
  <si>
    <t>NYSE:CW</t>
  </si>
  <si>
    <t>🔥 FRESH CROSS 🔋 Squeeze (0.46) 💪 Strong Trend (42)</t>
  </si>
  <si>
    <t>🔥 FRESH CROSS 🚀 Vol 2.4x 🔋 Squeeze (0.44)</t>
  </si>
  <si>
    <t>WAB</t>
  </si>
  <si>
    <t>Westinghouse Air Brake Technologies Corporation</t>
  </si>
  <si>
    <t>NYSE:WAB</t>
  </si>
  <si>
    <t>CCCC</t>
  </si>
  <si>
    <t>C4 Therapeutics, Inc.</t>
  </si>
  <si>
    <t>NASDAQ:CCCC</t>
  </si>
  <si>
    <t>FACT</t>
  </si>
  <si>
    <t>FACT II Acquisition Corp.</t>
  </si>
  <si>
    <t>NASDAQ:FACT</t>
  </si>
  <si>
    <t>🔥 FRESH CROSS 🚀 Vol 20.8x 🔋 Squeeze (0.59)</t>
  </si>
  <si>
    <t>🔥 FRESH CROSS 🔋 Squeeze (0.43)</t>
  </si>
  <si>
    <t>🔥 FRESH CROSS 🚀 Vol 2.2x 🔋 Squeeze (0.42)</t>
  </si>
  <si>
    <t>FF</t>
  </si>
  <si>
    <t>FutureFuel Corp.</t>
  </si>
  <si>
    <t>NYSE:FF</t>
  </si>
  <si>
    <t>🔥 FRESH CROSS 🔋 Squeeze (0.14) 💪 Strong Trend (40)</t>
  </si>
  <si>
    <t>KOPN</t>
  </si>
  <si>
    <t>Kopin Corporation</t>
  </si>
  <si>
    <t>NASDAQ:KOPN</t>
  </si>
  <si>
    <t>KRP</t>
  </si>
  <si>
    <t>Kimbell Royalty Partners</t>
  </si>
  <si>
    <t>NYSE:KRP</t>
  </si>
  <si>
    <t>FTS</t>
  </si>
  <si>
    <t>Fortis Inc.</t>
  </si>
  <si>
    <t>NYSE:FTS</t>
  </si>
  <si>
    <t>🔥 FRESH CROSS 🚀 Vol 5.5x 💥 Expanding Vol</t>
  </si>
  <si>
    <t>TRP</t>
  </si>
  <si>
    <t>TC Energy Corporation</t>
  </si>
  <si>
    <t>NYSE:TRP</t>
  </si>
  <si>
    <t>✨ Recent Cross 🔋 Squeeze (0.48)</t>
  </si>
  <si>
    <t>HESM</t>
  </si>
  <si>
    <t>Hess Midstream LP</t>
  </si>
  <si>
    <t>NYSE:HESM</t>
  </si>
  <si>
    <t>ET</t>
  </si>
  <si>
    <t>Energy Transfer LP</t>
  </si>
  <si>
    <t>NYSE:ET</t>
  </si>
  <si>
    <t>GNW</t>
  </si>
  <si>
    <t>Genworth Financial Inc</t>
  </si>
  <si>
    <t>NYSE:GNW</t>
  </si>
  <si>
    <t>AXG</t>
  </si>
  <si>
    <t>Solowin Holdings</t>
  </si>
  <si>
    <t>NASDAQ:AXG</t>
  </si>
  <si>
    <t>🔥 FRESH CROSS 🔋 Squeeze (0.72)</t>
  </si>
  <si>
    <t>🔥 FRESH CROSS 🔋 Squeeze (0.38)</t>
  </si>
  <si>
    <t>🔥 FRESH CROSS 🚀 Vol 3.3x 🔋 Squeeze (0.49)</t>
  </si>
  <si>
    <t>ALHC</t>
  </si>
  <si>
    <t>Alignment Healthcare, Inc.</t>
  </si>
  <si>
    <t>NASDAQ:ALHC</t>
  </si>
  <si>
    <t>🔥 FRESH CROSS 🚀 Vol 5.6x</t>
  </si>
  <si>
    <t>MOVE</t>
  </si>
  <si>
    <t>Corvex, Inc.</t>
  </si>
  <si>
    <t>NASDAQ:MOVE</t>
  </si>
  <si>
    <t>🚀 Vol 15.4x</t>
  </si>
  <si>
    <t>MEDP</t>
  </si>
  <si>
    <t>Medpace Holdings, Inc.</t>
  </si>
  <si>
    <t>NASDAQ:MEDP</t>
  </si>
  <si>
    <t>TRN</t>
  </si>
  <si>
    <t>Trinity Industries, Inc.</t>
  </si>
  <si>
    <t>NYSE:TRN</t>
  </si>
  <si>
    <t>ERO</t>
  </si>
  <si>
    <t>Ero Copper Corp.</t>
  </si>
  <si>
    <t>NYSE:ERO</t>
  </si>
  <si>
    <t>PCAR</t>
  </si>
  <si>
    <t>PACCAR Inc.</t>
  </si>
  <si>
    <t>NASDAQ:PCAR</t>
  </si>
  <si>
    <t>SYF</t>
  </si>
  <si>
    <t>Synchrony Financial</t>
  </si>
  <si>
    <t>NYSE:SYF</t>
  </si>
  <si>
    <t>🔥 FRESH CROSS 🔋 Squeeze (0.47)</t>
  </si>
  <si>
    <t>SXT</t>
  </si>
  <si>
    <t>Sensient Technologies Corporation</t>
  </si>
  <si>
    <t>NYSE:SXT</t>
  </si>
  <si>
    <t>TXN</t>
  </si>
  <si>
    <t>Texas Instruments Incorporated</t>
  </si>
  <si>
    <t>NASDAQ:TXN</t>
  </si>
  <si>
    <t>AX</t>
  </si>
  <si>
    <t>Axos Financial, Inc.</t>
  </si>
  <si>
    <t>NYSE:AX</t>
  </si>
  <si>
    <t>🔥 FRESH CROSS 🚀 Vol 2.9x</t>
  </si>
  <si>
    <t>🔥 FRESH CROSS 🔋 Squeeze (0.47) 💪 Strong Trend (41)</t>
  </si>
  <si>
    <t>CBU</t>
  </si>
  <si>
    <t>Community Financial System, Inc.</t>
  </si>
  <si>
    <t>NYSE:CBU</t>
  </si>
  <si>
    <t>XPEL</t>
  </si>
  <si>
    <t>XPEL, Inc.</t>
  </si>
  <si>
    <t>NASDAQ:XPEL</t>
  </si>
  <si>
    <t>🔥 FRESH CROSS 🚀 Vol 9.5x</t>
  </si>
  <si>
    <t>FERG</t>
  </si>
  <si>
    <t>Ferguson Enterprises Inc.</t>
  </si>
  <si>
    <t>NYSE:FERG</t>
  </si>
  <si>
    <t>AVGO</t>
  </si>
  <si>
    <t>Broadcom Inc.</t>
  </si>
  <si>
    <t>NASDAQ:AVGO</t>
  </si>
  <si>
    <t>🔥 FRESH CROSS 🔋 Squeeze (0.37)</t>
  </si>
  <si>
    <t>LEVI</t>
  </si>
  <si>
    <t>Levi Strauss &amp; Co</t>
  </si>
  <si>
    <t>NYSE:LEVI</t>
  </si>
  <si>
    <t>🔥 FRESH CROSS 🚀 Vol 3.9x</t>
  </si>
  <si>
    <t>NEOG</t>
  </si>
  <si>
    <t>Neogen Corporation</t>
  </si>
  <si>
    <t>NASDAQ:NEOG</t>
  </si>
  <si>
    <t>🔥 FRESH CROSS 🔋 Squeeze (0.14) 💪 Strong Trend (43)</t>
  </si>
  <si>
    <t>🔥 FRESH CROSS 🔋 Squeeze (0.53)</t>
  </si>
  <si>
    <t>CNI</t>
  </si>
  <si>
    <t>Canadian National Railway Company</t>
  </si>
  <si>
    <t>NYSE:CNI</t>
  </si>
  <si>
    <t>RNST</t>
  </si>
  <si>
    <t>Renasant Corporation</t>
  </si>
  <si>
    <t>NYSE:RNST</t>
  </si>
  <si>
    <t>PCG</t>
  </si>
  <si>
    <t>Pacific Gas &amp; Electric Co.</t>
  </si>
  <si>
    <t>NYSE:PCG</t>
  </si>
  <si>
    <t>✨ Recent Cross 🔋 Squeeze (0.70)</t>
  </si>
  <si>
    <t>PIPR</t>
  </si>
  <si>
    <t>Piper Sandler Companies</t>
  </si>
  <si>
    <t>NYSE:PIPR</t>
  </si>
  <si>
    <t>EVR</t>
  </si>
  <si>
    <t>Evercore Inc.</t>
  </si>
  <si>
    <t>NYSE:EVR</t>
  </si>
  <si>
    <t>✨ Recent Cross 🔋 Squeeze (0.17) 💪 Strong Trend (67)</t>
  </si>
  <si>
    <t>UCB</t>
  </si>
  <si>
    <t>United Community Banks, Inc.</t>
  </si>
  <si>
    <t>NYSE:UCB</t>
  </si>
  <si>
    <t>ATMU</t>
  </si>
  <si>
    <t>Atmus Filtration Technologies Inc.</t>
  </si>
  <si>
    <t>NYSE:ATMU</t>
  </si>
  <si>
    <t>✨ Recent Cross 🚀 Vol 13.6x 💥 Expanding Vol</t>
  </si>
  <si>
    <t>ANIP</t>
  </si>
  <si>
    <t>ANI Pharmaceuticals, Inc.</t>
  </si>
  <si>
    <t>NASDAQ:ANIP</t>
  </si>
  <si>
    <t>PFS</t>
  </si>
  <si>
    <t>Provident Financial Services, Inc</t>
  </si>
  <si>
    <t>NYSE:PFS</t>
  </si>
  <si>
    <t>ALLY</t>
  </si>
  <si>
    <t>Ally Financial Inc.</t>
  </si>
  <si>
    <t>NYSE:ALLY</t>
  </si>
  <si>
    <t>HMN</t>
  </si>
  <si>
    <t>Horace Mann Educators Corporation</t>
  </si>
  <si>
    <t>NYSE:HMN</t>
  </si>
  <si>
    <t>NUE</t>
  </si>
  <si>
    <t>Nucor Corporation</t>
  </si>
  <si>
    <t>NYSE:NUE</t>
  </si>
  <si>
    <t>🔋 Squeeze (0.45)</t>
  </si>
  <si>
    <t>VIK</t>
  </si>
  <si>
    <t>Viking Holdings Ltd</t>
  </si>
  <si>
    <t>NYSE:VIK</t>
  </si>
  <si>
    <t>FHB</t>
  </si>
  <si>
    <t>First Hawaiian, Inc.</t>
  </si>
  <si>
    <t>NASDAQ:FHB</t>
  </si>
  <si>
    <t>CTOS</t>
  </si>
  <si>
    <t>Custom Truck One Source, Inc.</t>
  </si>
  <si>
    <t>NYSE:CTOS</t>
  </si>
  <si>
    <t>CUBI</t>
  </si>
  <si>
    <t>Customers Bancorp, Inc</t>
  </si>
  <si>
    <t>NYSE:CUBI</t>
  </si>
  <si>
    <t>ADI</t>
  </si>
  <si>
    <t>Analog Devices, Inc.</t>
  </si>
  <si>
    <t>NASDAQ:ADI</t>
  </si>
  <si>
    <t>BATRK</t>
  </si>
  <si>
    <t>Atlanta Braves Holdings, Inc. - Series C</t>
  </si>
  <si>
    <t>NASDAQ:BATRK</t>
  </si>
  <si>
    <t>🔋 Squeeze (0.29)</t>
  </si>
  <si>
    <t>ZION</t>
  </si>
  <si>
    <t>Zions Bancorporation N.A.</t>
  </si>
  <si>
    <t>NASDAQ:ZION</t>
  </si>
  <si>
    <t>UBSI</t>
  </si>
  <si>
    <t>United Bankshares, Inc.</t>
  </si>
  <si>
    <t>NASDAQ:UBSI</t>
  </si>
  <si>
    <t>AROC</t>
  </si>
  <si>
    <t>Archrock, Inc.</t>
  </si>
  <si>
    <t>NYSE:AROC</t>
  </si>
  <si>
    <t>ITT</t>
  </si>
  <si>
    <t>ITT Inc.</t>
  </si>
  <si>
    <t>NYSE:ITT</t>
  </si>
  <si>
    <t>R</t>
  </si>
  <si>
    <t>Ryder System, Inc.</t>
  </si>
  <si>
    <t>NYSE:R</t>
  </si>
  <si>
    <t>CBAN</t>
  </si>
  <si>
    <t>Colony Bankcorp, Inc.</t>
  </si>
  <si>
    <t>NYSE:CBAN</t>
  </si>
  <si>
    <t>ATO</t>
  </si>
  <si>
    <t>Atmos Energy Corporation</t>
  </si>
  <si>
    <t>NYSE:ATO</t>
  </si>
  <si>
    <t>🔥 FRESH CROSS 🔋 Squeeze (0.13) 💪 Strong Trend (44)</t>
  </si>
  <si>
    <t>UMBF</t>
  </si>
  <si>
    <t>UMB Financial Corporation</t>
  </si>
  <si>
    <t>NASDAQ:UMBF</t>
  </si>
  <si>
    <t>✨ Recent Cross 🔋 Squeeze (0.69)</t>
  </si>
  <si>
    <t>FBK</t>
  </si>
  <si>
    <t>FB Financial Corporation</t>
  </si>
  <si>
    <t>NYSE:FBK</t>
  </si>
  <si>
    <t>INDB</t>
  </si>
  <si>
    <t>Independent Bank Corp.</t>
  </si>
  <si>
    <t>NASDAQ:INDB</t>
  </si>
  <si>
    <t>PWP</t>
  </si>
  <si>
    <t>Perella Weinberg Partners</t>
  </si>
  <si>
    <t>NASDAQ:PWP</t>
  </si>
  <si>
    <t>REZI</t>
  </si>
  <si>
    <t>Resideo Technologies, Inc.</t>
  </si>
  <si>
    <t>NYSE:REZI</t>
  </si>
  <si>
    <t>CTS</t>
  </si>
  <si>
    <t>CTS Corporation</t>
  </si>
  <si>
    <t>NYSE:CTS</t>
  </si>
  <si>
    <t>🚀 Vol 4.1x</t>
  </si>
  <si>
    <t>WHD</t>
  </si>
  <si>
    <t>Cactus, Inc. Class A Common Stock</t>
  </si>
  <si>
    <t>NYSE:WHD</t>
  </si>
  <si>
    <t>🚀 Vol 4.2x</t>
  </si>
  <si>
    <t>ABCB</t>
  </si>
  <si>
    <t>Ameris Bancorp</t>
  </si>
  <si>
    <t>NYSE:ABCB</t>
  </si>
  <si>
    <t>BB</t>
  </si>
  <si>
    <t>BlackBerry Limited</t>
  </si>
  <si>
    <t>NYSE:BB</t>
  </si>
  <si>
    <t>TRV</t>
  </si>
  <si>
    <t>The Travelers Companies, Inc.</t>
  </si>
  <si>
    <t>NYSE:TRV</t>
  </si>
  <si>
    <t>🔥 FRESH CROSS 🚀 Vol 22.3x 💪 Strong Trend (44)</t>
  </si>
  <si>
    <t>🔥 FRESH CROSS 🚀 Vol 2.3x 🔋 Squeeze (0.13) 💪 Strong Trend (44)</t>
  </si>
  <si>
    <t>CRH</t>
  </si>
  <si>
    <t>CRH PLC</t>
  </si>
  <si>
    <t>NYSE:CRH</t>
  </si>
  <si>
    <t>ONB</t>
  </si>
  <si>
    <t>Old National Bancorp</t>
  </si>
  <si>
    <t>NASDAQ:ONB</t>
  </si>
  <si>
    <t>DY</t>
  </si>
  <si>
    <t>Dycom Industries, Inc.</t>
  </si>
  <si>
    <t>NYSE:DY</t>
  </si>
  <si>
    <t>OGN</t>
  </si>
  <si>
    <t>Organon &amp; Co.</t>
  </si>
  <si>
    <t>NYSE:OGN</t>
  </si>
  <si>
    <t>🚀 Vol 9.7x</t>
  </si>
  <si>
    <t>Expiration</t>
  </si>
  <si>
    <t>TopWallStrike</t>
  </si>
  <si>
    <t>TopWallOI</t>
  </si>
  <si>
    <t>TopWallType</t>
  </si>
  <si>
    <t>PctAway</t>
  </si>
  <si>
    <t>WallSummary</t>
  </si>
  <si>
    <t>TotalNearbyOI</t>
  </si>
  <si>
    <t>WallPosition</t>
  </si>
  <si>
    <t>FITB</t>
  </si>
  <si>
    <t>Fifth Third Bancorp</t>
  </si>
  <si>
    <t>CALL</t>
  </si>
  <si>
    <t>↓C$50.0(28,783) | ↓P$50.0(1,576)</t>
  </si>
  <si>
    <t>NASDAQ:FITB</t>
  </si>
  <si>
    <t>BELOW</t>
  </si>
  <si>
    <t>AMD</t>
  </si>
  <si>
    <t>Advanced Micro Devices, Inc.</t>
  </si>
  <si>
    <t>↓C$250.0(5,456) | ↓P$250.0(4,771) | ↑C$255.0(4,105)</t>
  </si>
  <si>
    <t>NASDAQ:AMD</t>
  </si>
  <si>
    <t>KO</t>
  </si>
  <si>
    <t>Coca-Cola Company (The)</t>
  </si>
  <si>
    <t>↑C$73.0(7,867) | ↑C$74.0(5,422) | ↓C$72.0(3,955)</t>
  </si>
  <si>
    <t>NYSE:KO</t>
  </si>
  <si>
    <t>ABOVE</t>
  </si>
  <si>
    <t>FCX</t>
  </si>
  <si>
    <t>Freeport-McMoRan, Inc.</t>
  </si>
  <si>
    <t>↓C$60.0(5,123) | ↑C$62.0(4,136) | ↓P$60.0(2,082)</t>
  </si>
  <si>
    <t>NYSE:FCX</t>
  </si>
  <si>
    <t>WMT</t>
  </si>
  <si>
    <t>Walmart Inc.</t>
  </si>
  <si>
    <t>PUT</t>
  </si>
  <si>
    <t>↓P$117.0(3,681) | ↑C$118.0(2,579) | ↓C$117.0(2,480)</t>
  </si>
  <si>
    <t>NASDAQ:WMT</t>
  </si>
  <si>
    <t>MU</t>
  </si>
  <si>
    <t>Micron Technology, Inc.</t>
  </si>
  <si>
    <t>↑P$390.0(2,405) | ↑C$390.0(1,929) | ↓P$385.0(1,496)</t>
  </si>
  <si>
    <t>NASDAQ:MU</t>
  </si>
  <si>
    <t>CVX</t>
  </si>
  <si>
    <t>Chevron Corporation</t>
  </si>
  <si>
    <t>↑C$170.0(4,898) | ↓C$165.0(2,581) | ↓C$167.5(1,981)</t>
  </si>
  <si>
    <t>NYSE:CVX</t>
  </si>
  <si>
    <t>XOM</t>
  </si>
  <si>
    <t>Exxon Mobil Corporation</t>
  </si>
  <si>
    <t>↑C$135.0(5,071) | ↑C$137.0(2,738) | ↓C$134.0(1,020)</t>
  </si>
  <si>
    <t>NYSE:XOM</t>
  </si>
  <si>
    <t>STLD</t>
  </si>
  <si>
    <t>Steel Dynamics, Inc.</t>
  </si>
  <si>
    <t>↑C$175.0(6,519) | ↑P$175.0(1,077)</t>
  </si>
  <si>
    <t>NASDAQ:STLD</t>
  </si>
  <si>
    <t>EPD</t>
  </si>
  <si>
    <t>Enterprise Products Partners L.P.</t>
  </si>
  <si>
    <t>↑C$33.5(3,814) | ↓C$33.0(1,574)</t>
  </si>
  <si>
    <t>NYSE:EPD</t>
  </si>
  <si>
    <t>COHR</t>
  </si>
  <si>
    <t>Coherent Corp.</t>
  </si>
  <si>
    <t>↑C$200.0(2,864) | ↓P$197.5(1,906)</t>
  </si>
  <si>
    <t>NYSE:COHR</t>
  </si>
  <si>
    <t>CNP</t>
  </si>
  <si>
    <t>CenterPoint Energy, Inc (Holding Co)</t>
  </si>
  <si>
    <t>↑C$40.0(4,472)</t>
  </si>
  <si>
    <t>NYSE:CNP</t>
  </si>
  <si>
    <t>NEE</t>
  </si>
  <si>
    <t>NextEra Energy, Inc.</t>
  </si>
  <si>
    <t>↓C$85.0(1,265) | ↑C$87.0(1,234) | ↓C$84.0(1,165)</t>
  </si>
  <si>
    <t>NYSE:NEE</t>
  </si>
  <si>
    <t>↓C$46.0(2,232) | ↑C$47.0(1,026)</t>
  </si>
  <si>
    <t>NEM</t>
  </si>
  <si>
    <t>Newmont Corporation</t>
  </si>
  <si>
    <t>↓C$124.0(2,972)</t>
  </si>
  <si>
    <t>NYSE:NEM</t>
  </si>
  <si>
    <t>↓P$302.5(1,507) | ↓P$300.0(1,383)</t>
  </si>
  <si>
    <t>AMKR</t>
  </si>
  <si>
    <t>Amkor Technology, Inc.</t>
  </si>
  <si>
    <t>↓P$50.0(2,783)</t>
  </si>
  <si>
    <t>NASDAQ:AMKR</t>
  </si>
  <si>
    <t>DD</t>
  </si>
  <si>
    <t>DuPont de Nemours, Inc.</t>
  </si>
  <si>
    <t>↑C$45.0(2,344)</t>
  </si>
  <si>
    <t>NYSE:DD</t>
  </si>
  <si>
    <t>RF</t>
  </si>
  <si>
    <t>Regions Financial Corporation</t>
  </si>
  <si>
    <t>↑C$28.0(2,216)</t>
  </si>
  <si>
    <t>NYSE:RF</t>
  </si>
  <si>
    <t>VLO</t>
  </si>
  <si>
    <t>Valero Energy Corporation</t>
  </si>
  <si>
    <t>↑C$185.0(1,077) | ↑P$185.0(1,029)</t>
  </si>
  <si>
    <t>NYSE:VLO</t>
  </si>
  <si>
    <t>AMAT</t>
  </si>
  <si>
    <t>Applied Materials, Inc.</t>
  </si>
  <si>
    <t>↓P$315.0(1,868)</t>
  </si>
  <si>
    <t>NASDAQ:AMAT</t>
  </si>
  <si>
    <t>AME</t>
  </si>
  <si>
    <t>AMETEK, Inc.</t>
  </si>
  <si>
    <t>↑C$220.0(1,802)</t>
  </si>
  <si>
    <t>NYSE:AME</t>
  </si>
  <si>
    <t>JNJ</t>
  </si>
  <si>
    <t>Johnson &amp; Johnson</t>
  </si>
  <si>
    <t>↓P$217.5(1,703)</t>
  </si>
  <si>
    <t>NYSE:JNJ</t>
  </si>
  <si>
    <t>CHRW</t>
  </si>
  <si>
    <t>C.H. Robinson Worldwide, Inc.</t>
  </si>
  <si>
    <t>↓C$175.0(1,696)</t>
  </si>
  <si>
    <t>NASDAQ:CHRW</t>
  </si>
  <si>
    <t>LRCX</t>
  </si>
  <si>
    <t>Lam Research Corporation</t>
  </si>
  <si>
    <t>↓C$220.0(1,641)</t>
  </si>
  <si>
    <t>NASDAQ:LRCX</t>
  </si>
  <si>
    <t>APLD</t>
  </si>
  <si>
    <t>Applied Digital Corporation</t>
  </si>
  <si>
    <t>↓C$36.0(1,624)</t>
  </si>
  <si>
    <t>NASDAQ:APLD</t>
  </si>
  <si>
    <t>↓P$24.0(1,327)</t>
  </si>
  <si>
    <t>↓C$175.0(1,305)</t>
  </si>
  <si>
    <t>AEP</t>
  </si>
  <si>
    <t>American Electric Power Company, Inc.</t>
  </si>
  <si>
    <t>↑C$120.0(1,280)</t>
  </si>
  <si>
    <t>NASDAQ:AEP</t>
  </si>
  <si>
    <t>UEC</t>
  </si>
  <si>
    <t>Uranium Energy Corp.</t>
  </si>
  <si>
    <t>↓C$18.0(1,267)</t>
  </si>
  <si>
    <t>AMEX:UEC</t>
  </si>
  <si>
    <t>APH</t>
  </si>
  <si>
    <t>Amphenol Corporation</t>
  </si>
  <si>
    <t>↓C$155.0(1,255)</t>
  </si>
  <si>
    <t>NYSE:APH</t>
  </si>
  <si>
    <t>LSCC</t>
  </si>
  <si>
    <t>Lattice Semiconductor Corporation</t>
  </si>
  <si>
    <t>↑C$85.0(1,253)</t>
  </si>
  <si>
    <t>NASDAQ:LSCC</t>
  </si>
  <si>
    <t>MNST</t>
  </si>
  <si>
    <t>Monster Beverage Corporation</t>
  </si>
  <si>
    <t>↑C$82.5(1,144)</t>
  </si>
  <si>
    <t>NASDAQ:MNST</t>
  </si>
  <si>
    <t>MS</t>
  </si>
  <si>
    <t>Morgan Stanley</t>
  </si>
  <si>
    <t>↑C$182.5(1,124)</t>
  </si>
  <si>
    <t>NYSE:MS</t>
  </si>
  <si>
    <t>↑C$77.5(1,106)</t>
  </si>
  <si>
    <t>HL</t>
  </si>
  <si>
    <t>Hecla Mining Company</t>
  </si>
  <si>
    <t>↑P$30.5(1,081)</t>
  </si>
  <si>
    <t>NYSE:HL</t>
  </si>
  <si>
    <t>↓P$64.0(1,080)</t>
  </si>
  <si>
    <t>↑C$100.0(1,049)</t>
  </si>
  <si>
    <t>↓C$250.0(1,039)</t>
  </si>
  <si>
    <t>EAT</t>
  </si>
  <si>
    <t>Brinker International, Inc.</t>
  </si>
  <si>
    <t>↑C$160.0(1,012)</t>
  </si>
  <si>
    <t>NYSE:EAT</t>
  </si>
  <si>
    <t>↓C$50.0(28,768) | ↓P$50.0(1,651)</t>
  </si>
  <si>
    <t>↓C$250.0(6,337) | ↓P$250.0(6,119) | ↑C$255.0(5,462)</t>
  </si>
  <si>
    <t>↓C$73.0(8,523) | ↑C$74.0(5,793) | ↓C$72.0(3,838)</t>
  </si>
  <si>
    <t>↑P$117.0(4,547) | ↑C$118.0(3,290) | ↓P$115.0(3,040)</t>
  </si>
  <si>
    <t>↑C$63.0(5,041) | ↓P$62.0(4,039) | ↓C$62.0(2,626)</t>
  </si>
  <si>
    <t>↓C$135.0(5,058) | ↑C$137.0(2,713) | ↓C$136.0(1,123)</t>
  </si>
  <si>
    <t>↑C$33.5(4,217) | ↓P$33.0(1,872) | ↓C$33.0(1,655)</t>
  </si>
  <si>
    <t>↑C$170.0(6,320) | ↓C$167.5(2,116)</t>
  </si>
  <si>
    <t>↓C$410.0(3,153) | ↓C$405.0(2,389) | ↑C$415.0(2,030)</t>
  </si>
  <si>
    <t>↓C$175.0(6,451) | ↓P$175.0(1,081)</t>
  </si>
  <si>
    <t>↑C$41.0(3,792) | ↑C$41.5(1,072)</t>
  </si>
  <si>
    <t>↑C$40.0(4,474)</t>
  </si>
  <si>
    <t>↓C$237.5(1,350) | ↑C$242.5(1,179) | ↑C$240.0(1,117)</t>
  </si>
  <si>
    <t>AMGN</t>
  </si>
  <si>
    <t>Amgen Inc.</t>
  </si>
  <si>
    <t>↑C$350.0(1,819) | ↑C$355.0(1,677)</t>
  </si>
  <si>
    <t>NASDAQ:AMGN</t>
  </si>
  <si>
    <t>↓P$302.5(1,575) | ↓P$300.0(1,388)</t>
  </si>
  <si>
    <t>↑C$48.0(1,868) | ↓C$47.0(1,033)</t>
  </si>
  <si>
    <t>↓P$50.0(2,786)</t>
  </si>
  <si>
    <t>↓C$330.0(1,779) | ↓C$327.5(1,001)</t>
  </si>
  <si>
    <t>↓C$86.0(1,404) | ↓C$87.0(1,269)</t>
  </si>
  <si>
    <t>WDC</t>
  </si>
  <si>
    <t>Western Digital Corporation</t>
  </si>
  <si>
    <t>↑C$252.5(1,283) | ↓C$250.0(1,211)</t>
  </si>
  <si>
    <t>NASDAQ:WDC</t>
  </si>
  <si>
    <t>↑C$45.0(2,337)</t>
  </si>
  <si>
    <t>↑C$28.0(2,293)</t>
  </si>
  <si>
    <t>↑C$10.0(2,051)</t>
  </si>
  <si>
    <t>USB</t>
  </si>
  <si>
    <t>U.S. Bancorp</t>
  </si>
  <si>
    <t>↑C$57.0(1,890)</t>
  </si>
  <si>
    <t>NYSE:USB</t>
  </si>
  <si>
    <t>↑C$175.0(1,299)</t>
  </si>
  <si>
    <t>↓C$85.0(1,272)</t>
  </si>
  <si>
    <t>↑C$120.0(1,271)</t>
  </si>
  <si>
    <t>↓C$182.5(1,232)</t>
  </si>
  <si>
    <t>↑C$100.0(1,187)</t>
  </si>
  <si>
    <t>↑C$82.5(1,173)</t>
  </si>
  <si>
    <t>↑C$185.0(1,148)</t>
  </si>
  <si>
    <t>↑C$45.0(1,095)</t>
  </si>
  <si>
    <t>PM</t>
  </si>
  <si>
    <t>Philip Morris International Inc</t>
  </si>
  <si>
    <t>↑C$180.0(1,055)</t>
  </si>
  <si>
    <t>NYSE:PM</t>
  </si>
  <si>
    <t>↑C$160.0(1,013)</t>
  </si>
  <si>
    <t>↓P$250.0(7,176) | ↓C$250.0(6,287) | ↑C$255.0(5,534)</t>
  </si>
  <si>
    <t>↑C$50.0(28,727) | ↑P$50.0(1,863) | ↓P$49.0(1,508)</t>
  </si>
  <si>
    <t>↑C$73.0(8,158) | ↑C$74.0(7,535) | ↓C$72.0(3,755)</t>
  </si>
  <si>
    <t>↓P$115.0(4,016) | ↑P$117.0(3,828) | ↑C$117.0(3,027)</t>
  </si>
  <si>
    <t>↓C$40.0(6,711) | ↑C$41.0(3,720) | ↓P$40.0(2,469)</t>
  </si>
  <si>
    <t>↑C$34.0(4,785) | ↑C$33.5(4,012) | ↓P$33.0(1,877)</t>
  </si>
  <si>
    <t>↓C$135.0(5,085) | ↓C$137.0(2,869) | ↑C$140.0(1,736)</t>
  </si>
  <si>
    <t>↑C$170.0(6,252) | ↓C$167.5(2,103) | ↑C$172.5(1,567)</t>
  </si>
  <si>
    <t>↑C$133.0(5,282) | ↑C$132.0(3,388)</t>
  </si>
  <si>
    <t>↓C$78.0(2,974) | ↑C$80.0(2,681) | ↑C$79.0(2,333)</t>
  </si>
  <si>
    <t>↓C$430.0(2,815) | ↑C$440.0(2,686) | ↑C$435.0(2,336)</t>
  </si>
  <si>
    <t>↓C$63.0(5,266) | ↑C$64.0(2,419)</t>
  </si>
  <si>
    <t>GLW</t>
  </si>
  <si>
    <t>Corning Incorporated</t>
  </si>
  <si>
    <t>↑C$105.0(2,795) | ↑P$105.0(1,779)</t>
  </si>
  <si>
    <t>NYSE:GLW</t>
  </si>
  <si>
    <t>↓C$237.5(1,567) | ↑C$240.0(1,447) | ↑C$242.5(1,360)</t>
  </si>
  <si>
    <t>↑P$27.5(2,435) | ↓C$27.0(1,045)</t>
  </si>
  <si>
    <t>↑C$48.0(2,064) | ↓C$47.0(1,032)</t>
  </si>
  <si>
    <t>↓C$87.0(1,438) | ↓C$86.0(1,427)</t>
  </si>
  <si>
    <t>STX</t>
  </si>
  <si>
    <t>Seagate Technology Holdings PLC</t>
  </si>
  <si>
    <t>↑C$450.0(1,365) | ↓C$440.0(1,054)</t>
  </si>
  <si>
    <t>NASDAQ:STX</t>
  </si>
  <si>
    <t>↑C$45.0(2,349)</t>
  </si>
  <si>
    <t>↑C$28.0(2,300)</t>
  </si>
  <si>
    <t>CTSH</t>
  </si>
  <si>
    <t>Cognizant Technology Solutions Corporation</t>
  </si>
  <si>
    <t>↓P$82.5(1,993)</t>
  </si>
  <si>
    <t>NASDAQ:CTSH</t>
  </si>
  <si>
    <t>↓C$315.0(1,781)</t>
  </si>
  <si>
    <t>↓C$9.5(1,775)</t>
  </si>
  <si>
    <t>RMBS</t>
  </si>
  <si>
    <t>Rambus, Inc.</t>
  </si>
  <si>
    <t>↑C$125.0(1,572)</t>
  </si>
  <si>
    <t>NASDAQ:RMBS</t>
  </si>
  <si>
    <t>↑C$340.0(1,569)</t>
  </si>
  <si>
    <t>↓P$57.5(1,485)</t>
  </si>
  <si>
    <t>↑C$182.5(1,370)</t>
  </si>
  <si>
    <t>↓P$24.0(1,323)</t>
  </si>
  <si>
    <t>↑C$175.0(1,301)</t>
  </si>
  <si>
    <t>↓C$220.0(1,294)</t>
  </si>
  <si>
    <t>↑C$85.0(1,290)</t>
  </si>
  <si>
    <t>↑C$120.0(1,255)</t>
  </si>
  <si>
    <t>PKG</t>
  </si>
  <si>
    <t>Packaging Corporation of America</t>
  </si>
  <si>
    <t>↑P$220.0(1,246)</t>
  </si>
  <si>
    <t>NYSE:PKG</t>
  </si>
  <si>
    <t>↑C$100.0(1,246)</t>
  </si>
  <si>
    <t>↑C$45.0(1,104)</t>
  </si>
  <si>
    <t>↑C$180.0(1,049)</t>
  </si>
  <si>
    <t>RTX</t>
  </si>
  <si>
    <t>RTX Corporation</t>
  </si>
  <si>
    <t>↑C$200.0(1,023)</t>
  </si>
  <si>
    <t>NYSE:RTX</t>
  </si>
  <si>
    <t>↓C$73.0(8,158) | ↑C$74.0(7,535) | ↓C$72.0(3,755)</t>
  </si>
  <si>
    <t>↓C$430.0(2,815) | ↑C$440.0(2,686) | ↓C$435.0(2,336)</t>
  </si>
  <si>
    <t>↑C$175.0(6,449) | ↑P$175.0(1,076)</t>
  </si>
  <si>
    <t>↓C$220.0(1,801)</t>
  </si>
  <si>
    <t>↑C$82.5(1,231)</t>
  </si>
  <si>
    <t>DOV</t>
  </si>
  <si>
    <t>Dover Corporation</t>
  </si>
  <si>
    <t>↑C$210.0(1,217)</t>
  </si>
  <si>
    <t>NYSE:DOV</t>
  </si>
  <si>
    <t>↓P$250.0(7,094) | ↓C$250.0(5,938) | ↑C$255.0(5,830)</t>
  </si>
  <si>
    <t>↑C$50.0(28,732) | ↑P$50.0(1,699) | ↓P$49.0(1,508)</t>
  </si>
  <si>
    <t>↓P$115.0(4,284) | ↓P$117.0(3,910) | ↓C$117.0(3,595)</t>
  </si>
  <si>
    <t>↑C$440.0(3,646) | ↓P$430.0(3,474) | ↓C$430.0(3,293)</t>
  </si>
  <si>
    <t>↓C$73.0(8,099) | ↑C$74.0(8,007)</t>
  </si>
  <si>
    <t>↑C$80.0(5,172) | ↓C$78.0(2,913) | ↑C$79.0(2,395)</t>
  </si>
  <si>
    <t>↑C$29.0(6,499) | ↓C$28.0(2,401)</t>
  </si>
  <si>
    <t>↓C$34.0(4,516) | ↓C$33.5(3,570)</t>
  </si>
  <si>
    <t>↓C$170.0(6,302) | ↑C$172.5(1,396)</t>
  </si>
  <si>
    <t>↓C$140.0(5,048) | ↓C$139.0(1,055) | ↓C$138.0(1,048)</t>
  </si>
  <si>
    <t>↑P$104.0(5,119)</t>
  </si>
  <si>
    <t>↑P$38.0(1,972) | ↑C$38.0(1,516) | ↓P$37.5(1,063)</t>
  </si>
  <si>
    <t>↓C$64.0(2,306) | ↑C$65.0(2,112)</t>
  </si>
  <si>
    <t>↑C$150.0(1,645) | ↑P$150.0(1,565)</t>
  </si>
  <si>
    <t>↑C$48.0(2,066) | ↓C$47.0(1,032)</t>
  </si>
  <si>
    <t>↑C$250.0(2,667)</t>
  </si>
  <si>
    <t>↑C$340.0(1,413) | ↑C$345.0(1,185)</t>
  </si>
  <si>
    <t>↓C$87.0(1,445) | ↑C$90.0(1,048)</t>
  </si>
  <si>
    <t>↑C$45.0(2,348)</t>
  </si>
  <si>
    <t>↑P$50.0(2,062)</t>
  </si>
  <si>
    <t>↓P$8.0(2,046)</t>
  </si>
  <si>
    <t>↓C$190.0(1,961)</t>
  </si>
  <si>
    <t>↓C$124.0(1,821)</t>
  </si>
  <si>
    <t>↑C$57.0(1,777)</t>
  </si>
  <si>
    <t>↑C$120.0(1,712)</t>
  </si>
  <si>
    <t>↓C$315.0(1,712)</t>
  </si>
  <si>
    <t>↓P$26.0(1,597)</t>
  </si>
  <si>
    <t>↑C$182.5(1,576)</t>
  </si>
  <si>
    <t>↓C$450.0(1,427)</t>
  </si>
  <si>
    <t>↑C$120.0(1,250)</t>
  </si>
  <si>
    <t>↑C$230.0(1,198)</t>
  </si>
  <si>
    <t>↑C$185.0(1,112)</t>
  </si>
  <si>
    <t>↑C$45.0(1,105)</t>
  </si>
  <si>
    <t>↑C$180.0(1,100)</t>
  </si>
  <si>
    <t>↑C$200.0(1,005)</t>
  </si>
  <si>
    <t>↑C$50.0(28,739) | ↑P$50.0(1,681) | ↓P$49.0(1,507)</t>
  </si>
  <si>
    <t>↓P$240.0(8,644) | ↑P$245.0(4,392) | ↑P$242.5(4,365)</t>
  </si>
  <si>
    <t>↑C$440.0(4,862) | ↑C$435.0(4,351) | ↓P$430.0(3,497)</t>
  </si>
  <si>
    <t>↑C$120.0(4,704) | ↓P$117.0(3,842) | ↓C$118.0(3,101)</t>
  </si>
  <si>
    <t>↑C$74.0(8,271) | ↓C$73.0(6,369) | ↑C$75.0(4,829)</t>
  </si>
  <si>
    <t>↓P$137.0(5,050) | ↑C$140.0(3,902) | ↓C$137.0(2,745)</t>
  </si>
  <si>
    <t>↓P$60.0(7,499) | ↑P$61.0(4,941) | ↓C$60.0(4,389)</t>
  </si>
  <si>
    <t>↑C$80.0(5,127) | ↓C$78.0(2,941) | ↑C$79.0(2,397)</t>
  </si>
  <si>
    <t>↓P$35.0(3,793) | ↓C$35.0(2,740) | ↑P$36.0(2,561)</t>
  </si>
  <si>
    <t>↑C$120.0(9,098) | ↑P$120.0(1,704)</t>
  </si>
  <si>
    <t>↓C$105.0(3,736) | ↓P$105.0(1,416) | ↓P$104.0(1,358)</t>
  </si>
  <si>
    <t>↑C$175.0(4,010) | ↓C$172.5(2,000)</t>
  </si>
  <si>
    <t>↓P$85.0(1,732) | ↑C$87.0(1,427) | ↓C$86.0(1,363)</t>
  </si>
  <si>
    <t>↓C$55.0(5,495)</t>
  </si>
  <si>
    <t>↓C$252.5(1,360) | ↓P$250.0(1,148) | ↓C$250.0(1,012)</t>
  </si>
  <si>
    <t>↓C$240.0(1,722) | ↑C$242.5(1,373)</t>
  </si>
  <si>
    <t>↓P$33.0(1,974) | ↓P$32.5(1,100)</t>
  </si>
  <si>
    <t>↑C$182.5(1,916) | ↓P$177.5(1,043)</t>
  </si>
  <si>
    <t>↑C$150.0(1,578) | ↑P$150.0(1,321)</t>
  </si>
  <si>
    <t>↓C$28.0(2,482)</t>
  </si>
  <si>
    <t>↓C$185.0(2,453)</t>
  </si>
  <si>
    <t>↓P$420.0(1,616)</t>
  </si>
  <si>
    <t>↓C$330.0(1,230)</t>
  </si>
  <si>
    <t>↑C$185.0(1,138)</t>
  </si>
  <si>
    <t>GILD</t>
  </si>
  <si>
    <t>Gilead Sciences, Inc.</t>
  </si>
  <si>
    <t>↓P$139.0(1,106)</t>
  </si>
  <si>
    <t>NASDAQ:GILD</t>
  </si>
  <si>
    <t>↑P$240.0(8,644) | ↓P$232.5(5,436) | ↓P$235.0(4,471)</t>
  </si>
  <si>
    <t>↓P$410.0(3,223) | ↑C$420.0(3,069) | ↓P$415.0(2,803)</t>
  </si>
  <si>
    <t>↓C$74.0(8,271) | ↑C$75.0(4,829)</t>
  </si>
  <si>
    <t>↓C$140.0(3,902) | ↓C$141.0(1,758) | ↑C$142.0(1,258)</t>
  </si>
  <si>
    <t>↑C$29.0(6,510) | ↓C$28.0(2,482)</t>
  </si>
  <si>
    <t>↑C$105.0(3,736) | ↑P$105.0(1,416) | ↑P$104.0(1,358)</t>
  </si>
  <si>
    <t>↓P$34.0(2,134) | ↑P$34.5(1,390) | ↓C$34.0(1,353)</t>
  </si>
  <si>
    <t>↓C$230.0(3,640) | ↓P$230.0(1,583)</t>
  </si>
  <si>
    <t>↑P$245.0(3,684) | ↓P$240.0(1,002)</t>
  </si>
  <si>
    <t>↓C$175.0(4,010)</t>
  </si>
  <si>
    <t>↓C$207.5(2,307)</t>
  </si>
  <si>
    <t>↑C$48.0(2,066)</t>
  </si>
  <si>
    <t>↓P$33.0(1,974)</t>
  </si>
  <si>
    <t>↑C$182.5(1,916)</t>
  </si>
  <si>
    <t>↑C$57.0(1,859)</t>
  </si>
  <si>
    <t>↑P$145.0(1,722)</t>
  </si>
  <si>
    <t>↑C$315.0(1,707)</t>
  </si>
  <si>
    <t>↑P$22.5(1,597)</t>
  </si>
  <si>
    <t>↓P$17.0(1,559)</t>
  </si>
  <si>
    <t>↓C$87.0(1,427)</t>
  </si>
  <si>
    <t>↓C$190.0(1,294)</t>
  </si>
  <si>
    <t>↑C$120.0(1,186)</t>
  </si>
  <si>
    <t>↑C$45.0(1,115)</t>
  </si>
  <si>
    <t>↓P$400.0(1,036)</t>
  </si>
  <si>
    <t>↓P$320.0(1,031)</t>
  </si>
  <si>
    <t>↓C$50.0(28,739) | ↓P$50.0(1,681)</t>
  </si>
  <si>
    <t>↑P$240.0(2,247) | ↓P$235.0(1,987) | ↑C$240.0(1,636)</t>
  </si>
  <si>
    <t>↓C$410.0(2,191) | ↑C$415.0(1,705) | ↓P$410.0(1,085)</t>
  </si>
  <si>
    <t>↑C$75.0(3,475) | ↓C$74.0(1,464)</t>
  </si>
  <si>
    <t>↑C$79.0(3,224) | ↓C$78.0(1,147)</t>
  </si>
  <si>
    <t>↑P$235.0(3,000) | ↓P$230.0(1,206)</t>
  </si>
  <si>
    <t>↓P$103.0(2,931) | ↑P$105.0(1,253)</t>
  </si>
  <si>
    <t>↓P$87.0(2,545) | ↓C$87.0(1,466)</t>
  </si>
  <si>
    <t>↑C$120.0(1,817) | ↓C$117.0(1,231)</t>
  </si>
  <si>
    <t>↑C$180.0(1,489) | ↓C$175.0(1,118)</t>
  </si>
  <si>
    <t>↓P$317.5(1,432) | ↑P$325.0(1,153)</t>
  </si>
  <si>
    <t>↓C$175.0(1,321) | ↑C$180.0(1,160)</t>
  </si>
  <si>
    <t>↑C$185.0(2,453)</t>
  </si>
  <si>
    <t>↓C$220.0(1,756)</t>
  </si>
  <si>
    <t>↓C$155.0(1,636)</t>
  </si>
  <si>
    <t>↓P$310.0(1,498)</t>
  </si>
  <si>
    <t>↑C$33.5(1,468)</t>
  </si>
  <si>
    <t>CRUS</t>
  </si>
  <si>
    <t>Cirrus Logic, Inc.</t>
  </si>
  <si>
    <t>↓C$130.0(1,463)</t>
  </si>
  <si>
    <t>NASDAQ:CRUS</t>
  </si>
  <si>
    <t>↓C$250.0(1,382)</t>
  </si>
  <si>
    <t>↑C$142.0(1,055)</t>
  </si>
  <si>
    <t>↓C$250.0(1,041)</t>
  </si>
  <si>
    <t>↑C$250.0(6,226) | ↓C$245.0(3,175) | ↑P$250.0(1,835)</t>
  </si>
  <si>
    <t>↑C$81.0(11,534) | ↑C$82.0(2,206) | ↓C$80.0(1,933)</t>
  </si>
  <si>
    <t>↑C$440.0(3,495) | ↓C$430.0(3,185) | ↓C$435.0(1,901)</t>
  </si>
  <si>
    <t>↓C$75.0(5,345) | ↑C$76.0(1,943)</t>
  </si>
  <si>
    <t>↓C$29.0(6,561)</t>
  </si>
  <si>
    <t>TFC</t>
  </si>
  <si>
    <t>Truist Financial Corporation</t>
  </si>
  <si>
    <t>↓C$52.5(5,566)</t>
  </si>
  <si>
    <t>NYSE:TFC</t>
  </si>
  <si>
    <t>↑P$35.0(3,573) | ↑C$35.0(1,393)</t>
  </si>
  <si>
    <t>↑P$87.0(2,547) | ↑C$87.0(1,770)</t>
  </si>
  <si>
    <t>↑C$141.0(2,228) | ↑C$140.0(1,264)</t>
  </si>
  <si>
    <t>↓P$235.0(3,175)</t>
  </si>
  <si>
    <t>↓C$122.0(1,638) | ↓C$123.0(1,513)</t>
  </si>
  <si>
    <t>↑C$177.5(1,587) | ↑C$175.0(1,448)</t>
  </si>
  <si>
    <t>SCHW</t>
  </si>
  <si>
    <t>Charles Schwab Corporation (The)</t>
  </si>
  <si>
    <t>↓P$104.0(2,953)</t>
  </si>
  <si>
    <t>NYSE:SCHW</t>
  </si>
  <si>
    <t>EBAY</t>
  </si>
  <si>
    <t>eBay Inc.</t>
  </si>
  <si>
    <t>↓C$93.0(2,648)</t>
  </si>
  <si>
    <t>NASDAQ:EBAY</t>
  </si>
  <si>
    <t>↓C$109.0(2,584)</t>
  </si>
  <si>
    <t>↑C$125.0(2,507)</t>
  </si>
  <si>
    <t>↑C$195.0(2,355)</t>
  </si>
  <si>
    <t>↑C$45.0(2,340)</t>
  </si>
  <si>
    <t>↑C$143.0(1,128) | ↓C$142.0(1,066)</t>
  </si>
  <si>
    <t>↓P$60.0(1,990)</t>
  </si>
  <si>
    <t>↓P$217.5(1,911)</t>
  </si>
  <si>
    <t>↓P$145.0(1,831)</t>
  </si>
  <si>
    <t>↑C$210.0(1,642)</t>
  </si>
  <si>
    <t>STT</t>
  </si>
  <si>
    <t>State Street Corporation</t>
  </si>
  <si>
    <t>↓C$130.0(1,614)</t>
  </si>
  <si>
    <t>NYSE:STT</t>
  </si>
  <si>
    <t>↓P$310.0(1,484)</t>
  </si>
  <si>
    <t>↑C$33.5(1,347)</t>
  </si>
  <si>
    <t>↑C$82.5(1,246)</t>
  </si>
  <si>
    <t>↓P$325.0(1,225)</t>
  </si>
  <si>
    <t>↑C$120.0(1,198)</t>
  </si>
  <si>
    <t>↓C$180.0(1,194)</t>
  </si>
  <si>
    <t>↑C$230.0(1,149)</t>
  </si>
  <si>
    <t>↑C$45.0(1,120)</t>
  </si>
  <si>
    <t>↑C$425.0(3,450) | ↑P$420.0(3,308) | ↓C$410.0(2,619)</t>
  </si>
  <si>
    <t>↓C$83.0(10,620) | ↓C$82.0(5,172) | ↑C$84.0(3,031)</t>
  </si>
  <si>
    <t>↑C$245.0(3,729) | ↓P$240.0(3,318) | ↓C$240.0(3,043)</t>
  </si>
  <si>
    <t>↑C$145.0(2,817) | ↓C$142.0(2,627) | ↓C$144.0(2,130)</t>
  </si>
  <si>
    <t>↑C$180.0(2,491) | ↓C$177.5(2,132) | ↓C$175.0(1,681)</t>
  </si>
  <si>
    <t>↑C$65.0(3,208) | ↓C$64.0(1,388) | ↓P$64.0(1,261)</t>
  </si>
  <si>
    <t>↓P$87.0(2,589) | ↓C$87.0(1,792) | ↑C$90.0(1,462)</t>
  </si>
  <si>
    <t>↓C$77.0(3,141) | ↓C$76.0(2,701)</t>
  </si>
  <si>
    <t>↑C$30.0(4,566)</t>
  </si>
  <si>
    <t>↓C$40.0(4,473)</t>
  </si>
  <si>
    <t>CAT</t>
  </si>
  <si>
    <t>Caterpillar, Inc.</t>
  </si>
  <si>
    <t>↑C$715.0(3,746)</t>
  </si>
  <si>
    <t>NYSE:CAT</t>
  </si>
  <si>
    <t>↓C$36.0(2,091) | ↑C$36.5(1,267)</t>
  </si>
  <si>
    <t>↓C$143.0(1,114) | ↑C$145.0(1,078) | ↓C$142.0(1,020)</t>
  </si>
  <si>
    <t>↑C$125.0(3,133)</t>
  </si>
  <si>
    <t>↓C$195.0(1,926) | ↑C$200.0(1,051)</t>
  </si>
  <si>
    <t>↑P$104.0(2,904)</t>
  </si>
  <si>
    <t>↓C$45.0(2,330)</t>
  </si>
  <si>
    <t>↓C$46.0(2,232)</t>
  </si>
  <si>
    <t>↑C$93.0(2,158)</t>
  </si>
  <si>
    <t>↑C$205.0(2,085)</t>
  </si>
  <si>
    <t>CPRX</t>
  </si>
  <si>
    <t>Catalyst Pharmaceuticals, Inc.</t>
  </si>
  <si>
    <t>↓C$25.0(1,982)</t>
  </si>
  <si>
    <t>NASDAQ:CPRX</t>
  </si>
  <si>
    <t>TER</t>
  </si>
  <si>
    <t>Teradyne, Inc.</t>
  </si>
  <si>
    <t>↓C$280.0(1,931)</t>
  </si>
  <si>
    <t>NASDAQ:TER</t>
  </si>
  <si>
    <t>↑P$230.0(1,813)</t>
  </si>
  <si>
    <t>↓P$145.0(1,768)</t>
  </si>
  <si>
    <t>↑C$55.0(1,721)</t>
  </si>
  <si>
    <t>↓C$210.0(1,644)</t>
  </si>
  <si>
    <t>↓C$130.0(1,616)</t>
  </si>
  <si>
    <t>↓P$310.0(1,491)</t>
  </si>
  <si>
    <t>IBKR</t>
  </si>
  <si>
    <t>Interactive Brokers Group, Inc.</t>
  </si>
  <si>
    <t>↑C$75.0(1,361)</t>
  </si>
  <si>
    <t>NASDAQ:IBKR</t>
  </si>
  <si>
    <t>↓C$230.0(1,337)</t>
  </si>
  <si>
    <t>↓C$120.0(1,331)</t>
  </si>
  <si>
    <t>↑C$130.0(1,328)</t>
  </si>
  <si>
    <t>↓P$317.5(1,284)</t>
  </si>
  <si>
    <t>↑C$82.5(1,262)</t>
  </si>
  <si>
    <t>↑C$230.0(1,234)</t>
  </si>
  <si>
    <t>↑C$9.5(1,218)</t>
  </si>
  <si>
    <t>↑C$195.0(1,194)</t>
  </si>
  <si>
    <t>↑C$18.0(1,185)</t>
  </si>
  <si>
    <t>↑C$77.5(1,113)</t>
  </si>
  <si>
    <t>↓C$34.0(1,006)</t>
  </si>
  <si>
    <t>↑P$390.0(4,577) | ↓P$380.0(4,461) | ↓P$375.0(3,459)</t>
  </si>
  <si>
    <t>↑C$84.0(7,487) | ↑C$83.0(4,062) | ↓C$82.0(3,890)</t>
  </si>
  <si>
    <t>↓P$200.0(6,699) | ↑P$205.0(6,133) | ↑P$202.5(1,728)</t>
  </si>
  <si>
    <t>HBAN</t>
  </si>
  <si>
    <t>Huntington Bancshares Incorporated</t>
  </si>
  <si>
    <t>↓C$19.0(12,727) | ↓P$19.0(1,000)</t>
  </si>
  <si>
    <t>NASDAQ:HBAN</t>
  </si>
  <si>
    <t>↓C$130.0(6,677) | ↑C$135.0(4,863)</t>
  </si>
  <si>
    <t>↓C$127.0(3,230) | ↑C$130.0(2,188) | ↓C$128.0(1,930)</t>
  </si>
  <si>
    <t>↓C$62.0(2,660) | ↓C$63.0(2,213) | ↑P$64.0(1,677)</t>
  </si>
  <si>
    <t>↓C$145.0(2,961) | ↓C$144.0(2,083) | ↑C$147.0(1,470)</t>
  </si>
  <si>
    <t>↓C$77.0(3,922) | ↑C$78.0(1,885)</t>
  </si>
  <si>
    <t>↓C$180.0(3,389) | ↑C$182.5(1,600)</t>
  </si>
  <si>
    <t>↑C$212.5(3,097) | ↓C$210.0(1,082)</t>
  </si>
  <si>
    <t>↑C$715.0(3,752)</t>
  </si>
  <si>
    <t>↑C$35.0(3,320)</t>
  </si>
  <si>
    <t>WFC</t>
  </si>
  <si>
    <t>Wells Fargo &amp; Company</t>
  </si>
  <si>
    <t>↓C$92.0(2,156) | ↑C$94.0(1,153)</t>
  </si>
  <si>
    <t>NYSE:WFC</t>
  </si>
  <si>
    <t>↑C$60.0(2,916)</t>
  </si>
  <si>
    <t>↓P$104.0(2,880)</t>
  </si>
  <si>
    <t>DAL</t>
  </si>
  <si>
    <t>Delta Air Lines, Inc.</t>
  </si>
  <si>
    <t>↑C$72.0(1,723) | ↑C$71.0(1,104)</t>
  </si>
  <si>
    <t>NYSE:DAL</t>
  </si>
  <si>
    <t>↑C$55.0(2,804)</t>
  </si>
  <si>
    <t>↑P$32.0(1,628) | ↓P$31.0(1,132)</t>
  </si>
  <si>
    <t>↑P$75.0(1,340) | ↑C$75.0(1,323)</t>
  </si>
  <si>
    <t>↑C$109.0(2,554)</t>
  </si>
  <si>
    <t>↑C$31.0(2,398)</t>
  </si>
  <si>
    <t>↑C$160.0(2,303)</t>
  </si>
  <si>
    <t>↓C$46.0(2,200)</t>
  </si>
  <si>
    <t>↓C$143.0(1,074) | ↓C$145.0(1,069)</t>
  </si>
  <si>
    <t>↑C$280.0(1,992)</t>
  </si>
  <si>
    <t>↓C$55.0(1,977)</t>
  </si>
  <si>
    <t>CIEN</t>
  </si>
  <si>
    <t>Ciena Corporation</t>
  </si>
  <si>
    <t>↑C$265.0(1,537)</t>
  </si>
  <si>
    <t>NYSE:CIEN</t>
  </si>
  <si>
    <t>↑C$82.5(1,354)</t>
  </si>
  <si>
    <t>↓C$130.0(1,262)</t>
  </si>
  <si>
    <t>↑C$200.0(1,238)</t>
  </si>
  <si>
    <t>↑C$45.0(1,139)</t>
  </si>
  <si>
    <t>↓C$230.0(1,080)</t>
  </si>
  <si>
    <t>↑C$90.0(1,038)</t>
  </si>
  <si>
    <t>↓C$81.0(7,899) | ↑C$83.0(4,062) | ↑C$82.0(3,890)</t>
  </si>
  <si>
    <t>↓P$200.0(6,699) | ↑P$205.0(6,133) | ↓P$202.5(1,728)</t>
  </si>
  <si>
    <t>↑P$380.0(4,461) | ↓P$375.0(3,459) | ↑C$380.0(2,095)</t>
  </si>
  <si>
    <t>↓C$62.0(2,660) | ↑C$63.0(2,213) | ↓C$61.0(1,783)</t>
  </si>
  <si>
    <t>↓C$77.0(3,922) | ↓C$76.0(2,582) | ↑C$78.0(1,885)</t>
  </si>
  <si>
    <t>↓C$145.0(2,961) | ↑C$150.0(2,039) | ↓C$147.0(1,470)</t>
  </si>
  <si>
    <t>↓C$30.0(4,539) | ↑C$31.0(2,398)</t>
  </si>
  <si>
    <t>↑C$130.0(6,677)</t>
  </si>
  <si>
    <t>↓C$180.0(3,389) | ↑C$182.5(1,600) | ↑C$185.0(1,534)</t>
  </si>
  <si>
    <t>↑C$212.5(3,097) | ↑C$210.0(1,082)</t>
  </si>
  <si>
    <t>↓P$207.5(3,740)</t>
  </si>
  <si>
    <t>↓C$35.0(3,320)</t>
  </si>
  <si>
    <t>↑P$104.0(2,880)</t>
  </si>
  <si>
    <t>↓C$109.0(2,554)</t>
  </si>
  <si>
    <t>↑C$325.0(1,831)</t>
  </si>
  <si>
    <t>LAZ</t>
  </si>
  <si>
    <t>Lazard, Inc.</t>
  </si>
  <si>
    <t>↓C$55.0(1,825)</t>
  </si>
  <si>
    <t>NYSE:LAZ</t>
  </si>
  <si>
    <t>PWR</t>
  </si>
  <si>
    <t>Quanta Services, Inc.</t>
  </si>
  <si>
    <t>↓C$460.0(1,781)</t>
  </si>
  <si>
    <t>NYSE:PWR</t>
  </si>
  <si>
    <t>↑P$32.0(1,628)</t>
  </si>
  <si>
    <t>HIG</t>
  </si>
  <si>
    <t>The Hartford Insurance Group, Inc.</t>
  </si>
  <si>
    <t>↓C$140.0(1,606)</t>
  </si>
  <si>
    <t>NYSE:HIG</t>
  </si>
  <si>
    <t>↑C$65.0(1,439)</t>
  </si>
  <si>
    <t>↑C$130.0(1,262)</t>
  </si>
  <si>
    <t>↓C$120.0(1,240)</t>
  </si>
  <si>
    <t>CB</t>
  </si>
  <si>
    <t>Chubb Limited</t>
  </si>
  <si>
    <t>↓C$325.0(1,225)</t>
  </si>
  <si>
    <t>NYSE:CB</t>
  </si>
  <si>
    <t>↓C$195.0(1,211)</t>
  </si>
  <si>
    <t>↑C$230.0(1,200)</t>
  </si>
  <si>
    <t>↑C$77.5(1,110)</t>
  </si>
  <si>
    <t>↓C$200.0(1,092)</t>
  </si>
  <si>
    <t>↓C$145.0(1,069)</t>
  </si>
  <si>
    <t>LMT</t>
  </si>
  <si>
    <t>Lockheed Martin Corporation</t>
  </si>
  <si>
    <t>↓P$600.0(1,046)</t>
  </si>
  <si>
    <t>NYSE:LMT</t>
  </si>
  <si>
    <t>↓C$81.0(7,813) | ↑C$84.0(7,626) | ↓P$82.0(4,239)</t>
  </si>
  <si>
    <t>↑P$380.0(4,198) | ↓P$370.0(4,127) | ↑C$380.0(3,108)</t>
  </si>
  <si>
    <t>↓P$142.0(5,630) | ↓C$142.0(2,565) | ↑C$145.0(2,415)</t>
  </si>
  <si>
    <t>↓C$127.0(3,036) | ↓P$126.0(2,268) | ↑C$130.0(2,154)</t>
  </si>
  <si>
    <t>↑C$19.0(12,808) | ↑P$19.0(1,010)</t>
  </si>
  <si>
    <t>↑P$59.0(6,264) | ↑P$60.0(3,689)</t>
  </si>
  <si>
    <t>↑C$180.0(3,685) | ↓C$177.5(2,826) | ↓C$175.0(1,507)</t>
  </si>
  <si>
    <t>↓C$130.0(6,289)</t>
  </si>
  <si>
    <t>↓C$77.0(3,479) | ↓C$78.0(2,187)</t>
  </si>
  <si>
    <t>↑C$212.5(3,108) | ↓C$210.0(2,474)</t>
  </si>
  <si>
    <t>↓C$35.0(2,798) | ↑C$35.5(2,383)</t>
  </si>
  <si>
    <t>↓C$30.0(4,528)</t>
  </si>
  <si>
    <t>↑C$92.0(2,012) | ↓C$91.0(1,224) | ↓C$90.0(1,189)</t>
  </si>
  <si>
    <t>↑P$207.5(3,783)</t>
  </si>
  <si>
    <t>↓P$87.0(2,620) | ↑C$90.0(1,000)</t>
  </si>
  <si>
    <t>↓C$69.0(1,161) | ↑C$71.0(1,143) | ↑C$70.0(1,000)</t>
  </si>
  <si>
    <t>↑P$104.0(2,415)</t>
  </si>
  <si>
    <t>↓C$45.0(2,302)</t>
  </si>
  <si>
    <t>↓C$46.0(2,235)</t>
  </si>
  <si>
    <t>↑C$55.0(1,705)</t>
  </si>
  <si>
    <t>↑C$130.0(1,397)</t>
  </si>
  <si>
    <t>↑C$82.5(1,287)</t>
  </si>
  <si>
    <t>↓C$81.0(7,813) | ↓P$82.0(4,239) | ↑C$83.0(4,160)</t>
  </si>
  <si>
    <t>↓C$127.0(3,036) | ↓P$125.0(2,625) | ↓P$126.0(2,268)</t>
  </si>
  <si>
    <t>↓P$380.0(4,198) | ↓C$380.0(3,108) | ↓P$375.0(2,926)</t>
  </si>
  <si>
    <t>↓P$59.0(6,264) | ↑P$60.0(3,689)</t>
  </si>
  <si>
    <t>↓C$30.0(4,528) | ↑C$31.0(2,411) | ↑P$31.0(1,510)</t>
  </si>
  <si>
    <t>↑C$180.0(3,685) | ↓C$177.5(2,826) | ↑C$182.5(1,862)</t>
  </si>
  <si>
    <t>↓C$145.0(2,415) | ↓C$144.0(2,025) | ↑C$147.0(1,744)</t>
  </si>
  <si>
    <t>↓C$212.5(3,108) | ↓C$210.0(2,474)</t>
  </si>
  <si>
    <t>↑C$35.0(2,798) | ↑C$35.5(2,383)</t>
  </si>
  <si>
    <t>ROL</t>
  </si>
  <si>
    <t>Rollins, Inc.</t>
  </si>
  <si>
    <t>↑C$65.0(4,788)</t>
  </si>
  <si>
    <t>NYSE:ROL</t>
  </si>
  <si>
    <t>↓P$207.5(3,783)</t>
  </si>
  <si>
    <t>↑C$65.0(1,420) | ↑P$65.0(1,023)</t>
  </si>
  <si>
    <t>↓C$160.0(1,957)</t>
  </si>
  <si>
    <t>↑P$307.5(1,949)</t>
  </si>
  <si>
    <t>ROK</t>
  </si>
  <si>
    <t>Rockwell Automation, Inc.</t>
  </si>
  <si>
    <t>↑C$410.0(1,861)</t>
  </si>
  <si>
    <t>NYSE:ROK</t>
  </si>
  <si>
    <t>↑C$325.0(1,824)</t>
  </si>
  <si>
    <t>↓C$55.0(1,705)</t>
  </si>
  <si>
    <t>↑C$130.0(1,616)</t>
  </si>
  <si>
    <t>↓C$140.0(1,614)</t>
  </si>
  <si>
    <t>↓C$120.0(1,231)</t>
  </si>
  <si>
    <t>↑C$195.0(1,209)</t>
  </si>
  <si>
    <t>↑C$230.0(1,206)</t>
  </si>
  <si>
    <t>↓C$325.0(1,192)</t>
  </si>
  <si>
    <t>↓C$77.5(1,110)</t>
  </si>
  <si>
    <t>↓C$200.0(1,094)</t>
  </si>
  <si>
    <t>↓C$250.0(1,038)</t>
  </si>
  <si>
    <t>ROST</t>
  </si>
  <si>
    <t>Ross Stores, Inc.</t>
  </si>
  <si>
    <t>↑P$190.0(1,003)</t>
  </si>
  <si>
    <t>NASDAQ:ROST</t>
  </si>
  <si>
    <t>↑C$90.0(1,000)</t>
  </si>
  <si>
    <t>↑C$400.0(7,072) | ↑P$400.0(4,362) | ↓P$390.0(2,963)</t>
  </si>
  <si>
    <t>↓C$84.0(7,678) | ↑C$85.0(5,900) | ↓C$83.0(4,135)</t>
  </si>
  <si>
    <t>↓C$56.0(4,709) | ↑C$57.0(4,592) | ↓C$55.5(4,309)</t>
  </si>
  <si>
    <t>↓C$19.0(13,029) | ↓P$19.0(1,031)</t>
  </si>
  <si>
    <t>↓C$180.0(4,178) | ↑C$182.5(2,831) | ↓C$177.5(2,714)</t>
  </si>
  <si>
    <t>↑P$235.0(2,993) | ↓P$230.0(1,657) | ↑C$232.5(1,405)</t>
  </si>
  <si>
    <t>↓P$60.0(3,237) | ↑C$61.0(1,537) | ↑P$61.0(1,050)</t>
  </si>
  <si>
    <t>↓C$147.0(2,422) | ↑C$150.0(2,364) | ↓C$148.0(1,025)</t>
  </si>
  <si>
    <t>↓C$130.0(2,634) | ↓C$129.0(1,984) | ↓C$131.0(1,117)</t>
  </si>
  <si>
    <t>↓C$78.0(2,049) | ↓C$79.0(2,027) | ↑C$80.0(1,620)</t>
  </si>
  <si>
    <t>↓C$135.0(5,188)</t>
  </si>
  <si>
    <t>↓C$35.0(2,894) | ↑C$35.5(2,044)</t>
  </si>
  <si>
    <t>↓C$122.0(2,477) | ↓C$120.0(2,408)</t>
  </si>
  <si>
    <t>↓C$40.0(4,471)</t>
  </si>
  <si>
    <t>↑C$31.0(2,431) | ↑P$31.0(1,509)</t>
  </si>
  <si>
    <t>↓C$317.5(1,354) | ↑P$325.0(1,313) | ↓P$317.5(1,268)</t>
  </si>
  <si>
    <t>↑P$115.0(3,796)</t>
  </si>
  <si>
    <t>↓C$715.0(3,785)</t>
  </si>
  <si>
    <t>↓C$55.0(2,678) | ↓P$55.0(1,006)</t>
  </si>
  <si>
    <t>↑C$65.0(3,578)</t>
  </si>
  <si>
    <t>↓C$46.0(2,255) | ↑C$47.0(1,000)</t>
  </si>
  <si>
    <t>↑C$325.0(1,826) | ↓C$320.0(1,146)</t>
  </si>
  <si>
    <t>↑C$40.0(2,901)</t>
  </si>
  <si>
    <t>↑C$60.0(2,873)</t>
  </si>
  <si>
    <t>MCD</t>
  </si>
  <si>
    <t>McDonald's Corporation</t>
  </si>
  <si>
    <t>↑C$327.5(1,627) | ↑C$332.5(1,220)</t>
  </si>
  <si>
    <t>NYSE:MCD</t>
  </si>
  <si>
    <t>↓C$295.0(1,522) | ↑C$300.0(1,152)</t>
  </si>
  <si>
    <t>ED</t>
  </si>
  <si>
    <t>Consolidated Edison, Inc.</t>
  </si>
  <si>
    <t>↓C$105.0(2,642)</t>
  </si>
  <si>
    <t>NYSE:ED</t>
  </si>
  <si>
    <t>↓C$65.0(1,438) | ↓P$65.0(1,023)</t>
  </si>
  <si>
    <t>↑C$75.0(1,322) | ↓P$74.0(1,066)</t>
  </si>
  <si>
    <t>BK</t>
  </si>
  <si>
    <t>The Bank of New York Mellon Corporation</t>
  </si>
  <si>
    <t>↑C$125.0(1,977)</t>
  </si>
  <si>
    <t>NYSE:BK</t>
  </si>
  <si>
    <t>↑C$96.0(1,956)</t>
  </si>
  <si>
    <t>↓C$410.0(1,883)</t>
  </si>
  <si>
    <t>↓C$85.0(1,733)</t>
  </si>
  <si>
    <t>↓C$55.0(1,709)</t>
  </si>
  <si>
    <t>↓C$140.0(1,593)</t>
  </si>
  <si>
    <t>↑C$82.5(1,532)</t>
  </si>
  <si>
    <t>↑C$200.0(1,280)</t>
  </si>
  <si>
    <t>↓C$120.0(1,241)</t>
  </si>
  <si>
    <t>↓C$325.0(1,191)</t>
  </si>
  <si>
    <t>↑C$220.0(1,152)</t>
  </si>
  <si>
    <t>↑C$77.5(1,112)</t>
  </si>
  <si>
    <t>↑C$232.5(1,100)</t>
  </si>
  <si>
    <t>↓C$8.5(1,075)</t>
  </si>
  <si>
    <t>↑C$90.0(1,022)</t>
  </si>
  <si>
    <t>↓P$190.0(1,003)</t>
  </si>
  <si>
    <t>↑C$57.5(6,705) | ↑P$57.0(4,364) | ↑C$57.0(4,094)</t>
  </si>
  <si>
    <t>↑P$130.0(7,031) | ↑C$131.0(3,228) | ↑P$129.0(2,949)</t>
  </si>
  <si>
    <t>AAPL</t>
  </si>
  <si>
    <t>Apple Inc.</t>
  </si>
  <si>
    <t>↑C$277.5(3,340) | ↑P$275.0(3,148) | ↓P$272.5(2,724)</t>
  </si>
  <si>
    <t>NASDAQ:AAPL</t>
  </si>
  <si>
    <t>↓C$19.0(14,796)</t>
  </si>
  <si>
    <t>↓P$385.0(4,406) | ↓P$380.0(2,129) | ↑P$390.0(1,671)</t>
  </si>
  <si>
    <t>↑C$182.5(3,486) | ↓P$180.0(1,916) | ↑C$185.0(1,730)</t>
  </si>
  <si>
    <t>↑C$152.5(3,322) | ↓C$149.0(3,255) | ↓C$150.0(1,632)</t>
  </si>
  <si>
    <t>↓C$94.0(1,658) | ↑C$95.0(1,619) | ↓C$93.0(1,439)</t>
  </si>
  <si>
    <t>↓C$77.0(5,378) | ↓P$77.0(1,518) | ↑C$79.0(1,149)</t>
  </si>
  <si>
    <t>↓C$68.0(3,623) | ↑C$69.0(2,125)</t>
  </si>
  <si>
    <t>↑P$31.0(3,250) | ↑C$31.0(2,433)</t>
  </si>
  <si>
    <t>↑C$55.0(2,667) | ↑P$55.0(1,005)</t>
  </si>
  <si>
    <t>↓C$63.0(2,434) | ↑P$64.0(1,123)</t>
  </si>
  <si>
    <t>↑C$60.0(2,869)</t>
  </si>
  <si>
    <t>↓C$65.0(1,697) | ↓P$65.0(1,087)</t>
  </si>
  <si>
    <t>↓C$86.0(1,364) | ↑C$87.0(1,257)</t>
  </si>
  <si>
    <t>↓C$38.0(2,315)</t>
  </si>
  <si>
    <t>↓C$46.0(2,255)</t>
  </si>
  <si>
    <t>↑C$55.0(2,168)</t>
  </si>
  <si>
    <t>↑C$65.0(2,153)</t>
  </si>
  <si>
    <t>↑C$160.0(1,896)</t>
  </si>
  <si>
    <t>WM</t>
  </si>
  <si>
    <t>Waste Management, Inc.</t>
  </si>
  <si>
    <t>↑C$230.0(1,682)</t>
  </si>
  <si>
    <t>NYSE:WM</t>
  </si>
  <si>
    <t>↑C$82.5(1,625)</t>
  </si>
  <si>
    <t>↓P$317.5(1,473)</t>
  </si>
  <si>
    <t>↑P$230.0(1,313)</t>
  </si>
  <si>
    <t>↓C$120.0(1,275)</t>
  </si>
  <si>
    <t>↑C$128.6(1,240)</t>
  </si>
  <si>
    <t>↑C$76.0(1,218)</t>
  </si>
  <si>
    <t>↓C$325.0(1,177)</t>
  </si>
  <si>
    <t>↑C$45.0(1,150)</t>
  </si>
  <si>
    <t>↑C$335.0(1,138)</t>
  </si>
  <si>
    <t>↑C$123.0(1,069)</t>
  </si>
  <si>
    <t>↓C$35.0(1,023)</t>
  </si>
  <si>
    <t>↓P$272.5(9,133) | ↑C$275.0(4,133) | ↑C$277.5(3,990)</t>
  </si>
  <si>
    <t>↑P$56.0(3,199) | ↓P$55.0(2,909) | ↑C$56.0(2,870)</t>
  </si>
  <si>
    <t>↓P$126.0(4,821) | ↓P$125.0(4,036) | ↑P$129.0(2,775)</t>
  </si>
  <si>
    <t>↑C$77.0(5,489) | ↑P$77.0(2,852) | ↑P$78.0(2,629)</t>
  </si>
  <si>
    <t>↑C$152.5(8,102) | ↓C$149.0(3,292) | ↓C$150.0(1,749)</t>
  </si>
  <si>
    <t>↓P$370.0(4,079) | ↑P$380.0(3,273) | ↑C$380.0(2,333)</t>
  </si>
  <si>
    <t>↑C$182.5(3,167) | ↓P$180.0(2,093) | ↑C$185.0(1,924)</t>
  </si>
  <si>
    <t>↑C$38.0(3,171) | ↓C$37.0(2,637) | ↓P$37.0(1,112)</t>
  </si>
  <si>
    <t>↓C$68.0(3,579) | ↑C$69.0(2,620)</t>
  </si>
  <si>
    <t>↓P$222.5(2,993) | ↑P$230.0(1,843) | ↑C$230.0(1,054)</t>
  </si>
  <si>
    <t>↓C$85.0(2,140) | ↑C$87.0(2,123) | ↓C$86.0(1,446)</t>
  </si>
  <si>
    <t>↑P$31.0(3,250) | ↑C$31.0(2,436)</t>
  </si>
  <si>
    <t>↓C$63.0(2,365) | ↓C$62.0(2,174) | ↑P$64.0(1,144)</t>
  </si>
  <si>
    <t>↑P$93.0(2,617) | ↑C$93.0(1,399) | ↓C$92.0(1,175)</t>
  </si>
  <si>
    <t>↑C$55.0(2,666) | ↑P$55.0(1,256)</t>
  </si>
  <si>
    <t>↑C$48.0(2,141) | ↓C$47.0(1,007)</t>
  </si>
  <si>
    <t>↑P$150.0(2,025) | ↓P$147.0(1,026)</t>
  </si>
  <si>
    <t>↑C$60.0(2,866)</t>
  </si>
  <si>
    <t>↑C$65.0(1,706) | ↑P$65.0(1,089)</t>
  </si>
  <si>
    <t>↑C$76.0(1,328) | ↑P$75.0(1,132)</t>
  </si>
  <si>
    <t>↓C$55.0(2,171)</t>
  </si>
  <si>
    <t>↑C$375.0(2,063)</t>
  </si>
  <si>
    <t>↓C$125.0(1,967)</t>
  </si>
  <si>
    <t>↑C$65.0(1,861)</t>
  </si>
  <si>
    <t>↓C$90.0(1,761)</t>
  </si>
  <si>
    <t>↓C$230.0(1,685)</t>
  </si>
  <si>
    <t>↓C$140.0(1,580)</t>
  </si>
  <si>
    <t>↑C$110.0(1,575)</t>
  </si>
  <si>
    <t>XPO</t>
  </si>
  <si>
    <t>XPO, Inc.</t>
  </si>
  <si>
    <t>↓P$200.0(1,554)</t>
  </si>
  <si>
    <t>NYSE:XPO</t>
  </si>
  <si>
    <t>↑C$128.6(1,305)</t>
  </si>
  <si>
    <t>↓C$120.0(1,290)</t>
  </si>
  <si>
    <t>↓C$128.0(1,266)</t>
  </si>
  <si>
    <t>↑P$16.5(1,176)</t>
  </si>
  <si>
    <t>↑C$335.0(1,173)</t>
  </si>
  <si>
    <t>↓C$325.0(1,150)</t>
  </si>
  <si>
    <t>↑C$123.0(1,117)</t>
  </si>
  <si>
    <t>↓C$77.5(1,112)</t>
  </si>
  <si>
    <t>↑C$240.0(1,069)</t>
  </si>
  <si>
    <t>GE</t>
  </si>
  <si>
    <t>GE Aerospace</t>
  </si>
  <si>
    <t>↑C$320.0(1,026)</t>
  </si>
  <si>
    <t>NYSE:GE</t>
  </si>
  <si>
    <t>↓C$35.0(1,025)</t>
  </si>
  <si>
    <t>↑P$93.0(2,617) | ↑C$93.0(1,399) | ↑C$92.0(1,175)</t>
  </si>
  <si>
    <t>↑P$165.0(4,564)</t>
  </si>
  <si>
    <t>↓C$126.0(2,681) | ↓C$128.0(1,266)</t>
  </si>
  <si>
    <t>DRI</t>
  </si>
  <si>
    <t>Darden Restaurants, Inc.</t>
  </si>
  <si>
    <t>↓C$210.0(2,844)</t>
  </si>
  <si>
    <t>NYSE:DRI</t>
  </si>
  <si>
    <t>↑C$160.0(1,880)</t>
  </si>
  <si>
    <t>OZK</t>
  </si>
  <si>
    <t>Bank OZK</t>
  </si>
  <si>
    <t>↓C$50.0(1,668)</t>
  </si>
  <si>
    <t>NASDAQ:OZK</t>
  </si>
  <si>
    <t>↑P$75.0(1,132)</t>
  </si>
  <si>
    <t>↑C$280.0(10,716) | ↓P$272.5(9,817) | ↑C$277.5(8,970)</t>
  </si>
  <si>
    <t>↑P$130.0(4,654) | ↑C$131.0(3,709) | ↑C$130.0(2,780)</t>
  </si>
  <si>
    <t>↑P$54.5(4,515) | ↑P$54.0(3,234) | ↑C$54.0(1,942)</t>
  </si>
  <si>
    <t>↓P$85.0(4,541) | ↑C$87.0(2,755) | ↑P$87.0(2,295)</t>
  </si>
  <si>
    <t>↑C$415.0(5,675) | ↑C$420.0(4,693) | ↓C$410.0(3,555)</t>
  </si>
  <si>
    <t>↑C$79.0(4,103) | ↑C$80.0(3,546) | ↓C$78.0(2,839)</t>
  </si>
  <si>
    <t>↑C$36.0(6,604) | ↓C$35.5(4,615) | ↓C$35.0(1,058)</t>
  </si>
  <si>
    <t>↑C$237.5(5,010) | ↑C$240.0(2,377) | ↓C$232.5(1,470)</t>
  </si>
  <si>
    <t>↑C$66.0(3,587) | ↑C$65.0(3,153) | ↓P$64.0(1,143)</t>
  </si>
  <si>
    <t>↑C$18.0(6,106) | ↑P$18.0(1,722)</t>
  </si>
  <si>
    <t>↓C$182.5(3,192) | ↓C$185.0(2,279) | ↑C$187.5(1,530)</t>
  </si>
  <si>
    <t>↑C$37.0(2,622) | ↓C$36.0(1,454) | ↑P$37.0(1,277)</t>
  </si>
  <si>
    <t>↑P$31.0(3,254) | ↑C$31.0(2,471)</t>
  </si>
  <si>
    <t>↓C$155.0(2,249) | ↑C$157.5(2,100)</t>
  </si>
  <si>
    <t>↑C$55.0(2,701) | ↑P$55.0(1,256)</t>
  </si>
  <si>
    <t>↓P$89.0(2,281) | ↓P$88.0(1,027)</t>
  </si>
  <si>
    <t>↓C$128.6(1,843) | ↑C$130.0(1,397)</t>
  </si>
  <si>
    <t>↓P$59.0(2,101) | ↑P$60.0(1,007)</t>
  </si>
  <si>
    <t>↑C$55.0(3,012)</t>
  </si>
  <si>
    <t>↓C$60.0(2,869)</t>
  </si>
  <si>
    <t>FAST</t>
  </si>
  <si>
    <t>Fastenal Company</t>
  </si>
  <si>
    <t>↑C$47.5(2,868)</t>
  </si>
  <si>
    <t>NASDAQ:FAST</t>
  </si>
  <si>
    <t>↓C$335.0(1,554) | ↓C$340.0(1,017)</t>
  </si>
  <si>
    <t>↑C$125.0(1,128) | ↓C$123.0(1,118)</t>
  </si>
  <si>
    <t>↓C$240.0(1,182) | ↑C$245.0(1,051)</t>
  </si>
  <si>
    <t>↑C$48.0(2,141)</t>
  </si>
  <si>
    <t>↑C$375.0(2,042)</t>
  </si>
  <si>
    <t>↑C$150.0(1,739)</t>
  </si>
  <si>
    <t>↓C$332.5(1,630)</t>
  </si>
  <si>
    <t>↓C$65.0(1,455)</t>
  </si>
  <si>
    <t>↑C$227.5(1,445)</t>
  </si>
  <si>
    <t>↓C$133.0(1,441)</t>
  </si>
  <si>
    <t>↓C$120.0(1,283)</t>
  </si>
  <si>
    <t>↓C$62.5(1,194)</t>
  </si>
  <si>
    <t>↑C$45.0(1,158)</t>
  </si>
  <si>
    <t>↓P$8.0(1,107)</t>
  </si>
  <si>
    <t>↑C$320.0(1,044)</t>
  </si>
  <si>
    <t>↑C$327.5(1,014)</t>
  </si>
  <si>
    <t>↓P$260.0(10,751) | ↑P$265.0(6,204) | ↑P$262.5(2,736)</t>
  </si>
  <si>
    <t>↑C$420.0(9,649) | ↓C$410.0(4,976) | ↑C$415.0(3,973)</t>
  </si>
  <si>
    <t>↑C$80.0(4,303) | ↓C$79.0(3,749) | ↓P$78.0(2,952)</t>
  </si>
  <si>
    <t>↓C$182.5(3,060) | ↑C$185.0(2,429) | ↓P$180.0(2,356)</t>
  </si>
  <si>
    <t>↑P$53.0(4,213) | ↑C$53.5(2,458) | ↑P$53.5(2,143)</t>
  </si>
  <si>
    <t>↑C$36.0(4,720) | ↓C$35.5(3,320) | ↓C$35.0(1,105)</t>
  </si>
  <si>
    <t>↑C$30.0(4,287) | ↑P$30.0(3,438)</t>
  </si>
  <si>
    <t>↑C$235.0(1,489) | ↑C$232.5(1,470) | ↓C$230.0(1,392)</t>
  </si>
  <si>
    <t>↑P$75.0(4,097) | ↓P$74.0(2,487)</t>
  </si>
  <si>
    <t>↓C$45.0(6,112)</t>
  </si>
  <si>
    <t>↓P$35.0(1,978) | ↑C$36.0(1,463) | ↑P$36.0(1,272)</t>
  </si>
  <si>
    <t>MO</t>
  </si>
  <si>
    <t>Altria Group, Inc.</t>
  </si>
  <si>
    <t>↑C$67.0(4,267) | ↓C$66.0(1,448)</t>
  </si>
  <si>
    <t>NYSE:MO</t>
  </si>
  <si>
    <t>↑C$63.0(2,387) | ↓C$62.0(2,122) | ↓C$61.0(1,191)</t>
  </si>
  <si>
    <t>↓C$125.0(5,293)</t>
  </si>
  <si>
    <t>↓C$132.0(2,121) | ↑C$135.0(1,366) | ↓C$133.0(1,199)</t>
  </si>
  <si>
    <t>↓P$150.0(2,425) | ↑P$152.5(1,400)</t>
  </si>
  <si>
    <t>↑C$52.5(2,626)</t>
  </si>
  <si>
    <t>↓C$70.0(2,582)</t>
  </si>
  <si>
    <t>THC</t>
  </si>
  <si>
    <t>Tenet Healthcare Corporation</t>
  </si>
  <si>
    <t>↓C$230.0(2,370)</t>
  </si>
  <si>
    <t>NYSE:THC</t>
  </si>
  <si>
    <t>↓P$150.0(2,221)</t>
  </si>
  <si>
    <t>↓C$48.0(2,104)</t>
  </si>
  <si>
    <t>↑P$217.5(1,918)</t>
  </si>
  <si>
    <t>↓C$160.0(1,876)</t>
  </si>
  <si>
    <t>↑C$335.0(1,829)</t>
  </si>
  <si>
    <t>↑C$82.5(1,744)</t>
  </si>
  <si>
    <t>↑C$150.0(1,738)</t>
  </si>
  <si>
    <t>↓C$230.0(1,641)</t>
  </si>
  <si>
    <t>↓C$332.5(1,627)</t>
  </si>
  <si>
    <t>↓C$325.0(1,589)</t>
  </si>
  <si>
    <t>↑C$227.5(1,485)</t>
  </si>
  <si>
    <t>↓C$133.0(1,427)</t>
  </si>
  <si>
    <t>↓P$307.5(1,372)</t>
  </si>
  <si>
    <t>UAL</t>
  </si>
  <si>
    <t>United Airlines Holdings, Inc.</t>
  </si>
  <si>
    <t>↑P$110.0(1,193)</t>
  </si>
  <si>
    <t>NASDAQ:UAL</t>
  </si>
  <si>
    <t>↓C$45.0(1,160)</t>
  </si>
  <si>
    <t>↓C$245.0(1,039)</t>
  </si>
  <si>
    <t>↑P$260.0(23,606) | ↓P$255.0(7,673) | ↑P$257.5(4,331)</t>
  </si>
  <si>
    <t>↑C$134.0(3,443) | ↓P$133.0(3,134) | ↓C$132.0(3,082)</t>
  </si>
  <si>
    <t>↑C$80.0(4,086) | ↑C$79.0(3,602) | ↑P$79.0(2,965)</t>
  </si>
  <si>
    <t>↓C$410.0(4,864) | ↑C$415.0(3,939) | ↓P$410.0(1,964)</t>
  </si>
  <si>
    <t>↑C$68.0(8,137) | ↓C$67.0(3,143) | ↓P$66.0(2,310)</t>
  </si>
  <si>
    <t>↓P$290.0(13,551)</t>
  </si>
  <si>
    <t>↑P$78.0(4,234) | ↑P$77.0(1,962) | ↑C$78.0(1,670)</t>
  </si>
  <si>
    <t>↑C$185.0(3,469) | ↓C$182.5(2,863) | ↓P$180.0(2,664)</t>
  </si>
  <si>
    <t>↑P$150.0(5,568) | ↓P$148.0(4,138) | ↑P$149.0(1,056)</t>
  </si>
  <si>
    <t>↑C$30.0(4,289) | ↑P$30.0(3,438)</t>
  </si>
  <si>
    <t>↑C$360.0(2,816) | ↓C$355.0(1,896) | ↓C$352.5(1,231)</t>
  </si>
  <si>
    <t>↑C$237.5(3,637) | ↓C$235.0(1,467) | ↓P$235.0(1,347)</t>
  </si>
  <si>
    <t>↑C$95.0(5,099)</t>
  </si>
  <si>
    <t>↑C$63.0(2,442) | ↓C$62.0(2,135)</t>
  </si>
  <si>
    <t>EQT</t>
  </si>
  <si>
    <t>EQT Corporation</t>
  </si>
  <si>
    <t>↑C$59.0(3,839)</t>
  </si>
  <si>
    <t>NYSE:EQT</t>
  </si>
  <si>
    <t>↓P$35.0(2,114) | ↓C$35.0(1,091)</t>
  </si>
  <si>
    <t>↓C$152.5(1,808) | ↑C$157.5(1,271)</t>
  </si>
  <si>
    <t>↓C$60.0(2,799)</t>
  </si>
  <si>
    <t>↑C$52.5(2,541)</t>
  </si>
  <si>
    <t>↓P$180.0(1,470) | ↓C$180.0(1,038)</t>
  </si>
  <si>
    <t>↓C$125.0(1,319) | ↓C$123.0(1,189)</t>
  </si>
  <si>
    <t>↓C$325.0(1,385) | ↓P$322.5(1,115)</t>
  </si>
  <si>
    <t>↑C$73.0(2,214)</t>
  </si>
  <si>
    <t>↓C$160.0(1,867)</t>
  </si>
  <si>
    <t>↑C$82.5(1,803)</t>
  </si>
  <si>
    <t>↓C$332.5(1,710)</t>
  </si>
  <si>
    <t>↓C$230.0(1,639)</t>
  </si>
  <si>
    <t>↑C$175.0(1,635)</t>
  </si>
  <si>
    <t>↑C$227.5(1,521)</t>
  </si>
  <si>
    <t>↑P$110.0(1,403)</t>
  </si>
  <si>
    <t>↓P$307.5(1,364)</t>
  </si>
  <si>
    <t>↑C$325.0(1,156)</t>
  </si>
  <si>
    <t>↓C$60.0(1,058)</t>
  </si>
  <si>
    <t>↑C$77.5(12,175) | ↑P$78.0(5,705) | ↑P$77.5(1,556)</t>
  </si>
  <si>
    <t>↑C$80.0(6,615) | ↓C$77.5(6,579) | ↓P$77.5(1,986)</t>
  </si>
  <si>
    <t>↑P$70.0(7,281) | ↑C$70.0(4,641) | ↓P$69.0(2,072)</t>
  </si>
  <si>
    <t>↑C$63.0(3,926) | ↓C$62.0(3,307) | ↑P$64.0(2,598)</t>
  </si>
  <si>
    <t>↓C$410.0(6,808) | ↑C$415.0(2,048) | ↓P$405.0(1,548)</t>
  </si>
  <si>
    <t>↑P$150.0(6,398) | ↑C$150.0(5,432)</t>
  </si>
  <si>
    <t>↓C$365.0(10,727)</t>
  </si>
  <si>
    <t>↑C$135.0(7,327) | ↑P$134.0(1,803)</t>
  </si>
  <si>
    <t>↓C$132.0(7,700) | ↑C$135.0(1,084)</t>
  </si>
  <si>
    <t>↑C$240.0(4,011) | ↑P$240.0(1,802) | ↓C$235.0(1,666)</t>
  </si>
  <si>
    <t>↑C$25.0(5,418) | ↑P$25.0(1,776)</t>
  </si>
  <si>
    <t>↑C$185.0(3,940) | ↓C$182.5(2,575)</t>
  </si>
  <si>
    <t>↑C$230.0(3,615) | ↓C$225.0(2,844)</t>
  </si>
  <si>
    <t>↓C$35.0(4,202) | ↓P$35.0(1,499)</t>
  </si>
  <si>
    <t>↑C$110.0(4,312) | ↑P$110.0(1,146)</t>
  </si>
  <si>
    <t>↑P$320.0(3,412) | ↑C$320.0(1,522)</t>
  </si>
  <si>
    <t>↓P$125.0(3,538) | ↓C$125.0(1,325)</t>
  </si>
  <si>
    <t>↓C$325.0(2,364) | ↑C$330.0(2,180)</t>
  </si>
  <si>
    <t>↓C$92.0(1,964) | ↓C$93.0(1,334) | ↑C$95.0(1,223)</t>
  </si>
  <si>
    <t>↓C$57.5(3,037) | ↓P$57.5(1,258)</t>
  </si>
  <si>
    <t>JBL</t>
  </si>
  <si>
    <t>Jabil Inc.</t>
  </si>
  <si>
    <t>↓C$250.0(2,727) | ↓P$250.0(1,505)</t>
  </si>
  <si>
    <t>NYSE:JBL</t>
  </si>
  <si>
    <t>↑C$245.0(3,679)</t>
  </si>
  <si>
    <t>↓C$200.0(3,621)</t>
  </si>
  <si>
    <t>AFL</t>
  </si>
  <si>
    <t>AFLAC Incorporated</t>
  </si>
  <si>
    <t>↑C$115.0(1,678) | ↑C$117.0(1,534)</t>
  </si>
  <si>
    <t>NYSE:AFL</t>
  </si>
  <si>
    <t>↑P$260.0(1,953) | ↓P$255.0(1,110)</t>
  </si>
  <si>
    <t>LOW</t>
  </si>
  <si>
    <t>Lowe's Companies, Inc.</t>
  </si>
  <si>
    <t>↑C$290.0(2,917)</t>
  </si>
  <si>
    <t>NYSE:LOW</t>
  </si>
  <si>
    <t>↓C$350.0(2,665)</t>
  </si>
  <si>
    <t>↑C$73.0(1,548) | ↓C$71.0(1,029)</t>
  </si>
  <si>
    <t>↓C$200.0(1,417) | ↓C$197.5(1,053)</t>
  </si>
  <si>
    <t>CSX</t>
  </si>
  <si>
    <t>CSX Corporation</t>
  </si>
  <si>
    <t>↑C$41.0(2,161)</t>
  </si>
  <si>
    <t>NASDAQ:CSX</t>
  </si>
  <si>
    <t>↑P$75.0(1,127) | ↑C$75.0(1,011)</t>
  </si>
  <si>
    <t>↑C$260.0(2,015)</t>
  </si>
  <si>
    <t>↓C$125.0(2,002)</t>
  </si>
  <si>
    <t>↓C$150.0(1,738)</t>
  </si>
  <si>
    <t>UNP</t>
  </si>
  <si>
    <t>Union Pacific Corporation</t>
  </si>
  <si>
    <t>↓C$260.0(1,698)</t>
  </si>
  <si>
    <t>NYSE:UNP</t>
  </si>
  <si>
    <t>↓C$170.0(1,666)</t>
  </si>
  <si>
    <t>↓C$66.0(1,662)</t>
  </si>
  <si>
    <t>↓C$175.0(1,635)</t>
  </si>
  <si>
    <t>SCCO</t>
  </si>
  <si>
    <t>Southern Copper Corporation</t>
  </si>
  <si>
    <t>↓P$197.5(1,622)</t>
  </si>
  <si>
    <t>NYSE:SCCO</t>
  </si>
  <si>
    <t>EMR</t>
  </si>
  <si>
    <t>Emerson Electric Company</t>
  </si>
  <si>
    <t>↑C$150.0(1,607)</t>
  </si>
  <si>
    <t>NYSE:EMR</t>
  </si>
  <si>
    <t>↓C$140.0(1,579)</t>
  </si>
  <si>
    <t>↓C$230.0(1,538)</t>
  </si>
  <si>
    <t>CAH</t>
  </si>
  <si>
    <t>Cardinal Health, Inc.</t>
  </si>
  <si>
    <t>↓C$220.0(1,507)</t>
  </si>
  <si>
    <t>NYSE:CAH</t>
  </si>
  <si>
    <t>↑C$285.0(1,291)</t>
  </si>
  <si>
    <t>TJX</t>
  </si>
  <si>
    <t>TJX Companies, Inc. (The)</t>
  </si>
  <si>
    <t>↑C$155.0(1,246)</t>
  </si>
  <si>
    <t>NYSE:TJX</t>
  </si>
  <si>
    <t>↑C$200.0(1,083)</t>
  </si>
  <si>
    <t>HON</t>
  </si>
  <si>
    <t>Honeywell International Inc.</t>
  </si>
  <si>
    <t>↓P$237.5(1,069)</t>
  </si>
  <si>
    <t>NASDAQ:HON</t>
  </si>
  <si>
    <t>CTRA</t>
  </si>
  <si>
    <t>Coterra Energy Inc.</t>
  </si>
  <si>
    <t>↓C$31.0(1,005)</t>
  </si>
  <si>
    <t>NYSE:CTRA</t>
  </si>
  <si>
    <t>↓C$60.0(18,097) | ↓P$60.0(8,036) | ↑C$62.0(3,909)</t>
  </si>
  <si>
    <t>↑C$265.0(6,806) | ↑C$267.5(6,448) | ↓C$262.5(5,932)</t>
  </si>
  <si>
    <t>↑C$77.5(12,254) | ↑P$78.0(5,715) | ↓C$77.0(2,419)</t>
  </si>
  <si>
    <t>↓P$70.0(7,305) | ↑C$72.0(5,820) | ↓C$70.0(4,759)</t>
  </si>
  <si>
    <t>↑C$130.0(8,712) | ↑P$130.0(6,221) | ↓P$127.0(3,860)</t>
  </si>
  <si>
    <t>↑C$80.0(6,376) | ↑C$81.0(5,683) | ↓P$78.0(2,159)</t>
  </si>
  <si>
    <t>↓C$400.0(7,370) | ↓P$400.0(4,301) | ↓P$395.0(2,207)</t>
  </si>
  <si>
    <t>↑C$115.0(7,244) | ↑C$116.0(6,324) | ↑P$115.0(1,999)</t>
  </si>
  <si>
    <t>↑C$132.0(7,793) | ↓P$130.0(1,080)</t>
  </si>
  <si>
    <t>↓P$320.0(3,476) | ↑C$330.0(2,752) | ↓C$320.0(1,338)</t>
  </si>
  <si>
    <t>↑C$240.0(4,434) | ↑P$240.0(2,082) | ↓C$235.0(1,783)</t>
  </si>
  <si>
    <t>↑C$182.5(2,757) | ↓C$180.0(2,121) | ↓P$180.0(1,917)</t>
  </si>
  <si>
    <t>↓C$45.0(5,251) | ↓P$45.0(2,264)</t>
  </si>
  <si>
    <t>↑C$25.0(5,416) | ↑P$25.0(1,795)</t>
  </si>
  <si>
    <t>↑C$230.0(3,642) | ↓C$225.0(2,964)</t>
  </si>
  <si>
    <t>↑C$75.0(5,557)</t>
  </si>
  <si>
    <t>↑C$37.0(2,905) | ↓C$36.0(1,250) | ↓C$36.5(1,163)</t>
  </si>
  <si>
    <t>↓C$120.0(3,292) | ↓P$120.0(1,817)</t>
  </si>
  <si>
    <t>↓C$325.0(2,292) | ↑C$330.0(2,162)</t>
  </si>
  <si>
    <t>↓C$57.5(3,102) | ↓P$57.5(1,262)</t>
  </si>
  <si>
    <t>↓P$145.0(4,125)</t>
  </si>
  <si>
    <t>↑C$245.0(3,699)</t>
  </si>
  <si>
    <t>↓C$200.0(3,615)</t>
  </si>
  <si>
    <t>↓C$115.0(1,662) | ↑C$117.0(1,211)</t>
  </si>
  <si>
    <t>↑C$290.0(1,499) | ↓C$285.0(1,364)</t>
  </si>
  <si>
    <t>↓C$150.0(1,702) | ↑C$155.0(1,084)</t>
  </si>
  <si>
    <t>↑C$60.0(2,784)</t>
  </si>
  <si>
    <t>↑C$73.0(1,631) | ↓C$71.0(1,031)</t>
  </si>
  <si>
    <t>↑C$52.5(2,561)</t>
  </si>
  <si>
    <t>↑C$200.0(1,412) | ↑C$197.5(1,056)</t>
  </si>
  <si>
    <t>↑C$41.0(2,200)</t>
  </si>
  <si>
    <t>↓C$57.5(2,071)</t>
  </si>
  <si>
    <t>↓C$280.0(1,943)</t>
  </si>
  <si>
    <t>↓C$92.0(1,826)</t>
  </si>
  <si>
    <t>↓C$82.5(1,782)</t>
  </si>
  <si>
    <t>↑C$170.0(1,679)</t>
  </si>
  <si>
    <t>↓C$66.0(1,655)</t>
  </si>
  <si>
    <t>↓C$175.0(1,650)</t>
  </si>
  <si>
    <t>↓P$187.5(1,625)</t>
  </si>
  <si>
    <t>↑P$34.0(1,617)</t>
  </si>
  <si>
    <t>↑C$150.0(1,611)</t>
  </si>
  <si>
    <t>↑C$240.0(1,562)</t>
  </si>
  <si>
    <t>↑C$200.0(1,441)</t>
  </si>
  <si>
    <t>↓C$260.0(1,427)</t>
  </si>
  <si>
    <t>↓C$155.0(1,184)</t>
  </si>
  <si>
    <t>↓P$355.0(1,036)</t>
  </si>
  <si>
    <t>↑C$31.0(1,005)</t>
  </si>
  <si>
    <t>↓C$77.5(12,327) | ↓P$78.0(5,705) | ↑C$79.0(5,295)</t>
  </si>
  <si>
    <t>↑C$267.5(8,089) | ↑C$265.0(5,738) | ↓C$262.5(5,263)</t>
  </si>
  <si>
    <t>↓C$125.0(7,444) | ↓P$126.0(6,061) | ↓P$124.0(6,032)</t>
  </si>
  <si>
    <t>↑C$425.0(8,440) | ↑C$420.0(8,134) | ↓C$415.0(2,911)</t>
  </si>
  <si>
    <t>↓P$70.0(6,926) | ↑C$72.0(5,902) | ↓C$70.0(4,713)</t>
  </si>
  <si>
    <t>↓C$150.0(8,005) | ↓P$150.0(5,699) | ↓C$149.0(2,242)</t>
  </si>
  <si>
    <t>↓C$115.0(7,094) | ↓C$116.0(6,842) | ↓P$115.0(2,017)</t>
  </si>
  <si>
    <t>↑C$80.0(7,261) | ↓P$78.0(3,126) | ↓C$79.0(1,679)</t>
  </si>
  <si>
    <t>↑C$185.0(4,414) | ↓C$182.5(2,957) | ↓C$180.0(2,295)</t>
  </si>
  <si>
    <t>↓C$220.0(6,720) | ↑C$225.0(2,880) | ↓P$220.0(1,735)</t>
  </si>
  <si>
    <t>↑C$63.0(4,320) | ↓C$62.0(4,090) | ↑P$63.0(1,274)</t>
  </si>
  <si>
    <t>↓C$240.0(5,063) | ↓P$240.0(2,656) | ↑C$242.5(1,673)</t>
  </si>
  <si>
    <t>↑C$42.0(8,285) | ↓C$41.0(2,165)</t>
  </si>
  <si>
    <t>↓C$132.0(7,817) | ↑C$135.0(1,175)</t>
  </si>
  <si>
    <t>↓C$57.5(4,758) | ↑C$59.0(1,557) | ↓P$58.0(1,215)</t>
  </si>
  <si>
    <t>↓C$45.0(5,186) | ↓P$45.0(2,250)</t>
  </si>
  <si>
    <t>↓C$25.0(5,417) | ↓P$25.0(1,796)</t>
  </si>
  <si>
    <t>↓C$90.0(4,197) | ↑C$92.0(1,794) | ↓P$90.0(1,107)</t>
  </si>
  <si>
    <t>↑C$30.0(4,273) | ↑P$30.0(2,349)</t>
  </si>
  <si>
    <t>↓C$66.0(1,570) | ↓P$66.0(1,507) | ↑C$68.0(1,390)</t>
  </si>
  <si>
    <t>↓C$180.0(3,487) | ↓P$180.0(1,761)</t>
  </si>
  <si>
    <t>↑C$245.0(3,755) | ↓C$242.5(1,169)</t>
  </si>
  <si>
    <t>↑P$125.0(3,403) | ↑C$125.0(1,319)</t>
  </si>
  <si>
    <t>↑C$330.0(2,366) | ↓C$325.0(2,274)</t>
  </si>
  <si>
    <t>↓C$125.0(4,571)</t>
  </si>
  <si>
    <t>↓C$57.5(3,101) | ↓P$57.5(1,263)</t>
  </si>
  <si>
    <t>↑C$330.0(2,730) | ↑C$332.5(1,381)</t>
  </si>
  <si>
    <t>↑C$152.5(2,302) | ↓C$150.0(1,673)</t>
  </si>
  <si>
    <t>CAKE</t>
  </si>
  <si>
    <t>The Cheesecake Factory Incorporated</t>
  </si>
  <si>
    <t>↑P$65.0(2,033) | ↑C$65.0(1,676)</t>
  </si>
  <si>
    <t>NASDAQ:CAKE</t>
  </si>
  <si>
    <t>↑C$160.0(1,803) | ↓C$155.0(1,179)</t>
  </si>
  <si>
    <t>↓C$750.0(1,614) | ↓P$750.0(1,159)</t>
  </si>
  <si>
    <t>↓P$36.0(2,747)</t>
  </si>
  <si>
    <t>↑C$52.5(2,576)</t>
  </si>
  <si>
    <t>↑C$73.0(1,530) | ↓C$71.0(1,033)</t>
  </si>
  <si>
    <t>↑C$200.0(1,403) | ↓C$197.5(1,057)</t>
  </si>
  <si>
    <t>↓C$185.0(2,426)</t>
  </si>
  <si>
    <t>↑C$125.0(2,054)</t>
  </si>
  <si>
    <t>↓C$48.0(2,049)</t>
  </si>
  <si>
    <t>↑C$227.5(1,873)</t>
  </si>
  <si>
    <t>↓C$82.5(1,820)</t>
  </si>
  <si>
    <t>↓C$310.0(1,779)</t>
  </si>
  <si>
    <t>↑C$205.0(1,723)</t>
  </si>
  <si>
    <t>↓C$230.0(1,679)</t>
  </si>
  <si>
    <t>↓C$340.0(1,578)</t>
  </si>
  <si>
    <t>↓C$140.0(1,575)</t>
  </si>
  <si>
    <t>↑C$115.0(1,546)</t>
  </si>
  <si>
    <t>↓C$260.0(1,464)</t>
  </si>
  <si>
    <t>↓C$200.0(1,428)</t>
  </si>
  <si>
    <t>↓P$75.0(1,237)</t>
  </si>
  <si>
    <t>↓C$325.0(1,232)</t>
  </si>
  <si>
    <t>↓C$45.0(1,159)</t>
  </si>
  <si>
    <t>CENX</t>
  </si>
  <si>
    <t>Century Aluminum Company</t>
  </si>
  <si>
    <t>↓C$50.0(1,097)</t>
  </si>
  <si>
    <t>NASDAQ:CENX</t>
  </si>
  <si>
    <t>↓P$237.5(1,086)</t>
  </si>
  <si>
    <t>↓C$90.0(1,081)</t>
  </si>
  <si>
    <t>↑C$300.0(1,036)</t>
  </si>
  <si>
    <t>↑P$127.0(8,841) | ↑C$125.0(8,140) | ↑P$126.0(7,988)</t>
  </si>
  <si>
    <t>↑C$80.0(14,000) | ↓C$77.5(10,992) | ↓P$78.0(5,295)</t>
  </si>
  <si>
    <t>↓C$410.0(15,754) | ↑C$420.0(7,816) | ↑C$415.0(3,587)</t>
  </si>
  <si>
    <t>↓C$150.0(8,366) | ↓P$150.0(5,771) | ↑C$152.5(4,565)</t>
  </si>
  <si>
    <t>↑C$80.0(7,632) | ↓C$77.5(5,852) | ↓P$78.0(3,179)</t>
  </si>
  <si>
    <t>↑C$42.0(7,631) | ↑C$42.5(7,036) | ↓C$41.0(2,069)</t>
  </si>
  <si>
    <t>↑C$220.0(6,708) | ↓C$215.0(5,742) | ↑P$220.0(1,745)</t>
  </si>
  <si>
    <t>↓P$67.5(5,968) | ↓C$67.5(3,235) | ↑P$69.0(2,107)</t>
  </si>
  <si>
    <t>↓C$185.0(4,630) | ↑C$187.5(3,337) | ↓C$182.5(2,820)</t>
  </si>
  <si>
    <t>↑C$63.0(4,224) | ↓C$62.0(4,037) | ↑P$63.0(1,267)</t>
  </si>
  <si>
    <t>PPL</t>
  </si>
  <si>
    <t>PPL Corporation</t>
  </si>
  <si>
    <t>↑C$37.0(9,702)</t>
  </si>
  <si>
    <t>NYSE:PPL</t>
  </si>
  <si>
    <t>↑C$240.0(5,273) | ↑P$240.0(2,836) | ↓C$235.0(1,531)</t>
  </si>
  <si>
    <t>↑C$132.0(7,819) | ↑P$130.0(1,215)</t>
  </si>
  <si>
    <t>↑C$340.0(4,169) | ↓C$330.0(2,620) | ↓C$332.5(1,388)</t>
  </si>
  <si>
    <t>↑C$60.0(6,184) | ↓C$59.0(1,798)</t>
  </si>
  <si>
    <t>↑C$25.0(5,402) | ↑P$25.0(1,796)</t>
  </si>
  <si>
    <t>↓C$90.0(4,179) | ↑C$92.0(1,945) | ↓P$90.0(1,070)</t>
  </si>
  <si>
    <t>↑C$30.0(4,262) | ↑P$30.0(2,349)</t>
  </si>
  <si>
    <t>↓C$245.0(3,776) | ↑C$250.0(1,703) | ↓C$242.5(1,121)</t>
  </si>
  <si>
    <t>↓C$110.0(4,276) | ↓P$110.0(2,010)</t>
  </si>
  <si>
    <t>EXC</t>
  </si>
  <si>
    <t>Exelon Corporation</t>
  </si>
  <si>
    <t>↓C$47.0(4,784) | ↑P$48.0(1,151)</t>
  </si>
  <si>
    <t>NASDAQ:EXC</t>
  </si>
  <si>
    <t>↓C$180.0(3,448) | ↓P$180.0(1,721)</t>
  </si>
  <si>
    <t>↓C$57.5(3,097) | ↓P$57.5(1,263)</t>
  </si>
  <si>
    <t>↓C$325.0(2,128) | ↑C$330.0(2,072)</t>
  </si>
  <si>
    <t>↓C$750.0(1,593) | ↓P$750.0(1,397)</t>
  </si>
  <si>
    <t>↓P$36.0(2,768)</t>
  </si>
  <si>
    <t>↑C$290.0(1,344) | ↑C$285.0(1,324)</t>
  </si>
  <si>
    <t>↑C$68.0(1,576) | ↓C$67.5(1,010)</t>
  </si>
  <si>
    <t>↓P$180.0(1,546) | ↓C$180.0(1,007)</t>
  </si>
  <si>
    <t>↑C$73.0(1,518) | ↓C$71.0(1,034)</t>
  </si>
  <si>
    <t>↑C$200.0(1,409) | ↓C$197.5(1,047)</t>
  </si>
  <si>
    <t>↓C$185.0(2,428)</t>
  </si>
  <si>
    <t>↑C$205.0(2,062)</t>
  </si>
  <si>
    <t>LYV</t>
  </si>
  <si>
    <t>Live Nation Entertainment, Inc.</t>
  </si>
  <si>
    <t>↓C$155.0(2,056)</t>
  </si>
  <si>
    <t>NYSE:LYV</t>
  </si>
  <si>
    <t>↑C$280.0(1,934)</t>
  </si>
  <si>
    <t>↓C$125.0(1,882)</t>
  </si>
  <si>
    <t>↓C$227.5(1,874)</t>
  </si>
  <si>
    <t>↑C$82.5(1,674)</t>
  </si>
  <si>
    <t>↓C$230.0(1,630)</t>
  </si>
  <si>
    <t>↓C$95.0(1,564)</t>
  </si>
  <si>
    <t>↓C$260.0(1,447)</t>
  </si>
  <si>
    <t>↓C$340.0(1,261)</t>
  </si>
  <si>
    <t>↑P$75.0(1,226)</t>
  </si>
  <si>
    <t>↑P$130.0(1,212)</t>
  </si>
  <si>
    <t>↓C$45.0(1,128)</t>
  </si>
  <si>
    <t>RCL</t>
  </si>
  <si>
    <t>Royal Caribbean Cruises Ltd.</t>
  </si>
  <si>
    <t>↓P$310.0(1,086)</t>
  </si>
  <si>
    <t>NYSE:RCL</t>
  </si>
  <si>
    <t>↓C$410.0(15,754) | ↑C$425.0(9,076) | ↑C$420.0(7,816)</t>
  </si>
  <si>
    <t>↑P$67.5(5,968) | ↑C$67.5(3,235) | ↓P$67.0(1,777)</t>
  </si>
  <si>
    <t>↑C$185.0(4,630) | ↑C$187.5(3,337) | ↓C$182.5(2,820)</t>
  </si>
  <si>
    <t>↓C$25.0(5,402) | ↓P$25.0(1,796)</t>
  </si>
  <si>
    <t>↓C$210.0(2,839)</t>
  </si>
  <si>
    <t>↓C$205.0(2,062)</t>
  </si>
  <si>
    <t>↓C$260.0(2,016)</t>
  </si>
  <si>
    <t>↑P$197.5(1,721)</t>
  </si>
  <si>
    <t>↑C$390.0(1,714)</t>
  </si>
  <si>
    <t>↓C$140.0(1,544)</t>
  </si>
  <si>
    <t>↓C$200.0(1,423)</t>
  </si>
  <si>
    <t>↑C$115.0(1,367)</t>
  </si>
  <si>
    <t>IMAX</t>
  </si>
  <si>
    <t>Imax Corporation</t>
  </si>
  <si>
    <t>↑C$38.0(1,220)</t>
  </si>
  <si>
    <t>NYSE:IMAX</t>
  </si>
  <si>
    <t>↑C$62.5(1,046)</t>
  </si>
  <si>
    <t>↑C$430.0(12,114) | ↓C$425.0(10,629) | ↓C$420.0(9,746)</t>
  </si>
  <si>
    <t>↑P$125.0(11,863) | ↑C$125.0(8,213) | ↑P$124.0(6,175)</t>
  </si>
  <si>
    <t>↑C$65.0(14,648) | ↓C$63.0(4,272) | ↓C$64.0(2,242)</t>
  </si>
  <si>
    <t>↑C$150.0(7,759) | ↑P$150.0(5,904) | ↓P$145.0(4,455)</t>
  </si>
  <si>
    <t>↑C$80.0(7,446) | ↑C$81.0(5,869) | ↓C$79.0(1,680)</t>
  </si>
  <si>
    <t>↓C$42.0(7,630) | ↑C$42.5(7,035)</t>
  </si>
  <si>
    <t>↓C$240.0(5,293) | ↑C$247.5(3,091) | ↓P$240.0(2,813)</t>
  </si>
  <si>
    <t>↑C$185.0(4,395) | ↓C$182.5(2,716) | ↓P$180.0(2,201)</t>
  </si>
  <si>
    <t>↓C$37.0(9,735) | ↑C$38.0(2,809)</t>
  </si>
  <si>
    <t>↑C$37.0(3,883) | ↓P$36.0(2,767) | ↑C$36.5(1,702)</t>
  </si>
  <si>
    <t>↑C$220.0(6,482) | ↑P$220.0(1,692)</t>
  </si>
  <si>
    <t>↓C$60.0(5,923) | ↓P$60.0(1,318)</t>
  </si>
  <si>
    <t>↑C$19.0(7,219)</t>
  </si>
  <si>
    <t>↓C$25.0(5,400) | ↓P$25.0(1,797)</t>
  </si>
  <si>
    <t>↑C$335.0(2,523) | ↑C$330.0(1,984) | ↓C$325.0(1,943)</t>
  </si>
  <si>
    <t>↓C$30.0(4,238) | ↓P$30.0(1,835)</t>
  </si>
  <si>
    <t>↓C$47.0(4,786) | ↑P$48.0(1,152)</t>
  </si>
  <si>
    <t>↑C$770.0(1,587) | ↓C$750.0(1,473) | ↓P$750.0(1,320)</t>
  </si>
  <si>
    <t>↑C$95.0(5,021)</t>
  </si>
  <si>
    <t>↓C$180.0(3,102) | ↓P$180.0(1,717)</t>
  </si>
  <si>
    <t>↓C$57.5(3,089) | ↓P$57.5(1,272)</t>
  </si>
  <si>
    <t>↓C$340.0(4,290)</t>
  </si>
  <si>
    <t>↑C$245.0(3,743)</t>
  </si>
  <si>
    <t>↑C$205.0(2,205) | ↓C$200.0(1,414)</t>
  </si>
  <si>
    <t>↑C$290.0(1,897) | ↓C$285.0(1,067)</t>
  </si>
  <si>
    <t>↑C$52.5(2,547)</t>
  </si>
  <si>
    <t>↓C$200.0(1,413) | ↓C$197.5(1,044)</t>
  </si>
  <si>
    <t>↑C$140.0(2,115)</t>
  </si>
  <si>
    <t>↑C$68.0(2,087)</t>
  </si>
  <si>
    <t>↑C$92.0(2,043)</t>
  </si>
  <si>
    <t>↓C$280.0(1,939)</t>
  </si>
  <si>
    <t>↑C$125.0(1,916)</t>
  </si>
  <si>
    <t>↓C$205.0(1,888)</t>
  </si>
  <si>
    <t>↑C$355.0(1,664)</t>
  </si>
  <si>
    <t>↑C$150.0(1,656)</t>
  </si>
  <si>
    <t>↓C$82.5(1,629)</t>
  </si>
  <si>
    <t>↓C$230.0(1,602)</t>
  </si>
  <si>
    <t>↑C$170.0(1,571)</t>
  </si>
  <si>
    <t>↓C$95.0(1,563)</t>
  </si>
  <si>
    <t>↑P$180.0(1,553)</t>
  </si>
  <si>
    <t>↑C$73.0(1,520)</t>
  </si>
  <si>
    <t>↑C$130.0(1,375)</t>
  </si>
  <si>
    <t>↑C$190.0(1,367)</t>
  </si>
  <si>
    <t>↑C$115.0(1,362)</t>
  </si>
  <si>
    <t>↑C$380.0(1,236)</t>
  </si>
  <si>
    <t>↑P$130.0(1,211)</t>
  </si>
  <si>
    <t>VMC</t>
  </si>
  <si>
    <t>Vulcan Materials Company (Holding Company)</t>
  </si>
  <si>
    <t>↑C$310.0(1,200)</t>
  </si>
  <si>
    <t>NYSE:VMC</t>
  </si>
  <si>
    <t>↑P$75.0(1,189)</t>
  </si>
  <si>
    <t>↑C$62.5(1,045)</t>
  </si>
  <si>
    <t>↓P$420.0(8,353) | ↓P$425.0(5,248) | ↓C$420.0(2,520)</t>
  </si>
  <si>
    <t>GLNG</t>
  </si>
  <si>
    <t>Golar LNG Limited</t>
  </si>
  <si>
    <t>↓C$45.0(7,983)</t>
  </si>
  <si>
    <t>NASDAQ:GLNG</t>
  </si>
  <si>
    <t>↑C$65.0(4,969) | ↓P$64.0(2,534)</t>
  </si>
  <si>
    <t>↓C$160.0(6,455)</t>
  </si>
  <si>
    <t>↑C$187.5(2,962) | ↑C$185.0(2,818)</t>
  </si>
  <si>
    <t>↓C$37.0(3,937) | ↑C$38.0(1,595)</t>
  </si>
  <si>
    <t>↑C$52.5(2,560) | ↑P$52.5(1,757)</t>
  </si>
  <si>
    <t>↑C$80.0(1,737) | ↓C$79.0(1,276) | ↓P$79.0(1,019)</t>
  </si>
  <si>
    <t>TXT</t>
  </si>
  <si>
    <t>Textron Inc.</t>
  </si>
  <si>
    <t>↓C$100.0(3,673)</t>
  </si>
  <si>
    <t>NYSE:TXT</t>
  </si>
  <si>
    <t>↓C$47.0(3,396)</t>
  </si>
  <si>
    <t>↑C$105.0(3,298)</t>
  </si>
  <si>
    <t>↑C$46.25(3,259)</t>
  </si>
  <si>
    <t>↑C$19.0(2,953)</t>
  </si>
  <si>
    <t>↓P$300.0(2,945)</t>
  </si>
  <si>
    <t>↑C$130.0(2,842)</t>
  </si>
  <si>
    <t>↓P$122.0(1,554) | ↑P$125.0(1,170)</t>
  </si>
  <si>
    <t>↑C$85.0(2,664)</t>
  </si>
  <si>
    <t>↓C$50.0(2,345)</t>
  </si>
  <si>
    <t>BWA</t>
  </si>
  <si>
    <t>BorgWarner Inc.</t>
  </si>
  <si>
    <t>↑P$60.0(2,279)</t>
  </si>
  <si>
    <t>NYSE:BWA</t>
  </si>
  <si>
    <t>TTMI</t>
  </si>
  <si>
    <t>TTM Technologies, Inc.</t>
  </si>
  <si>
    <t>↑C$110.0(2,047)</t>
  </si>
  <si>
    <t>NASDAQ:TTMI</t>
  </si>
  <si>
    <t>↓C$330.0(1,835)</t>
  </si>
  <si>
    <t>NRG</t>
  </si>
  <si>
    <t>NRG Energy, Inc.</t>
  </si>
  <si>
    <t>↑C$180.0(1,779)</t>
  </si>
  <si>
    <t>NYSE:NRG</t>
  </si>
  <si>
    <t>↑C$205.0(1,634)</t>
  </si>
  <si>
    <t>↓C$50.0(1,570)</t>
  </si>
  <si>
    <t>↑C$210.0(1,471)</t>
  </si>
  <si>
    <t>↓C$270.0(1,272)</t>
  </si>
  <si>
    <t>↓C$30.0(1,180)</t>
  </si>
  <si>
    <t>↓C$230.0(1,129)</t>
  </si>
  <si>
    <t>↑C$220.0(1,123)</t>
  </si>
  <si>
    <t>SYY</t>
  </si>
  <si>
    <t>Sysco Corporation</t>
  </si>
  <si>
    <t>↓C$90.0(1,108)</t>
  </si>
  <si>
    <t>NYSE:SYY</t>
  </si>
  <si>
    <t>↑C$110.0(1,102)</t>
  </si>
  <si>
    <t>↑C$210.0(1,097)</t>
  </si>
  <si>
    <t>↓C$230.0(1,046)</t>
  </si>
  <si>
    <t>↑P$420.0(14,188) | ↑P$425.0(6,433) | ↑C$420.0(2,825)</t>
  </si>
  <si>
    <t>↓C$18.5(13,914) | ↑C$19.0(3,368) | ↓P$18.5(2,229)</t>
  </si>
  <si>
    <t>↓C$58.0(8,144) | ↓C$59.0(5,538) | ↓P$59.0(1,191)</t>
  </si>
  <si>
    <t>↓C$80.0(6,848) | ↑C$81.0(5,683) | ↓C$79.0(1,512)</t>
  </si>
  <si>
    <t>↑C$152.5(4,641) | ↓C$150.0(2,723) | ↓C$149.0(1,307)</t>
  </si>
  <si>
    <t>↑P$126.0(4,298) | ↓C$125.0(2,100) | ↑C$127.0(1,517)</t>
  </si>
  <si>
    <t>↑C$65.0(6,059) | ↓P$64.0(2,567)</t>
  </si>
  <si>
    <t>↑C$70.0(7,019)</t>
  </si>
  <si>
    <t>↑C$187.5(3,394) | ↑C$185.0(3,087)</t>
  </si>
  <si>
    <t>↑C$160.0(6,277)</t>
  </si>
  <si>
    <t>↓C$140.0(5,699)</t>
  </si>
  <si>
    <t>↓C$45.0(2,368) | ↓P$45.0(1,953)</t>
  </si>
  <si>
    <t>↓P$237.5(2,485) | ↑P$240.0(1,620)</t>
  </si>
  <si>
    <t>↑C$37.0(3,942)</t>
  </si>
  <si>
    <t>↓C$50.0(3,506)</t>
  </si>
  <si>
    <t>↑C$105.0(3,290)</t>
  </si>
  <si>
    <t>↓C$130.0(2,820)</t>
  </si>
  <si>
    <t>↑C$85.0(2,600)</t>
  </si>
  <si>
    <t>↓C$245.0(2,591)</t>
  </si>
  <si>
    <t>↓C$50.0(2,346)</t>
  </si>
  <si>
    <t>↑C$35.0(1,833)</t>
  </si>
  <si>
    <t>NYT</t>
  </si>
  <si>
    <t>New York Times Company (The)</t>
  </si>
  <si>
    <t>↑P$75.0(1,608)</t>
  </si>
  <si>
    <t>NYSE:NYT</t>
  </si>
  <si>
    <t>↑C$125.0(1,466)</t>
  </si>
  <si>
    <t>↓C$220.0(1,038)</t>
  </si>
  <si>
    <t>↓C$330.0(1,005)</t>
  </si>
  <si>
    <t>↑P$150.0(1,004)</t>
  </si>
  <si>
    <t>↓P$420.0(14,188) | ↑P$425.0(6,433) | ↓C$420.0(2,825)</t>
  </si>
  <si>
    <t>↓C$58.0(8,144) | ↑C$59.0(5,538) | ↑P$59.0(1,191)</t>
  </si>
  <si>
    <t>↓C$80.0(6,848) | ↑C$81.0(5,683)</t>
  </si>
  <si>
    <t>↓C$45.0(8,008)</t>
  </si>
  <si>
    <t>↓C$65.0(6,059) | ↑C$66.0(1,557)</t>
  </si>
  <si>
    <t>↑P$245.0(1,823) | ↓P$240.0(1,620) | ↑C$245.0(1,035)</t>
  </si>
  <si>
    <t>↓C$47.0(3,398)</t>
  </si>
  <si>
    <t>↓C$330.0(2,246) | ↑C$340.0(1,125)</t>
  </si>
  <si>
    <t>↑C$180.0(1,878) | ↓C$175.0(1,193)</t>
  </si>
  <si>
    <t>↑C$90.0(2,588)</t>
  </si>
  <si>
    <t>↓C$110.0(2,030)</t>
  </si>
  <si>
    <t>↓C$205.0(1,651)</t>
  </si>
  <si>
    <t>↓P$75.0(1,608)</t>
  </si>
  <si>
    <t>↑C$50.0(1,579)</t>
  </si>
  <si>
    <t>↑C$180.0(1,466)</t>
  </si>
  <si>
    <t>↓P$400.0(1,116)</t>
  </si>
  <si>
    <t>↓P$420.0(15,047) | ↑P$425.0(7,299) | ↓C$420.0(4,293)</t>
  </si>
  <si>
    <t>↓C$18.5(13,860) | ↑C$19.0(3,891) | ↓P$18.5(2,301)</t>
  </si>
  <si>
    <t>↓P$147.0(6,172) | ↑C$152.5(4,591) | ↑C$150.0(3,101)</t>
  </si>
  <si>
    <t>↓P$126.0(4,270) | ↓C$125.0(3,852) | ↓P$125.0(2,969)</t>
  </si>
  <si>
    <t>↑C$275.0(5,078) | ↓C$270.0(4,917) | ↑C$272.5(3,092)</t>
  </si>
  <si>
    <t>↓C$80.0(7,022) | ↑C$81.0(6,834) | ↑C$82.0(1,611)</t>
  </si>
  <si>
    <t>↓C$58.0(7,865) | ↑C$59.0(5,369) | ↑P$59.0(1,240)</t>
  </si>
  <si>
    <t>↑C$46.25(5,723) | ↓C$45.0(2,366) | ↓P$45.0(1,969)</t>
  </si>
  <si>
    <t>↑C$70.0(5,607) | ↓C$68.0(1,269) | ↑C$69.0(1,132)</t>
  </si>
  <si>
    <t>↓C$45.0(7,953)</t>
  </si>
  <si>
    <t>↑P$245.0(2,157) | ↓P$240.0(1,690) | ↑C$247.5(1,432)</t>
  </si>
  <si>
    <t>↑C$160.0(6,270)</t>
  </si>
  <si>
    <t>↓C$185.0(3,062) | ↑C$187.5(2,823)</t>
  </si>
  <si>
    <t>↓C$245.0(2,739) | ↑C$250.0(1,139) | ↓P$242.5(1,129)</t>
  </si>
  <si>
    <t>↓C$150.0(4,744)</t>
  </si>
  <si>
    <t>↑C$49.0(3,662)</t>
  </si>
  <si>
    <t>↓C$50.0(3,546)</t>
  </si>
  <si>
    <t>↓C$105.0(3,288)</t>
  </si>
  <si>
    <t>↓C$130.0(2,818)</t>
  </si>
  <si>
    <t>↓C$180.0(1,760) | ↑C$185.0(1,035)</t>
  </si>
  <si>
    <t>↑C$90.0(2,684)</t>
  </si>
  <si>
    <t>↑C$38.0(2,564)</t>
  </si>
  <si>
    <t>↓C$85.0(2,552)</t>
  </si>
  <si>
    <t>↓C$50.0(2,351)</t>
  </si>
  <si>
    <t>↓C$110.0(2,062)</t>
  </si>
  <si>
    <t>XEL</t>
  </si>
  <si>
    <t>Xcel Energy Inc.</t>
  </si>
  <si>
    <t>↑C$85.0(2,021)</t>
  </si>
  <si>
    <t>NASDAQ:XEL</t>
  </si>
  <si>
    <t>↑C$260.0(1,993)</t>
  </si>
  <si>
    <t>↑C$65.0(1,712)</t>
  </si>
  <si>
    <t>↓P$75.0(1,618)</t>
  </si>
  <si>
    <t>↓C$50.0(1,566)</t>
  </si>
  <si>
    <t>↑C$20.0(1,302)</t>
  </si>
  <si>
    <t>↓P$28.0(1,282)</t>
  </si>
  <si>
    <t>↑C$125.0(1,209)</t>
  </si>
  <si>
    <t>↑P$217.5(1,190)</t>
  </si>
  <si>
    <t>↑P$400.0(1,160)</t>
  </si>
  <si>
    <t>↑C$36.5(1,098)</t>
  </si>
  <si>
    <t>↑P$150.0(1,009)</t>
  </si>
  <si>
    <t>↓C$68.0(1,006)</t>
  </si>
  <si>
    <t>↓P$420.0(14,958) | ↑C$430.0(9,051) | ↓P$425.0(7,275)</t>
  </si>
  <si>
    <t>↑C$275.0(9,786) | ↓P$270.0(8,101) | ↑C$277.5(5,390)</t>
  </si>
  <si>
    <t>↓C$80.0(6,995) | ↑C$81.0(6,801) | ↓P$79.0(2,799)</t>
  </si>
  <si>
    <t>↓P$126.0(4,480) | ↑C$127.0(3,713) | ↓C$125.0(3,530)</t>
  </si>
  <si>
    <t>↓C$18.5(14,363) | ↓P$18.5(2,345)</t>
  </si>
  <si>
    <t>↓P$147.0(7,884) | ↑C$150.0(3,345) | ↓C$149.0(1,572)</t>
  </si>
  <si>
    <t>DUK</t>
  </si>
  <si>
    <t>Duke Energy Corporation (Holding Company)</t>
  </si>
  <si>
    <t>↑C$130.0(9,102)</t>
  </si>
  <si>
    <t>NYSE:DUK</t>
  </si>
  <si>
    <t>↑C$250.0(2,923) | ↓P$245.0(2,209) | ↓C$247.5(1,460)</t>
  </si>
  <si>
    <t>↑C$70.0(5,357) | ↓C$69.0(1,274)</t>
  </si>
  <si>
    <t>↓C$59.0(5,376) | ↓P$59.0(1,239)</t>
  </si>
  <si>
    <t>WT</t>
  </si>
  <si>
    <t>WisdomTree, Inc.</t>
  </si>
  <si>
    <t>↑C$17.5(6,114)</t>
  </si>
  <si>
    <t>NYSE:WT</t>
  </si>
  <si>
    <t>↑C$187.5(3,013) | ↑C$185.0(2,949)</t>
  </si>
  <si>
    <t>↓C$245.0(2,637) | ↑C$250.0(1,446) | ↓P$242.5(1,059)</t>
  </si>
  <si>
    <t>↓C$130.0(2,815) | ↑C$135.0(2,157)</t>
  </si>
  <si>
    <t>↓C$42.0(2,978) | ↑C$43.0(1,630)</t>
  </si>
  <si>
    <t>↑P$70.0(2,039) | ↑C$70.0(1,412) | ↓C$68.0(1,090)</t>
  </si>
  <si>
    <t>↓C$38.0(2,595) | ↑C$39.0(1,892)</t>
  </si>
  <si>
    <t>↑C$45.0(2,361) | ↑P$45.0(1,973)</t>
  </si>
  <si>
    <t>↑C$49.0(3,652)</t>
  </si>
  <si>
    <t>↓C$105.0(3,258)</t>
  </si>
  <si>
    <t>↑C$90.0(2,689)</t>
  </si>
  <si>
    <t>↑P$60.0(2,322)</t>
  </si>
  <si>
    <t>↓C$50.0(2,276)</t>
  </si>
  <si>
    <t>↑C$280.0(2,221)</t>
  </si>
  <si>
    <t>↑C$110.0(2,082)</t>
  </si>
  <si>
    <t>↓C$110.0(2,061)</t>
  </si>
  <si>
    <t>↑C$85.0(2,033)</t>
  </si>
  <si>
    <t>↑C$65.0(1,714)</t>
  </si>
  <si>
    <t>↓C$85.0(1,660)</t>
  </si>
  <si>
    <t>↓C$50.0(1,627)</t>
  </si>
  <si>
    <t>↑C$367.5(1,591)</t>
  </si>
  <si>
    <t>↑C$400.0(1,541)</t>
  </si>
  <si>
    <t>↑C$357.5(1,517)</t>
  </si>
  <si>
    <t>↓C$125.0(1,450)</t>
  </si>
  <si>
    <t>↓C$155.0(1,409)</t>
  </si>
  <si>
    <t>↑C$36.5(1,351)</t>
  </si>
  <si>
    <t>EXEL</t>
  </si>
  <si>
    <t>Exelixis, Inc.</t>
  </si>
  <si>
    <t>↑C$45.0(1,240)</t>
  </si>
  <si>
    <t>NASDAQ:EXEL</t>
  </si>
  <si>
    <t>↑P$217.5(1,214)</t>
  </si>
  <si>
    <t>↓P$260.0(1,115)</t>
  </si>
  <si>
    <t>JBTM</t>
  </si>
  <si>
    <t>JBT Marel Corporation</t>
  </si>
  <si>
    <t>↓P$155.0(1,100)</t>
  </si>
  <si>
    <t>NYSE:JBTM</t>
  </si>
  <si>
    <t>↑C$185.0(1,083)</t>
  </si>
  <si>
    <t>↑C$202.5(1,058)</t>
  </si>
  <si>
    <t>↓C$95.0(1,042)</t>
  </si>
  <si>
    <t>↓C$332.5(1,013)</t>
  </si>
  <si>
    <t>↑C$275.0(30,310) | ↓C$270.0(11,815) | ↑C$277.5(8,621)</t>
  </si>
  <si>
    <t>↑P$420.0(14,978) | ↓P$410.0(7,352) | ↑C$420.0(4,345)</t>
  </si>
  <si>
    <t>↓C$80.0(6,975) | ↑C$81.0(6,752) | ↓P$80.0(3,602)</t>
  </si>
  <si>
    <t>↓C$18.5(14,529) | ↑C$19.0(4,182) | ↓P$18.5(2,407)</t>
  </si>
  <si>
    <t>↑P$126.0(4,258) | ↑C$125.0(3,517) | ↑P$125.0(2,811)</t>
  </si>
  <si>
    <t>↓P$147.0(9,649) | ↑C$150.0(3,535) | ↓C$149.0(1,635)</t>
  </si>
  <si>
    <t>↑C$46.25(5,739) | ↓C$45.0(2,360) | ↓P$45.0(1,977)</t>
  </si>
  <si>
    <t>↑C$130.0(9,202)</t>
  </si>
  <si>
    <t>↑C$70.0(4,915) | ↓C$69.0(1,519) | ↓C$68.0(1,208)</t>
  </si>
  <si>
    <t>↑C$160.0(6,264) | ↓C$155.0(1,427)</t>
  </si>
  <si>
    <t>↑C$187.5(3,750) | ↑C$185.0(3,021)</t>
  </si>
  <si>
    <t>↓C$59.0(5,373) | ↓P$59.0(1,240)</t>
  </si>
  <si>
    <t>↑C$25.0(3,479) | ↓C$24.5(1,418) | ↑P$25.0(1,344)</t>
  </si>
  <si>
    <t>↑C$17.5(6,120)</t>
  </si>
  <si>
    <t>↑P$237.5(2,612) | ↑P$240.0(1,907) | ↓P$235.0(1,083)</t>
  </si>
  <si>
    <t>↑C$245.0(2,664) | ↓P$240.0(2,532)</t>
  </si>
  <si>
    <t>↓C$38.0(2,672) | ↑C$39.0(1,902)</t>
  </si>
  <si>
    <t>↑C$49.0(3,670)</t>
  </si>
  <si>
    <t>↓C$150.0(3,507)</t>
  </si>
  <si>
    <t>↓C$105.0(3,242)</t>
  </si>
  <si>
    <t>↑C$40.0(2,848)</t>
  </si>
  <si>
    <t>↓C$9.0(2,813)</t>
  </si>
  <si>
    <t>↓C$130.0(2,797)</t>
  </si>
  <si>
    <t>↑C$160.0(2,716)</t>
  </si>
  <si>
    <t>↑C$90.0(2,688)</t>
  </si>
  <si>
    <t>↑P$69.0(1,261) | ↓C$68.0(1,094)</t>
  </si>
  <si>
    <t>↓C$50.0(2,278)</t>
  </si>
  <si>
    <t>↓C$65.0(1,895)</t>
  </si>
  <si>
    <t>↓P$280.0(1,857)</t>
  </si>
  <si>
    <t>↓C$43.0(1,777)</t>
  </si>
  <si>
    <t>↑C$135.0(1,741)</t>
  </si>
  <si>
    <t>↓P$157.5(1,670)</t>
  </si>
  <si>
    <t>↓C$50.0(1,663)</t>
  </si>
  <si>
    <t>↑C$45.0(1,651)</t>
  </si>
  <si>
    <t>↓C$85.0(1,629)</t>
  </si>
  <si>
    <t>↓C$180.0(1,550)</t>
  </si>
  <si>
    <t>↑C$380.0(1,549)</t>
  </si>
  <si>
    <t>↑C$36.5(1,500)</t>
  </si>
  <si>
    <t>↓P$91.0(1,479)</t>
  </si>
  <si>
    <t>↓P$400.0(1,186)</t>
  </si>
  <si>
    <t>↓C$95.0(1,068)</t>
  </si>
  <si>
    <t>↓P$750.0(1,040)</t>
  </si>
  <si>
    <t>↓C$332.5(1,021)</t>
  </si>
  <si>
    <t>↓C$260.0(18,843) | ↓P$262.5(17,904) | ↑C$270.0(11,047)</t>
  </si>
  <si>
    <t>↓P$126.0(5,743) | ↓C$127.0(4,711) | ↓P$125.0(4,149)</t>
  </si>
  <si>
    <t>↓P$410.0(7,323) | ↑C$415.0(4,443) | ↓C$410.0(3,947)</t>
  </si>
  <si>
    <t>↓C$18.5(14,527) | ↑C$19.0(4,158) | ↓P$18.5(2,384)</t>
  </si>
  <si>
    <t>↓C$152.5(9,372) | ↑C$155.0(8,442) | ↓C$150.0(3,363)</t>
  </si>
  <si>
    <t>↓C$80.0(6,929) | ↓C$81.0(6,702) | ↓P$80.0(3,438)</t>
  </si>
  <si>
    <t>↑C$50.0(8,241) | ↓C$49.0(3,668)</t>
  </si>
  <si>
    <t>↑C$187.5(5,170) | ↑C$190.0(3,542) | ↓C$185.0(3,142)</t>
  </si>
  <si>
    <t>↓C$130.0(9,209)</t>
  </si>
  <si>
    <t>↑C$70.0(4,930) | ↓C$69.0(1,361) | ↓C$68.0(1,179)</t>
  </si>
  <si>
    <t>↓P$150.0(3,765) | ↓C$150.0(3,476)</t>
  </si>
  <si>
    <t>↓C$160.0(6,280)</t>
  </si>
  <si>
    <t>↑C$45.0(6,068)</t>
  </si>
  <si>
    <t>↓C$245.0(3,139) | ↑C$252.5(1,259) | ↑C$250.0(1,215)</t>
  </si>
  <si>
    <t>↓P$237.5(2,582) | ↑P$240.0(1,662) | ↓P$235.0(1,223)</t>
  </si>
  <si>
    <t>↑P$69.0(2,459) | ↓P$67.0(1,627) | ↓C$68.0(1,298)</t>
  </si>
  <si>
    <t>↓C$50.0(2,665) | ↓P$50.0(1,124)</t>
  </si>
  <si>
    <t>↓P$260.0(2,258) | ↓C$260.0(1,078)</t>
  </si>
  <si>
    <t>↓C$105.0(3,239)</t>
  </si>
  <si>
    <t>↓C$90.0(2,975)</t>
  </si>
  <si>
    <t>↑C$9.0(2,856)</t>
  </si>
  <si>
    <t>↑C$180.0(1,549) | ↓C$175.0(1,227)</t>
  </si>
  <si>
    <t>↓C$160.0(2,363)</t>
  </si>
  <si>
    <t>↑C$135.0(2,178)</t>
  </si>
  <si>
    <t>COST</t>
  </si>
  <si>
    <t>Costco Wholesale Corporation</t>
  </si>
  <si>
    <t>↑C$1020.0(1,099) | ↑C$1010.0(1,038)</t>
  </si>
  <si>
    <t>NASDAQ:COST</t>
  </si>
  <si>
    <t>↓C$240.0(2,121)</t>
  </si>
  <si>
    <t>↑C$85.0(2,049)</t>
  </si>
  <si>
    <t>↓C$65.0(2,040)</t>
  </si>
  <si>
    <t>↑C$39.0(1,988)</t>
  </si>
  <si>
    <t>↓P$280.0(1,830)</t>
  </si>
  <si>
    <t>↑C$260.0(1,737)</t>
  </si>
  <si>
    <t>↑C$145.0(1,672)</t>
  </si>
  <si>
    <t>↑C$380.0(1,647)</t>
  </si>
  <si>
    <t>↓C$85.0(1,579)</t>
  </si>
  <si>
    <t>↑C$210.0(1,555)</t>
  </si>
  <si>
    <t>↑C$36.5(1,449)</t>
  </si>
  <si>
    <t>↓P$740.0(1,352)</t>
  </si>
  <si>
    <t>↓C$50.0(1,307)</t>
  </si>
  <si>
    <t>↓C$340.0(1,087)</t>
  </si>
  <si>
    <t>↓C$95.0(1,065)</t>
  </si>
  <si>
    <t>↑C$342.5(1,047)</t>
  </si>
  <si>
    <t>↓C$92.0(1,009)</t>
  </si>
  <si>
    <t>↓C$125.0(1,001)</t>
  </si>
  <si>
    <t>↑P$267.5(6,994) | ↓P$260.0(6,188) | ↑C$267.5(3,782)</t>
  </si>
  <si>
    <t>↑C$155.0(10,758) | ↓C$152.5(5,390) | ↑C$157.5(2,351)</t>
  </si>
  <si>
    <t>↑C$82.0(6,125) | ↓C$80.0(2,539) | ↑C$81.0(1,853)</t>
  </si>
  <si>
    <t>↑C$190.0(6,004) | ↑C$192.5(3,943) | ↓C$187.5(3,720)</t>
  </si>
  <si>
    <t>↑C$420.0(6,316) | ↓C$410.0(2,983) | ↑C$415.0(1,883)</t>
  </si>
  <si>
    <t>↑C$50.0(8,237) | ↓C$49.0(3,689)</t>
  </si>
  <si>
    <t>↑C$130.0(4,733) | ↓C$127.0(2,656) | ↓C$126.0(1,863)</t>
  </si>
  <si>
    <t>↓C$130.0(9,202)</t>
  </si>
  <si>
    <t>↑P$82.5(7,754) | ↓P$80.0(1,065)</t>
  </si>
  <si>
    <t>↑P$157.5(8,613)</t>
  </si>
  <si>
    <t>↓P$67.0(2,579) | ↓C$68.0(2,381) | ↑C$69.0(1,115)</t>
  </si>
  <si>
    <t>↓C$61.0(4,685) | ↑C$62.0(2,197)</t>
  </si>
  <si>
    <t>↓C$160.0(5,421)</t>
  </si>
  <si>
    <t>F</t>
  </si>
  <si>
    <t>Ford Motor Company</t>
  </si>
  <si>
    <t>↑P$13.5(3,000) | ↑C$13.5(1,911)</t>
  </si>
  <si>
    <t>NYSE:F</t>
  </si>
  <si>
    <t>↑P$232.5(2,565) | ↓P$230.0(1,473)</t>
  </si>
  <si>
    <t>↓C$100.0(3,938)</t>
  </si>
  <si>
    <t>↑C$50.0(2,680) | ↑P$50.0(1,133)</t>
  </si>
  <si>
    <t>↓C$19.0(3,527)</t>
  </si>
  <si>
    <t>↓C$105.0(3,196)</t>
  </si>
  <si>
    <t>↓C$90.0(2,972)</t>
  </si>
  <si>
    <t>TEX</t>
  </si>
  <si>
    <t>Terex Corporation</t>
  </si>
  <si>
    <t>↑C$70.0(2,787)</t>
  </si>
  <si>
    <t>NYSE:TEX</t>
  </si>
  <si>
    <t>↑C$135.0(2,287)</t>
  </si>
  <si>
    <t>↓P$352.5(1,229) | ↑C$362.5(1,004)</t>
  </si>
  <si>
    <t>↓C$240.0(2,124)</t>
  </si>
  <si>
    <t>↑C$65.0(2,097)</t>
  </si>
  <si>
    <t>↓C$110.0(2,087)</t>
  </si>
  <si>
    <t>↑C$85.0(2,051)</t>
  </si>
  <si>
    <t>↑C$39.0(1,991)</t>
  </si>
  <si>
    <t>↑C$250.0(1,985)</t>
  </si>
  <si>
    <t>↓C$145.0(1,727)</t>
  </si>
  <si>
    <t>↓P$215.0(1,677)</t>
  </si>
  <si>
    <t>↓C$210.0(1,562)</t>
  </si>
  <si>
    <t>↑P$360.0(1,454)</t>
  </si>
  <si>
    <t>↑C$94.0(1,347)</t>
  </si>
  <si>
    <t>↓C$340.0(1,091)</t>
  </si>
  <si>
    <t>↓C$95.0(1,064)</t>
  </si>
  <si>
    <t>↑C$125.0(1,025)</t>
  </si>
  <si>
    <t>↑C$160.0(1,022)</t>
  </si>
  <si>
    <t>↓P$375.0(5,392) | ↓P$380.0(3,735) | ↓P$377.5(2,978)</t>
  </si>
  <si>
    <t>↑C$130.0(5,801) | ↓C$127.0(2,873) | ↓C$128.0(2,495)</t>
  </si>
  <si>
    <t>↑C$152.5(6,834) | ↓P$150.0(3,341) | ↓C$150.0(3,040)</t>
  </si>
  <si>
    <t>↑C$267.5(3,866) | ↑P$265.0(3,779) | ↓P$260.0(2,816)</t>
  </si>
  <si>
    <t>↑C$50.0(8,225) | ↓C$49.0(3,688)</t>
  </si>
  <si>
    <t>↑C$190.0(4,834) | ↓C$187.5(3,799) | ↓C$185.0(1,200)</t>
  </si>
  <si>
    <t>↑C$80.0(3,224) | ↑C$81.0(2,127) | ↑P$80.0(1,887)</t>
  </si>
  <si>
    <t>↓P$65.0(4,671) | ↑P$66.0(2,328) | ↑C$66.0(1,305)</t>
  </si>
  <si>
    <t>↓C$130.0(9,169)</t>
  </si>
  <si>
    <t>↓C$45.0(6,094) | ↑C$46.0(1,328)</t>
  </si>
  <si>
    <t>↓C$61.0(4,134) | ↑C$62.0(2,266)</t>
  </si>
  <si>
    <t>↑P$217.5(4,738) | ↓P$215.0(1,338)</t>
  </si>
  <si>
    <t>↓C$205.0(4,208) | ↑C$210.0(1,334)</t>
  </si>
  <si>
    <t>↓C$160.0(5,420)</t>
  </si>
  <si>
    <t>↑C$140.0(5,186)</t>
  </si>
  <si>
    <t>↓C$130.0(2,743) | ↑C$135.0(2,291)</t>
  </si>
  <si>
    <t>↓C$38.0(2,707) | ↑C$39.0(1,989)</t>
  </si>
  <si>
    <t>↑C$250.0(2,111) | ↓P$242.5(1,197) | ↑C$247.5(1,005)</t>
  </si>
  <si>
    <t>↑C$100.0(3,878)</t>
  </si>
  <si>
    <t>↑C$19.0(3,809)</t>
  </si>
  <si>
    <t>↓P$202.5(3,217)</t>
  </si>
  <si>
    <t>↓C$105.0(3,190)</t>
  </si>
  <si>
    <t>↓C$47.5(1,679) | ↓P$47.5(1,275)</t>
  </si>
  <si>
    <t>↓P$332.5(2,912)</t>
  </si>
  <si>
    <t>↑P$150.0(2,766)</t>
  </si>
  <si>
    <t>↑C$37.5(2,537)</t>
  </si>
  <si>
    <t>↓C$50.0(2,329)</t>
  </si>
  <si>
    <t>↓P$69.0(1,183) | ↑C$70.0(1,006)</t>
  </si>
  <si>
    <t>↓P$330.0(1,088) | ↓P$325.0(1,053)</t>
  </si>
  <si>
    <t>↓P$495.0(1,014) | ↓P$500.0(1,007)</t>
  </si>
  <si>
    <t>↓C$240.0(1,962)</t>
  </si>
  <si>
    <t>↑C$240.0(1,448)</t>
  </si>
  <si>
    <t>↑C$94.0(1,413)</t>
  </si>
  <si>
    <t>↓P$330.0(1,259)</t>
  </si>
  <si>
    <t>↓P$720.0(1,152)</t>
  </si>
  <si>
    <t>↑C$340.0(1,089)</t>
  </si>
  <si>
    <t>↑P$255.0(1,069)</t>
  </si>
  <si>
    <t>↓C$95.0(1,063)</t>
  </si>
  <si>
    <t>↑C$152.5(7,550) | ↑P$150.0(4,513) | ↑C$150.0(2,985)</t>
  </si>
  <si>
    <t>↓C$400.0(7,206) | ↑C$405.0(3,465) | ↓P$400.0(3,300)</t>
  </si>
  <si>
    <t>↑C$130.0(6,112) | ↑C$128.0(3,111) | ↓C$127.0(2,980)</t>
  </si>
  <si>
    <t>↑C$50.0(8,188) | ↓C$49.0(3,690)</t>
  </si>
  <si>
    <t>↑C$190.0(4,946) | ↑C$187.5(3,837) | ↓C$185.0(1,226)</t>
  </si>
  <si>
    <t>↑C$19.0(3,975) | ↓P$18.5(3,209) | ↓C$18.5(2,795)</t>
  </si>
  <si>
    <t>↓C$130.0(9,141)</t>
  </si>
  <si>
    <t>↑P$67.0(2,632) | ↓P$66.0(2,392) | ↓C$66.0(1,376)</t>
  </si>
  <si>
    <t>↓C$80.0(3,250) | ↑C$82.0(1,246) | ↑C$81.0(1,174)</t>
  </si>
  <si>
    <t>↑C$160.0(5,365)</t>
  </si>
  <si>
    <t>↓C$61.0(3,067) | ↑C$62.0(2,271)</t>
  </si>
  <si>
    <t>↓C$140.0(5,149)</t>
  </si>
  <si>
    <t>↓P$78.0(1,582) | ↑P$79.0(1,289) | ↓C$78.0(1,217)</t>
  </si>
  <si>
    <t>↓C$38.0(2,709) | ↑C$39.0(1,989)</t>
  </si>
  <si>
    <t>↑C$250.0(2,200) | ↓P$242.5(1,220) | ↑C$247.5(1,071)</t>
  </si>
  <si>
    <t>↓C$105.0(3,188)</t>
  </si>
  <si>
    <t>↓C$47.5(1,677) | ↓P$47.5(1,276)</t>
  </si>
  <si>
    <t>↑C$37.5(2,498)</t>
  </si>
  <si>
    <t>↓P$325.0(1,201) | ↓P$330.0(1,129)</t>
  </si>
  <si>
    <t>↓C$50.0(2,315)</t>
  </si>
  <si>
    <t>↑C$135.0(2,309)</t>
  </si>
  <si>
    <t>↓C$240.0(1,921)</t>
  </si>
  <si>
    <t>↑C$10.0(1,822)</t>
  </si>
  <si>
    <t>↓C$46.0(1,489)</t>
  </si>
  <si>
    <t>↑C$240.0(1,454)</t>
  </si>
  <si>
    <t>↑C$94.0(1,399)</t>
  </si>
  <si>
    <t>↑P$69.0(1,340)</t>
  </si>
  <si>
    <t>↑C$210.0(1,307)</t>
  </si>
  <si>
    <t>↓C$60.0(1,260)</t>
  </si>
  <si>
    <t>↓P$495.0(1,004)</t>
  </si>
  <si>
    <t>↓C$390.0(4,462) | ↓P$390.0(3,924) | ↑C$395.0(3,770)</t>
  </si>
  <si>
    <t>↑C$152.5(8,928) | ↓P$150.0(4,532) | ↓C$150.0(2,827)</t>
  </si>
  <si>
    <t>↑C$190.0(6,612) | ↓C$187.5(4,005) | ↑C$192.5(3,814)</t>
  </si>
  <si>
    <t>↑P$125.0(3,746) | ↓P$123.0(2,279) | ↓P$121.0(1,865)</t>
  </si>
  <si>
    <t>↑C$19.0(4,061) | ↓P$18.5(3,272) | ↓C$18.5(1,940)</t>
  </si>
  <si>
    <t>↑C$80.0(3,113) | ↑C$81.0(2,776) | ↓C$79.0(2,182)</t>
  </si>
  <si>
    <t>↓C$130.0(9,136)</t>
  </si>
  <si>
    <t>↑P$77.0(1,948) | ↓P$76.0(1,708) | ↑P$78.0(1,661)</t>
  </si>
  <si>
    <t>↓C$135.0(5,355) | ↓P$135.0(1,351)</t>
  </si>
  <si>
    <t>↓C$160.0(5,359)</t>
  </si>
  <si>
    <t>↓C$61.0(2,850) | ↑C$62.0(2,484)</t>
  </si>
  <si>
    <t>↑C$205.0(4,161) | ↓C$200.0(1,038)</t>
  </si>
  <si>
    <t>↑P$240.0(2,937) | ↑P$242.5(1,408)</t>
  </si>
  <si>
    <t>↑C$49.0(3,709)</t>
  </si>
  <si>
    <t>↑P$332.5(3,339)</t>
  </si>
  <si>
    <t>↓C$330.0(2,191) | ↑C$340.0(1,091)</t>
  </si>
  <si>
    <t>↓C$105.0(3,185)</t>
  </si>
  <si>
    <t>↑C$47.5(1,676) | ↑P$47.5(1,286)</t>
  </si>
  <si>
    <t>↓C$130.0(2,716)</t>
  </si>
  <si>
    <t>↓C$38.0(2,709)</t>
  </si>
  <si>
    <t>↓C$40.0(2,689)</t>
  </si>
  <si>
    <t>↓P$480.0(1,288) | ↑P$495.0(1,254)</t>
  </si>
  <si>
    <t>↓P$247.5(1,238) | ↓P$250.0(1,144)</t>
  </si>
  <si>
    <t>CF</t>
  </si>
  <si>
    <t>CF Industries Holdings, Inc.</t>
  </si>
  <si>
    <t>↓C$110.0(2,371)</t>
  </si>
  <si>
    <t>NYSE:CF</t>
  </si>
  <si>
    <t>↓C$50.0(2,312)</t>
  </si>
  <si>
    <t>↓C$110.0(2,053)</t>
  </si>
  <si>
    <t>↑C$46.0(1,448)</t>
  </si>
  <si>
    <t>↓P$370.0(1,342)</t>
  </si>
  <si>
    <t>↑C$60.0(1,327)</t>
  </si>
  <si>
    <t>↓P$62.0(1,260)</t>
  </si>
  <si>
    <t>↓C$210.0(1,093)</t>
  </si>
  <si>
    <t>↑C$95.0(1,061)</t>
  </si>
  <si>
    <t>↓P$325.0(1,010)</t>
  </si>
  <si>
    <t>↑C$124.0(3,771) | ↑P$125.0(3,342) | ↑C$125.0(2,886)</t>
  </si>
  <si>
    <t>↑C$152.5(8,565) | ↓P$150.0(5,894) | ↓C$150.0(3,669)</t>
  </si>
  <si>
    <t>↑C$190.0(7,581) | ↓C$187.5(4,160) | ↑C$192.5(4,000)</t>
  </si>
  <si>
    <t>↓C$130.0(9,034) | ↑C$135.0(4,192)</t>
  </si>
  <si>
    <t>↑C$50.0(7,788) | ↓C$49.0(3,708)</t>
  </si>
  <si>
    <t>↑C$19.0(4,921) | ↓P$18.5(3,266) | ↓C$18.5(1,909)</t>
  </si>
  <si>
    <t>↑C$135.0(5,356) | ↓C$130.0(2,032) | ↑P$135.0(1,380)</t>
  </si>
  <si>
    <t>↑C$80.0(3,337) | ↑C$79.0(2,196) | ↑P$80.0(1,235)</t>
  </si>
  <si>
    <t>↑C$78.0(2,154) | ↓P$77.0(1,955) | ↓P$76.0(1,733)</t>
  </si>
  <si>
    <t>↑C$38.0(3,500) | ↑C$37.5(2,547)</t>
  </si>
  <si>
    <t>↓C$61.0(2,848) | ↑C$62.0(2,488)</t>
  </si>
  <si>
    <t>↑P$124.0(5,088)</t>
  </si>
  <si>
    <t>↓C$38.0(2,708) | ↑C$39.0(2,014)</t>
  </si>
  <si>
    <t>↑P$60.0(2,683) | ↓P$59.0(1,848)</t>
  </si>
  <si>
    <t>↓P$240.0(2,800) | ↑P$242.5(1,364)</t>
  </si>
  <si>
    <t>↑C$210.0(1,406) | ↓C$207.5(1,064)</t>
  </si>
  <si>
    <t>↑C$48.0(2,416)</t>
  </si>
  <si>
    <t>↑C$90.0(2,289)</t>
  </si>
  <si>
    <t>↑C$330.0(2,188)</t>
  </si>
  <si>
    <t>↑P$275.0(2,075)</t>
  </si>
  <si>
    <t>↓P$185.0(1,640)</t>
  </si>
  <si>
    <t>TKR</t>
  </si>
  <si>
    <t>Timken Company (The)</t>
  </si>
  <si>
    <t>↓C$100.0(1,617)</t>
  </si>
  <si>
    <t>NYSE:TKR</t>
  </si>
  <si>
    <t>↓C$155.0(1,437)</t>
  </si>
  <si>
    <t>↑C$60.0(1,384)</t>
  </si>
  <si>
    <t>↑C$250.0(1,335)</t>
  </si>
  <si>
    <t>↑C$675.0(1,318)</t>
  </si>
  <si>
    <t>↓P$480.0(1,288)</t>
  </si>
  <si>
    <t>↑P$180.0(1,153)</t>
  </si>
  <si>
    <t>↓C$210.0(1,084)</t>
  </si>
  <si>
    <t>↓C$9.5(1,083)</t>
  </si>
  <si>
    <t>↓P$325.0(1,082)</t>
  </si>
  <si>
    <t>↑P$80.0(1,005)</t>
  </si>
  <si>
    <t>↑C$50.0(8,020) | ↓C$49.0(7,282)</t>
  </si>
  <si>
    <t>↑C$79.0(6,436) | ↑C$78.0(5,534) | ↑P$78.0(1,572)</t>
  </si>
  <si>
    <t>↑C$152.5(4,910) | ↓P$149.0(1,569) | ↓P$150.0(1,559)</t>
  </si>
  <si>
    <t>↑C$39.0(7,165) | ↓C$38.0(2,713)</t>
  </si>
  <si>
    <t>↓C$130.0(8,988)</t>
  </si>
  <si>
    <t>↓C$45.0(5,977) | ↑C$46.0(1,443)</t>
  </si>
  <si>
    <t>↑C$135.0(5,352) | ↑P$135.0(1,378)</t>
  </si>
  <si>
    <t>↑C$190.0(2,771) | ↑C$192.5(1,851)</t>
  </si>
  <si>
    <t>↓C$61.0(4,380)</t>
  </si>
  <si>
    <t>↓P$18.5(1,961) | ↓C$18.5(1,305)</t>
  </si>
  <si>
    <t>↑C$105.0(3,179)</t>
  </si>
  <si>
    <t>↑P$40.0(3,012)</t>
  </si>
  <si>
    <t>↓C$130.0(2,708)</t>
  </si>
  <si>
    <t>↑C$245.0(2,638)</t>
  </si>
  <si>
    <t>↓P$480.0(2,483)</t>
  </si>
  <si>
    <t>↓C$50.0(2,306)</t>
  </si>
  <si>
    <t>↑C$330.0(2,191)</t>
  </si>
  <si>
    <t>↓C$205.0(1,056) | ↑C$210.0(1,013)</t>
  </si>
  <si>
    <t>↓C$110.0(2,046)</t>
  </si>
  <si>
    <t>↓C$60.0(1,505)</t>
  </si>
  <si>
    <t>↓P$67.0(1,463)</t>
  </si>
  <si>
    <t>SO</t>
  </si>
  <si>
    <t>Southern Company (The)</t>
  </si>
  <si>
    <t>↑C$98.0(1,445)</t>
  </si>
  <si>
    <t>NYSE:SO</t>
  </si>
  <si>
    <t>↓P$235.0(1,155)</t>
  </si>
  <si>
    <t>↓C$40.0(1,108)</t>
  </si>
  <si>
    <t>↑C$95.0(1,087)</t>
  </si>
  <si>
    <t>↓P$80.0(1,047)</t>
  </si>
  <si>
    <t>↓C$92.0(1,016)</t>
  </si>
  <si>
    <t>↑C$79.0(6,331) | ↑C$78.0(5,909) | ↑P$78.0(1,520)</t>
  </si>
  <si>
    <t>↓P$147.0(2,648) | ↓P$148.0(1,835) | ↑P$150.0(1,822)</t>
  </si>
  <si>
    <t>↑C$130.0(8,780)</t>
  </si>
  <si>
    <t>↑C$245.0(2,711) | ↑C$247.5(2,402) | ↓P$240.0(1,737)</t>
  </si>
  <si>
    <t>↓C$49.0(7,274)</t>
  </si>
  <si>
    <t>RRC</t>
  </si>
  <si>
    <t>Range Resources Corporation</t>
  </si>
  <si>
    <t>↓C$40.0(6,456)</t>
  </si>
  <si>
    <t>NYSE:RRC</t>
  </si>
  <si>
    <t>↑C$135.0(5,366) | ↑P$135.0(1,056)</t>
  </si>
  <si>
    <t>↓C$45.0(5,884)</t>
  </si>
  <si>
    <t>↓C$61.0(4,384)</t>
  </si>
  <si>
    <t>↑P$18.5(2,883) | ↑C$18.5(1,312)</t>
  </si>
  <si>
    <t>↓P$67.0(1,503) | ↓P$66.0(1,024) | ↓C$66.0(1,000)</t>
  </si>
  <si>
    <t>↑C$105.0(3,172)</t>
  </si>
  <si>
    <t>↑P$40.0(3,010)</t>
  </si>
  <si>
    <t>↑C$190.0(2,888)</t>
  </si>
  <si>
    <t>↓C$130.0(2,705)</t>
  </si>
  <si>
    <t>↑C$38.0(2,703)</t>
  </si>
  <si>
    <t>↑P$480.0(2,485)</t>
  </si>
  <si>
    <t>↑C$210.0(1,307) | ↓C$205.0(1,041)</t>
  </si>
  <si>
    <t>↓C$50.0(2,254)</t>
  </si>
  <si>
    <t>CMS</t>
  </si>
  <si>
    <t>CMS Energy Corporation</t>
  </si>
  <si>
    <t>↓C$75.0(2,181)</t>
  </si>
  <si>
    <t>NYSE:CMS</t>
  </si>
  <si>
    <t>↓C$110.0(2,042)</t>
  </si>
  <si>
    <t>↑C$240.0(1,876)</t>
  </si>
  <si>
    <t>↑C$98.0(1,546)</t>
  </si>
  <si>
    <t>↑C$500.0(1,519)</t>
  </si>
  <si>
    <t>↑C$60.0(1,414)</t>
  </si>
  <si>
    <t>↑C$75.0(1,288)</t>
  </si>
  <si>
    <t>↑C$92.0(1,215)</t>
  </si>
  <si>
    <t>↓C$40.0(1,070)</t>
  </si>
  <si>
    <t>↑P$80.0(1,047)</t>
  </si>
  <si>
    <t>↑C$420.0(6,100) | ↑C$425.0(4,140) | ↑C$422.5(3,719)</t>
  </si>
  <si>
    <t>↑C$79.0(6,561) | ↑C$78.0(6,040) | ↑P$78.0(1,528)</t>
  </si>
  <si>
    <t>↑C$152.5(5,002) | ↓C$150.0(2,003) | ↑P$152.5(1,831)</t>
  </si>
  <si>
    <t>↑C$19.0(7,185) | ↓P$18.5(3,174) | ↓C$18.5(1,702)</t>
  </si>
  <si>
    <t>↓C$190.0(6,058) | ↑C$195.0(2,722) | ↑C$192.5(2,257)</t>
  </si>
  <si>
    <t>↓C$130.0(8,791)</t>
  </si>
  <si>
    <t>↑C$245.0(2,752) | ↑C$247.5(2,493) | ↓C$240.0(1,757)</t>
  </si>
  <si>
    <t>↓C$45.0(5,893) | ↑C$46.0(1,394)</t>
  </si>
  <si>
    <t>↑C$49.0(7,273)</t>
  </si>
  <si>
    <t>↓C$37.0(3,906) | ↑C$38.0(2,703)</t>
  </si>
  <si>
    <t>↓P$480.0(2,493) | ↑C$490.0(1,374)</t>
  </si>
  <si>
    <t>↑P$67.0(1,512) | ↓P$66.0(1,104) | ↓C$66.0(1,001)</t>
  </si>
  <si>
    <t>↓C$130.0(2,736)</t>
  </si>
  <si>
    <t>↑C$210.0(1,248) | ↓C$205.0(1,034)</t>
  </si>
  <si>
    <t>↓C$110.0(2,041)</t>
  </si>
  <si>
    <t>UNF</t>
  </si>
  <si>
    <t>Unifirst Corporation</t>
  </si>
  <si>
    <t>↓C$270.0(1,973)</t>
  </si>
  <si>
    <t>NYSE:UNF</t>
  </si>
  <si>
    <t>↑C$240.0(1,875)</t>
  </si>
  <si>
    <t>↑C$98.0(1,558)</t>
  </si>
  <si>
    <t>↑C$75.0(1,303)</t>
  </si>
  <si>
    <t>↑C$92.0(1,257)</t>
  </si>
  <si>
    <t>↓P$37.0(1,219)</t>
  </si>
  <si>
    <t>↓P$235.0(1,158)</t>
  </si>
  <si>
    <t>↑P$410.0(12,445) | ↓P$400.0(9,919) | ↓C$400.0(7,797)</t>
  </si>
  <si>
    <t>↑C$155.0(8,549) | ↓C$152.5(5,303) | ↓P$152.5(1,925)</t>
  </si>
  <si>
    <t>↑C$50.0(8,007) | ↓C$49.0(7,274)</t>
  </si>
  <si>
    <t>MRVL</t>
  </si>
  <si>
    <t>Marvell Technology, Inc.</t>
  </si>
  <si>
    <t>↑P$88.0(4,912) | ↓P$87.0(4,369) | ↓C$87.0(2,035)</t>
  </si>
  <si>
    <t>NASDAQ:MRVL</t>
  </si>
  <si>
    <t>↑C$200.0(7,162) | ↓C$195.0(3,285) | ↑C$197.5(1,310)</t>
  </si>
  <si>
    <t>↓C$130.0(9,124) | ↓P$130.0(1,092)</t>
  </si>
  <si>
    <t>↑C$245.0(2,978) | ↓P$237.5(2,262) | ↓P$240.0(1,773)</t>
  </si>
  <si>
    <t>↑C$45.0(5,888)</t>
  </si>
  <si>
    <t>↓P$18.5(2,994) | ↓C$18.5(2,642)</t>
  </si>
  <si>
    <t>↑C$69.0(3,858) | ↓P$67.0(1,516)</t>
  </si>
  <si>
    <t>↑C$105.0(3,170)</t>
  </si>
  <si>
    <t>↓P$38.0(3,013)</t>
  </si>
  <si>
    <t>↓C$38.0(2,707)</t>
  </si>
  <si>
    <t>↓P$128.0(2,423)</t>
  </si>
  <si>
    <t>↑C$330.0(2,160)</t>
  </si>
  <si>
    <t>↑C$240.0(1,871)</t>
  </si>
  <si>
    <t>↑C$98.0(1,544)</t>
  </si>
  <si>
    <t>↓C$490.0(1,378)</t>
  </si>
  <si>
    <t>↑P$37.0(1,278)</t>
  </si>
  <si>
    <t>↑C$92.0(1,242)</t>
  </si>
  <si>
    <t>↑P$235.0(1,157)</t>
  </si>
  <si>
    <t>↑C$240.0(1,128)</t>
  </si>
  <si>
    <t>↑C$65.0(1,067)</t>
  </si>
  <si>
    <t>↑C$205.0(1,019)</t>
  </si>
  <si>
    <t>↓C$420.0(11,385) | ↓P$420.0(6,024) | ↑C$430.0(5,987)</t>
  </si>
  <si>
    <t>↑C$19.0(12,161) | ↓P$18.5(3,020) | ↓C$18.5(2,612)</t>
  </si>
  <si>
    <t>↑C$68.0(11,140) | ↑C$69.0(3,990) | ↓P$67.0(1,503)</t>
  </si>
  <si>
    <t>↑C$50.0(7,982) | ↓C$49.0(7,268)</t>
  </si>
  <si>
    <t>↑P$88.0(4,646) | ↓P$87.0(4,286) | ↓C$87.0(2,038)</t>
  </si>
  <si>
    <t>↓C$155.0(7,678) | ↑C$157.5(6,638)</t>
  </si>
  <si>
    <t>↑C$77.0(8,899) | ↑C$76.0(5,239)</t>
  </si>
  <si>
    <t>↑C$200.0(6,835) | ↓C$195.0(2,756) | ↑C$197.5(1,265)</t>
  </si>
  <si>
    <t>↑C$39.0(7,107) | ↓C$38.0(2,706)</t>
  </si>
  <si>
    <t>↑C$245.0(3,087) | ↓P$240.0(1,833) | ↓C$240.0(1,730)</t>
  </si>
  <si>
    <t>↑C$135.0(4,513)</t>
  </si>
  <si>
    <t>↑C$94.0(1,545) | ↓C$92.0(1,209)</t>
  </si>
  <si>
    <t>↓C$105.0(2,248)</t>
  </si>
  <si>
    <t>↑C$135.0(2,197)</t>
  </si>
  <si>
    <t>↑C$330.0(2,156)</t>
  </si>
  <si>
    <t>↑C$240.0(1,852)</t>
  </si>
  <si>
    <t>↑C$43.0(1,623)</t>
  </si>
  <si>
    <t>↓C$98.0(1,533)</t>
  </si>
  <si>
    <t>↓C$490.0(1,388)</t>
  </si>
  <si>
    <t>↑P$37.0(1,253)</t>
  </si>
  <si>
    <t>↓C$35.0(1,213)</t>
  </si>
  <si>
    <t>↑C$65.0(1,149)</t>
  </si>
  <si>
    <t>↑C$205.0(1,041)</t>
  </si>
  <si>
    <t>↑P$80.0(1,031)</t>
  </si>
  <si>
    <t>↑C$19.0(67,268) | ↓P$18.5(4,119) | ↓C$18.5(2,617)</t>
  </si>
  <si>
    <t>↑C$160.0(16,284) | ↓C$155.0(11,775) | ↑C$157.5(7,387)</t>
  </si>
  <si>
    <t>↓C$125.0(14,968) | ↓P$125.0(8,205) | ↑C$128.0(3,508)</t>
  </si>
  <si>
    <t>↓C$90.0(11,617) | ↓P$90.0(9,217) | ↑C$92.0(6,075)</t>
  </si>
  <si>
    <t>↑C$200.0(8,681) | ↑C$197.5(6,712) | ↓C$195.0(5,896)</t>
  </si>
  <si>
    <t>↓C$90.0(7,056) | ↑P$92.5(5,310) | ↓C$91.0(2,055)</t>
  </si>
  <si>
    <t>↑C$38.0(10,312) | ↓C$37.0(2,867)</t>
  </si>
  <si>
    <t>↑C$65.0(8,912) | ↓C$64.0(1,814)</t>
  </si>
  <si>
    <t>↑C$440.0(4,364) | ↑C$445.0(2,570) | ↑C$442.5(2,084)</t>
  </si>
  <si>
    <t>↓C$67.5(4,575) | ↓P$67.5(2,325) | ↑C$68.0(2,322)</t>
  </si>
  <si>
    <t>↓C$92.5(4,510) | ↓C$93.0(1,856) | ↓P$93.0(1,826)</t>
  </si>
  <si>
    <t>↓C$50.0(7,951)</t>
  </si>
  <si>
    <t>↓C$74.0(4,546) | ↑C$75.0(2,864)</t>
  </si>
  <si>
    <t>↑C$39.0(7,092)</t>
  </si>
  <si>
    <t>LNG</t>
  </si>
  <si>
    <t>Cheniere Energy, Inc.</t>
  </si>
  <si>
    <t>↓C$250.0(2,627) | ↓P$250.0(1,520) | ↑C$255.0(1,310)</t>
  </si>
  <si>
    <t>NYSE:LNG</t>
  </si>
  <si>
    <t>↑C$45.0(5,882)</t>
  </si>
  <si>
    <t>↑C$75.0(5,753)</t>
  </si>
  <si>
    <t>↓C$240.0(3,017) | ↓P$240.0(2,592)</t>
  </si>
  <si>
    <t>↑C$135.0(4,501)</t>
  </si>
  <si>
    <t>↑C$160.0(2,717) | ↓C$155.0(1,461)</t>
  </si>
  <si>
    <t>↓C$97.5(2,422) | ↑C$100.0(1,381)</t>
  </si>
  <si>
    <t>↓C$120.0(3,092)</t>
  </si>
  <si>
    <t>↓C$205.0(1,495) | ↑C$207.5(1,436)</t>
  </si>
  <si>
    <t>↓C$280.0(1,839) | ↓P$280.0(1,039)</t>
  </si>
  <si>
    <t>↓C$105.0(2,246)</t>
  </si>
  <si>
    <t>↓C$330.0(2,241)</t>
  </si>
  <si>
    <t>↑C$135.0(2,095)</t>
  </si>
  <si>
    <t>↑C$240.0(1,896)</t>
  </si>
  <si>
    <t>DINO</t>
  </si>
  <si>
    <t>HF Sinclair Corporation</t>
  </si>
  <si>
    <t>↑C$57.5(1,835)</t>
  </si>
  <si>
    <t>NYSE:DINO</t>
  </si>
  <si>
    <t>↓C$490.0(1,381)</t>
  </si>
  <si>
    <t>↓C$357.5(1,031)</t>
  </si>
  <si>
    <t>↑C$235.0(1,004)</t>
  </si>
  <si>
    <t>↑C$450.0(10,147) | ↓C$440.0(4,364) | ↑C$445.0(2,570)</t>
  </si>
  <si>
    <t>↑C$39.0(7,092) | ↓C$38.0(2,673)</t>
  </si>
  <si>
    <t>↑C$210.0(5,645) | ↓C$205.0(1,495) | ↑C$207.5(1,436)</t>
  </si>
  <si>
    <t>↓C$92.5(4,510) | ↑C$93.0(1,856) | ↑P$93.0(1,826)</t>
  </si>
  <si>
    <t>↓C$240.0(3,017) | ↓P$240.0(2,592) | ↑C$247.5(2,301)</t>
  </si>
  <si>
    <t>↓C$1000.0(1,592) | ↑C$1020.0(1,063)</t>
  </si>
  <si>
    <t>↑C$650.0(2,185)</t>
  </si>
  <si>
    <t>↑C$290.0(1,670)</t>
  </si>
  <si>
    <t>↑C$430.0(3,263) | ↓P$417.5(2,325) | ↓P$420.0(2,135)</t>
  </si>
  <si>
    <t>↑C$205.0(2,757) | ↑C$202.5(2,324) | ↓C$200.0(1,399)</t>
  </si>
  <si>
    <t>↑C$160.0(6,393)</t>
  </si>
  <si>
    <t>↓C$19.0(6,149)</t>
  </si>
  <si>
    <t>↑C$105.0(5,976)</t>
  </si>
  <si>
    <t>↓C$60.0(3,472)</t>
  </si>
  <si>
    <t>↑C$89.0(2,362)</t>
  </si>
  <si>
    <t>↓P$64.0(2,119)</t>
  </si>
  <si>
    <t>↑P$490.0(1,861)</t>
  </si>
  <si>
    <t>↓C$45.0(1,791)</t>
  </si>
  <si>
    <t>↓C$125.0(1,739)</t>
  </si>
  <si>
    <t>↑P$255.0(1,716)</t>
  </si>
  <si>
    <t>↑C$45.0(1,165)</t>
  </si>
  <si>
    <t>↓C$80.0(1,106)</t>
  </si>
  <si>
    <t>↑P$560.0(1,036)</t>
  </si>
  <si>
    <t>↓P$400.0(6,402) | ↓C$400.0(2,900) | ↑P$410.0(1,869)</t>
  </si>
  <si>
    <t>↓C$160.0(6,721) | ↑C$162.5(2,983)</t>
  </si>
  <si>
    <t>↓C$205.0(3,147) | ↓C$202.5(2,566) | ↑C$207.5(1,774)</t>
  </si>
  <si>
    <t>↓C$19.0(6,286)</t>
  </si>
  <si>
    <t>↑C$105.0(5,997)</t>
  </si>
  <si>
    <t>↓C$232.5(2,144) | ↑C$237.5(1,379)</t>
  </si>
  <si>
    <t>↑C$60.0(3,338)</t>
  </si>
  <si>
    <t>↓P$64.0(2,096)</t>
  </si>
  <si>
    <t>↑C$267.5(1,817)</t>
  </si>
  <si>
    <t>↓C$125.0(1,758)</t>
  </si>
  <si>
    <t>↑C$95.0(1,327)</t>
  </si>
  <si>
    <t>↓P$560.0(1,108)</t>
  </si>
  <si>
    <t>↑P$400.0(17,981) | ↓P$390.0(3,601) | ↑C$400.0(2,614)</t>
  </si>
  <si>
    <t>↓C$165.0(6,410) | ↓C$162.5(5,146) | ↑C$167.5(2,664)</t>
  </si>
  <si>
    <t>↓C$19.0(7,370) | ↑C$19.5(6,556)</t>
  </si>
  <si>
    <t>↓C$205.0(3,789) | ↑C$207.5(3,470) | ↑C$210.0(1,799)</t>
  </si>
  <si>
    <t>↑C$55.0(5,708)</t>
  </si>
  <si>
    <t>↑C$38.5(3,668) | ↓C$38.0(1,785)</t>
  </si>
  <si>
    <t>↓C$237.5(1,415) | ↑C$240.0(1,247)</t>
  </si>
  <si>
    <t>↑C$62.5(2,056)</t>
  </si>
  <si>
    <t>↑P$72.0(1,344)</t>
  </si>
  <si>
    <t>↓C$95.0(1,256)</t>
  </si>
  <si>
    <t>↓C$370.0(1,142)</t>
  </si>
  <si>
    <t>↓C$140.0(1,141)</t>
  </si>
  <si>
    <t>↑C$100.0(20,637) | ↓C$97.0(1,542) | ↓C$98.0(1,340)</t>
  </si>
  <si>
    <t>↓C$160.0(6,267) | ↑C$165.0(6,004) | ↓C$162.5(4,571)</t>
  </si>
  <si>
    <t>↓C$19.0(7,271) | ↑C$19.5(6,978) | ↓P$19.0(2,534)</t>
  </si>
  <si>
    <t>↓C$205.0(3,588) | ↑C$207.5(3,495) | ↓C$202.5(2,823)</t>
  </si>
  <si>
    <t>↓C$60.0(3,323)</t>
  </si>
  <si>
    <t>↑C$10.0(2,489)</t>
  </si>
  <si>
    <t>↓P$280.0(1,172) | ↑P$285.0(1,047)</t>
  </si>
  <si>
    <t>↑C$130.0(2,218)</t>
  </si>
  <si>
    <t>↓C$38.5(2,216)</t>
  </si>
  <si>
    <t>↓C$145.0(1,744)</t>
  </si>
  <si>
    <t>↓C$95.0(1,245)</t>
  </si>
  <si>
    <t>↑C$370.0(1,219)</t>
  </si>
  <si>
    <t>↓C$270.0(1,114)</t>
  </si>
  <si>
    <t>↓C$46.0(1,112)</t>
  </si>
  <si>
    <t>↓P$490.0(1,096)</t>
  </si>
  <si>
    <t>↓C$165.0(6,365) | ↑C$167.5(5,103) | ↓C$162.5(4,691)</t>
  </si>
  <si>
    <t>↓C$207.5(4,365) | ↓C$205.0(3,591) | ↑C$210.0(3,564)</t>
  </si>
  <si>
    <t>↑C$99.0(4,881) | ↓C$97.0(3,628) | ↑C$98.0(1,717)</t>
  </si>
  <si>
    <t>↑C$19.5(6,936)</t>
  </si>
  <si>
    <t>↑C$55.0(5,935)</t>
  </si>
  <si>
    <t>↑P$215.0(2,347) | ↑P$212.5(2,227)</t>
  </si>
  <si>
    <t>↓C$62.5(2,267)</t>
  </si>
  <si>
    <t>↓C$38.5(2,229)</t>
  </si>
  <si>
    <t>↓C$130.0(2,228)</t>
  </si>
  <si>
    <t>↑P$72.0(1,356)</t>
  </si>
  <si>
    <t>↓C$46.0(1,108)</t>
  </si>
  <si>
    <t>↓P$490.0(1,097)</t>
  </si>
  <si>
    <t>TSEM</t>
  </si>
  <si>
    <t>Tower Semiconductor Ltd.</t>
  </si>
  <si>
    <t>↑C$175.0(1,043)</t>
  </si>
  <si>
    <t>NASDAQ:TSEM</t>
  </si>
  <si>
    <t>PLAB</t>
  </si>
  <si>
    <t>Photronics, Inc.</t>
  </si>
  <si>
    <t>↑C$40.0(1,009)</t>
  </si>
  <si>
    <t>NASDAQ:PLAB</t>
  </si>
  <si>
    <t>↑C$95.0(3,680) | ↓C$93.0(3,491) | ↓C$92.0(3,029)</t>
  </si>
  <si>
    <t>↓C$167.5(7,560) | ↓C$170.0(3,548) | ↑C$172.5(2,334)</t>
  </si>
  <si>
    <t>↓C$19.5(8,998) | ↑C$20.0(3,015)</t>
  </si>
  <si>
    <t>↓C$210.0(4,876) | ↑C$215.0(4,145) | ↑C$212.5(1,989)</t>
  </si>
  <si>
    <t>↑C$55.0(5,732)</t>
  </si>
  <si>
    <t>↓P$170.0(2,554) | ↑C$175.0(1,050)</t>
  </si>
  <si>
    <t>↓C$130.0(2,780)</t>
  </si>
  <si>
    <t>↑C$76.0(1,437)</t>
  </si>
  <si>
    <t>↑C$136.0(1,420)</t>
  </si>
  <si>
    <t>↓P$72.0(1,361)</t>
  </si>
  <si>
    <t>↓C$95.0(1,251)</t>
  </si>
  <si>
    <t>↑P$280.0(1,194)</t>
  </si>
  <si>
    <t>↑P$345.0(1,015)</t>
  </si>
  <si>
    <t>↓C$210.0(4,876) | ↓C$207.5(4,412) | ↑C$215.0(4,145)</t>
  </si>
  <si>
    <t>↑C$95.0(3,680) | ↓C$93.0(3,491) | ↓P$93.0(2,479)</t>
  </si>
  <si>
    <t>↓C$170.0(3,548) | ↑C$172.5(2,334)</t>
  </si>
  <si>
    <t>↓C$55.0(5,732)</t>
  </si>
  <si>
    <t>↑C$65.0(3,241) | ↓C$62.5(1,370)</t>
  </si>
  <si>
    <t>↑C$139.0(1,451) | ↓C$136.0(1,420)</t>
  </si>
  <si>
    <t>↓C$38.5(2,238)</t>
  </si>
  <si>
    <t>↑C$130.0(1,590)</t>
  </si>
  <si>
    <t>↓P$490.0(1,100)</t>
  </si>
  <si>
    <t>↓P$73.0(1,034)</t>
  </si>
  <si>
    <t>↓C$49.0(9,436)</t>
  </si>
  <si>
    <t>↑C$212.5(2,686) | ↓C$210.0(2,273) | ↓C$207.5(1,691)</t>
  </si>
  <si>
    <t>↓C$170.0(2,927) | ↑C$172.5(2,671)</t>
  </si>
  <si>
    <t>↑C$55.0(5,527)</t>
  </si>
  <si>
    <t>↑C$600.0(4,430) | ↓C$580.0(1,034)</t>
  </si>
  <si>
    <t>↑C$17.5(5,139)</t>
  </si>
  <si>
    <t>↑P$88.0(2,873) | ↓P$87.0(1,774)</t>
  </si>
  <si>
    <t>↓C$60.0(3,320) | ↓P$60.0(1,288)</t>
  </si>
  <si>
    <t>↑C$74.0(4,529)</t>
  </si>
  <si>
    <t>↑P$160.0(2,379) | ↑C$160.0(1,376)</t>
  </si>
  <si>
    <t>↓C$130.0(2,875)</t>
  </si>
  <si>
    <t>↓C$110.0(2,844)</t>
  </si>
  <si>
    <t>↓C$19.5(2,607)</t>
  </si>
  <si>
    <t>↓C$62.5(1,770)</t>
  </si>
  <si>
    <t>↓P$490.0(1,512)</t>
  </si>
  <si>
    <t>↑C$115.0(1,254)</t>
  </si>
  <si>
    <t>↓C$95.0(1,252)</t>
  </si>
  <si>
    <t>↑C$39.5(1,024)</t>
  </si>
  <si>
    <t>↑C$170.0(2,819) | ↑C$172.5(2,774) | ↑P$170.0(1,727)</t>
  </si>
  <si>
    <t>↓C$49.0(9,423)</t>
  </si>
  <si>
    <t>↑C$210.0(2,277) | ↑P$210.0(1,934) | ↑C$207.5(1,692)</t>
  </si>
  <si>
    <t>↓C$72.0(5,109) | ↓P$72.0(1,233)</t>
  </si>
  <si>
    <t>↑C$55.0(5,499)</t>
  </si>
  <si>
    <t>↑C$19.5(2,589) | ↓C$19.0(2,223)</t>
  </si>
  <si>
    <t>↓C$60.0(3,317) | ↓P$60.0(1,293)</t>
  </si>
  <si>
    <t>↑C$93.0(3,914)</t>
  </si>
  <si>
    <t>↓C$240.0(1,768) | ↑C$245.0(1,227)</t>
  </si>
  <si>
    <t>↓C$130.0(2,954)</t>
  </si>
  <si>
    <t>↓P$490.0(1,510) | ↓P$495.0(1,127)</t>
  </si>
  <si>
    <t>↑C$270.0(1,910)</t>
  </si>
  <si>
    <t>↓C$130.0(1,794)</t>
  </si>
  <si>
    <t>↑C$62.5(1,770)</t>
  </si>
  <si>
    <t>↓C$175.0(1,513)</t>
  </si>
  <si>
    <t>↑C$115.0(1,266)</t>
  </si>
  <si>
    <t>↓C$100.0(1,197)</t>
  </si>
  <si>
    <t>↓C$385.0(1,028)</t>
  </si>
  <si>
    <t>↓P$200.0(1,016)</t>
  </si>
  <si>
    <t>↓C$40.0(1,003)</t>
  </si>
  <si>
    <t>↑C$49.0(9,499) | ↓C$48.0(1,162)</t>
  </si>
  <si>
    <t>↓P$195.0(1,967) | ↑C$200.0(1,663) | ↑P$197.5(1,512)</t>
  </si>
  <si>
    <t>↓P$60.0(5,826)</t>
  </si>
  <si>
    <t>↓C$60.0(3,352) | ↓P$60.0(1,334)</t>
  </si>
  <si>
    <t>↓P$160.0(2,205) | ↓C$160.0(1,287) | ↑P$162.5(1,053)</t>
  </si>
  <si>
    <t>↓C$19.0(3,955)</t>
  </si>
  <si>
    <t>↓C$60.0(3,269)</t>
  </si>
  <si>
    <t>↓C$130.0(2,891)</t>
  </si>
  <si>
    <t>↓C$240.0(1,762) | ↑C$245.0(1,121)</t>
  </si>
  <si>
    <t>↓C$105.0(2,620)</t>
  </si>
  <si>
    <t>↑C$93.0(2,157)</t>
  </si>
  <si>
    <t>↑C$145.0(1,091) | ↓C$140.0(1,046)</t>
  </si>
  <si>
    <t>↓C$130.0(1,788)</t>
  </si>
  <si>
    <t>↑C$44.0(1,514)</t>
  </si>
  <si>
    <t>↑C$130.0(1,494)</t>
  </si>
  <si>
    <t>↓C$100.0(1,202)</t>
  </si>
  <si>
    <t>↑C$46.0(1,105)</t>
  </si>
  <si>
    <t>↓C$49.0(9,496) | ↑C$50.0(3,917)</t>
  </si>
  <si>
    <t>↓P$160.0(4,073) | ↓P$157.5(2,474) | ↓C$160.0(1,767)</t>
  </si>
  <si>
    <t>↓P$195.0(2,442) | ↑C$200.0(1,915) | ↓P$197.5(1,824)</t>
  </si>
  <si>
    <t>↓C$105.0(4,169) | ↓P$105.0(2,071) | ↓C$107.0(1,263)</t>
  </si>
  <si>
    <t>↓C$72.0(5,068) | ↓P$72.0(1,235)</t>
  </si>
  <si>
    <t>↓C$17.5(6,078)</t>
  </si>
  <si>
    <t>↓C$55.0(5,572)</t>
  </si>
  <si>
    <t>↓C$60.0(3,389) | ↓P$60.0(1,646)</t>
  </si>
  <si>
    <t>↑C$19.0(4,428)</t>
  </si>
  <si>
    <t>↑C$45.0(4,186)</t>
  </si>
  <si>
    <t>↓C$130.0(2,882) | ↓P$130.0(1,054)</t>
  </si>
  <si>
    <t>↓C$240.0(1,714) | ↑C$245.0(1,112)</t>
  </si>
  <si>
    <t>↑C$135.0(2,574)</t>
  </si>
  <si>
    <t>↑P$150.0(1,200) | ↓C$145.0(1,106)</t>
  </si>
  <si>
    <t>↓C$93.0(1,715)</t>
  </si>
  <si>
    <t>↑C$44.0(1,513)</t>
  </si>
  <si>
    <t>↑C$200.0(1,498)</t>
  </si>
  <si>
    <t>↑C$130.0(1,477)</t>
  </si>
  <si>
    <t>↑C$100.0(1,342)</t>
  </si>
  <si>
    <t>↑C$1030.0(1,330)</t>
  </si>
  <si>
    <t>↓C$115.0(1,254)</t>
  </si>
  <si>
    <t>↑C$38.0(1,130)</t>
  </si>
  <si>
    <t>↑C$162.5(2,994) | ↓C$160.0(1,774) | ↓P$160.0(1,319)</t>
  </si>
  <si>
    <t>↓C$107.0(2,131) | ↓C$105.0(1,528)</t>
  </si>
  <si>
    <t>↑C$247.5(1,799) | ↓P$242.5(1,638)</t>
  </si>
  <si>
    <t>↑P$19.0(1,702) | ↑C$19.0(1,125)</t>
  </si>
  <si>
    <t>↑C$202.5(1,227)</t>
  </si>
  <si>
    <t>↓C$290.0(1,123)</t>
  </si>
  <si>
    <t>↑C$38.0(1,050)</t>
  </si>
  <si>
    <t>↑C$49.0(9,496) | ↓C$48.0(1,161)</t>
  </si>
  <si>
    <t>↑C$165.0(3,929) | ↓C$162.5(3,602) | ↑P$165.0(2,113)</t>
  </si>
  <si>
    <t>↓C$73.0(5,058) | ↑C$74.0(4,561)</t>
  </si>
  <si>
    <t>↓C$55.0(5,551)</t>
  </si>
  <si>
    <t>↓C$60.0(3,382) | ↓P$60.0(1,651)</t>
  </si>
  <si>
    <t>↑C$135.0(2,580) | ↓C$130.0(1,759)</t>
  </si>
  <si>
    <t>AA</t>
  </si>
  <si>
    <t>Alcoa Corporation</t>
  </si>
  <si>
    <t>↓C$70.0(2,381) | ↓P$70.0(1,898)</t>
  </si>
  <si>
    <t>NYSE:AA</t>
  </si>
  <si>
    <t>↓C$130.0(2,878) | ↓P$130.0(1,251)</t>
  </si>
  <si>
    <t>↑C$19.0(1,853) | ↑P$19.0(1,807)</t>
  </si>
  <si>
    <t>CYTK</t>
  </si>
  <si>
    <t>Cytokinetics, Incorporated</t>
  </si>
  <si>
    <t>↑C$65.0(3,379)</t>
  </si>
  <si>
    <t>NASDAQ:CYTK</t>
  </si>
  <si>
    <t>↓C$60.0(3,047)</t>
  </si>
  <si>
    <t>↑C$110.0(2,848)</t>
  </si>
  <si>
    <t>↑C$202.5(1,527) | ↑C$200.0(1,004)</t>
  </si>
  <si>
    <t>↑C$125.0(2,118)</t>
  </si>
  <si>
    <t>↑P$242.5(1,659)</t>
  </si>
  <si>
    <t>↑C$44.0(1,512)</t>
  </si>
  <si>
    <t>↑C$115.0(1,260)</t>
  </si>
  <si>
    <t>↑C$38.0(1,115)</t>
  </si>
  <si>
    <t>↓C$300.0(1,085)</t>
  </si>
  <si>
    <t>↑C$19.5(10,593) | ↓P$19.0(1,877) | ↓C$19.0(1,477)</t>
  </si>
  <si>
    <t>↓C$49.0(9,489) | ↑C$50.0(3,978)</t>
  </si>
  <si>
    <t>↓C$162.5(4,332) | ↑C$165.0(4,145) | ↑P$165.0(2,064)</t>
  </si>
  <si>
    <t>↑C$73.0(5,927) | ↑C$74.0(4,575)</t>
  </si>
  <si>
    <t>OKE</t>
  </si>
  <si>
    <t>ONEOK, Inc.</t>
  </si>
  <si>
    <t>↓C$90.0(7,870)</t>
  </si>
  <si>
    <t>NYSE:OKE</t>
  </si>
  <si>
    <t>↑C$205.0(4,265) | ↑C$202.5(1,567) | ↓C$200.0(1,382)</t>
  </si>
  <si>
    <t>↓C$17.5(6,089)</t>
  </si>
  <si>
    <t>↑C$110.0(3,426) | ↑C$111.0(2,597)</t>
  </si>
  <si>
    <t>↑C$55.0(5,543)</t>
  </si>
  <si>
    <t>↑C$38.5(3,264) | ↓C$38.0(1,138)</t>
  </si>
  <si>
    <t>↓C$130.0(2,870) | ↓P$130.0(1,299)</t>
  </si>
  <si>
    <t>↓C$65.0(3,376)</t>
  </si>
  <si>
    <t>↓C$60.0(3,126)</t>
  </si>
  <si>
    <t>↑C$135.0(2,861)</t>
  </si>
  <si>
    <t>↓C$50.0(2,561)</t>
  </si>
  <si>
    <t>↑C$125.0(2,091)</t>
  </si>
  <si>
    <t>↑P$242.5(1,673)</t>
  </si>
  <si>
    <t>↑C$207.5(1,649)</t>
  </si>
  <si>
    <t>↑C$44.0(1,506)</t>
  </si>
  <si>
    <t>↑C$100.0(1,346)</t>
  </si>
  <si>
    <t>↑C$115.0(1,258)</t>
  </si>
  <si>
    <t>↓C$49.0(9,490) | ↑C$50.0(3,977)</t>
  </si>
  <si>
    <t>↑C$68.0(4,286) | ↓C$66.0(2,926) | ↓P$66.0(2,885)</t>
  </si>
  <si>
    <t>↑C$115.0(4,837) | ↓C$114.0(2,725) | ↓C$113.0(1,036)</t>
  </si>
  <si>
    <t>↑P$157.5(3,225) | ↓P$155.0(2,867)</t>
  </si>
  <si>
    <t>FLR</t>
  </si>
  <si>
    <t>Fluor Corporation</t>
  </si>
  <si>
    <t>↑C$50.0(6,033)</t>
  </si>
  <si>
    <t>NYSE:FLR</t>
  </si>
  <si>
    <t>↑C$55.0(5,539)</t>
  </si>
  <si>
    <t>↓C$39.0(5,031)</t>
  </si>
  <si>
    <t>↓C$135.0(4,914)</t>
  </si>
  <si>
    <t>↓C$130.0(2,869) | ↓P$130.0(1,304)</t>
  </si>
  <si>
    <t>↓P$19.0(1,966) | ↓C$19.0(1,466)</t>
  </si>
  <si>
    <t>↓C$65.0(3,402)</t>
  </si>
  <si>
    <t>↑C$38.5(1,934) | ↓C$38.0(1,122)</t>
  </si>
  <si>
    <t>↑C$135.0(2,860)</t>
  </si>
  <si>
    <t>↑P$242.5(1,675) | ↑C$245.0(1,096)</t>
  </si>
  <si>
    <t>SSRM</t>
  </si>
  <si>
    <t>SSR Mining Inc.</t>
  </si>
  <si>
    <t>↓C$35.0(2,202)</t>
  </si>
  <si>
    <t>NASDAQ:SSRM</t>
  </si>
  <si>
    <t>↓P$125.0(2,146)</t>
  </si>
  <si>
    <t>↓P$190.0(1,995)</t>
  </si>
  <si>
    <t>↑C$130.0(1,697)</t>
  </si>
  <si>
    <t>↑C$207.5(1,614)</t>
  </si>
  <si>
    <t>↑C$140.0(1,589)</t>
  </si>
  <si>
    <t>SCI</t>
  </si>
  <si>
    <t>Service Corporation International</t>
  </si>
  <si>
    <t>↑C$85.0(1,472)</t>
  </si>
  <si>
    <t>NYSE:SCI</t>
  </si>
  <si>
    <t>↑C$100.0(1,339)</t>
  </si>
  <si>
    <t>↑C$115.0(1,257)</t>
  </si>
  <si>
    <t>↓C$25.0(1,244)</t>
  </si>
  <si>
    <t>↓C$335.0(1,056)</t>
  </si>
  <si>
    <t>↓C$71.0(1,021)</t>
  </si>
  <si>
    <t>↑P$115.0(1,006)</t>
  </si>
  <si>
    <t>↓C$78.0(7,911) | ↓C$77.0(6,329) | ↑C$79.0(2,109)</t>
  </si>
  <si>
    <t>↓C$49.0(9,489) | ↑C$50.0(3,841)</t>
  </si>
  <si>
    <t>↓C$155.0(3,346) | ↑P$157.5(3,168) | ↓P$155.0(2,173)</t>
  </si>
  <si>
    <t>↑C$135.0(8,056)</t>
  </si>
  <si>
    <t>↑C$50.0(5,985)</t>
  </si>
  <si>
    <t>↑C$68.0(4,244) | ↓C$67.0(1,192)</t>
  </si>
  <si>
    <t>↑C$45.0(3,728) | ↓C$44.0(1,504)</t>
  </si>
  <si>
    <t>↓C$19.0(1,961) | ↓P$19.0(1,799)</t>
  </si>
  <si>
    <t>↑C$65.0(3,402)</t>
  </si>
  <si>
    <t>↑C$120.0(2,177) | ↓C$118.0(1,105)</t>
  </si>
  <si>
    <t>↑P$242.5(1,668) | ↑C$245.0(1,378)</t>
  </si>
  <si>
    <t>↓C$135.0(2,800)</t>
  </si>
  <si>
    <t>↑C$120.0(1,880)</t>
  </si>
  <si>
    <t>↑P$120.0(1,807)</t>
  </si>
  <si>
    <t>↑C$130.0(1,684)</t>
  </si>
  <si>
    <t>↓C$140.0(1,595)</t>
  </si>
  <si>
    <t>↑C$38.0(1,593)</t>
  </si>
  <si>
    <t>↑C$70.0(1,565)</t>
  </si>
  <si>
    <t>↑C$100.0(1,495)</t>
  </si>
  <si>
    <t>↑C$1050.0(1,031)</t>
  </si>
  <si>
    <t>↓C$335.0(1,007)</t>
  </si>
  <si>
    <t>↓C$420.0(10,813) | ↑C$425.0(3,706) | ↓C$415.0(2,308)</t>
  </si>
  <si>
    <t>↑C$19.5(12,237) | ↓P$19.0(1,953) | ↓C$19.0(1,886)</t>
  </si>
  <si>
    <t>↓C$245.0(8,478) | ↓C$242.5(3,337)</t>
  </si>
  <si>
    <t>↑C$49.0(9,453) | ↓C$48.0(1,139)</t>
  </si>
  <si>
    <t>↑C$50.0(5,983)</t>
  </si>
  <si>
    <t>↓C$39.0(5,033)</t>
  </si>
  <si>
    <t>↓C$130.0(2,929) | ↓P$130.0(1,304)</t>
  </si>
  <si>
    <t>↓C$65.0(3,417)</t>
  </si>
  <si>
    <t>↑C$145.0(1,645) | ↓C$140.0(1,592)</t>
  </si>
  <si>
    <t>↓C$135.0(2,681)</t>
  </si>
  <si>
    <t>↑C$50.0(2,647)</t>
  </si>
  <si>
    <t>↑C$130.0(2,569)</t>
  </si>
  <si>
    <t>↓C$70.0(1,897)</t>
  </si>
  <si>
    <t>↓P$120.0(1,808)</t>
  </si>
  <si>
    <t>↑C$38.0(1,733)</t>
  </si>
  <si>
    <t>↑C$130.0(1,637)</t>
  </si>
  <si>
    <t>↑C$44.0(1,553)</t>
  </si>
  <si>
    <t>↑C$100.0(1,477)</t>
  </si>
  <si>
    <t>↑C$25.0(1,346)</t>
  </si>
  <si>
    <t>↑C$47.5(1,272)</t>
  </si>
  <si>
    <t>↓C$46.0(1,037)</t>
  </si>
  <si>
    <t>↓P$72.0(1,014)</t>
  </si>
  <si>
    <t>↓P$115.0(1,004)</t>
  </si>
  <si>
    <t>gross_margin</t>
  </si>
  <si>
    <t>revenue_growth</t>
  </si>
  <si>
    <t>net_debt_ebitda</t>
  </si>
  <si>
    <t>free_cash_flow</t>
  </si>
  <si>
    <t>net_debt</t>
  </si>
  <si>
    <t>ebitda</t>
  </si>
  <si>
    <t>ISSC</t>
  </si>
  <si>
    <t>Innovative Solutions and Support, Inc.</t>
  </si>
  <si>
    <t>NASDAQ:ISSC</t>
  </si>
  <si>
    <t>TYG</t>
  </si>
  <si>
    <t>Tortoise Energy Infrastructure Corp</t>
  </si>
  <si>
    <t>NYSE:TYG</t>
  </si>
  <si>
    <t>AKBA</t>
  </si>
  <si>
    <t>Akebia Therapeutics, Inc.</t>
  </si>
  <si>
    <t>NASDAQ:AKBA</t>
  </si>
  <si>
    <t>EDD</t>
  </si>
  <si>
    <t>Morgan Stanley Emerging Markets Domestic Debt Fund</t>
  </si>
  <si>
    <t>NYSE:EDD</t>
  </si>
  <si>
    <t>PPIH</t>
  </si>
  <si>
    <t>Perma-Pipe International Holdings, Inc.</t>
  </si>
  <si>
    <t>NASDAQ:PPIH</t>
  </si>
  <si>
    <t>PFN</t>
  </si>
  <si>
    <t>PIMCO Income Strategy Fund II</t>
  </si>
  <si>
    <t>NYSE:PFN</t>
  </si>
  <si>
    <t>NCV</t>
  </si>
  <si>
    <t>Virtus Convertible &amp; Income Fund of Beneficial Int</t>
  </si>
  <si>
    <t>NYSE:NCV</t>
  </si>
  <si>
    <t>OPRX</t>
  </si>
  <si>
    <t>OptimizeRx Corporation</t>
  </si>
  <si>
    <t>NASDAQ:OPRX</t>
  </si>
  <si>
    <t>VMD</t>
  </si>
  <si>
    <t>Viemed Healthcare, Inc.</t>
  </si>
  <si>
    <t>NASDAQ:VMD</t>
  </si>
  <si>
    <t>GAMB</t>
  </si>
  <si>
    <t>Gambling.com Group Limited</t>
  </si>
  <si>
    <t>NASDAQ:GAMB</t>
  </si>
  <si>
    <t>NML</t>
  </si>
  <si>
    <t>Neuberger Energy Infrastructure and Income Fund In</t>
  </si>
  <si>
    <t>AMEX:NML</t>
  </si>
  <si>
    <t>PFL</t>
  </si>
  <si>
    <t>PIMCO Income Strategy Fund</t>
  </si>
  <si>
    <t>NYSE:PFL</t>
  </si>
  <si>
    <t>GLO</t>
  </si>
  <si>
    <t>Clough Global Opportunities Fund</t>
  </si>
  <si>
    <t>AMEX:GLO</t>
  </si>
  <si>
    <t>EDF</t>
  </si>
  <si>
    <t>Virtus Stone Harbor Emerging Markets Income Fund</t>
  </si>
  <si>
    <t>NYSE:EDF</t>
  </si>
  <si>
    <t>TASK</t>
  </si>
  <si>
    <t>TaskUs, Inc.</t>
  </si>
  <si>
    <t>NASDAQ:TASK</t>
  </si>
  <si>
    <t>NUTX</t>
  </si>
  <si>
    <t>Nutex Health Inc.</t>
  </si>
  <si>
    <t>NASDAQ:NUTX</t>
  </si>
  <si>
    <t>CRNC</t>
  </si>
  <si>
    <t>Cerence Inc.</t>
  </si>
  <si>
    <t>NASDAQ:CRNC</t>
  </si>
  <si>
    <t>pct_from_high</t>
  </si>
  <si>
    <t>🔥 Vol 2.0x 🔋 Tight (0.14)</t>
  </si>
  <si>
    <t>🔥 Vol 2.5x 🔋 Tight (0.40)</t>
  </si>
  <si>
    <t>📊 Vol 1.3x 🔋 Tight (0.55)</t>
  </si>
  <si>
    <t>THAR</t>
  </si>
  <si>
    <t>Tharimmune, Inc.</t>
  </si>
  <si>
    <t>🔥 Vol 3.1x 🔋 Tight (0.66)</t>
  </si>
  <si>
    <t>NASDAQ:THAR</t>
  </si>
  <si>
    <t>NMG</t>
  </si>
  <si>
    <t>Nouveau Monde Graphite Inc.</t>
  </si>
  <si>
    <t>🔥 Vol 2.1x ⚡ Squeeze (0.73)</t>
  </si>
  <si>
    <t>NYSE:NMG</t>
  </si>
  <si>
    <t>HUM</t>
  </si>
  <si>
    <t>Humana Inc.</t>
  </si>
  <si>
    <t>📊 Vol 1.5x ⚡ Squeeze (0.80)</t>
  </si>
  <si>
    <t>NYSE:HUM</t>
  </si>
  <si>
    <t>🔥 Vol 2.2x ⚡ Squeeze (0.82)</t>
  </si>
  <si>
    <t>NUS</t>
  </si>
  <si>
    <t>Nu Skin Enterprises, Inc.</t>
  </si>
  <si>
    <t>🔥 Vol 1.6x ⚡ Squeeze (0.83)</t>
  </si>
  <si>
    <t>NYSE:NUS</t>
  </si>
  <si>
    <t>📊 Vol 1.3x</t>
  </si>
  <si>
    <t>UPS</t>
  </si>
  <si>
    <t>United Parcel Service, Inc.</t>
  </si>
  <si>
    <t>🔥 Vol 1.8x</t>
  </si>
  <si>
    <t>NYSE:UPS</t>
  </si>
  <si>
    <t>FIP</t>
  </si>
  <si>
    <t>FTAI Infrastructure Inc.</t>
  </si>
  <si>
    <t>📊 Vol 1.4x</t>
  </si>
  <si>
    <t>NASDAQ:FIP</t>
  </si>
  <si>
    <t>SBUX</t>
  </si>
  <si>
    <t>Starbucks Corporation</t>
  </si>
  <si>
    <t>NASDAQ:SBUX</t>
  </si>
  <si>
    <t>SNDR</t>
  </si>
  <si>
    <t>Schneider National, Inc.</t>
  </si>
  <si>
    <t>NYSE:SNDR</t>
  </si>
  <si>
    <t>MANU</t>
  </si>
  <si>
    <t>Manchester</t>
  </si>
  <si>
    <t>🔥 Vol 2.0x</t>
  </si>
  <si>
    <t>NYSE:MANU</t>
  </si>
  <si>
    <t>CG</t>
  </si>
  <si>
    <t>The Carlyle Group Inc.</t>
  </si>
  <si>
    <t>🔥 Vol 1.6x</t>
  </si>
  <si>
    <t>NASDAQ:CG</t>
  </si>
  <si>
    <t>📊 Vol 1.5x</t>
  </si>
  <si>
    <t>KGS</t>
  </si>
  <si>
    <t>Kodiak Gas Services, Inc.</t>
  </si>
  <si>
    <t>NYSE:KGS</t>
  </si>
  <si>
    <t>🔥 Vol 1.7x</t>
  </si>
  <si>
    <t>MPWR</t>
  </si>
  <si>
    <t>Monolithic Power Systems, Inc.</t>
  </si>
  <si>
    <t>NASDAQ:MPWR</t>
  </si>
  <si>
    <t>CTVA</t>
  </si>
  <si>
    <t>Corteva, Inc.</t>
  </si>
  <si>
    <t>NYSE:CTVA</t>
  </si>
  <si>
    <t>EE</t>
  </si>
  <si>
    <t>Excelerate Energy, Inc.</t>
  </si>
  <si>
    <t>NYSE:EE</t>
  </si>
  <si>
    <t>GXO</t>
  </si>
  <si>
    <t>GXO Logistics, Inc.</t>
  </si>
  <si>
    <t>NYSE:GXO</t>
  </si>
  <si>
    <t>ULTA</t>
  </si>
  <si>
    <t>Ulta Beauty, Inc.</t>
  </si>
  <si>
    <t>NASDAQ:ULTA</t>
  </si>
  <si>
    <t>CORZ</t>
  </si>
  <si>
    <t>Core Scientific, Inc.</t>
  </si>
  <si>
    <t>NASDAQ:CORZ</t>
  </si>
  <si>
    <t>ATLX</t>
  </si>
  <si>
    <t>Atlas Lithium Corporation</t>
  </si>
  <si>
    <t>NASDAQ:ATLX</t>
  </si>
  <si>
    <t>UROY</t>
  </si>
  <si>
    <t>Uranium Royalty Corp.</t>
  </si>
  <si>
    <t>NASDAQ:UROY</t>
  </si>
  <si>
    <t>LAC</t>
  </si>
  <si>
    <t>Lithium Americas Corp.</t>
  </si>
  <si>
    <t>NYSE:LAC</t>
  </si>
  <si>
    <t>EBC</t>
  </si>
  <si>
    <t>Eastern Bankshares, Inc.</t>
  </si>
  <si>
    <t>NASDAQ:EBC</t>
  </si>
  <si>
    <t>HXL</t>
  </si>
  <si>
    <t>Hexcel Corporation</t>
  </si>
  <si>
    <t>NYSE:HXL</t>
  </si>
  <si>
    <t>PAX</t>
  </si>
  <si>
    <t>Patria Investments Limited</t>
  </si>
  <si>
    <t>🔥 Vol 4.1x</t>
  </si>
  <si>
    <t>NASDAQ:PAX</t>
  </si>
  <si>
    <t>SWBI</t>
  </si>
  <si>
    <t>Smith &amp; Wesson Brands, Inc.</t>
  </si>
  <si>
    <t>NASDAQ:SWBI</t>
  </si>
  <si>
    <t>BEN</t>
  </si>
  <si>
    <t>Franklin Resources, Inc.</t>
  </si>
  <si>
    <t>NYSE:BEN</t>
  </si>
  <si>
    <t>🔥 Vol 4.4x</t>
  </si>
  <si>
    <t>CBLL</t>
  </si>
  <si>
    <t>CeriBell, Inc.</t>
  </si>
  <si>
    <t>🔥 Vol 1.9x</t>
  </si>
  <si>
    <t>NASDAQ:CBLL</t>
  </si>
  <si>
    <t>🔥 Vol 2.2x ⚡ Squeeze (0.73)</t>
  </si>
  <si>
    <t>🔥 Vol 1.7x ⚡ Squeeze (0.80)</t>
  </si>
  <si>
    <t>🔥 Vol 2.1x</t>
  </si>
  <si>
    <t>🔥 Vol 1.5x</t>
  </si>
  <si>
    <t>EU</t>
  </si>
  <si>
    <t>enCore Energy Corp.</t>
  </si>
  <si>
    <t>NASDAQ:EU</t>
  </si>
  <si>
    <t>OVV</t>
  </si>
  <si>
    <t>Ovintiv Inc. (DE)</t>
  </si>
  <si>
    <t>NYSE:OVV</t>
  </si>
  <si>
    <t>CCIX</t>
  </si>
  <si>
    <t>Churchill Capital Corp IX</t>
  </si>
  <si>
    <t>🔥 Vol 1.6x 🔋 Tight (0.46)</t>
  </si>
  <si>
    <t>NASDAQ:CCIX</t>
  </si>
  <si>
    <t>🔥 Vol 4.2x 🔋 Tight (0.68)</t>
  </si>
  <si>
    <t>VFC</t>
  </si>
  <si>
    <t>V.F. Corporation</t>
  </si>
  <si>
    <t>📊 Vol 1.3x ⚡ Squeeze (0.82)</t>
  </si>
  <si>
    <t>NYSE:VFC</t>
  </si>
  <si>
    <t>XP</t>
  </si>
  <si>
    <t>XP Inc.</t>
  </si>
  <si>
    <t>NASDAQ:XP</t>
  </si>
  <si>
    <t>CNC</t>
  </si>
  <si>
    <t>Centene Corporation</t>
  </si>
  <si>
    <t>🔥 Vol 2.3x</t>
  </si>
  <si>
    <t>NYSE:CNC</t>
  </si>
  <si>
    <t>BA</t>
  </si>
  <si>
    <t>Boeing Company (The)</t>
  </si>
  <si>
    <t>NYSE:BA</t>
  </si>
  <si>
    <t>DLX</t>
  </si>
  <si>
    <t>Deluxe Corporation</t>
  </si>
  <si>
    <t>NYSE:DLX</t>
  </si>
  <si>
    <t>PAGS</t>
  </si>
  <si>
    <t>PagSeguro Digital Ltd.</t>
  </si>
  <si>
    <t>NYSE:PAGS</t>
  </si>
  <si>
    <t>🔥 Vol 2.6x</t>
  </si>
  <si>
    <t>CMBT</t>
  </si>
  <si>
    <t>CMB.TECH NV</t>
  </si>
  <si>
    <t>NYSE:CMBT</t>
  </si>
  <si>
    <t>PUMP</t>
  </si>
  <si>
    <t>ProPetro Holding Corp.</t>
  </si>
  <si>
    <t>🔥 Vol 4.9x</t>
  </si>
  <si>
    <t>NYSE:PUMP</t>
  </si>
  <si>
    <t>BAP</t>
  </si>
  <si>
    <t>Credicorp Ltd.</t>
  </si>
  <si>
    <t>🔥 Vol 2.2x</t>
  </si>
  <si>
    <t>NYSE:BAP</t>
  </si>
  <si>
    <t>NVRI</t>
  </si>
  <si>
    <t>Enviri Corporation</t>
  </si>
  <si>
    <t>🔥 Vol 3.2x ⚡ Squeeze (0.71)</t>
  </si>
  <si>
    <t>NYSE:NVRI</t>
  </si>
  <si>
    <t>🔥 Vol 3.2x ⚡ Squeeze (0.72)</t>
  </si>
  <si>
    <t>FRPT</t>
  </si>
  <si>
    <t>Freshpet, Inc.</t>
  </si>
  <si>
    <t>NASDAQ:FRPT</t>
  </si>
  <si>
    <t>MCHP</t>
  </si>
  <si>
    <t>Microchip Technology Incorporated</t>
  </si>
  <si>
    <t>NASDAQ:MCHP</t>
  </si>
  <si>
    <t>🔥 Vol 2.4x</t>
  </si>
  <si>
    <t>SMG</t>
  </si>
  <si>
    <t>Scotts Miracle-Gro Company (The)</t>
  </si>
  <si>
    <t>🔥 Vol 2.8x</t>
  </si>
  <si>
    <t>NYSE:SMG</t>
  </si>
  <si>
    <t>BORR</t>
  </si>
  <si>
    <t>Borr Drilling Limited</t>
  </si>
  <si>
    <t>NYSE:BORR</t>
  </si>
  <si>
    <t>🔥 Vol 3.3x</t>
  </si>
  <si>
    <t>URG</t>
  </si>
  <si>
    <t>Ur Energy Inc</t>
  </si>
  <si>
    <t>AMEX:URG</t>
  </si>
  <si>
    <t>LC</t>
  </si>
  <si>
    <t>LendingClub Corporation</t>
  </si>
  <si>
    <t>NYSE:LC</t>
  </si>
  <si>
    <t>SARO</t>
  </si>
  <si>
    <t>StandardAero, Inc.</t>
  </si>
  <si>
    <t>🔥 Vol 3.9x</t>
  </si>
  <si>
    <t>NYSE:SARO</t>
  </si>
  <si>
    <t>ALGM</t>
  </si>
  <si>
    <t>Allegro MicroSystems, Inc.</t>
  </si>
  <si>
    <t>NASDAQ:ALGM</t>
  </si>
  <si>
    <t>PH</t>
  </si>
  <si>
    <t>Parker-Hannifin Corporation</t>
  </si>
  <si>
    <t>NYSE:PH</t>
  </si>
  <si>
    <t>BSM</t>
  </si>
  <si>
    <t>Black Stone Minerals, L.P.</t>
  </si>
  <si>
    <t>NYSE:BSM</t>
  </si>
  <si>
    <t>AOS</t>
  </si>
  <si>
    <t>A.O. Smith Corporation</t>
  </si>
  <si>
    <t>NYSE:AOS</t>
  </si>
  <si>
    <t>SFL</t>
  </si>
  <si>
    <t>SFL Corporation Ltd</t>
  </si>
  <si>
    <t>NYSE:SFL</t>
  </si>
  <si>
    <t>WSFS</t>
  </si>
  <si>
    <t>WSFS Financial Corporation</t>
  </si>
  <si>
    <t>NASDAQ:WSFS</t>
  </si>
  <si>
    <t>PPG</t>
  </si>
  <si>
    <t>PPG Industries, Inc.</t>
  </si>
  <si>
    <t>NYSE:PPG</t>
  </si>
  <si>
    <t>🔥 Vol 2.5x</t>
  </si>
  <si>
    <t>ENVA</t>
  </si>
  <si>
    <t>Enova International, Inc.</t>
  </si>
  <si>
    <t>NYSE:ENVA</t>
  </si>
  <si>
    <t>OSK</t>
  </si>
  <si>
    <t>Oshkosh Corporation (Holding Company)</t>
  </si>
  <si>
    <t>NYSE:OSK</t>
  </si>
  <si>
    <t>📊 Vol 1.4x 🔋 Tight (0.14)</t>
  </si>
  <si>
    <t>🔥 Vol 3.6x ⚡ Squeeze (0.72)</t>
  </si>
  <si>
    <t>🔥 Vol 3.7x ⚡ Squeeze (0.72)</t>
  </si>
  <si>
    <t>ATKR</t>
  </si>
  <si>
    <t>Atkore Inc.</t>
  </si>
  <si>
    <t>🔥 Vol 1.8x ⚡ Squeeze (0.76)</t>
  </si>
  <si>
    <t>NYSE:ATKR</t>
  </si>
  <si>
    <t>📊 Vol 1.3x ⚡ Squeeze (0.81)</t>
  </si>
  <si>
    <t>📊 Vol 1.3x ⚡ Squeeze (0.83)</t>
  </si>
  <si>
    <t>ARCO</t>
  </si>
  <si>
    <t>Arcos Dorados Holdings Inc.</t>
  </si>
  <si>
    <t>📊 Vol 1.3x ⚡ Squeeze (0.84)</t>
  </si>
  <si>
    <t>NYSE:ARCO</t>
  </si>
  <si>
    <t>DOW</t>
  </si>
  <si>
    <t>Dow Inc.</t>
  </si>
  <si>
    <t>NYSE:DOW</t>
  </si>
  <si>
    <t>HUN</t>
  </si>
  <si>
    <t>Huntsman Corporation</t>
  </si>
  <si>
    <t>NYSE:HUN</t>
  </si>
  <si>
    <t>FFBC</t>
  </si>
  <si>
    <t>First Financial Bancorp.</t>
  </si>
  <si>
    <t>NASDAQ:FFBC</t>
  </si>
  <si>
    <t>🔥 Vol 3.0x</t>
  </si>
  <si>
    <t>TTEK</t>
  </si>
  <si>
    <t>Tetra Tech, Inc.</t>
  </si>
  <si>
    <t>NASDAQ:TTEK</t>
  </si>
  <si>
    <t>VSH</t>
  </si>
  <si>
    <t>Vishay Intertechnology, Inc.</t>
  </si>
  <si>
    <t>NYSE:VSH</t>
  </si>
  <si>
    <t>OLN</t>
  </si>
  <si>
    <t>Olin Corporation</t>
  </si>
  <si>
    <t>NYSE:OLN</t>
  </si>
  <si>
    <t>MTH</t>
  </si>
  <si>
    <t>Meritage Homes Corporation</t>
  </si>
  <si>
    <t>NYSE:MTH</t>
  </si>
  <si>
    <t>IEX</t>
  </si>
  <si>
    <t>IDEX Corporation</t>
  </si>
  <si>
    <t>NYSE:IEX</t>
  </si>
  <si>
    <t>🔥 Vol 3.7x</t>
  </si>
  <si>
    <t>OIS</t>
  </si>
  <si>
    <t>Oil States International, Inc.</t>
  </si>
  <si>
    <t>NYSE:OIS</t>
  </si>
  <si>
    <t>HTO</t>
  </si>
  <si>
    <t>H2O America</t>
  </si>
  <si>
    <t>NASDAQ:HTO</t>
  </si>
  <si>
    <t>BC</t>
  </si>
  <si>
    <t>Brunswick Corporation</t>
  </si>
  <si>
    <t>NYSE:BC</t>
  </si>
  <si>
    <t>🔥 Vol 4.8x</t>
  </si>
  <si>
    <t>ESI</t>
  </si>
  <si>
    <t>Element Solutions Inc.</t>
  </si>
  <si>
    <t>NYSE:ESI</t>
  </si>
  <si>
    <t>TMDX</t>
  </si>
  <si>
    <t>TransMedics Group, Inc.</t>
  </si>
  <si>
    <t>NASDAQ:TMDX</t>
  </si>
  <si>
    <t>SHOO</t>
  </si>
  <si>
    <t>Steven Madden, Ltd.</t>
  </si>
  <si>
    <t>NASDAQ:SHOO</t>
  </si>
  <si>
    <t>TDW</t>
  </si>
  <si>
    <t>Tidewater Inc.</t>
  </si>
  <si>
    <t>NYSE:TDW</t>
  </si>
  <si>
    <t>WERN</t>
  </si>
  <si>
    <t>Werner Enterprises, Inc.</t>
  </si>
  <si>
    <t>NASDAQ:WERN</t>
  </si>
  <si>
    <t>🔥 Vol 2.9x</t>
  </si>
  <si>
    <t>ON</t>
  </si>
  <si>
    <t>ON Semiconductor Corporation</t>
  </si>
  <si>
    <t>NASDAQ:ON</t>
  </si>
  <si>
    <t>DCI</t>
  </si>
  <si>
    <t>Donaldson Company, Inc.</t>
  </si>
  <si>
    <t>NYSE:DCI</t>
  </si>
  <si>
    <t>🔥 Vol 7.4x 🔋 Tight (0.13)</t>
  </si>
  <si>
    <t>🔥 Vol 1.6x 🔋 Tight (0.13)</t>
  </si>
  <si>
    <t>🔥 Vol 1.9x 🔋 Tight (0.21)</t>
  </si>
  <si>
    <t>🔥 Vol 1.6x 🔋 Tight (0.25)</t>
  </si>
  <si>
    <t>🔥 Vol 9.1x 🔋 Tight (0.26)</t>
  </si>
  <si>
    <t>📊 Vol 1.3x ⚡ Squeeze (0.72)</t>
  </si>
  <si>
    <t>🔥 Vol 4.2x ⚡ Squeeze (0.80)</t>
  </si>
  <si>
    <t>DAKT</t>
  </si>
  <si>
    <t>Daktronics, Inc.</t>
  </si>
  <si>
    <t>🔥 Vol 1.7x ⚡ Squeeze (0.81)</t>
  </si>
  <si>
    <t>NASDAQ:DAKT</t>
  </si>
  <si>
    <t>GPRK</t>
  </si>
  <si>
    <t>Geopark Ltd</t>
  </si>
  <si>
    <t>🔥 Vol 1.9x ⚡ Squeeze (0.83)</t>
  </si>
  <si>
    <t>NYSE:GPRK</t>
  </si>
  <si>
    <t>AZTA</t>
  </si>
  <si>
    <t>Azenta, Inc.</t>
  </si>
  <si>
    <t>🔥 Vol 1.8x ⚡ Squeeze (0.83)</t>
  </si>
  <si>
    <t>NASDAQ:AZTA</t>
  </si>
  <si>
    <t>VNOM</t>
  </si>
  <si>
    <t>Viper Energy, Inc.</t>
  </si>
  <si>
    <t>🔥 Vol 1.9x ⚡ Squeeze (0.84)</t>
  </si>
  <si>
    <t>NASDAQ:VNOM</t>
  </si>
  <si>
    <t>HLX</t>
  </si>
  <si>
    <t>Helix Energy Solutions Group, Inc.</t>
  </si>
  <si>
    <t>NYSE:HLX</t>
  </si>
  <si>
    <t>ARCB</t>
  </si>
  <si>
    <t>ArcBest Corporation</t>
  </si>
  <si>
    <t>NASDAQ:ARCB</t>
  </si>
  <si>
    <t>AMPX</t>
  </si>
  <si>
    <t>Amprius Technologies, Inc.</t>
  </si>
  <si>
    <t>NYSE:AMPX</t>
  </si>
  <si>
    <t>AMTM</t>
  </si>
  <si>
    <t>Amentum Holdings, Inc.</t>
  </si>
  <si>
    <t>NYSE:AMTM</t>
  </si>
  <si>
    <t>IR</t>
  </si>
  <si>
    <t>Ingersoll Rand Inc.</t>
  </si>
  <si>
    <t>NYSE:IR</t>
  </si>
  <si>
    <t>MMS</t>
  </si>
  <si>
    <t>Maximus, Inc.</t>
  </si>
  <si>
    <t>NYSE:MMS</t>
  </si>
  <si>
    <t>UNCY</t>
  </si>
  <si>
    <t>Unicycive Therapeutics, Inc.</t>
  </si>
  <si>
    <t>NASDAQ:UNCY</t>
  </si>
  <si>
    <t>BKV</t>
  </si>
  <si>
    <t>BKV Corporation</t>
  </si>
  <si>
    <t>NYSE:BKV</t>
  </si>
  <si>
    <t>MXL</t>
  </si>
  <si>
    <t>MaxLinear, Inc</t>
  </si>
  <si>
    <t>NASDAQ:MXL</t>
  </si>
  <si>
    <t>PR</t>
  </si>
  <si>
    <t>Permian Resources Corporation</t>
  </si>
  <si>
    <t>NYSE:PR</t>
  </si>
  <si>
    <t>🔥 Vol 9.1x 🔋 Tight (0.13)</t>
  </si>
  <si>
    <t>PLX</t>
  </si>
  <si>
    <t>Protalix BioTherapeutics, Inc. (DE)</t>
  </si>
  <si>
    <t>🔥 Vol 2.5x ⚡ Squeeze (0.81)</t>
  </si>
  <si>
    <t>AMEX:PLX</t>
  </si>
  <si>
    <t>📊 Vol 1.5x 🔋 Tight (0.26)</t>
  </si>
  <si>
    <t>🔥 Vol 4.4x ⚡ Squeeze (0.81)</t>
  </si>
  <si>
    <t>BWLP</t>
  </si>
  <si>
    <t>BW LPG Limited</t>
  </si>
  <si>
    <t>📊 Vol 1.4x ⚡ Squeeze (0.81)</t>
  </si>
  <si>
    <t>NYSE:BWLP</t>
  </si>
  <si>
    <t>HTH</t>
  </si>
  <si>
    <t>Hilltop Holdings Inc.</t>
  </si>
  <si>
    <t>NYSE:HTH</t>
  </si>
  <si>
    <t>WNC</t>
  </si>
  <si>
    <t>Wabash National Corporation</t>
  </si>
  <si>
    <t>NYSE:WNC</t>
  </si>
  <si>
    <t>RUSHA</t>
  </si>
  <si>
    <t>Rush Enterprises, Inc.</t>
  </si>
  <si>
    <t>NASDAQ:RUSHA</t>
  </si>
  <si>
    <t>REVG</t>
  </si>
  <si>
    <t>REV Group, Inc.</t>
  </si>
  <si>
    <t>NYSE:REVG</t>
  </si>
  <si>
    <t>FLG</t>
  </si>
  <si>
    <t>Flagstar Bank, N.A.</t>
  </si>
  <si>
    <t>NYSE:FLG</t>
  </si>
  <si>
    <t>ELVN</t>
  </si>
  <si>
    <t>Enliven Therapeutics, Inc.</t>
  </si>
  <si>
    <t>NASDAQ:ELVN</t>
  </si>
  <si>
    <t>UWMC</t>
  </si>
  <si>
    <t>UWM Holdings Corporation</t>
  </si>
  <si>
    <t>NYSE:UWMC</t>
  </si>
  <si>
    <t>GBCI</t>
  </si>
  <si>
    <t>Glacier Bancorp, Inc.</t>
  </si>
  <si>
    <t>NYSE:GBCI</t>
  </si>
  <si>
    <t>PAA</t>
  </si>
  <si>
    <t>Plains All American Pipeline, L.P.</t>
  </si>
  <si>
    <t>NASDAQ:PAA</t>
  </si>
  <si>
    <t>🔥 Vol 1.8x 🔋 Tight (0.26)</t>
  </si>
  <si>
    <t>🔥 Vol 1.6x 🔋 Tight (0.26)</t>
  </si>
  <si>
    <t>📊 Vol 1.4x 🔋 Tight (0.26)</t>
  </si>
  <si>
    <t>🔥 Vol 1.8x 🔋 Tight (0.36)</t>
  </si>
  <si>
    <t>OS</t>
  </si>
  <si>
    <t>OneStream, Inc.</t>
  </si>
  <si>
    <t>📊 Vol 1.3x 🔋 Tight (0.36)</t>
  </si>
  <si>
    <t>NASDAQ:OS</t>
  </si>
  <si>
    <t>📊 Vol 1.5x ⚡ Squeeze (0.75)</t>
  </si>
  <si>
    <t>🔥 Vol 1.6x ⚡ Squeeze (0.79)</t>
  </si>
  <si>
    <t>🔥 Vol 1.5x ⚡ Squeeze (0.81)</t>
  </si>
  <si>
    <t>🔥 Vol 4.9x ⚡ Squeeze (0.81)</t>
  </si>
  <si>
    <t>📊 Vol 1.5x ⚡ Squeeze (0.82)</t>
  </si>
  <si>
    <t>📊 Vol 1.4x ⚡ Squeeze (0.84)</t>
  </si>
  <si>
    <t>MLKN</t>
  </si>
  <si>
    <t>MillerKnoll, Inc.</t>
  </si>
  <si>
    <t>NASDAQ:MLKN</t>
  </si>
  <si>
    <t>HUBG</t>
  </si>
  <si>
    <t>Hub Group, Inc.</t>
  </si>
  <si>
    <t>NASDAQ:HUBG</t>
  </si>
  <si>
    <t>NJR</t>
  </si>
  <si>
    <t>NewJersey Resources Corporation</t>
  </si>
  <si>
    <t>NYSE:NJR</t>
  </si>
  <si>
    <t>TWI</t>
  </si>
  <si>
    <t>Titan International, Inc. (DE)</t>
  </si>
  <si>
    <t>NYSE:TWI</t>
  </si>
  <si>
    <t>🔥 Vol 3.2x</t>
  </si>
  <si>
    <t>RAL</t>
  </si>
  <si>
    <t>Ralliant Corporation</t>
  </si>
  <si>
    <t>🔥 Vol 2.7x</t>
  </si>
  <si>
    <t>NYSE:RAL</t>
  </si>
  <si>
    <t>AQN</t>
  </si>
  <si>
    <t>Algonquin Power &amp; Utilities Corp.</t>
  </si>
  <si>
    <t>NYSE:AQN</t>
  </si>
  <si>
    <t>AVNT</t>
  </si>
  <si>
    <t>Avient Corporation</t>
  </si>
  <si>
    <t>NYSE:AVNT</t>
  </si>
  <si>
    <t>EXPD</t>
  </si>
  <si>
    <t>Expeditors International of Washington, Inc.</t>
  </si>
  <si>
    <t>NYSE:EXPD</t>
  </si>
  <si>
    <t>SON</t>
  </si>
  <si>
    <t>Sonoco Products Company</t>
  </si>
  <si>
    <t>NYSE:SON</t>
  </si>
  <si>
    <t>JBHT</t>
  </si>
  <si>
    <t>J.B. Hunt Transport Services, Inc.</t>
  </si>
  <si>
    <t>NASDAQ:JBHT</t>
  </si>
  <si>
    <t>GPC</t>
  </si>
  <si>
    <t>Genuine Parts Company</t>
  </si>
  <si>
    <t>NYSE:GPC</t>
  </si>
  <si>
    <t>MRK</t>
  </si>
  <si>
    <t>Merck &amp; Company, Inc.</t>
  </si>
  <si>
    <t>NYSE:MRK</t>
  </si>
  <si>
    <t>ASC</t>
  </si>
  <si>
    <t>Ardmore Shipping Corporation</t>
  </si>
  <si>
    <t>NYSE:ASC</t>
  </si>
  <si>
    <t>VTRS</t>
  </si>
  <si>
    <t>Viatris Inc.</t>
  </si>
  <si>
    <t>NASDAQ:VTRS</t>
  </si>
  <si>
    <t>HAS</t>
  </si>
  <si>
    <t>Hasbro, Inc.</t>
  </si>
  <si>
    <t>NASDAQ:HAS</t>
  </si>
  <si>
    <t>🔥 Vol 5.1x</t>
  </si>
  <si>
    <t>CMCO</t>
  </si>
  <si>
    <t>Columbus McKinnon Corporation</t>
  </si>
  <si>
    <t>NASDAQ:CMCO</t>
  </si>
  <si>
    <t>TWST</t>
  </si>
  <si>
    <t>Twist Bioscience Corporation</t>
  </si>
  <si>
    <t>NASDAQ:TWST</t>
  </si>
  <si>
    <t>LPG</t>
  </si>
  <si>
    <t>Dorian LPG Ltd.</t>
  </si>
  <si>
    <t>NYSE:LPG</t>
  </si>
  <si>
    <t>KMT</t>
  </si>
  <si>
    <t>Kennametal Inc.</t>
  </si>
  <si>
    <t>NYSE:KMT</t>
  </si>
  <si>
    <t>WLK</t>
  </si>
  <si>
    <t>Westlake Corporation</t>
  </si>
  <si>
    <t>NYSE:WLK</t>
  </si>
  <si>
    <t>IPGP</t>
  </si>
  <si>
    <t>IPG Photonics Corporation</t>
  </si>
  <si>
    <t>NASDAQ:IPGP</t>
  </si>
  <si>
    <t>PEBO</t>
  </si>
  <si>
    <t>Peoples Bancorp Inc.</t>
  </si>
  <si>
    <t>NASDAQ:PEBO</t>
  </si>
  <si>
    <t>ADM</t>
  </si>
  <si>
    <t>Archer-Daniels-Midland Company</t>
  </si>
  <si>
    <t>NYSE:ADM</t>
  </si>
  <si>
    <t>RS</t>
  </si>
  <si>
    <t>Reliance, Inc.</t>
  </si>
  <si>
    <t>NYSE:RS</t>
  </si>
  <si>
    <t>VET</t>
  </si>
  <si>
    <t>Vermilion Energy Inc.</t>
  </si>
  <si>
    <t>NYSE:VET</t>
  </si>
  <si>
    <t>TILE</t>
  </si>
  <si>
    <t>Interface, Inc.</t>
  </si>
  <si>
    <t>NASDAQ:TILE</t>
  </si>
  <si>
    <t>NGVT</t>
  </si>
  <si>
    <t>Ingevity Corporation</t>
  </si>
  <si>
    <t>NYSE:NGVT</t>
  </si>
  <si>
    <t>PAGP</t>
  </si>
  <si>
    <t>Plains GP Holdings, L.P.</t>
  </si>
  <si>
    <t>NASDAQ:PAGP</t>
  </si>
  <si>
    <t>AVA</t>
  </si>
  <si>
    <t>Avista Corporation</t>
  </si>
  <si>
    <t>NYSE:AVA</t>
  </si>
  <si>
    <t>GBX</t>
  </si>
  <si>
    <t>Greenbrier Companies, Inc. (The)</t>
  </si>
  <si>
    <t>NYSE:GBX</t>
  </si>
  <si>
    <t>RYI</t>
  </si>
  <si>
    <t>Ryerson Holding Corporation</t>
  </si>
  <si>
    <t>NYSE:RYI</t>
  </si>
  <si>
    <t>VVX</t>
  </si>
  <si>
    <t>V2X, Inc.</t>
  </si>
  <si>
    <t>NYSE:VVX</t>
  </si>
  <si>
    <t>IMVT</t>
  </si>
  <si>
    <t>Immunovant, Inc.</t>
  </si>
  <si>
    <t>NASDAQ:IMVT</t>
  </si>
  <si>
    <t>CON</t>
  </si>
  <si>
    <t>Concentra Group Holdings Parent, Inc.</t>
  </si>
  <si>
    <t>NYSE:CON</t>
  </si>
  <si>
    <t>DNLI</t>
  </si>
  <si>
    <t>Denali Therapeutics Inc.</t>
  </si>
  <si>
    <t>NASDAQ:DNLI</t>
  </si>
  <si>
    <t>MTUS</t>
  </si>
  <si>
    <t>Metallus Inc.</t>
  </si>
  <si>
    <t>NYSE:MTUS</t>
  </si>
  <si>
    <t>TRIN</t>
  </si>
  <si>
    <t>Trinity Capital Inc.</t>
  </si>
  <si>
    <t>NASDAQ:TRIN</t>
  </si>
  <si>
    <t>HZO</t>
  </si>
  <si>
    <t>MarineMax, Inc. (FL)</t>
  </si>
  <si>
    <t>NYSE:HZO</t>
  </si>
  <si>
    <t>CMRE</t>
  </si>
  <si>
    <t>Costamare Inc.</t>
  </si>
  <si>
    <t>NYSE:CMRE</t>
  </si>
  <si>
    <t>🔥 Vol 1.8x 🔋 Tight (0.45)</t>
  </si>
  <si>
    <t>📊 Vol 1.5x 🔋 Tight (0.52)</t>
  </si>
  <si>
    <t>📊 Vol 1.3x 🔋 Tight (0.66)</t>
  </si>
  <si>
    <t>AAUC</t>
  </si>
  <si>
    <t>Allied Gold Corporation</t>
  </si>
  <si>
    <t>🔥 Vol 3.3x ⚡ Squeeze (0.70)</t>
  </si>
  <si>
    <t>NYSE:AAUC</t>
  </si>
  <si>
    <t>CVGW</t>
  </si>
  <si>
    <t>Calavo Growers, Inc.</t>
  </si>
  <si>
    <t>📊 Vol 1.3x ⚡ Squeeze (0.80)</t>
  </si>
  <si>
    <t>NASDAQ:CVGW</t>
  </si>
  <si>
    <t>🔥 Vol 2.3x ⚡ Squeeze (0.77)</t>
  </si>
  <si>
    <t>VTYX</t>
  </si>
  <si>
    <t>Ventyx Biosciences, Inc.</t>
  </si>
  <si>
    <t>📊 Vol 1.5x 🔋 Tight (0.34)</t>
  </si>
  <si>
    <t>NASDAQ:VTYX</t>
  </si>
  <si>
    <t>🔥 Vol 3.0x ⚡ Squeeze (0.77)</t>
  </si>
  <si>
    <t>🔥 Vol 3.7x 🔋 Tight (0.36)</t>
  </si>
  <si>
    <t>STKL</t>
  </si>
  <si>
    <t>SunOpta, Inc.</t>
  </si>
  <si>
    <t>🔥 Vol 2.2x 🔋 Tight (0.61)</t>
  </si>
  <si>
    <t>NASDAQ:STKL</t>
  </si>
  <si>
    <t>📊 Vol 1.3x 🔋 Tight (0.38)</t>
  </si>
  <si>
    <t>🔥 Vol 3.1x ⚡ Squeeze (0.83)</t>
  </si>
  <si>
    <t>📊 Vol 1.4x 🔋 Tight (0.37)</t>
  </si>
  <si>
    <t>🔥 Vol 6.5x 🔋 Tight (0.26)</t>
  </si>
  <si>
    <t>🔥 Vol 2.5x 🔋 Tight (0.53)</t>
  </si>
  <si>
    <t>WBS</t>
  </si>
  <si>
    <t>Webster Financial Corporation</t>
  </si>
  <si>
    <t>🔥 Vol 1.6x ⚡ Squeeze (0.84)</t>
  </si>
  <si>
    <t>NYSE:WBS</t>
  </si>
  <si>
    <t>🔥 Vol 1.9x 🔋 Tight (0.23)</t>
  </si>
  <si>
    <t>NTLA</t>
  </si>
  <si>
    <t>Intellia Therapeutics, Inc.</t>
  </si>
  <si>
    <t>🔥 Vol 4.5x ⚡ Squeeze (0.84)</t>
  </si>
  <si>
    <t>NASDAQ:NTLA</t>
  </si>
  <si>
    <t>📊 Vol 1.3x 🔋 Tight (0.19)</t>
  </si>
  <si>
    <t>📊 Vol 1.3x 🔋 Tight (0.25)</t>
  </si>
  <si>
    <t>📊 Vol 1.3x ⚡ Squeeze (0.77)</t>
  </si>
  <si>
    <t>🔥 Vol 2.0x ⚡ Squeeze (0.78)</t>
  </si>
  <si>
    <t>SLAB</t>
  </si>
  <si>
    <t>Silicon Laboratories, Inc.</t>
  </si>
  <si>
    <t>📊 Vol 1.4x 🔋 Tight (0.58)</t>
  </si>
  <si>
    <t>NASDAQ:SLAB</t>
  </si>
  <si>
    <t>📊 Vol 1.4x ⚡ Squeeze (0.75)</t>
  </si>
  <si>
    <t>🔥 Vol 1.7x ⚡ Squeeze (0.79)</t>
  </si>
  <si>
    <t>EWCZ</t>
  </si>
  <si>
    <t>European Wax Center, Inc.</t>
  </si>
  <si>
    <t>🔥 Vol 3.4x 🔋 Tight (0.44)</t>
  </si>
  <si>
    <t>NASDAQ:EWCZ</t>
  </si>
  <si>
    <t>🔥 Vol 2.0x 🔋 Tight (0.43)</t>
  </si>
  <si>
    <t>KW</t>
  </si>
  <si>
    <t>Kennedy-Wilson Holdings Inc.</t>
  </si>
  <si>
    <t>📊 Vol 1.3x 🔋 Tight (0.54)</t>
  </si>
  <si>
    <t>NYSE:KW</t>
  </si>
  <si>
    <t>📊 Vol 1.5x ⚡ Squeeze (0.83)</t>
  </si>
  <si>
    <t>🔥 Vol 1.5x 🔋 Tight (0.38)</t>
  </si>
  <si>
    <t>XTIA</t>
  </si>
  <si>
    <t>XTI Aerospace, Inc.</t>
  </si>
  <si>
    <t>🔥 Vol 1.6x 🔋 Tight (0.40)</t>
  </si>
  <si>
    <t>NASDAQ:XTIA</t>
  </si>
  <si>
    <t>🔥 Vol 6.5x 🔋 Tight (0.61)</t>
  </si>
  <si>
    <t>📊 Vol 1.4x 🔋 Tight (0.36)</t>
  </si>
  <si>
    <t>🔥 Vol 1.7x 🔋 Tight (0.39)</t>
  </si>
  <si>
    <t>MCW</t>
  </si>
  <si>
    <t>Mister Car Wash, Inc.</t>
  </si>
  <si>
    <t>🔥 Vol 2.2x 🔋 Tight (0.60)</t>
  </si>
  <si>
    <t>NASDAQ:MCW</t>
  </si>
  <si>
    <t>🔥 Vol 2.2x 🔋 Tight (0.39)</t>
  </si>
  <si>
    <t>📊 Vol 1.3x 🔋 Tight (0.41)</t>
  </si>
  <si>
    <t>📊 Vol 1.4x 🔋 Tight (0.48)</t>
  </si>
  <si>
    <t>🔥 Vol 41.3x 🔋 Tight (0.45)</t>
  </si>
  <si>
    <t>🔥 Vol 1.6x ⚡ Squeeze (0.80)</t>
  </si>
  <si>
    <t>🔥 Vol 1.7x 🔋 Tight (0.28)</t>
  </si>
  <si>
    <t>🔥 Vol 1.8x 🔋 Tight (0.25)</t>
  </si>
  <si>
    <t>🔥 Vol 1.6x 🔋 Tight (0.38)</t>
  </si>
  <si>
    <t>EHAB</t>
  </si>
  <si>
    <t>Enhabit, Inc.</t>
  </si>
  <si>
    <t>📊 Vol 1.3x 🔋 Tight (0.42)</t>
  </si>
  <si>
    <t>NYSE:EHAB</t>
  </si>
  <si>
    <t>🔥 Vol 1.7x 🔋 Tight (0.34)</t>
  </si>
  <si>
    <t>🔥 Vol 3.1x 🔋 Tight (0.28)</t>
  </si>
  <si>
    <t>TERN</t>
  </si>
  <si>
    <t>Terns Pharmaceuticals, Inc.</t>
  </si>
  <si>
    <t>NASDAQ:TERN</t>
  </si>
  <si>
    <t>📊 Vol 1.4x 🔋 Tight (0.29)</t>
  </si>
  <si>
    <t>📊 Vol 1.3x 🔋 Tight (0.53)</t>
  </si>
  <si>
    <t>IV</t>
  </si>
  <si>
    <t>industry</t>
  </si>
  <si>
    <t>BATL</t>
  </si>
  <si>
    <t>Battalion Oil Corporation</t>
  </si>
  <si>
    <t>AMEX:BATL</t>
  </si>
  <si>
    <t>Oil &amp; Gas Production</t>
  </si>
  <si>
    <t>INTC</t>
  </si>
  <si>
    <t>Intel Corporation</t>
  </si>
  <si>
    <t>NASDAQ:INTC</t>
  </si>
  <si>
    <t>Semiconductors</t>
  </si>
  <si>
    <t>MBAI</t>
  </si>
  <si>
    <t>Check-Cap Ltd.</t>
  </si>
  <si>
    <t>NASDAQ:MBAI</t>
  </si>
  <si>
    <t>Medical Specialties</t>
  </si>
  <si>
    <t>NVDA</t>
  </si>
  <si>
    <t>NVIDIA Corporation</t>
  </si>
  <si>
    <t>NASDAQ:NVDA</t>
  </si>
  <si>
    <t>USAR</t>
  </si>
  <si>
    <t>USA Rare Earth, Inc.</t>
  </si>
  <si>
    <t>NASDAQ:USAR</t>
  </si>
  <si>
    <t>Metal Fabrication</t>
  </si>
  <si>
    <t>GXAI</t>
  </si>
  <si>
    <t>Gaxos.ai Inc.</t>
  </si>
  <si>
    <t>NASDAQ:GXAI</t>
  </si>
  <si>
    <t>Packaged Software</t>
  </si>
  <si>
    <t>PLUG</t>
  </si>
  <si>
    <t>Plug Power, Inc.</t>
  </si>
  <si>
    <t>NASDAQ:PLUG</t>
  </si>
  <si>
    <t>Electronic Production Equipment</t>
  </si>
  <si>
    <t>ONDS</t>
  </si>
  <si>
    <t>Ondas Inc</t>
  </si>
  <si>
    <t>NASDAQ:ONDS</t>
  </si>
  <si>
    <t>Telecommunications Equipment</t>
  </si>
  <si>
    <t>EVTV</t>
  </si>
  <si>
    <t>Envirotech Vehicles, Inc.</t>
  </si>
  <si>
    <t>NASDAQ:EVTV</t>
  </si>
  <si>
    <t>Auto Parts: OEM</t>
  </si>
  <si>
    <t>NAMM</t>
  </si>
  <si>
    <t>Namib Minerals</t>
  </si>
  <si>
    <t>NASDAQ:NAMM</t>
  </si>
  <si>
    <t>Precious Metals</t>
  </si>
  <si>
    <t>GORO</t>
  </si>
  <si>
    <t>Gold Resource Corporation</t>
  </si>
  <si>
    <t>AMEX:GORO</t>
  </si>
  <si>
    <t>KVUE</t>
  </si>
  <si>
    <t>Kenvue Inc.</t>
  </si>
  <si>
    <t>NYSE:KVUE</t>
  </si>
  <si>
    <t>Household/Personal Care</t>
  </si>
  <si>
    <t>Motor Vehicles</t>
  </si>
  <si>
    <t>AMC</t>
  </si>
  <si>
    <t>AMC Entertainment Holdings, Inc.</t>
  </si>
  <si>
    <t>NYSE:AMC</t>
  </si>
  <si>
    <t>Movies/Entertainment</t>
  </si>
  <si>
    <t>BBAI</t>
  </si>
  <si>
    <t>BigBear.ai, Inc.</t>
  </si>
  <si>
    <t>NYSE:BBAI</t>
  </si>
  <si>
    <t>NU</t>
  </si>
  <si>
    <t>Nu Holdings Ltd.</t>
  </si>
  <si>
    <t>NYSE:NU</t>
  </si>
  <si>
    <t>Regional Banks</t>
  </si>
  <si>
    <t>CRWV</t>
  </si>
  <si>
    <t>CoreWeave, Inc.</t>
  </si>
  <si>
    <t>NASDAQ:CRWV</t>
  </si>
  <si>
    <t>TSLA</t>
  </si>
  <si>
    <t>Tesla, Inc.</t>
  </si>
  <si>
    <t>NASDAQ:TSLA</t>
  </si>
  <si>
    <t>Data Processing Services</t>
  </si>
  <si>
    <t>SLGB</t>
  </si>
  <si>
    <t>Smart Logistics Global Limited</t>
  </si>
  <si>
    <t>NASDAQ:SLGB</t>
  </si>
  <si>
    <t>Air Freight/Couriers</t>
  </si>
  <si>
    <t>Wireless Telecommunications</t>
  </si>
  <si>
    <t>CMCSA</t>
  </si>
  <si>
    <t>Comcast Corporation</t>
  </si>
  <si>
    <t>NASDAQ:CMCSA</t>
  </si>
  <si>
    <t>Cable/Satellite TV</t>
  </si>
  <si>
    <t>CLSK</t>
  </si>
  <si>
    <t>CleanSpark, Inc.</t>
  </si>
  <si>
    <t>NASDAQ:CLSK</t>
  </si>
  <si>
    <t>IREN</t>
  </si>
  <si>
    <t>IREN Limited</t>
  </si>
  <si>
    <t>NASDAQ:IREN</t>
  </si>
  <si>
    <t>AAL</t>
  </si>
  <si>
    <t>American Airlines Group, Inc.</t>
  </si>
  <si>
    <t>NASDAQ:AAL</t>
  </si>
  <si>
    <t>Airlines</t>
  </si>
  <si>
    <t>Pharmaceuticals: Major</t>
  </si>
  <si>
    <t>NFLX</t>
  </si>
  <si>
    <t>Netflix, Inc.</t>
  </si>
  <si>
    <t>NASDAQ:NFLX</t>
  </si>
  <si>
    <t>Internet Software/Services</t>
  </si>
  <si>
    <t>MARA</t>
  </si>
  <si>
    <t>MARA Holdings, Inc.</t>
  </si>
  <si>
    <t>NASDAQ:MARA</t>
  </si>
  <si>
    <t>IOVA</t>
  </si>
  <si>
    <t>Iovance Biotherapeutics, Inc.</t>
  </si>
  <si>
    <t>NASDAQ:IOVA</t>
  </si>
  <si>
    <t>Biotechnology</t>
  </si>
  <si>
    <t>CRML</t>
  </si>
  <si>
    <t>Critical Metals Corp.</t>
  </si>
  <si>
    <t>NASDAQ:CRML</t>
  </si>
  <si>
    <t>Other Metals/Minerals</t>
  </si>
  <si>
    <t>HYMC</t>
  </si>
  <si>
    <t>Hycroft Mining Holding Corporation</t>
  </si>
  <si>
    <t>NASDAQ:HYMC</t>
  </si>
  <si>
    <t>SNDK</t>
  </si>
  <si>
    <t>Sandisk Corporation</t>
  </si>
  <si>
    <t>NASDAQ:SNDK</t>
  </si>
  <si>
    <t>Computer Peripherals</t>
  </si>
  <si>
    <t>IBRX</t>
  </si>
  <si>
    <t>ImmunityBio, Inc.</t>
  </si>
  <si>
    <t>NASDAQ:IBRX</t>
  </si>
  <si>
    <t>RDW</t>
  </si>
  <si>
    <t>Redwire Corporation</t>
  </si>
  <si>
    <t>NYSE:RDW</t>
  </si>
  <si>
    <t>Aerospace &amp; Defense</t>
  </si>
  <si>
    <t>NB</t>
  </si>
  <si>
    <t>NioCorp Developments Ltd.</t>
  </si>
  <si>
    <t>NASDAQ:NB</t>
  </si>
  <si>
    <t>LAES</t>
  </si>
  <si>
    <t>SEALSQ Corp</t>
  </si>
  <si>
    <t>NASDAQ:LAES</t>
  </si>
  <si>
    <t>RCAT</t>
  </si>
  <si>
    <t>Red Cat Holdings, Inc.</t>
  </si>
  <si>
    <t>NASDAQ:RCAT</t>
  </si>
  <si>
    <t>TMC</t>
  </si>
  <si>
    <t>TMC the metals company Inc.</t>
  </si>
  <si>
    <t>NASDAQ:TMC</t>
  </si>
  <si>
    <t>TE</t>
  </si>
  <si>
    <t>T1 Energy Inc.</t>
  </si>
  <si>
    <t>NYSE:TE</t>
  </si>
  <si>
    <t>Electrical Products</t>
  </si>
  <si>
    <t>RR</t>
  </si>
  <si>
    <t>Richtech Robotics Inc.</t>
  </si>
  <si>
    <t>NASDAQ:RR</t>
  </si>
  <si>
    <t>Electronics/Appliances</t>
  </si>
  <si>
    <t>JBLU</t>
  </si>
  <si>
    <t>JetBlue Airways Corporation</t>
  </si>
  <si>
    <t>NASDAQ:JBLU</t>
  </si>
  <si>
    <t>CIFR</t>
  </si>
  <si>
    <t>Cipher Mining Inc.</t>
  </si>
  <si>
    <t>NASDAQ:CIFR</t>
  </si>
  <si>
    <t>METC</t>
  </si>
  <si>
    <t>Ramaco Resources, Inc.</t>
  </si>
  <si>
    <t>NASDAQ:METC</t>
  </si>
  <si>
    <t>Coal</t>
  </si>
  <si>
    <t>ABTC</t>
  </si>
  <si>
    <t>American Bitcoin Corp.</t>
  </si>
  <si>
    <t>NASDAQ:ABTC</t>
  </si>
  <si>
    <t>ASTS</t>
  </si>
  <si>
    <t>AST SpaceMobile, Inc.</t>
  </si>
  <si>
    <t>NASDAQ:ASTS</t>
  </si>
  <si>
    <t>Specialty Telecommunications</t>
  </si>
  <si>
    <t>EOSE</t>
  </si>
  <si>
    <t>Eos Energy Enterprises, Inc.</t>
  </si>
  <si>
    <t>NASDAQ:EOSE</t>
  </si>
  <si>
    <t>SMR</t>
  </si>
  <si>
    <t>NuScale Power Corporation</t>
  </si>
  <si>
    <t>NYSE:SMR</t>
  </si>
  <si>
    <t>CDE</t>
  </si>
  <si>
    <t>Coeur Mining, Inc.</t>
  </si>
  <si>
    <t>NYSE:CDE</t>
  </si>
  <si>
    <t>BE</t>
  </si>
  <si>
    <t>Bloom Energy Corporation</t>
  </si>
  <si>
    <t>NYSE:BE</t>
  </si>
  <si>
    <t>BTBT</t>
  </si>
  <si>
    <t>Bit Digital, Inc.</t>
  </si>
  <si>
    <t>NASDAQ:BTBT</t>
  </si>
  <si>
    <t>Miscellaneous Commercial Services</t>
  </si>
  <si>
    <t>UUUU</t>
  </si>
  <si>
    <t>Energy Fuels Inc</t>
  </si>
  <si>
    <t>AMEX:UUUU</t>
  </si>
  <si>
    <t>TRX</t>
  </si>
  <si>
    <t>TRX Gold Corporation</t>
  </si>
  <si>
    <t>AMEX:TRX</t>
  </si>
  <si>
    <t>RZLV</t>
  </si>
  <si>
    <t>Rezolve AI PLC</t>
  </si>
  <si>
    <t>NASDAQ:RZLV</t>
  </si>
  <si>
    <t>BZAI</t>
  </si>
  <si>
    <t>Blaize Holdings, Inc.</t>
  </si>
  <si>
    <t>NASDAQ:BZAI</t>
  </si>
  <si>
    <t>Apparel/Footwear</t>
  </si>
  <si>
    <t>SOFI</t>
  </si>
  <si>
    <t>SoFi Technologies, Inc.</t>
  </si>
  <si>
    <t>NASDAQ:SOFI</t>
  </si>
  <si>
    <t>Finance/Rental/Leasing</t>
  </si>
  <si>
    <t>NVTS</t>
  </si>
  <si>
    <t>Navitas Semiconductor Corporation</t>
  </si>
  <si>
    <t>NASDAQ:NVTS</t>
  </si>
  <si>
    <t>WULF</t>
  </si>
  <si>
    <t>TeraWulf Inc.</t>
  </si>
  <si>
    <t>NASDAQ:WULF</t>
  </si>
  <si>
    <t>NUAI</t>
  </si>
  <si>
    <t>New Era Energy &amp; Digital, Inc.</t>
  </si>
  <si>
    <t>NASDAQ:NUAI</t>
  </si>
  <si>
    <t>Financial Conglomerates</t>
  </si>
  <si>
    <t>ALT</t>
  </si>
  <si>
    <t>Altimmune, Inc.</t>
  </si>
  <si>
    <t>NASDAQ:ALT</t>
  </si>
  <si>
    <t>AAOI</t>
  </si>
  <si>
    <t>Applied Optoelectronics, Inc.</t>
  </si>
  <si>
    <t>NASDAQ:AAOI</t>
  </si>
  <si>
    <t>LUNR</t>
  </si>
  <si>
    <t>Intuitive Machines, Inc.</t>
  </si>
  <si>
    <t>NASDAQ:LUNR</t>
  </si>
  <si>
    <t>NOW</t>
  </si>
  <si>
    <t>ServiceNow, Inc.</t>
  </si>
  <si>
    <t>NYSE:NOW</t>
  </si>
  <si>
    <t>Chemicals: Specialty</t>
  </si>
  <si>
    <t>LUV</t>
  </si>
  <si>
    <t>Southwest Airlines Company</t>
  </si>
  <si>
    <t>NYSE:LUV</t>
  </si>
  <si>
    <t>SIDU</t>
  </si>
  <si>
    <t>Sidus Space, Inc.</t>
  </si>
  <si>
    <t>NASDAQ:SIDU</t>
  </si>
  <si>
    <t>SATL</t>
  </si>
  <si>
    <t>Satellogic Inc.</t>
  </si>
  <si>
    <t>NASDAQ:SATL</t>
  </si>
  <si>
    <t>AUR</t>
  </si>
  <si>
    <t>Aurora Innovation, Inc.</t>
  </si>
  <si>
    <t>NASDAQ:AUR</t>
  </si>
  <si>
    <t>IOT</t>
  </si>
  <si>
    <t>Samsara Inc.</t>
  </si>
  <si>
    <t>NYSE:IOT</t>
  </si>
  <si>
    <t>NWL</t>
  </si>
  <si>
    <t>Newell Brands Inc.</t>
  </si>
  <si>
    <t>NASDAQ:NWL</t>
  </si>
  <si>
    <t>Industrial Machinery</t>
  </si>
  <si>
    <t>IP</t>
  </si>
  <si>
    <t>International Paper Company</t>
  </si>
  <si>
    <t>NYSE:IP</t>
  </si>
  <si>
    <t>Pulp &amp; Paper</t>
  </si>
  <si>
    <t>U</t>
  </si>
  <si>
    <t>Unity Software Inc.</t>
  </si>
  <si>
    <t>NYSE:U</t>
  </si>
  <si>
    <t>AXTI</t>
  </si>
  <si>
    <t>AXT Inc</t>
  </si>
  <si>
    <t>NASDAQ:AXTI</t>
  </si>
  <si>
    <t>FLNC</t>
  </si>
  <si>
    <t>Fluence Energy, Inc.</t>
  </si>
  <si>
    <t>NASDAQ:FLNC</t>
  </si>
  <si>
    <t>LITE</t>
  </si>
  <si>
    <t>Lumentum Holdings Inc.</t>
  </si>
  <si>
    <t>NASDAQ:LITE</t>
  </si>
  <si>
    <t>PL</t>
  </si>
  <si>
    <t>Planet Labs PBC</t>
  </si>
  <si>
    <t>NYSE:PL</t>
  </si>
  <si>
    <t>RXRX</t>
  </si>
  <si>
    <t>Recursion Pharmaceuticals, Inc.</t>
  </si>
  <si>
    <t>NASDAQ:RXRX</t>
  </si>
  <si>
    <t>CCC</t>
  </si>
  <si>
    <t>CCC Intelligent Solutions Holdings Inc.</t>
  </si>
  <si>
    <t>NASDAQ:CCC</t>
  </si>
  <si>
    <t>AI</t>
  </si>
  <si>
    <t>C3.ai, Inc.</t>
  </si>
  <si>
    <t>NYSE:AI</t>
  </si>
  <si>
    <t>ALIT</t>
  </si>
  <si>
    <t>Alight, Inc.</t>
  </si>
  <si>
    <t>NYSE:ALIT</t>
  </si>
  <si>
    <t>Information Technology Services</t>
  </si>
  <si>
    <t>CRCL</t>
  </si>
  <si>
    <t>Circle Internet Group, Inc.</t>
  </si>
  <si>
    <t>NYSE:CRCL</t>
  </si>
  <si>
    <t>QUBT</t>
  </si>
  <si>
    <t>Quantum Computing Inc.</t>
  </si>
  <si>
    <t>NASDAQ:QUBT</t>
  </si>
  <si>
    <t>RGTI</t>
  </si>
  <si>
    <t>Rigetti Computing, Inc.</t>
  </si>
  <si>
    <t>NASDAQ:RGTI</t>
  </si>
  <si>
    <t>Computer Processing Hardware</t>
  </si>
  <si>
    <t>OWL</t>
  </si>
  <si>
    <t>Blue Owl Capital Inc.</t>
  </si>
  <si>
    <t>NYSE:OWL</t>
  </si>
  <si>
    <t>Investment Managers</t>
  </si>
  <si>
    <t>QBTS</t>
  </si>
  <si>
    <t>D-Wave Quantum Inc.</t>
  </si>
  <si>
    <t>NYSE:QBTS</t>
  </si>
  <si>
    <t>RKT</t>
  </si>
  <si>
    <t>Rocket Companies, Inc.</t>
  </si>
  <si>
    <t>NYSE:RKT</t>
  </si>
  <si>
    <t>RBLX</t>
  </si>
  <si>
    <t>Roblox Corporation</t>
  </si>
  <si>
    <t>NYSE:RBLX</t>
  </si>
  <si>
    <t>SNAP</t>
  </si>
  <si>
    <t>Snap Inc.</t>
  </si>
  <si>
    <t>NYSE:SNAP</t>
  </si>
  <si>
    <t>LUMN</t>
  </si>
  <si>
    <t>Lumen Technologies, Inc.</t>
  </si>
  <si>
    <t>NYSE:LUMN</t>
  </si>
  <si>
    <t>Major Telecommunications</t>
  </si>
  <si>
    <t>PTON</t>
  </si>
  <si>
    <t>Peloton Interactive, Inc.</t>
  </si>
  <si>
    <t>NASDAQ:PTON</t>
  </si>
  <si>
    <t>Other Consumer Services</t>
  </si>
  <si>
    <t>SMCI</t>
  </si>
  <si>
    <t>Super Micro Computer, Inc.</t>
  </si>
  <si>
    <t>NASDAQ:SMCI</t>
  </si>
  <si>
    <t>CATX</t>
  </si>
  <si>
    <t>Perspective Therapeutics, Inc.</t>
  </si>
  <si>
    <t>AMEX:CATX</t>
  </si>
  <si>
    <t>GLXY</t>
  </si>
  <si>
    <t>Galaxy Digital Inc.</t>
  </si>
  <si>
    <t>NASDAQ:GLXY</t>
  </si>
  <si>
    <t>Investment Banks/Brokers</t>
  </si>
  <si>
    <t>PLTR</t>
  </si>
  <si>
    <t>Palantir Technologies Inc.</t>
  </si>
  <si>
    <t>NASDAQ:PLTR</t>
  </si>
  <si>
    <t>PDYN</t>
  </si>
  <si>
    <t>Palladyne AI Corp.</t>
  </si>
  <si>
    <t>NASDAQ:PDYN</t>
  </si>
  <si>
    <t>CMG</t>
  </si>
  <si>
    <t>Chipotle Mexican Grill, Inc.</t>
  </si>
  <si>
    <t>NYSE:CMG</t>
  </si>
  <si>
    <t>Restaurants</t>
  </si>
  <si>
    <t>CRDO</t>
  </si>
  <si>
    <t>Credo Technology Group Holding Ltd</t>
  </si>
  <si>
    <t>NASDAQ:CRDO</t>
  </si>
  <si>
    <t>OKLO</t>
  </si>
  <si>
    <t>Oklo Inc.</t>
  </si>
  <si>
    <t>NYSE:OKLO</t>
  </si>
  <si>
    <t>FIG</t>
  </si>
  <si>
    <t>FIGMA INC</t>
  </si>
  <si>
    <t>NYSE:FIG</t>
  </si>
  <si>
    <t>OCUL</t>
  </si>
  <si>
    <t>Ocular Therapeutix, Inc.</t>
  </si>
  <si>
    <t>NASDAQ:OCUL</t>
  </si>
  <si>
    <t>MSTR</t>
  </si>
  <si>
    <t>Strategy Inc</t>
  </si>
  <si>
    <t>NASDAQ:MSTR</t>
  </si>
  <si>
    <t>IONQ</t>
  </si>
  <si>
    <t>IonQ, Inc.</t>
  </si>
  <si>
    <t>NYSE:IONQ</t>
  </si>
  <si>
    <t>HUT</t>
  </si>
  <si>
    <t>Hut 8 Corp.</t>
  </si>
  <si>
    <t>NASDAQ:HUT</t>
  </si>
  <si>
    <t>AMZN</t>
  </si>
  <si>
    <t>Amazon.com, Inc.</t>
  </si>
  <si>
    <t>NASDAQ:AMZN</t>
  </si>
  <si>
    <t>Internet Retail</t>
  </si>
  <si>
    <t>HIMS</t>
  </si>
  <si>
    <t>Hims &amp; Hers Health, Inc.</t>
  </si>
  <si>
    <t>NYSE:HIMS</t>
  </si>
  <si>
    <t>Medical/Nursing Services</t>
  </si>
  <si>
    <t>AFRM</t>
  </si>
  <si>
    <t>Affirm Holdings, Inc.</t>
  </si>
  <si>
    <t>NASDAQ:AFRM</t>
  </si>
  <si>
    <t>RIOT</t>
  </si>
  <si>
    <t>Riot Platforms, Inc.</t>
  </si>
  <si>
    <t>NASDAQ:RIOT</t>
  </si>
  <si>
    <t>OPEN</t>
  </si>
  <si>
    <t>Opendoor Technologies Inc</t>
  </si>
  <si>
    <t>NASDAQ:OPEN</t>
  </si>
  <si>
    <t>Real Estate Development</t>
  </si>
  <si>
    <t>COTY</t>
  </si>
  <si>
    <t>Coty Inc.</t>
  </si>
  <si>
    <t>NYSE:COTY</t>
  </si>
  <si>
    <t>BMNR</t>
  </si>
  <si>
    <t>BitMine Immersion Technologies, Inc.</t>
  </si>
  <si>
    <t>AMEX:BMNR</t>
  </si>
  <si>
    <t>FUBO</t>
  </si>
  <si>
    <t>FuboTV Inc.</t>
  </si>
  <si>
    <t>NYSE:FUBO</t>
  </si>
  <si>
    <t>BILL</t>
  </si>
  <si>
    <t>BILL Holdings, Inc.</t>
  </si>
  <si>
    <t>NYSE:BILL</t>
  </si>
  <si>
    <t>BAX</t>
  </si>
  <si>
    <t>Baxter International Inc.</t>
  </si>
  <si>
    <t>NYSE:BAX</t>
  </si>
  <si>
    <t>KOS</t>
  </si>
  <si>
    <t>Kosmos Energy Ltd.</t>
  </si>
  <si>
    <t>NYSE:KOS</t>
  </si>
  <si>
    <t>Integrated Oil</t>
  </si>
  <si>
    <t>Oil &amp; Gas Pipelines</t>
  </si>
  <si>
    <t>GERN</t>
  </si>
  <si>
    <t>Geron Corporation</t>
  </si>
  <si>
    <t>NASDAQ:GERN</t>
  </si>
  <si>
    <t>Railroads</t>
  </si>
  <si>
    <t>Managed Health Care</t>
  </si>
  <si>
    <t>TEAM</t>
  </si>
  <si>
    <t>Atlassian Corporation</t>
  </si>
  <si>
    <t>NASDAQ:TEAM</t>
  </si>
  <si>
    <t>BSX</t>
  </si>
  <si>
    <t>Boston Scientific Corporation</t>
  </si>
  <si>
    <t>NYSE:BSX</t>
  </si>
  <si>
    <t>CPNG</t>
  </si>
  <si>
    <t>Coupang, Inc.</t>
  </si>
  <si>
    <t>NYSE:CPNG</t>
  </si>
  <si>
    <t>COMP</t>
  </si>
  <si>
    <t>Compass, Inc.</t>
  </si>
  <si>
    <t>NYSE:COMP</t>
  </si>
  <si>
    <t>TOST</t>
  </si>
  <si>
    <t>Toast, Inc.</t>
  </si>
  <si>
    <t>NYSE:TOST</t>
  </si>
  <si>
    <t>SBET</t>
  </si>
  <si>
    <t>Sharplink, Inc.</t>
  </si>
  <si>
    <t>NASDAQ:SBET</t>
  </si>
  <si>
    <t>Advertising/Marketing Services</t>
  </si>
  <si>
    <t>PINS</t>
  </si>
  <si>
    <t>Pinterest, Inc.</t>
  </si>
  <si>
    <t>NYSE:PINS</t>
  </si>
  <si>
    <t>APP</t>
  </si>
  <si>
    <t>Applovin Corporation</t>
  </si>
  <si>
    <t>NASDAQ:APP</t>
  </si>
  <si>
    <t>OSCR</t>
  </si>
  <si>
    <t>Oscar Health, Inc.</t>
  </si>
  <si>
    <t>NYSE:OSCR</t>
  </si>
  <si>
    <t>LYFT</t>
  </si>
  <si>
    <t>Lyft, Inc.</t>
  </si>
  <si>
    <t>NASDAQ:LYFT</t>
  </si>
  <si>
    <t>Other Transportation</t>
  </si>
  <si>
    <t>DDOG</t>
  </si>
  <si>
    <t>Datadog, Inc.</t>
  </si>
  <si>
    <t>NASDAQ:DDOG</t>
  </si>
  <si>
    <t>QS</t>
  </si>
  <si>
    <t>QuantumScape Corporation</t>
  </si>
  <si>
    <t>NASDAQ:QS</t>
  </si>
  <si>
    <t>GTM</t>
  </si>
  <si>
    <t>ZoomInfo Technologies Inc.</t>
  </si>
  <si>
    <t>NASDAQ:GTM</t>
  </si>
  <si>
    <t>RIVN</t>
  </si>
  <si>
    <t>Rivian Automotive, Inc.</t>
  </si>
  <si>
    <t>NASDAQ:RIVN</t>
  </si>
  <si>
    <t>SHOP</t>
  </si>
  <si>
    <t>Shopify Inc.</t>
  </si>
  <si>
    <t>NASDAQ:SHOP</t>
  </si>
  <si>
    <t>NBIS</t>
  </si>
  <si>
    <t>Nebius Group N.V.</t>
  </si>
  <si>
    <t>NASDAQ:NBIS</t>
  </si>
  <si>
    <t>DKNG</t>
  </si>
  <si>
    <t>DraftKings Inc.</t>
  </si>
  <si>
    <t>NASDAQ:DKNG</t>
  </si>
  <si>
    <t>FRMI</t>
  </si>
  <si>
    <t>Fermi Inc.</t>
  </si>
  <si>
    <t>NASDAQ:FRMI</t>
  </si>
  <si>
    <t>Real Estate Investment Trusts</t>
  </si>
  <si>
    <t>NET</t>
  </si>
  <si>
    <t>Cloudflare, Inc.</t>
  </si>
  <si>
    <t>NYSE:NET</t>
  </si>
  <si>
    <t>AVTR</t>
  </si>
  <si>
    <t>Avantor, Inc.</t>
  </si>
  <si>
    <t>NYSE:AVTR</t>
  </si>
  <si>
    <t>HOOD</t>
  </si>
  <si>
    <t>Robinhood Markets, Inc.</t>
  </si>
  <si>
    <t>NASDAQ:HOOD</t>
  </si>
  <si>
    <t>MRNA</t>
  </si>
  <si>
    <t>Moderna, Inc.</t>
  </si>
  <si>
    <t>NASDAQ:MRNA</t>
  </si>
  <si>
    <t>COIN</t>
  </si>
  <si>
    <t>Coinbase Global, Inc. - 3</t>
  </si>
  <si>
    <t>NASDAQ:COIN</t>
  </si>
  <si>
    <t>UPST</t>
  </si>
  <si>
    <t>Upstart Holdings, Inc.</t>
  </si>
  <si>
    <t>NASDAQ:UPST</t>
  </si>
  <si>
    <t>FSLY</t>
  </si>
  <si>
    <t>Fastly, Inc.</t>
  </si>
  <si>
    <t>NASDAQ:FSLY</t>
  </si>
  <si>
    <t>ANET</t>
  </si>
  <si>
    <t>Arista Networks, Inc.</t>
  </si>
  <si>
    <t>NYSE:ANET</t>
  </si>
  <si>
    <t>WEN</t>
  </si>
  <si>
    <t>Wendy's Company (The)</t>
  </si>
  <si>
    <t>NASDAQ:WEN</t>
  </si>
  <si>
    <t>AKAM</t>
  </si>
  <si>
    <t>Akamai Technologies, Inc.</t>
  </si>
  <si>
    <t>NASDAQ:AKAM</t>
  </si>
  <si>
    <t>RXO</t>
  </si>
  <si>
    <t>RXO, Inc.</t>
  </si>
  <si>
    <t>NYSE:RXO</t>
  </si>
  <si>
    <t>CART</t>
  </si>
  <si>
    <t>Maplebear Inc.</t>
  </si>
  <si>
    <t>NASDAQ:CART</t>
  </si>
  <si>
    <t>KD</t>
  </si>
  <si>
    <t>Kyndryl Holdings, Inc.</t>
  </si>
  <si>
    <t>NYSE:KD</t>
  </si>
  <si>
    <t>MDLZ</t>
  </si>
  <si>
    <t>Mondelez International, Inc.</t>
  </si>
  <si>
    <t>NASDAQ:MDLZ</t>
  </si>
  <si>
    <t>Food: Specialty/Candy</t>
  </si>
  <si>
    <t>Electric Utilities</t>
  </si>
  <si>
    <t>MDT</t>
  </si>
  <si>
    <t>Medtronic plc.</t>
  </si>
  <si>
    <t>NYSE:MDT</t>
  </si>
  <si>
    <t>Recreational Products</t>
  </si>
  <si>
    <t>ACHR</t>
  </si>
  <si>
    <t>Archer Aviation Inc.</t>
  </si>
  <si>
    <t>NYSE:ACHR</t>
  </si>
  <si>
    <t>DCH</t>
  </si>
  <si>
    <t>Dauch Corporation</t>
  </si>
  <si>
    <t>NYSE:DCH</t>
  </si>
  <si>
    <t>Building Products</t>
  </si>
  <si>
    <t>DXCM</t>
  </si>
  <si>
    <t>DexCom, Inc.</t>
  </si>
  <si>
    <t>NASDAQ:DXCM</t>
  </si>
  <si>
    <t>PATH</t>
  </si>
  <si>
    <t>UiPath, Inc.</t>
  </si>
  <si>
    <t>NYSE:PATH</t>
  </si>
  <si>
    <t>NCLH</t>
  </si>
  <si>
    <t>Norwegian Cruise Line Holdings Ltd.</t>
  </si>
  <si>
    <t>NYSE:NCLH</t>
  </si>
  <si>
    <t>Hotels/Resorts/Cruise lines</t>
  </si>
  <si>
    <t>HAL</t>
  </si>
  <si>
    <t>Halliburton Company</t>
  </si>
  <si>
    <t>NYSE:HAL</t>
  </si>
  <si>
    <t>Oilfield Services/Equipment</t>
  </si>
  <si>
    <t>EYPT</t>
  </si>
  <si>
    <t>EyePoint, Inc.</t>
  </si>
  <si>
    <t>NASDAQ:EYPT</t>
  </si>
  <si>
    <t>PGEN</t>
  </si>
  <si>
    <t>Precigen, Inc.</t>
  </si>
  <si>
    <t>NASDAQ:PGEN</t>
  </si>
  <si>
    <t>BKD</t>
  </si>
  <si>
    <t>Brookdale Senior Living Inc.</t>
  </si>
  <si>
    <t>NYSE:BKD</t>
  </si>
  <si>
    <t>Hospital/Nursing Management</t>
  </si>
  <si>
    <t>Chemicals: Major Diversified</t>
  </si>
  <si>
    <t>CZR</t>
  </si>
  <si>
    <t>Caesars Entertainment, Inc.</t>
  </si>
  <si>
    <t>NASDAQ:CZR</t>
  </si>
  <si>
    <t>Casinos/Gaming</t>
  </si>
  <si>
    <t>DASH</t>
  </si>
  <si>
    <t>DoorDash, Inc.</t>
  </si>
  <si>
    <t>NASDAQ:DASH</t>
  </si>
  <si>
    <t>SMWB</t>
  </si>
  <si>
    <t>Similarweb Ltd.</t>
  </si>
  <si>
    <t>NYSE:SMWB</t>
  </si>
  <si>
    <t>RIG</t>
  </si>
  <si>
    <t>Transocean Ltd (Switzerland)</t>
  </si>
  <si>
    <t>NYSE:RIG</t>
  </si>
  <si>
    <t>Contract Drilling</t>
  </si>
  <si>
    <t>CPRT</t>
  </si>
  <si>
    <t>Copart, Inc.</t>
  </si>
  <si>
    <t>NASDAQ:CPRT</t>
  </si>
  <si>
    <t>Specialty Stores</t>
  </si>
  <si>
    <t>BTDR</t>
  </si>
  <si>
    <t>Bitdeer Technologies Group</t>
  </si>
  <si>
    <t>NASDAQ:BTDR</t>
  </si>
  <si>
    <t>W</t>
  </si>
  <si>
    <t>Wayfair Inc.</t>
  </si>
  <si>
    <t>NYSE:W</t>
  </si>
  <si>
    <t>FNB</t>
  </si>
  <si>
    <t>F.N.B. Corporation</t>
  </si>
  <si>
    <t>NYSE:FNB</t>
  </si>
  <si>
    <t>Major Banks</t>
  </si>
  <si>
    <t>SLS</t>
  </si>
  <si>
    <t>SELLAS Life Sciences Group, Inc.</t>
  </si>
  <si>
    <t>NASDAQ:SLS</t>
  </si>
  <si>
    <t>WU</t>
  </si>
  <si>
    <t>Western Union Company (The)</t>
  </si>
  <si>
    <t>NYSE:WU</t>
  </si>
  <si>
    <t>SM</t>
  </si>
  <si>
    <t>SM Energy Company</t>
  </si>
  <si>
    <t>NYSE:SM</t>
  </si>
  <si>
    <t>CORT</t>
  </si>
  <si>
    <t>Corcept Therapeutics Incorporated</t>
  </si>
  <si>
    <t>NASDAQ:CORT</t>
  </si>
  <si>
    <t>TALK</t>
  </si>
  <si>
    <t>Talkspace, Inc.</t>
  </si>
  <si>
    <t>NASDAQ:TALK</t>
  </si>
  <si>
    <t>TPG</t>
  </si>
  <si>
    <t>TPG Inc.</t>
  </si>
  <si>
    <t>NASDAQ:TPG</t>
  </si>
  <si>
    <t>ARDX</t>
  </si>
  <si>
    <t>Ardelyx, Inc.</t>
  </si>
  <si>
    <t>NASDAQ:ARDX</t>
  </si>
  <si>
    <t>GTLB</t>
  </si>
  <si>
    <t>GitLab Inc.</t>
  </si>
  <si>
    <t>NASDAQ:GTLB</t>
  </si>
  <si>
    <t>WTTR</t>
  </si>
  <si>
    <t>Select Water Solutions, Inc.</t>
  </si>
  <si>
    <t>NYSE:WTTR</t>
  </si>
  <si>
    <t>FIVN</t>
  </si>
  <si>
    <t>Five9, Inc.</t>
  </si>
  <si>
    <t>NASDAQ:FIVN</t>
  </si>
  <si>
    <t>RELY</t>
  </si>
  <si>
    <t>Remitly Global, Inc.</t>
  </si>
  <si>
    <t>NASDAQ:RELY</t>
  </si>
  <si>
    <t>GAP</t>
  </si>
  <si>
    <t>Gap, Inc. (The)</t>
  </si>
  <si>
    <t>NYSE:GAP</t>
  </si>
  <si>
    <t>Apparel/Footwear Retail</t>
  </si>
  <si>
    <t>TNDM</t>
  </si>
  <si>
    <t>Tandem Diabetes Care, Inc.</t>
  </si>
  <si>
    <t>NASDAQ:TNDM</t>
  </si>
  <si>
    <t>CNH</t>
  </si>
  <si>
    <t>CNH Industrial N.V.</t>
  </si>
  <si>
    <t>NYSE:CNH</t>
  </si>
  <si>
    <t>Trucks/Construction/Farm Machinery</t>
  </si>
  <si>
    <t>TTD</t>
  </si>
  <si>
    <t>The Trade Desk, Inc.</t>
  </si>
  <si>
    <t>NASDAQ:TTD</t>
  </si>
  <si>
    <t>SOUN</t>
  </si>
  <si>
    <t>SoundHound AI, Inc.</t>
  </si>
  <si>
    <t>NASDAQ:SOUN</t>
  </si>
  <si>
    <t>RUN</t>
  </si>
  <si>
    <t>Sunrun Inc.</t>
  </si>
  <si>
    <t>NASDAQ:RUN</t>
  </si>
  <si>
    <t>RKLB</t>
  </si>
  <si>
    <t>Rocket Lab Corporation</t>
  </si>
  <si>
    <t>NASDAQ:RKLB</t>
  </si>
  <si>
    <t>FIGR</t>
  </si>
  <si>
    <t>Figure Technology Solutions, Inc.</t>
  </si>
  <si>
    <t>NASDAQ:FIGR</t>
  </si>
  <si>
    <t>JOBY</t>
  </si>
  <si>
    <t>Joby Aviation, Inc.</t>
  </si>
  <si>
    <t>NYSE:JOBY</t>
  </si>
  <si>
    <t>ZETA</t>
  </si>
  <si>
    <t>Zeta Global Holdings Corp.</t>
  </si>
  <si>
    <t>NYSE:ZETA</t>
  </si>
  <si>
    <t>LCID</t>
  </si>
  <si>
    <t>Lucid Group, Inc.</t>
  </si>
  <si>
    <t>NASDAQ:LCID</t>
  </si>
  <si>
    <t>SNOW</t>
  </si>
  <si>
    <t>Snowflake Inc.</t>
  </si>
  <si>
    <t>NYSE:SNOW</t>
  </si>
  <si>
    <t>XYZ</t>
  </si>
  <si>
    <t>Block, Inc.</t>
  </si>
  <si>
    <t>NYSE:XYZ</t>
  </si>
  <si>
    <t>RXT</t>
  </si>
  <si>
    <t>Rackspace Technology, Inc.</t>
  </si>
  <si>
    <t>NASDAQ:RXT</t>
  </si>
  <si>
    <t>ALLO</t>
  </si>
  <si>
    <t>Allogene Therapeutics, Inc.</t>
  </si>
  <si>
    <t>NASDAQ:ALLO</t>
  </si>
  <si>
    <t>DELL</t>
  </si>
  <si>
    <t>Dell Technologies Inc.</t>
  </si>
  <si>
    <t>NYSE:DELL</t>
  </si>
  <si>
    <t>SOC</t>
  </si>
  <si>
    <t>Sable Offshore Corp.</t>
  </si>
  <si>
    <t>NYSE:SOC</t>
  </si>
  <si>
    <t>QURE</t>
  </si>
  <si>
    <t>uniQure N.V.</t>
  </si>
  <si>
    <t>NASDAQ:QURE</t>
  </si>
  <si>
    <t>NVAX</t>
  </si>
  <si>
    <t>Novavax, Inc.</t>
  </si>
  <si>
    <t>NASDAQ:NVAX</t>
  </si>
  <si>
    <t>VISN</t>
  </si>
  <si>
    <t>Vistance Networks, Inc.</t>
  </si>
  <si>
    <t>NASDAQ:VISN</t>
  </si>
  <si>
    <t>HTZ</t>
  </si>
  <si>
    <t>Hertz Global Holdings, Inc</t>
  </si>
  <si>
    <t>NASDAQ:HTZ</t>
  </si>
  <si>
    <t>DNUT</t>
  </si>
  <si>
    <t>Krispy Kreme, Inc.</t>
  </si>
  <si>
    <t>NASDAQ:DNUT</t>
  </si>
  <si>
    <t>Food Distributors</t>
  </si>
  <si>
    <t>WRBY</t>
  </si>
  <si>
    <t>Warby Parker Inc.</t>
  </si>
  <si>
    <t>NYSE:WRBY</t>
  </si>
  <si>
    <t>BFLY</t>
  </si>
  <si>
    <t>Butterfly Network, Inc.</t>
  </si>
  <si>
    <t>NYSE:BFLY</t>
  </si>
  <si>
    <t>ENVX</t>
  </si>
  <si>
    <t>Enovix Corporation</t>
  </si>
  <si>
    <t>NASDAQ:ENVX</t>
  </si>
  <si>
    <t>PCT</t>
  </si>
  <si>
    <t>PureCycle Technologies, Inc.</t>
  </si>
  <si>
    <t>NASDAQ:PCT</t>
  </si>
  <si>
    <t>Environmental Services</t>
  </si>
  <si>
    <t>DUOL</t>
  </si>
  <si>
    <t>Duolingo, Inc.</t>
  </si>
  <si>
    <t>NASDAQ:DUOL</t>
  </si>
  <si>
    <t>SHLS</t>
  </si>
  <si>
    <t>Shoals Technologies Group, Inc.</t>
  </si>
  <si>
    <t>NASDAQ:SHLS</t>
  </si>
  <si>
    <t>REAL</t>
  </si>
  <si>
    <t>The RealReal, Inc.</t>
  </si>
  <si>
    <t>NASDAQ:REAL</t>
  </si>
  <si>
    <t>FIGS</t>
  </si>
  <si>
    <t>FIGS, Inc.</t>
  </si>
  <si>
    <t>NYSE:FIGS</t>
  </si>
  <si>
    <t>AES</t>
  </si>
  <si>
    <t>The AES Corporation</t>
  </si>
  <si>
    <t>NYSE:AES</t>
  </si>
  <si>
    <t>VG</t>
  </si>
  <si>
    <t>Venture Global, Inc.</t>
  </si>
  <si>
    <t>NYSE:VG</t>
  </si>
  <si>
    <t>SG</t>
  </si>
  <si>
    <t>Sweetgreen, Inc.</t>
  </si>
  <si>
    <t>NYSE:SG</t>
  </si>
  <si>
    <t>AVAV</t>
  </si>
  <si>
    <t>AeroVironment, Inc.</t>
  </si>
  <si>
    <t>NASDAQ:AVAV</t>
  </si>
  <si>
    <t>POET</t>
  </si>
  <si>
    <t>POET Technologies Inc.</t>
  </si>
  <si>
    <t>NASDAQ:POET</t>
  </si>
  <si>
    <t>MNKD</t>
  </si>
  <si>
    <t>MannKind Corporation</t>
  </si>
  <si>
    <t>NASDAQ:MNKD</t>
  </si>
  <si>
    <t>ZD</t>
  </si>
  <si>
    <t>Ziff Davis, Inc.</t>
  </si>
  <si>
    <t>NASDAQ:ZD</t>
  </si>
  <si>
    <t>REI</t>
  </si>
  <si>
    <t>Ring Energy, Inc.</t>
  </si>
  <si>
    <t>AMEX:REI</t>
  </si>
  <si>
    <t>WTI</t>
  </si>
  <si>
    <t>W&amp;T Offshore, Inc.</t>
  </si>
  <si>
    <t>NYSE:WTI</t>
  </si>
  <si>
    <t>PACB</t>
  </si>
  <si>
    <t>Pacific Biosciences of California, Inc.</t>
  </si>
  <si>
    <t>NASDAQ:PACB</t>
  </si>
  <si>
    <t>Cipher Digital Inc.</t>
  </si>
  <si>
    <t>BULL</t>
  </si>
  <si>
    <t>Webull Corporation</t>
  </si>
  <si>
    <t>NASDAQ:BULL</t>
  </si>
  <si>
    <t>SABR</t>
  </si>
  <si>
    <t>Sabre Corporation</t>
  </si>
  <si>
    <t>NASDAQ:SABR</t>
  </si>
  <si>
    <t>GPRO</t>
  </si>
  <si>
    <t>GoPro, Inc.</t>
  </si>
  <si>
    <t>NASDAQ:GPRO</t>
  </si>
  <si>
    <t>STUB</t>
  </si>
  <si>
    <t>StubHub Holdings, Inc.</t>
  </si>
  <si>
    <t>NYSE:STUB</t>
  </si>
  <si>
    <t>ARRY</t>
  </si>
  <si>
    <t>Array Technologies, Inc.</t>
  </si>
  <si>
    <t>NASDAQ:ARRY</t>
  </si>
  <si>
    <t>DVN</t>
  </si>
  <si>
    <t>Devon Energy Corporation</t>
  </si>
  <si>
    <t>NYSE:DVN</t>
  </si>
  <si>
    <t>RLMD</t>
  </si>
  <si>
    <t>Relmada Therapeutics, Inc.</t>
  </si>
  <si>
    <t>NASDAQ:RLMD</t>
  </si>
  <si>
    <t>ORCL</t>
  </si>
  <si>
    <t>Oracle Corporation</t>
  </si>
  <si>
    <t>NYSE:ORCL</t>
  </si>
  <si>
    <t>HPE</t>
  </si>
  <si>
    <t>Hewlett Packard Enterprise Company</t>
  </si>
  <si>
    <t>NYSE:HPE</t>
  </si>
  <si>
    <t>KLAR</t>
  </si>
  <si>
    <t>Klarna Group plc</t>
  </si>
  <si>
    <t>NYSE:KLAR</t>
  </si>
  <si>
    <t>WOOF</t>
  </si>
  <si>
    <t>Petco Health and Wellness Company, Inc.</t>
  </si>
  <si>
    <t>NASDAQ:WOOF</t>
  </si>
  <si>
    <t>TSSI</t>
  </si>
  <si>
    <t>TSS, Inc.</t>
  </si>
  <si>
    <t>NASDAQ:TSSI</t>
  </si>
  <si>
    <t>S</t>
  </si>
  <si>
    <t>SentinelOne, Inc.</t>
  </si>
  <si>
    <t>NYSE:S</t>
  </si>
  <si>
    <t>LWLG</t>
  </si>
  <si>
    <t>Lightwave Logic, Inc.</t>
  </si>
  <si>
    <t>NASDAQ:LWLG</t>
  </si>
  <si>
    <t>UMAC</t>
  </si>
  <si>
    <t>Unusual Machines, Inc.</t>
  </si>
  <si>
    <t>AMEX:UMAC</t>
  </si>
  <si>
    <t>Electronic Equipment/Instruments</t>
  </si>
  <si>
    <t>GPGI</t>
  </si>
  <si>
    <t>GPGI, Inc.</t>
  </si>
  <si>
    <t>NYSE:GPGI</t>
  </si>
  <si>
    <t>Commercial Printing/Forms</t>
  </si>
  <si>
    <t>TIC</t>
  </si>
  <si>
    <t>TIC Solutions, Inc.</t>
  </si>
  <si>
    <t>NYSE:TIC</t>
  </si>
  <si>
    <t>NTSK</t>
  </si>
  <si>
    <t>Netskope, Inc.</t>
  </si>
  <si>
    <t>NASDAQ:NTSK</t>
  </si>
  <si>
    <t>Chemicals: Agricultural</t>
  </si>
  <si>
    <t>BW</t>
  </si>
  <si>
    <t>Babcock &amp; Wilcox Enterprises, Inc.</t>
  </si>
  <si>
    <t>NYSE:BW</t>
  </si>
  <si>
    <t>PSKY</t>
  </si>
  <si>
    <t>Paramount Skydance Corporation</t>
  </si>
  <si>
    <t>NASDAQ:PSKY</t>
  </si>
  <si>
    <t>PAR</t>
  </si>
  <si>
    <t>PAR Technology Corporation</t>
  </si>
  <si>
    <t>NYSE:PAR</t>
  </si>
  <si>
    <t>RZLT</t>
  </si>
  <si>
    <t>Rezolute, Inc.</t>
  </si>
  <si>
    <t>NASDAQ:RZLT</t>
  </si>
  <si>
    <t>BCRX</t>
  </si>
  <si>
    <t>BioCryst Pharmaceuticals, Inc.</t>
  </si>
  <si>
    <t>NASDAQ:BCRX</t>
  </si>
  <si>
    <t>CTMX</t>
  </si>
  <si>
    <t>CytomX Therapeutics, Inc.</t>
  </si>
  <si>
    <t>NASDAQ:CTMX</t>
  </si>
  <si>
    <t>CHWY</t>
  </si>
  <si>
    <t>Chewy, Inc.</t>
  </si>
  <si>
    <t>NYSE:CHWY</t>
  </si>
  <si>
    <t>ADMA</t>
  </si>
  <si>
    <t>ADMA Biologics Inc</t>
  </si>
  <si>
    <t>NASDAQ:ADMA</t>
  </si>
  <si>
    <t>FLY</t>
  </si>
  <si>
    <t>Firefly Aerospace Inc.</t>
  </si>
  <si>
    <t>NASDAQ:FLY</t>
  </si>
  <si>
    <t>SRPT</t>
  </si>
  <si>
    <t>Sarepta Therapeutics, Inc.</t>
  </si>
  <si>
    <t>NASDAQ:SRPT</t>
  </si>
  <si>
    <t>MBLY</t>
  </si>
  <si>
    <t>Mobileye Global Inc.</t>
  </si>
  <si>
    <t>NASDAQ:MBLY</t>
  </si>
  <si>
    <t>NAVN</t>
  </si>
  <si>
    <t>Navan, Inc.</t>
  </si>
  <si>
    <t>NASDAQ:NAVN</t>
  </si>
  <si>
    <t>WVE</t>
  </si>
  <si>
    <t>Wave Life Sciences Ltd.</t>
  </si>
  <si>
    <t>NASDAQ:WVE</t>
  </si>
  <si>
    <t>FPS</t>
  </si>
  <si>
    <t>Forgent Power Solutions, Inc.</t>
  </si>
  <si>
    <t>NYSE:FPS</t>
  </si>
  <si>
    <t>CAG</t>
  </si>
  <si>
    <t>ConAgra Brands, Inc.</t>
  </si>
  <si>
    <t>NYSE:CAG</t>
  </si>
  <si>
    <t>Food: Major Diversified</t>
  </si>
  <si>
    <t>FTNT</t>
  </si>
  <si>
    <t>Fortinet, Inc.</t>
  </si>
  <si>
    <t>NASDAQ:FTNT</t>
  </si>
  <si>
    <t>SGML</t>
  </si>
  <si>
    <t>Sigma Lithium Corporation</t>
  </si>
  <si>
    <t>NASDAQ:SGML</t>
  </si>
  <si>
    <t>NKE</t>
  </si>
  <si>
    <t>Nike, Inc.</t>
  </si>
  <si>
    <t>NYSE:NKE</t>
  </si>
  <si>
    <t>SPCE</t>
  </si>
  <si>
    <t>Virgin Galactic Holdings, Inc.</t>
  </si>
  <si>
    <t>NYSE:SPCE</t>
  </si>
  <si>
    <t>RLAY</t>
  </si>
  <si>
    <t>Relay Therapeutics, Inc.</t>
  </si>
  <si>
    <t>NASDAQ:RLAY</t>
  </si>
  <si>
    <t>TRIP</t>
  </si>
  <si>
    <t>TripAdvisor, Inc.</t>
  </si>
  <si>
    <t>NASDAQ:TRIP</t>
  </si>
  <si>
    <t>FISV</t>
  </si>
  <si>
    <t>Fiserv, Inc.</t>
  </si>
  <si>
    <t>NASDAQ:FISV</t>
  </si>
  <si>
    <t>ONON</t>
  </si>
  <si>
    <t>On Holding AG</t>
  </si>
  <si>
    <t>NYSE:ONON</t>
  </si>
  <si>
    <t>CLF</t>
  </si>
  <si>
    <t>Cleveland-Cliffs Inc.</t>
  </si>
  <si>
    <t>NYSE:CLF</t>
  </si>
  <si>
    <t>Steel</t>
  </si>
  <si>
    <t>SATS</t>
  </si>
  <si>
    <t>EchoStar Corporation</t>
  </si>
  <si>
    <t>NASDAQ:SATS</t>
  </si>
  <si>
    <t>CLVT</t>
  </si>
  <si>
    <t>Clarivate Plc</t>
  </si>
  <si>
    <t>NYSE:CLVT</t>
  </si>
  <si>
    <t>SMX</t>
  </si>
  <si>
    <t>SMX (Security Matters) Public Limited Company</t>
  </si>
  <si>
    <t>NASDAQ:SMX</t>
  </si>
  <si>
    <t>ESPR</t>
  </si>
  <si>
    <t>Esperion Therapeutics, Inc.</t>
  </si>
  <si>
    <t>NASDAQ:ESPR</t>
  </si>
  <si>
    <t>DOCN</t>
  </si>
  <si>
    <t>DigitalOcean Holdings, Inc.</t>
  </si>
  <si>
    <t>NYSE:DOCN</t>
  </si>
  <si>
    <t>SPIR</t>
  </si>
  <si>
    <t>Spire Global, Inc.</t>
  </si>
  <si>
    <t>NYSE:SPIR</t>
  </si>
  <si>
    <t>ASAN</t>
  </si>
  <si>
    <t>Asana, Inc.</t>
  </si>
  <si>
    <t>NYSE:ASAN</t>
  </si>
  <si>
    <t>KHC</t>
  </si>
  <si>
    <t>The Kraft Heinz Company</t>
  </si>
  <si>
    <t>NASDAQ:KHC</t>
  </si>
  <si>
    <t>HPQ</t>
  </si>
  <si>
    <t>HP Inc.</t>
  </si>
  <si>
    <t>NYSE:HPQ</t>
  </si>
  <si>
    <t>QXO</t>
  </si>
  <si>
    <t>QXO, Inc.</t>
  </si>
  <si>
    <t>NYSE:QXO</t>
  </si>
  <si>
    <t>Wholesale Distributors</t>
  </si>
  <si>
    <t>FIS</t>
  </si>
  <si>
    <t>Fidelity National Information Services, Inc.</t>
  </si>
  <si>
    <t>NYSE:FIS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</si>
</sst>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:mm:ss"/>
    <numFmt numFmtId="165" formatCode="m/d/yyyy h:mm:ss"/>
    <numFmt numFmtId="166" formatCode="yyyy-mm-dd"/>
    <numFmt numFmtId="167" formatCode="$#,##0.00"/>
    <numFmt numFmtId="168" formatCode="0.00&quot;%&quot;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5" xfId="0" applyFont="1" applyNumberFormat="1"/>
    <xf borderId="0" fillId="2" fontId="1" numFmtId="0" xfId="0" applyAlignment="1" applyFont="1">
      <alignment horizontal="center" readingOrder="0"/>
    </xf>
    <xf borderId="0" fillId="3" fontId="2" numFmtId="164" xfId="0" applyAlignment="1" applyFill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166" xfId="0" applyAlignment="1" applyFont="1" applyNumberFormat="1">
      <alignment readingOrder="0"/>
    </xf>
    <xf borderId="0" fillId="3" fontId="2" numFmtId="167" xfId="0" applyAlignment="1" applyFont="1" applyNumberFormat="1">
      <alignment readingOrder="0"/>
    </xf>
    <xf borderId="0" fillId="3" fontId="2" numFmtId="168" xfId="0" applyAlignment="1" applyFont="1" applyNumberFormat="1">
      <alignment readingOrder="0"/>
    </xf>
    <xf borderId="0" fillId="3" fontId="2" numFmtId="3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167" xfId="0" applyFont="1" applyNumberFormat="1"/>
    <xf borderId="0" fillId="4" fontId="2" numFmtId="164" xfId="0" applyAlignment="1" applyFill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166" xfId="0" applyAlignment="1" applyFont="1" applyNumberFormat="1">
      <alignment readingOrder="0"/>
    </xf>
    <xf borderId="0" fillId="4" fontId="2" numFmtId="167" xfId="0" applyAlignment="1" applyFont="1" applyNumberFormat="1">
      <alignment readingOrder="0"/>
    </xf>
    <xf borderId="0" fillId="4" fontId="2" numFmtId="168" xfId="0" applyAlignment="1" applyFont="1" applyNumberFormat="1">
      <alignment readingOrder="0"/>
    </xf>
    <xf borderId="0" fillId="4" fontId="2" numFmtId="3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167" xfId="0" applyFont="1" applyNumberFormat="1"/>
    <xf borderId="0" fillId="3" fontId="2" numFmtId="0" xfId="0" applyFont="1"/>
    <xf borderId="0" fillId="4" fontId="2" numFmtId="0" xfId="0" applyFont="1"/>
    <xf borderId="0" fillId="0" fontId="1" numFmtId="0" xfId="0" applyAlignment="1" applyFont="1">
      <alignment horizontal="center" readingOrder="0"/>
    </xf>
    <xf borderId="0" fillId="3" fontId="2" numFmtId="10" xfId="0" applyAlignment="1" applyFont="1" applyNumberFormat="1">
      <alignment readingOrder="0"/>
    </xf>
    <xf borderId="0" fillId="4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21.63"/>
    <col customWidth="1" min="3" max="3" width="56.38"/>
    <col customWidth="1" min="4" max="4" width="64.75"/>
    <col customWidth="1" min="5" max="5" width="38.25"/>
    <col customWidth="1" min="6" max="6" width="28.25"/>
    <col customWidth="1" min="7" max="7" width="27.88"/>
    <col customWidth="1" min="8" max="8" width="1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46047.799121885015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 t="str">
        <f>IFERROR(__xludf.DUMMYFUNCTION("IFERROR(GOOGLEFINANCE(B2,""price""),"""")"),"")</f>
        <v/>
      </c>
    </row>
    <row r="3">
      <c r="A3" s="2">
        <v>46047.799121885015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4" t="str">
        <f>IFERROR(__xludf.DUMMYFUNCTION("IFERROR(GOOGLEFINANCE(B3,""price""),"""")"),"")</f>
        <v/>
      </c>
    </row>
    <row r="4">
      <c r="A4" s="2">
        <v>46047.799121885015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4" t="str">
        <f>IFERROR(__xludf.DUMMYFUNCTION("IFERROR(GOOGLEFINANCE(B4,""price""),"""")"),"")</f>
        <v/>
      </c>
    </row>
    <row r="5">
      <c r="A5" s="2">
        <v>46047.799121885015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13</v>
      </c>
      <c r="H5" s="4" t="str">
        <f>IFERROR(__xludf.DUMMYFUNCTION("IFERROR(GOOGLEFINANCE(B5,""price""),"""")"),"")</f>
        <v/>
      </c>
    </row>
    <row r="6">
      <c r="A6" s="2">
        <v>46047.799121885015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4" t="str">
        <f>IFERROR(__xludf.DUMMYFUNCTION("IFERROR(GOOGLEFINANCE(B6,""price""),"""")"),"")</f>
        <v/>
      </c>
    </row>
    <row r="7">
      <c r="A7" s="2">
        <v>46047.799121885015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13</v>
      </c>
      <c r="H7" s="4" t="str">
        <f>IFERROR(__xludf.DUMMYFUNCTION("IFERROR(GOOGLEFINANCE(B7,""price""),"""")"),"")</f>
        <v/>
      </c>
    </row>
    <row r="8">
      <c r="A8" s="2">
        <v>46047.799121885015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41</v>
      </c>
      <c r="G8" s="3" t="s">
        <v>13</v>
      </c>
      <c r="H8" s="4" t="str">
        <f>IFERROR(__xludf.DUMMYFUNCTION("IFERROR(GOOGLEFINANCE(B8,""price""),"""")"),"")</f>
        <v/>
      </c>
    </row>
    <row r="9">
      <c r="A9" s="2">
        <v>46047.799121885015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50</v>
      </c>
      <c r="G9" s="3" t="s">
        <v>36</v>
      </c>
      <c r="H9" s="4" t="str">
        <f>IFERROR(__xludf.DUMMYFUNCTION("IFERROR(GOOGLEFINANCE(B9,""price""),"""")"),"")</f>
        <v/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51</v>
      </c>
      <c r="B1" s="4">
        <f>IFERROR(__xludf.DUMMYFUNCTION("GOOGLEFINANCE(A1,""price"")"),679.46)</f>
        <v>679.46</v>
      </c>
      <c r="C1" s="5">
        <f t="shared" ref="C1:C6" si="1">now()</f>
        <v>46124.70442</v>
      </c>
    </row>
    <row r="2">
      <c r="A2" s="3" t="s">
        <v>52</v>
      </c>
      <c r="B2" s="4">
        <f>IFERROR(__xludf.DUMMYFUNCTION("GOOGLEFINANCE(""CURRENCY:BTCUSD"")"),71261.21)</f>
        <v>71261.21</v>
      </c>
      <c r="C2" s="5">
        <f t="shared" si="1"/>
        <v>46124.70442</v>
      </c>
    </row>
    <row r="3">
      <c r="A3" s="3" t="s">
        <v>53</v>
      </c>
      <c r="B3" s="4">
        <f>IFERROR(__xludf.DUMMYFUNCTION("GOOGLEFINANCE(A3,""price"")"),611.07)</f>
        <v>611.07</v>
      </c>
      <c r="C3" s="5">
        <f t="shared" si="1"/>
        <v>46124.70442</v>
      </c>
    </row>
    <row r="4">
      <c r="A4" s="3" t="s">
        <v>54</v>
      </c>
      <c r="B4" s="4">
        <f>IFERROR(__xludf.DUMMYFUNCTION("GOOGLEFINANCE(A4,""price"")"),19.23)</f>
        <v>19.23</v>
      </c>
      <c r="C4" s="5">
        <f t="shared" si="1"/>
        <v>46124.70442</v>
      </c>
    </row>
    <row r="5">
      <c r="A5" s="3" t="s">
        <v>55</v>
      </c>
      <c r="B5" s="4">
        <f>IFERROR(__xludf.DUMMYFUNCTION("GOOGLEFINANCE(A5,""price"")"),437.13)</f>
        <v>437.13</v>
      </c>
      <c r="C5" s="5">
        <f t="shared" si="1"/>
        <v>46124.70442</v>
      </c>
    </row>
    <row r="6">
      <c r="A6" s="3" t="s">
        <v>56</v>
      </c>
      <c r="B6" s="4">
        <f>IFERROR(__xludf.DUMMYFUNCTION("GOOGLEFINANCE(""CURRENCY:ETHUSD"")"),2208.1995)</f>
        <v>2208.1995</v>
      </c>
      <c r="C6" s="5">
        <f t="shared" si="1"/>
        <v>46124.70442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6.38"/>
    <col customWidth="1" min="3" max="3" width="27.5"/>
    <col customWidth="1" min="4" max="4" width="10.0"/>
    <col customWidth="1" min="5" max="5" width="12.38"/>
    <col customWidth="1" min="6" max="6" width="5.0"/>
    <col customWidth="1" min="7" max="7" width="7.13"/>
    <col customWidth="1" min="8" max="8" width="18.5"/>
    <col customWidth="1" min="9" max="9" width="8.88"/>
    <col customWidth="1" min="10" max="12" width="5.88"/>
    <col customWidth="1" min="13" max="13" width="6.25"/>
    <col customWidth="1" min="14" max="14" width="5.88"/>
    <col customWidth="1" min="15" max="15" width="6.88"/>
    <col customWidth="1" min="16" max="16" width="20.0"/>
    <col customWidth="1" min="17" max="17" width="19.63"/>
    <col customWidth="1" min="18" max="18" width="14.13"/>
    <col customWidth="1" min="19" max="19" width="6.88"/>
    <col customWidth="1" min="20" max="20" width="7.75"/>
    <col customWidth="1" min="21" max="21" width="6.25"/>
    <col customWidth="1" min="22" max="22" width="15.63"/>
    <col customWidth="1" min="23" max="23" width="11.0"/>
    <col customWidth="1" min="24" max="24" width="9.13"/>
    <col customWidth="1" min="25" max="25" width="12.5"/>
    <col customWidth="1" min="26" max="26" width="9.25"/>
    <col customWidth="1" min="27" max="27" width="5.75"/>
    <col customWidth="1" min="28" max="28" width="11.75"/>
    <col customWidth="1" min="29" max="29" width="26.5"/>
    <col customWidth="1" min="30" max="37" width="10.25"/>
  </cols>
  <sheetData>
    <row r="1">
      <c r="A1" s="6" t="s">
        <v>0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65</v>
      </c>
      <c r="K1" s="6" t="s">
        <v>66</v>
      </c>
      <c r="L1" s="6" t="s">
        <v>67</v>
      </c>
      <c r="M1" s="6" t="s">
        <v>68</v>
      </c>
      <c r="N1" s="6" t="s">
        <v>69</v>
      </c>
      <c r="O1" s="6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s">
        <v>79</v>
      </c>
      <c r="Y1" s="6" t="s">
        <v>80</v>
      </c>
      <c r="Z1" s="6" t="s">
        <v>81</v>
      </c>
      <c r="AA1" s="6" t="s">
        <v>82</v>
      </c>
      <c r="AB1" s="6" t="s">
        <v>83</v>
      </c>
      <c r="AC1" s="6" t="s">
        <v>84</v>
      </c>
      <c r="AD1" s="6" t="s">
        <v>7</v>
      </c>
      <c r="AE1" s="6"/>
      <c r="AF1" s="6"/>
      <c r="AG1" s="6"/>
      <c r="AH1" s="6"/>
      <c r="AI1" s="6"/>
      <c r="AJ1" s="6"/>
      <c r="AK1" s="6"/>
    </row>
    <row r="2">
      <c r="A2" s="7">
        <v>46053.91363774094</v>
      </c>
      <c r="B2" s="8" t="s">
        <v>85</v>
      </c>
      <c r="C2" s="8" t="s">
        <v>86</v>
      </c>
      <c r="D2" s="9">
        <v>46054.0</v>
      </c>
      <c r="E2" s="8" t="s">
        <v>87</v>
      </c>
      <c r="F2" s="10">
        <v>1.19</v>
      </c>
      <c r="G2" s="11">
        <v>11.215</v>
      </c>
      <c r="H2" s="8" t="s">
        <v>88</v>
      </c>
      <c r="I2" s="12">
        <v>4.9777492E7</v>
      </c>
      <c r="J2" s="13">
        <v>1.29</v>
      </c>
      <c r="K2" s="13">
        <v>1.02</v>
      </c>
      <c r="L2" s="13">
        <v>1.21</v>
      </c>
      <c r="M2" s="11">
        <v>19.2859</v>
      </c>
      <c r="N2" s="13">
        <v>0.1027</v>
      </c>
      <c r="O2" s="13">
        <v>0.3644</v>
      </c>
      <c r="P2" s="8">
        <v>5076012.0</v>
      </c>
      <c r="Q2" s="13">
        <v>484.4548</v>
      </c>
      <c r="R2" s="12">
        <v>1.45861847E8</v>
      </c>
      <c r="S2" s="13">
        <v>1.1659</v>
      </c>
      <c r="T2" s="13">
        <v>2.7151</v>
      </c>
      <c r="U2" s="11">
        <v>54.897</v>
      </c>
      <c r="V2" s="13">
        <v>15.55</v>
      </c>
      <c r="W2" s="11">
        <v>0.56</v>
      </c>
      <c r="X2" s="8">
        <v>1.84361081E8</v>
      </c>
      <c r="Y2" s="13">
        <v>21.3519</v>
      </c>
      <c r="Z2" s="8" t="b">
        <v>1</v>
      </c>
      <c r="AA2" s="8" t="b">
        <v>1</v>
      </c>
      <c r="AB2" s="8" t="b">
        <v>0</v>
      </c>
      <c r="AC2" s="8" t="s">
        <v>89</v>
      </c>
      <c r="AD2" s="14">
        <f>IFERROR(__xludf.DUMMYFUNCTION("IFERROR(GOOGLEFINANCE(B2,""price""),"""")"),0.6)</f>
        <v>0.6</v>
      </c>
      <c r="AE2" s="14"/>
      <c r="AF2" s="14"/>
      <c r="AG2" s="14"/>
      <c r="AH2" s="14"/>
      <c r="AI2" s="14"/>
      <c r="AJ2" s="14"/>
      <c r="AK2" s="14"/>
    </row>
    <row r="3">
      <c r="A3" s="15">
        <v>46053.91363774094</v>
      </c>
      <c r="B3" s="16" t="s">
        <v>90</v>
      </c>
      <c r="C3" s="16" t="s">
        <v>91</v>
      </c>
      <c r="D3" s="17">
        <v>46054.0</v>
      </c>
      <c r="E3" s="16" t="s">
        <v>92</v>
      </c>
      <c r="F3" s="18">
        <v>0.9801</v>
      </c>
      <c r="G3" s="19">
        <v>4.7787</v>
      </c>
      <c r="H3" s="16" t="s">
        <v>93</v>
      </c>
      <c r="I3" s="20">
        <v>828712.0</v>
      </c>
      <c r="J3" s="21">
        <v>1.0</v>
      </c>
      <c r="K3" s="21">
        <v>0.9202</v>
      </c>
      <c r="L3" s="21">
        <v>0.9562</v>
      </c>
      <c r="M3" s="19">
        <v>18.101</v>
      </c>
      <c r="N3" s="21">
        <v>0.0539</v>
      </c>
      <c r="O3" s="21">
        <v>0.2376</v>
      </c>
      <c r="P3" s="21">
        <v>98284.2</v>
      </c>
      <c r="Q3" s="21">
        <v>48.2449</v>
      </c>
      <c r="R3" s="20">
        <v>5.2503326E7</v>
      </c>
      <c r="S3" s="21">
        <v>0.9986</v>
      </c>
      <c r="T3" s="21">
        <v>1.9957</v>
      </c>
      <c r="U3" s="19">
        <v>48.1247</v>
      </c>
      <c r="V3" s="21">
        <v>2.66</v>
      </c>
      <c r="W3" s="19">
        <v>0.45</v>
      </c>
      <c r="X3" s="16">
        <v>1.0384862E7</v>
      </c>
      <c r="Y3" s="21">
        <v>5.9254</v>
      </c>
      <c r="Z3" s="16" t="b">
        <v>0</v>
      </c>
      <c r="AA3" s="16" t="b">
        <v>0</v>
      </c>
      <c r="AB3" s="16" t="b">
        <v>0</v>
      </c>
      <c r="AC3" s="16" t="s">
        <v>94</v>
      </c>
      <c r="AD3" s="22">
        <f>IFERROR(__xludf.DUMMYFUNCTION("IFERROR(GOOGLEFINANCE(B3,""price""),"""")"),0.96)</f>
        <v>0.96</v>
      </c>
      <c r="AE3" s="22"/>
      <c r="AF3" s="22"/>
      <c r="AG3" s="22"/>
      <c r="AH3" s="22"/>
      <c r="AI3" s="22"/>
      <c r="AJ3" s="22"/>
      <c r="AK3" s="22"/>
    </row>
    <row r="4">
      <c r="A4" s="7">
        <v>46053.91363774094</v>
      </c>
      <c r="B4" s="8" t="s">
        <v>95</v>
      </c>
      <c r="C4" s="8" t="s">
        <v>96</v>
      </c>
      <c r="D4" s="9">
        <v>46054.0</v>
      </c>
      <c r="E4" s="8" t="s">
        <v>97</v>
      </c>
      <c r="F4" s="10">
        <v>1.31</v>
      </c>
      <c r="G4" s="11">
        <v>54.9929</v>
      </c>
      <c r="H4" s="8" t="s">
        <v>88</v>
      </c>
      <c r="I4" s="12">
        <v>4.6414808E7</v>
      </c>
      <c r="J4" s="13">
        <v>1.77</v>
      </c>
      <c r="K4" s="13">
        <v>0.95</v>
      </c>
      <c r="L4" s="13">
        <v>1.0</v>
      </c>
      <c r="M4" s="11">
        <v>26.5153</v>
      </c>
      <c r="N4" s="13">
        <v>0.1753</v>
      </c>
      <c r="O4" s="13">
        <v>0.5745</v>
      </c>
      <c r="P4" s="8">
        <v>4784673.0</v>
      </c>
      <c r="Q4" s="13">
        <v>322.0808</v>
      </c>
      <c r="R4" s="12">
        <v>2.2359067E7</v>
      </c>
      <c r="S4" s="13">
        <v>0.9123</v>
      </c>
      <c r="T4" s="13">
        <v>3.22</v>
      </c>
      <c r="U4" s="11">
        <v>72.8322</v>
      </c>
      <c r="V4" s="13">
        <v>6.8</v>
      </c>
      <c r="W4" s="11">
        <v>0.61</v>
      </c>
      <c r="X4" s="8">
        <v>5.6603424E7</v>
      </c>
      <c r="Y4" s="13">
        <v>5.1454</v>
      </c>
      <c r="Z4" s="8" t="b">
        <v>0</v>
      </c>
      <c r="AA4" s="8" t="b">
        <v>0</v>
      </c>
      <c r="AB4" s="8" t="b">
        <v>0</v>
      </c>
      <c r="AC4" s="8" t="s">
        <v>98</v>
      </c>
      <c r="AD4" s="14">
        <f>IFERROR(__xludf.DUMMYFUNCTION("IFERROR(GOOGLEFINANCE(B4,""price""),"""")"),1.01)</f>
        <v>1.01</v>
      </c>
      <c r="AE4" s="14"/>
      <c r="AF4" s="14"/>
      <c r="AG4" s="14"/>
      <c r="AH4" s="14"/>
      <c r="AI4" s="14"/>
      <c r="AJ4" s="14"/>
      <c r="AK4" s="14"/>
    </row>
    <row r="5">
      <c r="A5" s="15">
        <v>46053.91363774094</v>
      </c>
      <c r="B5" s="16" t="s">
        <v>99</v>
      </c>
      <c r="C5" s="16" t="s">
        <v>100</v>
      </c>
      <c r="D5" s="17">
        <v>46054.0</v>
      </c>
      <c r="E5" s="16" t="s">
        <v>101</v>
      </c>
      <c r="F5" s="18">
        <v>1.42</v>
      </c>
      <c r="G5" s="19">
        <v>286.2894</v>
      </c>
      <c r="H5" s="16" t="s">
        <v>102</v>
      </c>
      <c r="I5" s="20">
        <v>2.7014014E7</v>
      </c>
      <c r="J5" s="21">
        <v>1.42</v>
      </c>
      <c r="K5" s="21">
        <v>0.3551</v>
      </c>
      <c r="L5" s="21">
        <v>0.371</v>
      </c>
      <c r="M5" s="19">
        <v>28.2785</v>
      </c>
      <c r="N5" s="21">
        <v>0.1052</v>
      </c>
      <c r="O5" s="21">
        <v>0.3061</v>
      </c>
      <c r="P5" s="16">
        <v>2788360.0</v>
      </c>
      <c r="Q5" s="21">
        <v>302.0695</v>
      </c>
      <c r="R5" s="20">
        <v>9088000.0</v>
      </c>
      <c r="S5" s="21">
        <v>0.5547</v>
      </c>
      <c r="T5" s="21">
        <v>1.2194</v>
      </c>
      <c r="U5" s="19">
        <v>87.4016</v>
      </c>
      <c r="V5" s="21">
        <v>21.0</v>
      </c>
      <c r="W5" s="19">
        <v>0.69</v>
      </c>
      <c r="X5" s="16">
        <v>2.5367653E7</v>
      </c>
      <c r="Y5" s="21">
        <v>4.028</v>
      </c>
      <c r="Z5" s="16" t="b">
        <v>0</v>
      </c>
      <c r="AA5" s="16" t="b">
        <v>0</v>
      </c>
      <c r="AB5" s="16" t="b">
        <v>0</v>
      </c>
      <c r="AC5" s="16" t="s">
        <v>103</v>
      </c>
      <c r="AD5" s="22">
        <f>IFERROR(__xludf.DUMMYFUNCTION("IFERROR(GOOGLEFINANCE(B5,""price""),"""")"),3.86)</f>
        <v>3.86</v>
      </c>
      <c r="AE5" s="22"/>
      <c r="AF5" s="22"/>
      <c r="AG5" s="22"/>
      <c r="AH5" s="22"/>
      <c r="AI5" s="22"/>
      <c r="AJ5" s="22"/>
      <c r="AK5" s="22"/>
    </row>
    <row r="6">
      <c r="A6" s="7">
        <v>46053.91363774094</v>
      </c>
      <c r="B6" s="8" t="s">
        <v>104</v>
      </c>
      <c r="C6" s="8" t="s">
        <v>105</v>
      </c>
      <c r="D6" s="9">
        <v>46054.0</v>
      </c>
      <c r="E6" s="8" t="s">
        <v>106</v>
      </c>
      <c r="F6" s="10">
        <v>0.8755</v>
      </c>
      <c r="G6" s="11">
        <v>-12.8856</v>
      </c>
      <c r="H6" s="8" t="s">
        <v>107</v>
      </c>
      <c r="I6" s="12">
        <v>3482480.0</v>
      </c>
      <c r="J6" s="13">
        <v>0.9672</v>
      </c>
      <c r="K6" s="13">
        <v>0.8</v>
      </c>
      <c r="L6" s="13">
        <v>0.8726</v>
      </c>
      <c r="M6" s="11">
        <v>13.527</v>
      </c>
      <c r="N6" s="13">
        <v>0.0872</v>
      </c>
      <c r="O6" s="13">
        <v>0.3192</v>
      </c>
      <c r="P6" s="13">
        <v>393939.2</v>
      </c>
      <c r="Q6" s="13">
        <v>74.3535</v>
      </c>
      <c r="R6" s="12">
        <v>5374305.0</v>
      </c>
      <c r="S6" s="13">
        <v>1.0189</v>
      </c>
      <c r="T6" s="13">
        <v>3.1619</v>
      </c>
      <c r="U6" s="11">
        <v>37.6979</v>
      </c>
      <c r="V6" s="13">
        <v>5.88</v>
      </c>
      <c r="W6" s="11">
        <v>0.55</v>
      </c>
      <c r="X6" s="8">
        <v>2.082823E7</v>
      </c>
      <c r="Y6" s="13">
        <v>3.8933</v>
      </c>
      <c r="Z6" s="8" t="b">
        <v>0</v>
      </c>
      <c r="AA6" s="8" t="b">
        <v>1</v>
      </c>
      <c r="AB6" s="8" t="b">
        <v>0</v>
      </c>
      <c r="AC6" s="8" t="s">
        <v>108</v>
      </c>
      <c r="AD6" s="14">
        <f>IFERROR(__xludf.DUMMYFUNCTION("IFERROR(GOOGLEFINANCE(B6,""price""),"""")"),0.37)</f>
        <v>0.37</v>
      </c>
      <c r="AE6" s="14"/>
      <c r="AF6" s="14"/>
      <c r="AG6" s="14"/>
      <c r="AH6" s="14"/>
      <c r="AI6" s="14"/>
      <c r="AJ6" s="14"/>
      <c r="AK6" s="14"/>
    </row>
    <row r="7">
      <c r="A7" s="15">
        <v>46053.91363774094</v>
      </c>
      <c r="B7" s="16" t="s">
        <v>109</v>
      </c>
      <c r="C7" s="16" t="s">
        <v>110</v>
      </c>
      <c r="D7" s="17">
        <v>46054.0</v>
      </c>
      <c r="E7" s="16" t="s">
        <v>111</v>
      </c>
      <c r="F7" s="18">
        <v>0.6193</v>
      </c>
      <c r="G7" s="19">
        <v>0.8139</v>
      </c>
      <c r="H7" s="16" t="s">
        <v>112</v>
      </c>
      <c r="I7" s="20">
        <v>735491.0</v>
      </c>
      <c r="J7" s="21">
        <v>0.6475</v>
      </c>
      <c r="K7" s="21">
        <v>0.6011</v>
      </c>
      <c r="L7" s="21">
        <v>0.6143</v>
      </c>
      <c r="M7" s="19">
        <v>19.1049</v>
      </c>
      <c r="N7" s="21">
        <v>0.0576</v>
      </c>
      <c r="O7" s="21">
        <v>0.2029</v>
      </c>
      <c r="P7" s="21">
        <v>138090.7</v>
      </c>
      <c r="Q7" s="21">
        <v>10.9431</v>
      </c>
      <c r="R7" s="20">
        <v>7365176.0</v>
      </c>
      <c r="S7" s="21">
        <v>0.6693</v>
      </c>
      <c r="T7" s="21">
        <v>0.8615</v>
      </c>
      <c r="U7" s="19">
        <v>47.514</v>
      </c>
      <c r="V7" s="21">
        <v>2.41</v>
      </c>
      <c r="W7" s="19">
        <v>0.57</v>
      </c>
      <c r="X7" s="16">
        <v>1.5851099E7</v>
      </c>
      <c r="Y7" s="21">
        <v>1.4606</v>
      </c>
      <c r="Z7" s="16" t="b">
        <v>0</v>
      </c>
      <c r="AA7" s="16" t="b">
        <v>0</v>
      </c>
      <c r="AB7" s="16" t="b">
        <v>0</v>
      </c>
      <c r="AC7" s="16" t="s">
        <v>113</v>
      </c>
      <c r="AD7" s="22">
        <f>IFERROR(__xludf.DUMMYFUNCTION("IFERROR(GOOGLEFINANCE(B7,""price""),"""")"),0.54)</f>
        <v>0.54</v>
      </c>
      <c r="AE7" s="22"/>
      <c r="AF7" s="22"/>
      <c r="AG7" s="22"/>
      <c r="AH7" s="22"/>
      <c r="AI7" s="22"/>
      <c r="AJ7" s="22"/>
      <c r="AK7" s="22"/>
    </row>
    <row r="8">
      <c r="A8" s="7">
        <v>46053.91363774094</v>
      </c>
      <c r="B8" s="8" t="s">
        <v>114</v>
      </c>
      <c r="C8" s="8" t="s">
        <v>115</v>
      </c>
      <c r="D8" s="9">
        <v>46054.0</v>
      </c>
      <c r="E8" s="8" t="s">
        <v>116</v>
      </c>
      <c r="F8" s="10">
        <v>2.92</v>
      </c>
      <c r="G8" s="11">
        <v>71.7647</v>
      </c>
      <c r="H8" s="8" t="s">
        <v>117</v>
      </c>
      <c r="I8" s="12">
        <v>7.2370554E7</v>
      </c>
      <c r="J8" s="13">
        <v>3.4</v>
      </c>
      <c r="K8" s="13">
        <v>2.64</v>
      </c>
      <c r="L8" s="13">
        <v>2.95</v>
      </c>
      <c r="M8" s="11">
        <v>18.0276</v>
      </c>
      <c r="N8" s="13">
        <v>0.2658</v>
      </c>
      <c r="O8" s="13">
        <v>1.6151</v>
      </c>
      <c r="P8" s="8">
        <v>9394440.0</v>
      </c>
      <c r="Q8" s="13">
        <v>33.5059</v>
      </c>
      <c r="R8" s="12">
        <v>7615249.0</v>
      </c>
      <c r="S8" s="13">
        <v>2.0724</v>
      </c>
      <c r="T8" s="13">
        <v>11.3386</v>
      </c>
      <c r="U8" s="11">
        <v>72.1684</v>
      </c>
      <c r="V8" s="13">
        <v>263.52</v>
      </c>
      <c r="W8" s="11">
        <v>0.33</v>
      </c>
      <c r="X8" s="8">
        <v>9.5224413E7</v>
      </c>
      <c r="Y8" s="13">
        <v>1.2873</v>
      </c>
      <c r="Z8" s="8" t="b">
        <v>0</v>
      </c>
      <c r="AA8" s="8" t="b">
        <v>1</v>
      </c>
      <c r="AB8" s="8" t="b">
        <v>0</v>
      </c>
      <c r="AC8" s="8" t="s">
        <v>118</v>
      </c>
      <c r="AD8" s="14">
        <f>IFERROR(__xludf.DUMMYFUNCTION("IFERROR(GOOGLEFINANCE(B8,""price""),"""")"),1.45)</f>
        <v>1.45</v>
      </c>
      <c r="AE8" s="14"/>
      <c r="AF8" s="14"/>
      <c r="AG8" s="14"/>
      <c r="AH8" s="14"/>
      <c r="AI8" s="14"/>
      <c r="AJ8" s="14"/>
      <c r="AK8" s="14"/>
    </row>
    <row r="9">
      <c r="A9" s="15">
        <v>46053.91363774094</v>
      </c>
      <c r="B9" s="16" t="s">
        <v>119</v>
      </c>
      <c r="C9" s="16" t="s">
        <v>120</v>
      </c>
      <c r="D9" s="17">
        <v>46054.0</v>
      </c>
      <c r="E9" s="16" t="s">
        <v>121</v>
      </c>
      <c r="F9" s="18">
        <v>0.7061</v>
      </c>
      <c r="G9" s="19">
        <v>8.6308</v>
      </c>
      <c r="H9" s="16" t="s">
        <v>93</v>
      </c>
      <c r="I9" s="20">
        <v>344457.0</v>
      </c>
      <c r="J9" s="21">
        <v>0.75</v>
      </c>
      <c r="K9" s="21">
        <v>0.62</v>
      </c>
      <c r="L9" s="21">
        <v>0.648</v>
      </c>
      <c r="M9" s="19">
        <v>19.9546</v>
      </c>
      <c r="N9" s="21">
        <v>0.0705</v>
      </c>
      <c r="O9" s="21">
        <v>0.1619</v>
      </c>
      <c r="P9" s="21">
        <v>48042.6</v>
      </c>
      <c r="Q9" s="21">
        <v>22.5532</v>
      </c>
      <c r="R9" s="20">
        <v>1496842.0</v>
      </c>
      <c r="S9" s="21">
        <v>0.8301</v>
      </c>
      <c r="T9" s="21">
        <v>1.0414</v>
      </c>
      <c r="U9" s="19">
        <v>45.1964</v>
      </c>
      <c r="V9" s="21">
        <v>1.55</v>
      </c>
      <c r="W9" s="19">
        <v>0.87</v>
      </c>
      <c r="X9" s="16">
        <v>2649669.0</v>
      </c>
      <c r="Y9" s="21">
        <v>1.225</v>
      </c>
      <c r="Z9" s="16" t="b">
        <v>0</v>
      </c>
      <c r="AA9" s="16" t="b">
        <v>0</v>
      </c>
      <c r="AB9" s="16" t="b">
        <v>0</v>
      </c>
      <c r="AC9" s="16" t="s">
        <v>122</v>
      </c>
      <c r="AD9" s="22">
        <f>IFERROR(__xludf.DUMMYFUNCTION("IFERROR(GOOGLEFINANCE(B9,""price""),"""")"),0.54)</f>
        <v>0.54</v>
      </c>
      <c r="AE9" s="22"/>
      <c r="AF9" s="22"/>
      <c r="AG9" s="22"/>
      <c r="AH9" s="22"/>
      <c r="AI9" s="22"/>
      <c r="AJ9" s="22"/>
      <c r="AK9" s="22"/>
    </row>
    <row r="10">
      <c r="A10" s="7">
        <v>46053.91363774094</v>
      </c>
      <c r="B10" s="8" t="s">
        <v>123</v>
      </c>
      <c r="C10" s="8" t="s">
        <v>124</v>
      </c>
      <c r="D10" s="9">
        <v>46054.0</v>
      </c>
      <c r="E10" s="8" t="s">
        <v>125</v>
      </c>
      <c r="F10" s="10">
        <v>0.601</v>
      </c>
      <c r="G10" s="11">
        <v>-0.4143</v>
      </c>
      <c r="H10" s="8" t="s">
        <v>102</v>
      </c>
      <c r="I10" s="12">
        <v>1306173.0</v>
      </c>
      <c r="J10" s="13">
        <v>0.6476</v>
      </c>
      <c r="K10" s="13">
        <v>0.6007</v>
      </c>
      <c r="L10" s="13">
        <v>0.6101</v>
      </c>
      <c r="M10" s="11">
        <v>20.7342</v>
      </c>
      <c r="N10" s="13">
        <v>0.067</v>
      </c>
      <c r="O10" s="13">
        <v>0.1512</v>
      </c>
      <c r="P10" s="13">
        <v>242419.9</v>
      </c>
      <c r="Q10" s="13">
        <v>9.554</v>
      </c>
      <c r="R10" s="12">
        <v>3.2223213E7</v>
      </c>
      <c r="S10" s="13">
        <v>0.6888</v>
      </c>
      <c r="T10" s="13">
        <v>0.7272</v>
      </c>
      <c r="U10" s="11">
        <v>40.033</v>
      </c>
      <c r="V10" s="13">
        <v>1.21</v>
      </c>
      <c r="W10" s="11">
        <v>0.89</v>
      </c>
      <c r="X10" s="8">
        <v>2.7850171E7</v>
      </c>
      <c r="Y10" s="13">
        <v>1.2243</v>
      </c>
      <c r="Z10" s="8" t="b">
        <v>0</v>
      </c>
      <c r="AA10" s="8" t="b">
        <v>0</v>
      </c>
      <c r="AB10" s="8" t="b">
        <v>0</v>
      </c>
      <c r="AC10" s="8" t="s">
        <v>122</v>
      </c>
      <c r="AD10" s="14">
        <f>IFERROR(__xludf.DUMMYFUNCTION("IFERROR(GOOGLEFINANCE(B10,""price""),"""")"),5.29)</f>
        <v>5.29</v>
      </c>
      <c r="AE10" s="14"/>
      <c r="AF10" s="14"/>
      <c r="AG10" s="14"/>
      <c r="AH10" s="14"/>
      <c r="AI10" s="14"/>
      <c r="AJ10" s="14"/>
      <c r="AK10" s="14"/>
    </row>
    <row r="11">
      <c r="A11" s="15">
        <v>46053.91363774094</v>
      </c>
      <c r="B11" s="16" t="s">
        <v>126</v>
      </c>
      <c r="C11" s="16" t="s">
        <v>127</v>
      </c>
      <c r="D11" s="17">
        <v>46054.0</v>
      </c>
      <c r="E11" s="16" t="s">
        <v>128</v>
      </c>
      <c r="F11" s="18">
        <v>0.609</v>
      </c>
      <c r="G11" s="19">
        <v>-2.2472</v>
      </c>
      <c r="H11" s="16" t="s">
        <v>129</v>
      </c>
      <c r="I11" s="20">
        <v>792230.0</v>
      </c>
      <c r="J11" s="21">
        <v>0.89</v>
      </c>
      <c r="K11" s="21">
        <v>0.59</v>
      </c>
      <c r="L11" s="21">
        <v>0.63</v>
      </c>
      <c r="M11" s="19">
        <v>13.1705</v>
      </c>
      <c r="N11" s="21">
        <v>0.0809</v>
      </c>
      <c r="O11" s="21">
        <v>0.2253</v>
      </c>
      <c r="P11" s="21">
        <v>102692.9</v>
      </c>
      <c r="Q11" s="21">
        <v>32.7499</v>
      </c>
      <c r="R11" s="20">
        <v>1.0076285E7</v>
      </c>
      <c r="S11" s="21">
        <v>0.6224</v>
      </c>
      <c r="T11" s="21">
        <v>1.0685</v>
      </c>
      <c r="U11" s="19">
        <v>52.348</v>
      </c>
      <c r="V11" s="21">
        <v>3.3</v>
      </c>
      <c r="W11" s="19">
        <v>0.72</v>
      </c>
      <c r="X11" s="16">
        <v>2640767.0</v>
      </c>
      <c r="Y11" s="21">
        <v>0.6648</v>
      </c>
      <c r="Z11" s="16" t="b">
        <v>0</v>
      </c>
      <c r="AA11" s="16" t="b">
        <v>1</v>
      </c>
      <c r="AB11" s="16" t="b">
        <v>0</v>
      </c>
      <c r="AC11" s="16" t="s">
        <v>118</v>
      </c>
      <c r="AD11" s="22">
        <f>IFERROR(__xludf.DUMMYFUNCTION("IFERROR(GOOGLEFINANCE(B11,""price""),"""")"),0.5)</f>
        <v>0.5</v>
      </c>
      <c r="AE11" s="22"/>
      <c r="AF11" s="22"/>
      <c r="AG11" s="22"/>
      <c r="AH11" s="22"/>
      <c r="AI11" s="22"/>
      <c r="AJ11" s="22"/>
      <c r="AK11" s="22"/>
    </row>
    <row r="12">
      <c r="A12" s="7">
        <v>46053.91363774094</v>
      </c>
      <c r="B12" s="8" t="s">
        <v>130</v>
      </c>
      <c r="C12" s="8" t="s">
        <v>131</v>
      </c>
      <c r="D12" s="9">
        <v>46054.0</v>
      </c>
      <c r="E12" s="8" t="s">
        <v>132</v>
      </c>
      <c r="F12" s="10">
        <v>4.81</v>
      </c>
      <c r="G12" s="11">
        <v>-0.8247</v>
      </c>
      <c r="H12" s="8" t="s">
        <v>88</v>
      </c>
      <c r="I12" s="12">
        <v>2463780.0</v>
      </c>
      <c r="J12" s="13">
        <v>4.89</v>
      </c>
      <c r="K12" s="13">
        <v>4.77</v>
      </c>
      <c r="L12" s="13">
        <v>4.84</v>
      </c>
      <c r="M12" s="11">
        <v>18.8335</v>
      </c>
      <c r="N12" s="13">
        <v>0.2205</v>
      </c>
      <c r="O12" s="13">
        <v>0.6236</v>
      </c>
      <c r="P12" s="8">
        <v>1647310.0</v>
      </c>
      <c r="Q12" s="13">
        <v>1.5389</v>
      </c>
      <c r="R12" s="12">
        <v>6.94782899E8</v>
      </c>
      <c r="S12" s="13">
        <v>5.3554</v>
      </c>
      <c r="T12" s="13">
        <v>6.4045</v>
      </c>
      <c r="U12" s="11">
        <v>33.0337</v>
      </c>
      <c r="V12" s="13">
        <v>10.61</v>
      </c>
      <c r="W12" s="11">
        <v>0.71</v>
      </c>
      <c r="X12" s="8">
        <v>2.05315E7</v>
      </c>
      <c r="Y12" s="13">
        <v>0.6169</v>
      </c>
      <c r="Z12" s="8" t="b">
        <v>0</v>
      </c>
      <c r="AA12" s="8" t="b">
        <v>0</v>
      </c>
      <c r="AB12" s="8" t="b">
        <v>1</v>
      </c>
      <c r="AC12" s="8" t="s">
        <v>133</v>
      </c>
      <c r="AD12" s="14">
        <f>IFERROR(__xludf.DUMMYFUNCTION("IFERROR(GOOGLEFINANCE(B12,""price""),"""")"),4.29)</f>
        <v>4.29</v>
      </c>
      <c r="AE12" s="14"/>
      <c r="AF12" s="14"/>
      <c r="AG12" s="14"/>
      <c r="AH12" s="14"/>
      <c r="AI12" s="14"/>
      <c r="AJ12" s="14"/>
      <c r="AK12" s="14"/>
    </row>
    <row r="13">
      <c r="A13" s="15">
        <v>46053.91363774094</v>
      </c>
      <c r="B13" s="16" t="s">
        <v>134</v>
      </c>
      <c r="C13" s="16" t="s">
        <v>135</v>
      </c>
      <c r="D13" s="17">
        <v>46054.0</v>
      </c>
      <c r="E13" s="16" t="s">
        <v>136</v>
      </c>
      <c r="F13" s="18">
        <v>1.2</v>
      </c>
      <c r="G13" s="19">
        <v>-1.6393</v>
      </c>
      <c r="H13" s="16" t="s">
        <v>137</v>
      </c>
      <c r="I13" s="20">
        <v>321404.0</v>
      </c>
      <c r="J13" s="21">
        <v>1.3</v>
      </c>
      <c r="K13" s="21">
        <v>1.14</v>
      </c>
      <c r="L13" s="21">
        <v>1.2</v>
      </c>
      <c r="M13" s="19">
        <v>24.9662</v>
      </c>
      <c r="N13" s="21">
        <v>0.0835</v>
      </c>
      <c r="O13" s="21">
        <v>0.2079</v>
      </c>
      <c r="P13" s="21">
        <v>80827.8</v>
      </c>
      <c r="Q13" s="21">
        <v>5.8342</v>
      </c>
      <c r="R13" s="20">
        <v>2.6953659E7</v>
      </c>
      <c r="S13" s="21">
        <v>1.2377</v>
      </c>
      <c r="T13" s="21">
        <v>1.4059</v>
      </c>
      <c r="U13" s="19">
        <v>42.9702</v>
      </c>
      <c r="V13" s="21">
        <v>2.4001</v>
      </c>
      <c r="W13" s="19">
        <v>0.8</v>
      </c>
      <c r="X13" s="16">
        <v>2008775.0</v>
      </c>
      <c r="Y13" s="21">
        <v>0.4376</v>
      </c>
      <c r="Z13" s="16" t="b">
        <v>0</v>
      </c>
      <c r="AA13" s="16" t="b">
        <v>1</v>
      </c>
      <c r="AB13" s="16" t="b">
        <v>0</v>
      </c>
      <c r="AC13" s="16" t="s">
        <v>138</v>
      </c>
      <c r="AD13" s="22" t="str">
        <f>IFERROR(__xludf.DUMMYFUNCTION("IFERROR(GOOGLEFINANCE(B13,""price""),"""")"),"")</f>
        <v/>
      </c>
      <c r="AE13" s="22"/>
      <c r="AF13" s="22"/>
      <c r="AG13" s="22"/>
      <c r="AH13" s="22"/>
      <c r="AI13" s="22"/>
      <c r="AJ13" s="22"/>
      <c r="AK13" s="22"/>
    </row>
    <row r="14">
      <c r="A14" s="7">
        <v>46053.91363774094</v>
      </c>
      <c r="B14" s="8" t="s">
        <v>139</v>
      </c>
      <c r="C14" s="8" t="s">
        <v>140</v>
      </c>
      <c r="D14" s="9">
        <v>46054.0</v>
      </c>
      <c r="E14" s="8" t="s">
        <v>141</v>
      </c>
      <c r="F14" s="10">
        <v>1.79</v>
      </c>
      <c r="G14" s="11">
        <v>-2.1858</v>
      </c>
      <c r="H14" s="8" t="s">
        <v>88</v>
      </c>
      <c r="I14" s="12">
        <v>783572.0</v>
      </c>
      <c r="J14" s="13">
        <v>1.835</v>
      </c>
      <c r="K14" s="13">
        <v>1.75</v>
      </c>
      <c r="L14" s="13">
        <v>1.79</v>
      </c>
      <c r="M14" s="11">
        <v>20.3046</v>
      </c>
      <c r="N14" s="13">
        <v>0.1165</v>
      </c>
      <c r="O14" s="13">
        <v>0.3027</v>
      </c>
      <c r="P14" s="13">
        <v>472448.0</v>
      </c>
      <c r="Q14" s="13">
        <v>1.6774</v>
      </c>
      <c r="R14" s="12">
        <v>2.11559103E8</v>
      </c>
      <c r="S14" s="13">
        <v>1.7864</v>
      </c>
      <c r="T14" s="13">
        <v>2.3427</v>
      </c>
      <c r="U14" s="11">
        <v>45.1129</v>
      </c>
      <c r="V14" s="13">
        <v>6.7328</v>
      </c>
      <c r="W14" s="11">
        <v>0.77</v>
      </c>
      <c r="X14" s="8">
        <v>9218494.0</v>
      </c>
      <c r="Y14" s="13">
        <v>0.3532</v>
      </c>
      <c r="Z14" s="8" t="b">
        <v>0</v>
      </c>
      <c r="AA14" s="8" t="b">
        <v>1</v>
      </c>
      <c r="AB14" s="8" t="b">
        <v>0</v>
      </c>
      <c r="AC14" s="8" t="s">
        <v>118</v>
      </c>
      <c r="AD14" s="14">
        <f>IFERROR(__xludf.DUMMYFUNCTION("IFERROR(GOOGLEFINANCE(B14,""price""),"""")"),1.45)</f>
        <v>1.45</v>
      </c>
      <c r="AE14" s="14"/>
      <c r="AF14" s="14"/>
      <c r="AG14" s="14"/>
      <c r="AH14" s="14"/>
      <c r="AI14" s="14"/>
      <c r="AJ14" s="14"/>
      <c r="AK14" s="14"/>
    </row>
    <row r="15">
      <c r="A15" s="15">
        <v>46053.91363774094</v>
      </c>
      <c r="B15" s="16" t="s">
        <v>142</v>
      </c>
      <c r="C15" s="16" t="s">
        <v>143</v>
      </c>
      <c r="D15" s="17">
        <v>46054.0</v>
      </c>
      <c r="E15" s="16" t="s">
        <v>144</v>
      </c>
      <c r="F15" s="18">
        <v>2.37</v>
      </c>
      <c r="G15" s="19">
        <v>-1.25</v>
      </c>
      <c r="H15" s="16" t="s">
        <v>102</v>
      </c>
      <c r="I15" s="20">
        <v>1401212.0</v>
      </c>
      <c r="J15" s="21">
        <v>2.39</v>
      </c>
      <c r="K15" s="21">
        <v>2.2637</v>
      </c>
      <c r="L15" s="21">
        <v>2.37</v>
      </c>
      <c r="M15" s="19">
        <v>18.5777</v>
      </c>
      <c r="N15" s="21">
        <v>0.1626</v>
      </c>
      <c r="O15" s="21">
        <v>0.5717</v>
      </c>
      <c r="P15" s="21">
        <v>886068.0</v>
      </c>
      <c r="Q15" s="21">
        <v>1.6433</v>
      </c>
      <c r="R15" s="20">
        <v>5.26476695E8</v>
      </c>
      <c r="S15" s="21">
        <v>2.5606</v>
      </c>
      <c r="T15" s="21">
        <v>3.4188</v>
      </c>
      <c r="U15" s="19">
        <v>42.2824</v>
      </c>
      <c r="V15" s="21">
        <v>8.8691</v>
      </c>
      <c r="W15" s="19">
        <v>0.57</v>
      </c>
      <c r="X15" s="16">
        <v>1.1094315E7</v>
      </c>
      <c r="Y15" s="21">
        <v>0.3084</v>
      </c>
      <c r="Z15" s="16" t="b">
        <v>1</v>
      </c>
      <c r="AA15" s="16" t="b">
        <v>1</v>
      </c>
      <c r="AB15" s="16" t="b">
        <v>0</v>
      </c>
      <c r="AC15" s="16" t="s">
        <v>145</v>
      </c>
      <c r="AD15" s="22">
        <f>IFERROR(__xludf.DUMMYFUNCTION("IFERROR(GOOGLEFINANCE(B15,""price""),"""")"),1.51)</f>
        <v>1.51</v>
      </c>
      <c r="AE15" s="22"/>
      <c r="AF15" s="22"/>
      <c r="AG15" s="22"/>
      <c r="AH15" s="22"/>
      <c r="AI15" s="22"/>
      <c r="AJ15" s="22"/>
      <c r="AK15" s="22"/>
    </row>
    <row r="16">
      <c r="A16" s="7">
        <v>46053.91363774094</v>
      </c>
      <c r="B16" s="8" t="s">
        <v>146</v>
      </c>
      <c r="C16" s="8" t="s">
        <v>147</v>
      </c>
      <c r="D16" s="9">
        <v>46054.0</v>
      </c>
      <c r="E16" s="8" t="s">
        <v>148</v>
      </c>
      <c r="F16" s="10">
        <v>4.67</v>
      </c>
      <c r="G16" s="11">
        <v>-0.8493</v>
      </c>
      <c r="H16" s="8" t="s">
        <v>149</v>
      </c>
      <c r="I16" s="12">
        <v>1962400.0</v>
      </c>
      <c r="J16" s="13">
        <v>4.84</v>
      </c>
      <c r="K16" s="13">
        <v>4.49</v>
      </c>
      <c r="L16" s="13">
        <v>4.7</v>
      </c>
      <c r="M16" s="11">
        <v>14.4014</v>
      </c>
      <c r="N16" s="13">
        <v>0.2666</v>
      </c>
      <c r="O16" s="13">
        <v>0.7811</v>
      </c>
      <c r="P16" s="8">
        <v>1090545.0</v>
      </c>
      <c r="Q16" s="13">
        <v>2.0462</v>
      </c>
      <c r="R16" s="12">
        <v>5.52547674E8</v>
      </c>
      <c r="S16" s="13">
        <v>4.3161</v>
      </c>
      <c r="T16" s="13">
        <v>8.6193</v>
      </c>
      <c r="U16" s="11">
        <v>58.1412</v>
      </c>
      <c r="V16" s="13">
        <v>21.18</v>
      </c>
      <c r="W16" s="11">
        <v>0.68</v>
      </c>
      <c r="X16" s="8">
        <v>5606857.0</v>
      </c>
      <c r="Y16" s="13">
        <v>0.273</v>
      </c>
      <c r="Z16" s="8" t="b">
        <v>0</v>
      </c>
      <c r="AA16" s="8" t="b">
        <v>1</v>
      </c>
      <c r="AB16" s="8" t="b">
        <v>0</v>
      </c>
      <c r="AC16" s="8" t="s">
        <v>118</v>
      </c>
      <c r="AD16" s="14">
        <f>IFERROR(__xludf.DUMMYFUNCTION("IFERROR(GOOGLEFINANCE(B16,""price""),"""")"),2.89)</f>
        <v>2.89</v>
      </c>
      <c r="AE16" s="14"/>
      <c r="AF16" s="14"/>
      <c r="AG16" s="14"/>
      <c r="AH16" s="14"/>
      <c r="AI16" s="14"/>
      <c r="AJ16" s="14"/>
      <c r="AK16" s="14"/>
    </row>
    <row r="17">
      <c r="A17" s="15">
        <v>46053.91363774094</v>
      </c>
      <c r="B17" s="16" t="s">
        <v>150</v>
      </c>
      <c r="C17" s="16" t="s">
        <v>151</v>
      </c>
      <c r="D17" s="17">
        <v>46054.0</v>
      </c>
      <c r="E17" s="16" t="s">
        <v>152</v>
      </c>
      <c r="F17" s="18">
        <v>4.99</v>
      </c>
      <c r="G17" s="19">
        <v>-0.7952</v>
      </c>
      <c r="H17" s="16" t="s">
        <v>102</v>
      </c>
      <c r="I17" s="20">
        <v>590464.0</v>
      </c>
      <c r="J17" s="21">
        <v>5.09</v>
      </c>
      <c r="K17" s="21">
        <v>4.5507</v>
      </c>
      <c r="L17" s="21">
        <v>4.98</v>
      </c>
      <c r="M17" s="19">
        <v>17.4551</v>
      </c>
      <c r="N17" s="21">
        <v>0.4883</v>
      </c>
      <c r="O17" s="21">
        <v>2.78</v>
      </c>
      <c r="P17" s="21">
        <v>341833.7</v>
      </c>
      <c r="Q17" s="21">
        <v>1.9581</v>
      </c>
      <c r="R17" s="20">
        <v>2.19874054E8</v>
      </c>
      <c r="S17" s="21">
        <v>6.1613</v>
      </c>
      <c r="T17" s="21">
        <v>8.8976</v>
      </c>
      <c r="U17" s="19">
        <v>37.3882</v>
      </c>
      <c r="V17" s="21">
        <v>82.88</v>
      </c>
      <c r="W17" s="19">
        <v>0.35</v>
      </c>
      <c r="X17" s="16">
        <v>1094871.0</v>
      </c>
      <c r="Y17" s="21">
        <v>0.1812</v>
      </c>
      <c r="Z17" s="16" t="b">
        <v>1</v>
      </c>
      <c r="AA17" s="16" t="b">
        <v>1</v>
      </c>
      <c r="AB17" s="16" t="b">
        <v>0</v>
      </c>
      <c r="AC17" s="16" t="s">
        <v>145</v>
      </c>
      <c r="AD17" s="22">
        <f>IFERROR(__xludf.DUMMYFUNCTION("IFERROR(GOOGLEFINANCE(B17,""price""),"""")"),2.62)</f>
        <v>2.62</v>
      </c>
      <c r="AE17" s="22"/>
      <c r="AF17" s="22"/>
      <c r="AG17" s="22"/>
      <c r="AH17" s="22"/>
      <c r="AI17" s="22"/>
      <c r="AJ17" s="22"/>
      <c r="AK17" s="22"/>
    </row>
    <row r="18">
      <c r="A18" s="7">
        <v>46053.91363774094</v>
      </c>
      <c r="B18" s="8" t="s">
        <v>153</v>
      </c>
      <c r="C18" s="8" t="s">
        <v>154</v>
      </c>
      <c r="D18" s="9">
        <v>46054.0</v>
      </c>
      <c r="E18" s="8" t="s">
        <v>155</v>
      </c>
      <c r="F18" s="10">
        <v>3.51</v>
      </c>
      <c r="G18" s="11">
        <v>5.4054</v>
      </c>
      <c r="H18" s="8" t="s">
        <v>117</v>
      </c>
      <c r="I18" s="12">
        <v>760705.0</v>
      </c>
      <c r="J18" s="13">
        <v>3.84</v>
      </c>
      <c r="K18" s="13">
        <v>3.35</v>
      </c>
      <c r="L18" s="13">
        <v>3.49</v>
      </c>
      <c r="M18" s="11">
        <v>16.5769</v>
      </c>
      <c r="N18" s="13">
        <v>0.8955</v>
      </c>
      <c r="O18" s="13">
        <v>28.1479</v>
      </c>
      <c r="P18" s="13">
        <v>232515.0</v>
      </c>
      <c r="Q18" s="13">
        <v>2.3861</v>
      </c>
      <c r="R18" s="12">
        <v>4162141.0</v>
      </c>
      <c r="S18" s="13">
        <v>10.6478</v>
      </c>
      <c r="T18" s="13">
        <v>607.6587</v>
      </c>
      <c r="U18" s="11">
        <v>23.6796</v>
      </c>
      <c r="V18" s="13">
        <v>189.14</v>
      </c>
      <c r="W18" s="11">
        <v>0.06</v>
      </c>
      <c r="X18" s="8">
        <v>1552459.0</v>
      </c>
      <c r="Y18" s="13">
        <v>0.1709</v>
      </c>
      <c r="Z18" s="8" t="b">
        <v>0</v>
      </c>
      <c r="AA18" s="8" t="b">
        <v>1</v>
      </c>
      <c r="AB18" s="8" t="b">
        <v>0</v>
      </c>
      <c r="AC18" s="8" t="s">
        <v>118</v>
      </c>
      <c r="AD18" s="14">
        <f>IFERROR(__xludf.DUMMYFUNCTION("IFERROR(GOOGLEFINANCE(B18,""price""),"""")"),4.79)</f>
        <v>4.79</v>
      </c>
      <c r="AE18" s="14"/>
      <c r="AF18" s="14"/>
      <c r="AG18" s="14"/>
      <c r="AH18" s="14"/>
      <c r="AI18" s="14"/>
      <c r="AJ18" s="14"/>
      <c r="AK18" s="14"/>
    </row>
    <row r="19">
      <c r="A19" s="7">
        <v>46055.62817527373</v>
      </c>
      <c r="B19" s="8" t="s">
        <v>156</v>
      </c>
      <c r="C19" s="8" t="s">
        <v>157</v>
      </c>
      <c r="D19" s="9">
        <v>46061.0</v>
      </c>
      <c r="E19" s="10">
        <v>2.9165</v>
      </c>
      <c r="F19" s="8" t="s">
        <v>88</v>
      </c>
      <c r="G19" s="23"/>
      <c r="H19" s="13">
        <v>-3.8779</v>
      </c>
      <c r="I19" s="8" t="s">
        <v>158</v>
      </c>
      <c r="J19" s="13">
        <v>127.9394</v>
      </c>
      <c r="K19" s="8">
        <v>1.37052565E8</v>
      </c>
      <c r="L19" s="11">
        <v>0.47</v>
      </c>
      <c r="M19" s="11">
        <v>9.3962</v>
      </c>
      <c r="N19" s="8" t="s">
        <v>159</v>
      </c>
      <c r="O19" s="11">
        <v>84.5878</v>
      </c>
      <c r="P19" s="12">
        <v>1.93244117E8</v>
      </c>
      <c r="Q19" s="13">
        <v>3.67</v>
      </c>
      <c r="R19" s="13">
        <v>2.26</v>
      </c>
      <c r="S19" s="13">
        <v>2.29</v>
      </c>
      <c r="T19" s="13">
        <v>0.3372</v>
      </c>
      <c r="U19" s="13">
        <v>1.4253</v>
      </c>
      <c r="V19" s="8">
        <v>1.9353477E7</v>
      </c>
      <c r="W19" s="13">
        <v>6185.3358</v>
      </c>
      <c r="X19" s="12">
        <v>8.2682499E7</v>
      </c>
      <c r="Y19" s="13">
        <v>1.8165</v>
      </c>
      <c r="Z19" s="13">
        <v>6.5255</v>
      </c>
      <c r="AA19" s="11">
        <v>74.0698</v>
      </c>
      <c r="AB19" s="13">
        <v>25.0</v>
      </c>
      <c r="AC19" s="23"/>
      <c r="AD19" s="23"/>
      <c r="AE19" s="23"/>
      <c r="AF19" s="23"/>
      <c r="AG19" s="13">
        <v>0.2813</v>
      </c>
      <c r="AH19" s="8" t="b">
        <v>0</v>
      </c>
      <c r="AI19" s="8" t="b">
        <v>0</v>
      </c>
      <c r="AJ19" s="8" t="b">
        <v>0</v>
      </c>
      <c r="AK19" s="10">
        <f>IFERROR(__xludf.DUMMYFUNCTION("IFERROR(GOOGLEFINANCE(B19,""price""),"""")"),1.83)</f>
        <v>1.83</v>
      </c>
    </row>
    <row r="20">
      <c r="A20" s="15">
        <v>46055.62817527373</v>
      </c>
      <c r="B20" s="16" t="s">
        <v>160</v>
      </c>
      <c r="C20" s="16" t="s">
        <v>161</v>
      </c>
      <c r="D20" s="17">
        <v>46061.0</v>
      </c>
      <c r="E20" s="18">
        <v>2.11</v>
      </c>
      <c r="F20" s="16" t="s">
        <v>162</v>
      </c>
      <c r="G20" s="24"/>
      <c r="H20" s="21">
        <v>-0.5408</v>
      </c>
      <c r="I20" s="16" t="s">
        <v>163</v>
      </c>
      <c r="J20" s="21">
        <v>26.5779</v>
      </c>
      <c r="K20" s="16">
        <v>8.665038E7</v>
      </c>
      <c r="L20" s="19">
        <v>0.92</v>
      </c>
      <c r="M20" s="19">
        <v>21.8576</v>
      </c>
      <c r="N20" s="16" t="s">
        <v>164</v>
      </c>
      <c r="O20" s="19">
        <v>16.5746</v>
      </c>
      <c r="P20" s="20">
        <v>4.2458686E7</v>
      </c>
      <c r="Q20" s="21">
        <v>2.45</v>
      </c>
      <c r="R20" s="21">
        <v>1.96</v>
      </c>
      <c r="S20" s="21">
        <v>2.37</v>
      </c>
      <c r="T20" s="21">
        <v>0.2366</v>
      </c>
      <c r="U20" s="21">
        <v>0.5138</v>
      </c>
      <c r="V20" s="16">
        <v>4312001.0</v>
      </c>
      <c r="W20" s="21">
        <v>617.2116</v>
      </c>
      <c r="X20" s="20">
        <v>2.2618278E7</v>
      </c>
      <c r="Y20" s="21">
        <v>2.2977</v>
      </c>
      <c r="Z20" s="21">
        <v>3.2964</v>
      </c>
      <c r="AA20" s="19">
        <v>47.2349</v>
      </c>
      <c r="AB20" s="21">
        <v>5.5</v>
      </c>
      <c r="AC20" s="21">
        <v>-218.4168</v>
      </c>
      <c r="AD20" s="21">
        <v>-29.7613</v>
      </c>
      <c r="AE20" s="21">
        <v>-2.3927</v>
      </c>
      <c r="AF20" s="21">
        <v>0.2248</v>
      </c>
      <c r="AG20" s="21">
        <v>1.0308</v>
      </c>
      <c r="AH20" s="16" t="b">
        <v>0</v>
      </c>
      <c r="AI20" s="16" t="b">
        <v>0</v>
      </c>
      <c r="AJ20" s="16" t="b">
        <v>0</v>
      </c>
      <c r="AK20" s="18">
        <f>IFERROR(__xludf.DUMMYFUNCTION("IFERROR(GOOGLEFINANCE(B20,""price""),"""")"),1.48)</f>
        <v>1.48</v>
      </c>
    </row>
    <row r="21">
      <c r="A21" s="7">
        <v>46055.62817527373</v>
      </c>
      <c r="B21" s="8" t="s">
        <v>165</v>
      </c>
      <c r="C21" s="8" t="s">
        <v>166</v>
      </c>
      <c r="D21" s="9">
        <v>46061.0</v>
      </c>
      <c r="E21" s="10">
        <v>0.5224</v>
      </c>
      <c r="F21" s="8" t="s">
        <v>129</v>
      </c>
      <c r="G21" s="13">
        <v>5.3089</v>
      </c>
      <c r="H21" s="13">
        <v>0.0984</v>
      </c>
      <c r="I21" s="8" t="s">
        <v>167</v>
      </c>
      <c r="J21" s="13">
        <v>2.3961</v>
      </c>
      <c r="K21" s="8">
        <v>4.0685682E7</v>
      </c>
      <c r="L21" s="11">
        <v>0.39</v>
      </c>
      <c r="M21" s="11">
        <v>22.7552</v>
      </c>
      <c r="N21" s="8" t="s">
        <v>168</v>
      </c>
      <c r="O21" s="11">
        <v>25.4111</v>
      </c>
      <c r="P21" s="12">
        <v>1.0573802E7</v>
      </c>
      <c r="Q21" s="13">
        <v>0.6699</v>
      </c>
      <c r="R21" s="13">
        <v>0.41</v>
      </c>
      <c r="S21" s="13">
        <v>0.41</v>
      </c>
      <c r="T21" s="13">
        <v>0.0627</v>
      </c>
      <c r="U21" s="13">
        <v>0.3208</v>
      </c>
      <c r="V21" s="8">
        <v>1140171.0</v>
      </c>
      <c r="W21" s="13">
        <v>119.2056</v>
      </c>
      <c r="X21" s="12">
        <v>1.5360829E7</v>
      </c>
      <c r="Y21" s="13">
        <v>0.4123</v>
      </c>
      <c r="Z21" s="23"/>
      <c r="AA21" s="11">
        <v>63.4329</v>
      </c>
      <c r="AB21" s="13">
        <v>7.0</v>
      </c>
      <c r="AC21" s="23"/>
      <c r="AD21" s="13">
        <v>8.2979</v>
      </c>
      <c r="AE21" s="23"/>
      <c r="AF21" s="13">
        <v>3.8155</v>
      </c>
      <c r="AG21" s="13">
        <v>0.6476</v>
      </c>
      <c r="AH21" s="8" t="b">
        <v>0</v>
      </c>
      <c r="AI21" s="8" t="b">
        <v>0</v>
      </c>
      <c r="AJ21" s="8" t="b">
        <v>0</v>
      </c>
      <c r="AK21" s="10">
        <f>IFERROR(__xludf.DUMMYFUNCTION("IFERROR(GOOGLEFINANCE(B21,""price""),"""")"),0.27)</f>
        <v>0.27</v>
      </c>
    </row>
    <row r="22">
      <c r="A22" s="15">
        <v>46055.62817527373</v>
      </c>
      <c r="B22" s="16" t="s">
        <v>169</v>
      </c>
      <c r="C22" s="16" t="s">
        <v>170</v>
      </c>
      <c r="D22" s="17">
        <v>46061.0</v>
      </c>
      <c r="E22" s="18">
        <v>1.5903</v>
      </c>
      <c r="F22" s="16" t="s">
        <v>117</v>
      </c>
      <c r="G22" s="24"/>
      <c r="H22" s="21">
        <v>-9.283</v>
      </c>
      <c r="I22" s="16" t="s">
        <v>171</v>
      </c>
      <c r="J22" s="21">
        <v>1.666</v>
      </c>
      <c r="K22" s="16">
        <v>2.1471673E7</v>
      </c>
      <c r="L22" s="19">
        <v>0.15</v>
      </c>
      <c r="M22" s="19">
        <v>15.8504</v>
      </c>
      <c r="N22" s="16" t="s">
        <v>172</v>
      </c>
      <c r="O22" s="19">
        <v>19.5714</v>
      </c>
      <c r="P22" s="20">
        <v>1.0306403E7</v>
      </c>
      <c r="Q22" s="21">
        <v>1.65</v>
      </c>
      <c r="R22" s="21">
        <v>1.17</v>
      </c>
      <c r="S22" s="21">
        <v>1.33</v>
      </c>
      <c r="T22" s="21">
        <v>1.2176</v>
      </c>
      <c r="U22" s="21">
        <v>15.8783</v>
      </c>
      <c r="V22" s="16">
        <v>1215344.0</v>
      </c>
      <c r="W22" s="21">
        <v>50.2853</v>
      </c>
      <c r="X22" s="20">
        <v>2034790.0</v>
      </c>
      <c r="Y22" s="21">
        <v>12.4328</v>
      </c>
      <c r="Z22" s="21">
        <v>60.9493</v>
      </c>
      <c r="AA22" s="19">
        <v>33.5324</v>
      </c>
      <c r="AB22" s="21">
        <v>150.0</v>
      </c>
      <c r="AC22" s="21">
        <v>-23.8543</v>
      </c>
      <c r="AD22" s="21">
        <v>-14.2548</v>
      </c>
      <c r="AE22" s="21">
        <v>3788.4485</v>
      </c>
      <c r="AF22" s="21">
        <v>0.2393</v>
      </c>
      <c r="AG22" s="21">
        <v>1.149</v>
      </c>
      <c r="AH22" s="16" t="b">
        <v>0</v>
      </c>
      <c r="AI22" s="16" t="b">
        <v>0</v>
      </c>
      <c r="AJ22" s="16" t="b">
        <v>0</v>
      </c>
      <c r="AK22" s="18">
        <f>IFERROR(__xludf.DUMMYFUNCTION("IFERROR(GOOGLEFINANCE(B22,""price""),"""")"),1.8)</f>
        <v>1.8</v>
      </c>
    </row>
    <row r="23">
      <c r="A23" s="7">
        <v>46055.62817527373</v>
      </c>
      <c r="B23" s="8" t="s">
        <v>173</v>
      </c>
      <c r="C23" s="8" t="s">
        <v>174</v>
      </c>
      <c r="D23" s="9">
        <v>46061.0</v>
      </c>
      <c r="E23" s="10">
        <v>1.27</v>
      </c>
      <c r="F23" s="8" t="s">
        <v>117</v>
      </c>
      <c r="G23" s="23"/>
      <c r="H23" s="13">
        <v>-1.348</v>
      </c>
      <c r="I23" s="8" t="s">
        <v>175</v>
      </c>
      <c r="J23" s="13">
        <v>0.3919</v>
      </c>
      <c r="K23" s="8">
        <v>2652426.0</v>
      </c>
      <c r="L23" s="11">
        <v>0.73</v>
      </c>
      <c r="M23" s="11">
        <v>21.4361</v>
      </c>
      <c r="N23" s="8" t="s">
        <v>176</v>
      </c>
      <c r="O23" s="11">
        <v>8.547</v>
      </c>
      <c r="P23" s="12">
        <v>610058.0</v>
      </c>
      <c r="Q23" s="13">
        <v>1.3</v>
      </c>
      <c r="R23" s="13">
        <v>1.07</v>
      </c>
      <c r="S23" s="13">
        <v>1.21</v>
      </c>
      <c r="T23" s="13">
        <v>0.0978</v>
      </c>
      <c r="U23" s="13">
        <v>0.2672</v>
      </c>
      <c r="V23" s="13">
        <v>145802.8</v>
      </c>
      <c r="W23" s="13">
        <v>7.0977</v>
      </c>
      <c r="X23" s="12">
        <v>1.0583955E7</v>
      </c>
      <c r="Y23" s="13">
        <v>1.5367</v>
      </c>
      <c r="Z23" s="13">
        <v>2.0508</v>
      </c>
      <c r="AA23" s="11">
        <v>36.6111</v>
      </c>
      <c r="AB23" s="13">
        <v>4.4899</v>
      </c>
      <c r="AC23" s="13">
        <v>-99.5698</v>
      </c>
      <c r="AD23" s="23"/>
      <c r="AE23" s="23"/>
      <c r="AF23" s="13">
        <v>0.0</v>
      </c>
      <c r="AG23" s="13">
        <v>10.6745</v>
      </c>
      <c r="AH23" s="8" t="b">
        <v>1</v>
      </c>
      <c r="AI23" s="8" t="b">
        <v>0</v>
      </c>
      <c r="AJ23" s="8" t="b">
        <v>0</v>
      </c>
      <c r="AK23" s="10">
        <f>IFERROR(__xludf.DUMMYFUNCTION("IFERROR(GOOGLEFINANCE(B23,""price""),"""")"),5.52)</f>
        <v>5.52</v>
      </c>
    </row>
    <row r="24">
      <c r="A24" s="15">
        <v>46055.62817527373</v>
      </c>
      <c r="B24" s="16" t="s">
        <v>177</v>
      </c>
      <c r="C24" s="16" t="s">
        <v>178</v>
      </c>
      <c r="D24" s="17">
        <v>46061.0</v>
      </c>
      <c r="E24" s="18">
        <v>1.14</v>
      </c>
      <c r="F24" s="16" t="s">
        <v>117</v>
      </c>
      <c r="G24" s="24"/>
      <c r="H24" s="21">
        <v>-2.7659</v>
      </c>
      <c r="I24" s="16" t="s">
        <v>179</v>
      </c>
      <c r="J24" s="21">
        <v>0.2827</v>
      </c>
      <c r="K24" s="16">
        <v>3435682.0</v>
      </c>
      <c r="L24" s="19">
        <v>0.92</v>
      </c>
      <c r="M24" s="19">
        <v>13.815</v>
      </c>
      <c r="N24" s="16" t="s">
        <v>180</v>
      </c>
      <c r="O24" s="19">
        <v>-1.7241</v>
      </c>
      <c r="P24" s="20">
        <v>584066.0</v>
      </c>
      <c r="Q24" s="21">
        <v>1.19</v>
      </c>
      <c r="R24" s="21">
        <v>1.02</v>
      </c>
      <c r="S24" s="21">
        <v>1.18</v>
      </c>
      <c r="T24" s="21">
        <v>0.077</v>
      </c>
      <c r="U24" s="21">
        <v>0.1669</v>
      </c>
      <c r="V24" s="21">
        <v>193744.7</v>
      </c>
      <c r="W24" s="21">
        <v>4.2158</v>
      </c>
      <c r="X24" s="20">
        <v>2.5519596E7</v>
      </c>
      <c r="Y24" s="21">
        <v>1.1916</v>
      </c>
      <c r="Z24" s="21">
        <v>1.5517</v>
      </c>
      <c r="AA24" s="19">
        <v>35.8444</v>
      </c>
      <c r="AB24" s="21">
        <v>2.54</v>
      </c>
      <c r="AC24" s="21">
        <v>-44.8752</v>
      </c>
      <c r="AD24" s="24"/>
      <c r="AE24" s="24"/>
      <c r="AF24" s="21">
        <v>0.4517</v>
      </c>
      <c r="AG24" s="21">
        <v>10.144</v>
      </c>
      <c r="AH24" s="16" t="b">
        <v>1</v>
      </c>
      <c r="AI24" s="16" t="b">
        <v>0</v>
      </c>
      <c r="AJ24" s="16" t="b">
        <v>0</v>
      </c>
      <c r="AK24" s="18">
        <f>IFERROR(__xludf.DUMMYFUNCTION("IFERROR(GOOGLEFINANCE(B24,""price""),"""")"),1.13)</f>
        <v>1.13</v>
      </c>
    </row>
    <row r="25">
      <c r="A25" s="7">
        <v>46055.62817527373</v>
      </c>
      <c r="B25" s="8" t="s">
        <v>181</v>
      </c>
      <c r="C25" s="8" t="s">
        <v>182</v>
      </c>
      <c r="D25" s="9">
        <v>46061.0</v>
      </c>
      <c r="E25" s="10">
        <v>1.55</v>
      </c>
      <c r="F25" s="8" t="s">
        <v>117</v>
      </c>
      <c r="G25" s="23"/>
      <c r="H25" s="13">
        <v>-2.1399</v>
      </c>
      <c r="I25" s="8" t="s">
        <v>145</v>
      </c>
      <c r="J25" s="13">
        <v>0.2274</v>
      </c>
      <c r="K25" s="8">
        <v>4592982.0</v>
      </c>
      <c r="L25" s="11">
        <v>0.55</v>
      </c>
      <c r="M25" s="11">
        <v>14.6393</v>
      </c>
      <c r="N25" s="8" t="s">
        <v>183</v>
      </c>
      <c r="O25" s="11">
        <v>-2.5157</v>
      </c>
      <c r="P25" s="12">
        <v>505228.0</v>
      </c>
      <c r="Q25" s="13">
        <v>1.58</v>
      </c>
      <c r="R25" s="13">
        <v>1.47</v>
      </c>
      <c r="S25" s="13">
        <v>1.55</v>
      </c>
      <c r="T25" s="13">
        <v>0.1155</v>
      </c>
      <c r="U25" s="13">
        <v>0.4172</v>
      </c>
      <c r="V25" s="13">
        <v>324075.6</v>
      </c>
      <c r="W25" s="13">
        <v>1.6137</v>
      </c>
      <c r="X25" s="12">
        <v>4.1207152E7</v>
      </c>
      <c r="Y25" s="13">
        <v>1.6967</v>
      </c>
      <c r="Z25" s="13">
        <v>3.0943</v>
      </c>
      <c r="AA25" s="11">
        <v>44.3896</v>
      </c>
      <c r="AB25" s="13">
        <v>11.64</v>
      </c>
      <c r="AC25" s="13">
        <v>-155.7679</v>
      </c>
      <c r="AD25" s="13">
        <v>-69724.0</v>
      </c>
      <c r="AE25" s="13">
        <v>19.0476</v>
      </c>
      <c r="AF25" s="13">
        <v>0.0426</v>
      </c>
      <c r="AG25" s="13">
        <v>4.1688</v>
      </c>
      <c r="AH25" s="8" t="b">
        <v>1</v>
      </c>
      <c r="AI25" s="8" t="b">
        <v>1</v>
      </c>
      <c r="AJ25" s="8" t="b">
        <v>0</v>
      </c>
      <c r="AK25" s="10">
        <f>IFERROR(__xludf.DUMMYFUNCTION("IFERROR(GOOGLEFINANCE(B25,""price""),"""")"),1.18)</f>
        <v>1.18</v>
      </c>
    </row>
    <row r="26">
      <c r="A26" s="15">
        <v>46055.62817527373</v>
      </c>
      <c r="B26" s="16" t="s">
        <v>184</v>
      </c>
      <c r="C26" s="16" t="s">
        <v>185</v>
      </c>
      <c r="D26" s="17">
        <v>46061.0</v>
      </c>
      <c r="E26" s="18">
        <v>1.53</v>
      </c>
      <c r="F26" s="16" t="s">
        <v>186</v>
      </c>
      <c r="G26" s="21">
        <v>162.766</v>
      </c>
      <c r="H26" s="21">
        <v>0.0094</v>
      </c>
      <c r="I26" s="16" t="s">
        <v>175</v>
      </c>
      <c r="J26" s="21">
        <v>0.2196</v>
      </c>
      <c r="K26" s="16">
        <v>3.9706653E7</v>
      </c>
      <c r="L26" s="19">
        <v>0.71</v>
      </c>
      <c r="M26" s="19">
        <v>13.772</v>
      </c>
      <c r="N26" s="16" t="s">
        <v>187</v>
      </c>
      <c r="O26" s="19">
        <v>17.6923</v>
      </c>
      <c r="P26" s="20">
        <v>1.7073861E7</v>
      </c>
      <c r="Q26" s="21">
        <v>1.66</v>
      </c>
      <c r="R26" s="21">
        <v>1.23</v>
      </c>
      <c r="S26" s="21">
        <v>1.59</v>
      </c>
      <c r="T26" s="21">
        <v>0.3696</v>
      </c>
      <c r="U26" s="21">
        <v>1.045</v>
      </c>
      <c r="V26" s="16">
        <v>2022487.0</v>
      </c>
      <c r="W26" s="21">
        <v>6.1713</v>
      </c>
      <c r="X26" s="20">
        <v>2.1343347E7</v>
      </c>
      <c r="Y26" s="21">
        <v>3.0812</v>
      </c>
      <c r="Z26" s="24"/>
      <c r="AA26" s="19">
        <v>31.0256</v>
      </c>
      <c r="AB26" s="21">
        <v>5.0</v>
      </c>
      <c r="AC26" s="21">
        <v>61.6253</v>
      </c>
      <c r="AD26" s="21">
        <v>22.0893</v>
      </c>
      <c r="AE26" s="21">
        <v>12.3337</v>
      </c>
      <c r="AF26" s="21">
        <v>0.1252</v>
      </c>
      <c r="AG26" s="21">
        <v>1.8241</v>
      </c>
      <c r="AH26" s="16" t="b">
        <v>1</v>
      </c>
      <c r="AI26" s="16" t="b">
        <v>0</v>
      </c>
      <c r="AJ26" s="16" t="b">
        <v>0</v>
      </c>
      <c r="AK26" s="18">
        <f>IFERROR(__xludf.DUMMYFUNCTION("IFERROR(GOOGLEFINANCE(B26,""price""),"""")"),1.38)</f>
        <v>1.38</v>
      </c>
    </row>
    <row r="27">
      <c r="A27" s="7">
        <v>46055.62817527373</v>
      </c>
      <c r="B27" s="8" t="s">
        <v>188</v>
      </c>
      <c r="C27" s="8" t="s">
        <v>189</v>
      </c>
      <c r="D27" s="9">
        <v>46061.0</v>
      </c>
      <c r="E27" s="10">
        <v>2.695</v>
      </c>
      <c r="F27" s="8" t="s">
        <v>190</v>
      </c>
      <c r="G27" s="23"/>
      <c r="H27" s="13">
        <v>-0.643</v>
      </c>
      <c r="I27" s="8" t="s">
        <v>179</v>
      </c>
      <c r="J27" s="13">
        <v>0.2096</v>
      </c>
      <c r="K27" s="8">
        <v>1.3816166E7</v>
      </c>
      <c r="L27" s="11">
        <v>0.81</v>
      </c>
      <c r="M27" s="11">
        <v>18.1816</v>
      </c>
      <c r="N27" s="8" t="s">
        <v>191</v>
      </c>
      <c r="O27" s="11">
        <v>-0.5535</v>
      </c>
      <c r="P27" s="12">
        <v>3246799.0</v>
      </c>
      <c r="Q27" s="13">
        <v>2.77</v>
      </c>
      <c r="R27" s="13">
        <v>2.535</v>
      </c>
      <c r="S27" s="13">
        <v>2.73</v>
      </c>
      <c r="T27" s="13">
        <v>0.254</v>
      </c>
      <c r="U27" s="13">
        <v>0.6305</v>
      </c>
      <c r="V27" s="8">
        <v>1946314.0</v>
      </c>
      <c r="W27" s="13">
        <v>1.8277</v>
      </c>
      <c r="X27" s="12">
        <v>2.65137715E8</v>
      </c>
      <c r="Y27" s="13">
        <v>3.4146</v>
      </c>
      <c r="Z27" s="13">
        <v>3.0993</v>
      </c>
      <c r="AA27" s="11">
        <v>30.8627</v>
      </c>
      <c r="AB27" s="13">
        <v>4.88</v>
      </c>
      <c r="AC27" s="13">
        <v>-3407.8554</v>
      </c>
      <c r="AD27" s="13">
        <v>-8.9157</v>
      </c>
      <c r="AE27" s="13">
        <v>21.6677</v>
      </c>
      <c r="AF27" s="23"/>
      <c r="AG27" s="13">
        <v>1.6787</v>
      </c>
      <c r="AH27" s="8" t="b">
        <v>1</v>
      </c>
      <c r="AI27" s="8" t="b">
        <v>0</v>
      </c>
      <c r="AJ27" s="8" t="b">
        <v>0</v>
      </c>
      <c r="AK27" s="10">
        <f>IFERROR(__xludf.DUMMYFUNCTION("IFERROR(GOOGLEFINANCE(B27,""price""),"""")"),3.08)</f>
        <v>3.08</v>
      </c>
    </row>
    <row r="28">
      <c r="A28" s="15">
        <v>46055.62817527373</v>
      </c>
      <c r="B28" s="16" t="s">
        <v>192</v>
      </c>
      <c r="C28" s="16" t="s">
        <v>193</v>
      </c>
      <c r="D28" s="17">
        <v>46061.0</v>
      </c>
      <c r="E28" s="18">
        <v>2.1563</v>
      </c>
      <c r="F28" s="16" t="s">
        <v>93</v>
      </c>
      <c r="G28" s="21">
        <v>3.0906</v>
      </c>
      <c r="H28" s="21">
        <v>0.6977</v>
      </c>
      <c r="I28" s="16" t="s">
        <v>118</v>
      </c>
      <c r="J28" s="21">
        <v>0.1868</v>
      </c>
      <c r="K28" s="16">
        <v>5529620.0</v>
      </c>
      <c r="L28" s="19">
        <v>0.63</v>
      </c>
      <c r="M28" s="19">
        <v>18.482</v>
      </c>
      <c r="N28" s="16" t="s">
        <v>194</v>
      </c>
      <c r="O28" s="19">
        <v>-3.7366</v>
      </c>
      <c r="P28" s="20">
        <v>1105924.0</v>
      </c>
      <c r="Q28" s="21">
        <v>2.32</v>
      </c>
      <c r="R28" s="21">
        <v>2.12</v>
      </c>
      <c r="S28" s="21">
        <v>2.15</v>
      </c>
      <c r="T28" s="21">
        <v>0.1966</v>
      </c>
      <c r="U28" s="21">
        <v>0.6286</v>
      </c>
      <c r="V28" s="21">
        <v>686036.1</v>
      </c>
      <c r="W28" s="21">
        <v>1.7326</v>
      </c>
      <c r="X28" s="20">
        <v>1.00997926E8</v>
      </c>
      <c r="Y28" s="21">
        <v>2.9423</v>
      </c>
      <c r="Z28" s="21">
        <v>3.2639</v>
      </c>
      <c r="AA28" s="19">
        <v>29.0033</v>
      </c>
      <c r="AB28" s="21">
        <v>8.49</v>
      </c>
      <c r="AC28" s="21">
        <v>43.4489</v>
      </c>
      <c r="AD28" s="21">
        <v>-80.1431</v>
      </c>
      <c r="AE28" s="21">
        <v>482.504</v>
      </c>
      <c r="AF28" s="21">
        <v>0.2999</v>
      </c>
      <c r="AG28" s="21">
        <v>4.7849</v>
      </c>
      <c r="AH28" s="16" t="b">
        <v>0</v>
      </c>
      <c r="AI28" s="16" t="b">
        <v>1</v>
      </c>
      <c r="AJ28" s="16" t="b">
        <v>0</v>
      </c>
      <c r="AK28" s="18">
        <f>IFERROR(__xludf.DUMMYFUNCTION("IFERROR(GOOGLEFINANCE(B28,""price""),"""")"),1.56)</f>
        <v>1.56</v>
      </c>
    </row>
    <row r="29">
      <c r="A29" s="7">
        <v>46055.62817527373</v>
      </c>
      <c r="B29" s="8" t="s">
        <v>195</v>
      </c>
      <c r="C29" s="8" t="s">
        <v>196</v>
      </c>
      <c r="D29" s="9">
        <v>46061.0</v>
      </c>
      <c r="E29" s="10">
        <v>3.645</v>
      </c>
      <c r="F29" s="8" t="s">
        <v>186</v>
      </c>
      <c r="G29" s="23"/>
      <c r="H29" s="13">
        <v>-2.2776</v>
      </c>
      <c r="I29" s="8" t="s">
        <v>118</v>
      </c>
      <c r="J29" s="13">
        <v>0.1425</v>
      </c>
      <c r="K29" s="8">
        <v>9445169.0</v>
      </c>
      <c r="L29" s="11">
        <v>0.65</v>
      </c>
      <c r="M29" s="11">
        <v>28.5393</v>
      </c>
      <c r="N29" s="8" t="s">
        <v>197</v>
      </c>
      <c r="O29" s="11">
        <v>2.1008</v>
      </c>
      <c r="P29" s="12">
        <v>4628133.0</v>
      </c>
      <c r="Q29" s="13">
        <v>4.07</v>
      </c>
      <c r="R29" s="13">
        <v>3.58</v>
      </c>
      <c r="S29" s="13">
        <v>3.61</v>
      </c>
      <c r="T29" s="13">
        <v>0.3013</v>
      </c>
      <c r="U29" s="13">
        <v>0.9201</v>
      </c>
      <c r="V29" s="8">
        <v>2671963.0</v>
      </c>
      <c r="W29" s="13">
        <v>1.916</v>
      </c>
      <c r="X29" s="12">
        <v>3.34632947E8</v>
      </c>
      <c r="Y29" s="13">
        <v>4.6627</v>
      </c>
      <c r="Z29" s="13">
        <v>4.0193</v>
      </c>
      <c r="AA29" s="11">
        <v>31.5466</v>
      </c>
      <c r="AB29" s="13">
        <v>9.42</v>
      </c>
      <c r="AC29" s="23"/>
      <c r="AD29" s="13">
        <v>-72.8412</v>
      </c>
      <c r="AE29" s="13">
        <v>-17.4982</v>
      </c>
      <c r="AF29" s="13">
        <v>7.2989</v>
      </c>
      <c r="AG29" s="13">
        <v>1.3101</v>
      </c>
      <c r="AH29" s="8" t="b">
        <v>0</v>
      </c>
      <c r="AI29" s="8" t="b">
        <v>1</v>
      </c>
      <c r="AJ29" s="8" t="b">
        <v>0</v>
      </c>
      <c r="AK29" s="10">
        <f>IFERROR(__xludf.DUMMYFUNCTION("IFERROR(GOOGLEFINANCE(B29,""price""),"""")"),1.88)</f>
        <v>1.88</v>
      </c>
    </row>
    <row r="30">
      <c r="A30" s="15">
        <v>46055.62817527373</v>
      </c>
      <c r="B30" s="16" t="s">
        <v>198</v>
      </c>
      <c r="C30" s="16" t="s">
        <v>199</v>
      </c>
      <c r="D30" s="17">
        <v>46061.0</v>
      </c>
      <c r="E30" s="18">
        <v>2.6</v>
      </c>
      <c r="F30" s="16" t="s">
        <v>102</v>
      </c>
      <c r="G30" s="24"/>
      <c r="H30" s="21">
        <v>-30.9078</v>
      </c>
      <c r="I30" s="16" t="s">
        <v>175</v>
      </c>
      <c r="J30" s="21">
        <v>0.1017</v>
      </c>
      <c r="K30" s="16">
        <v>2516898.0</v>
      </c>
      <c r="L30" s="19">
        <v>0.41</v>
      </c>
      <c r="M30" s="19">
        <v>12.4284</v>
      </c>
      <c r="N30" s="16" t="s">
        <v>200</v>
      </c>
      <c r="O30" s="19">
        <v>-18.75</v>
      </c>
      <c r="P30" s="20">
        <v>1233280.0</v>
      </c>
      <c r="Q30" s="21">
        <v>2.69</v>
      </c>
      <c r="R30" s="21">
        <v>2.2</v>
      </c>
      <c r="S30" s="21">
        <v>2.69</v>
      </c>
      <c r="T30" s="21">
        <v>0.5369</v>
      </c>
      <c r="U30" s="21">
        <v>2.5987</v>
      </c>
      <c r="V30" s="21">
        <v>693381.4</v>
      </c>
      <c r="W30" s="21">
        <v>1.9168</v>
      </c>
      <c r="X30" s="20">
        <v>3.1404633E7</v>
      </c>
      <c r="Y30" s="21">
        <v>5.2876</v>
      </c>
      <c r="Z30" s="21">
        <v>10.4883</v>
      </c>
      <c r="AA30" s="19">
        <v>28.5344</v>
      </c>
      <c r="AB30" s="21">
        <v>26.1</v>
      </c>
      <c r="AC30" s="24"/>
      <c r="AD30" s="21">
        <v>-28.9791</v>
      </c>
      <c r="AE30" s="21">
        <v>18.2358</v>
      </c>
      <c r="AF30" s="24"/>
      <c r="AG30" s="21">
        <v>1.3441</v>
      </c>
      <c r="AH30" s="16" t="b">
        <v>1</v>
      </c>
      <c r="AI30" s="16" t="b">
        <v>0</v>
      </c>
      <c r="AJ30" s="16" t="b">
        <v>0</v>
      </c>
      <c r="AK30" s="18">
        <f>IFERROR(__xludf.DUMMYFUNCTION("IFERROR(GOOGLEFINANCE(B30,""price""),"""")"),1.99)</f>
        <v>1.99</v>
      </c>
    </row>
    <row r="31">
      <c r="A31" s="7">
        <v>46055.62817527373</v>
      </c>
      <c r="B31" s="8" t="s">
        <v>201</v>
      </c>
      <c r="C31" s="8" t="s">
        <v>202</v>
      </c>
      <c r="D31" s="9">
        <v>46061.0</v>
      </c>
      <c r="E31" s="10">
        <v>0.7297</v>
      </c>
      <c r="F31" s="8" t="s">
        <v>88</v>
      </c>
      <c r="G31" s="23"/>
      <c r="H31" s="23"/>
      <c r="I31" s="8" t="s">
        <v>118</v>
      </c>
      <c r="J31" s="13">
        <v>0.0364</v>
      </c>
      <c r="K31" s="8">
        <v>1.10103077E8</v>
      </c>
      <c r="L31" s="11">
        <v>0.72</v>
      </c>
      <c r="M31" s="11">
        <v>26.9394</v>
      </c>
      <c r="N31" s="8" t="s">
        <v>203</v>
      </c>
      <c r="O31" s="11">
        <v>38.1913</v>
      </c>
      <c r="P31" s="12">
        <v>4.723422E7</v>
      </c>
      <c r="Q31" s="13">
        <v>1.03</v>
      </c>
      <c r="R31" s="13">
        <v>0.601</v>
      </c>
      <c r="S31" s="13">
        <v>0.7719</v>
      </c>
      <c r="T31" s="13">
        <v>0.2637</v>
      </c>
      <c r="U31" s="13">
        <v>0.735</v>
      </c>
      <c r="V31" s="8">
        <v>2.6800091E7</v>
      </c>
      <c r="W31" s="13">
        <v>2.1379</v>
      </c>
      <c r="X31" s="12">
        <v>1.2659427E7</v>
      </c>
      <c r="Y31" s="13">
        <v>0.4686</v>
      </c>
      <c r="Z31" s="23"/>
      <c r="AA31" s="11">
        <v>56.5029</v>
      </c>
      <c r="AB31" s="13">
        <v>5.19</v>
      </c>
      <c r="AC31" s="13">
        <v>7.6141</v>
      </c>
      <c r="AD31" s="23"/>
      <c r="AE31" s="23"/>
      <c r="AF31" s="13">
        <v>0.2041</v>
      </c>
      <c r="AG31" s="13">
        <v>1.1805</v>
      </c>
      <c r="AH31" s="8" t="b">
        <v>0</v>
      </c>
      <c r="AI31" s="8" t="b">
        <v>1</v>
      </c>
      <c r="AJ31" s="8" t="b">
        <v>0</v>
      </c>
      <c r="AK31" s="10">
        <f>IFERROR(__xludf.DUMMYFUNCTION("IFERROR(GOOGLEFINANCE(B31,""price""),"""")"),0.57)</f>
        <v>0.57</v>
      </c>
    </row>
    <row r="32">
      <c r="A32" s="7">
        <v>46056.6268757655</v>
      </c>
      <c r="B32" s="8" t="s">
        <v>204</v>
      </c>
      <c r="C32" s="8" t="s">
        <v>205</v>
      </c>
      <c r="D32" s="9">
        <v>46061.0</v>
      </c>
      <c r="E32" s="10">
        <v>1.34</v>
      </c>
      <c r="F32" s="8" t="s">
        <v>93</v>
      </c>
      <c r="G32" s="23"/>
      <c r="H32" s="13">
        <v>-0.0535</v>
      </c>
      <c r="I32" s="8" t="s">
        <v>206</v>
      </c>
      <c r="J32" s="13">
        <v>59.1622</v>
      </c>
      <c r="K32" s="8">
        <v>1.52157145E8</v>
      </c>
      <c r="L32" s="11">
        <v>0.99</v>
      </c>
      <c r="M32" s="11">
        <v>19.5997</v>
      </c>
      <c r="N32" s="8" t="s">
        <v>207</v>
      </c>
      <c r="O32" s="11">
        <v>-57.5949</v>
      </c>
      <c r="P32" s="12">
        <v>3.2881159E7</v>
      </c>
      <c r="Q32" s="13">
        <v>1.4261</v>
      </c>
      <c r="R32" s="13">
        <v>1.21</v>
      </c>
      <c r="S32" s="13">
        <v>1.355</v>
      </c>
      <c r="T32" s="13">
        <v>0.4364</v>
      </c>
      <c r="U32" s="13">
        <v>0.8818</v>
      </c>
      <c r="V32" s="8">
        <v>3319083.0</v>
      </c>
      <c r="W32" s="13">
        <v>954.1003</v>
      </c>
      <c r="X32" s="12">
        <v>1.31585402E8</v>
      </c>
      <c r="Y32" s="13">
        <v>3.8914</v>
      </c>
      <c r="Z32" s="13">
        <v>3.2587</v>
      </c>
      <c r="AA32" s="11">
        <v>16.1982</v>
      </c>
      <c r="AB32" s="13">
        <v>5.59</v>
      </c>
      <c r="AC32" s="13">
        <v>-10.0212</v>
      </c>
      <c r="AD32" s="13">
        <v>-5.1687</v>
      </c>
      <c r="AE32" s="13">
        <v>-47.2287</v>
      </c>
      <c r="AF32" s="13">
        <v>0.4664</v>
      </c>
      <c r="AG32" s="13">
        <v>2.0706</v>
      </c>
      <c r="AH32" s="8" t="b">
        <v>1</v>
      </c>
      <c r="AI32" s="8" t="b">
        <v>1</v>
      </c>
      <c r="AJ32" s="8" t="b">
        <v>0</v>
      </c>
      <c r="AK32" s="14">
        <f>IFERROR(__xludf.DUMMYFUNCTION("IFERROR(GOOGLEFINANCE(B32,""price""),"""")"),0.98)</f>
        <v>0.98</v>
      </c>
    </row>
    <row r="33">
      <c r="A33" s="15">
        <v>46056.6268757655</v>
      </c>
      <c r="B33" s="16" t="s">
        <v>208</v>
      </c>
      <c r="C33" s="16" t="s">
        <v>209</v>
      </c>
      <c r="D33" s="17">
        <v>46061.0</v>
      </c>
      <c r="E33" s="18">
        <v>1.282</v>
      </c>
      <c r="F33" s="16" t="s">
        <v>117</v>
      </c>
      <c r="G33" s="24"/>
      <c r="H33" s="21">
        <v>-412.0841</v>
      </c>
      <c r="I33" s="16" t="s">
        <v>210</v>
      </c>
      <c r="J33" s="21">
        <v>2.6105</v>
      </c>
      <c r="K33" s="16">
        <v>7.41985E7</v>
      </c>
      <c r="L33" s="19">
        <v>0.01</v>
      </c>
      <c r="M33" s="19">
        <v>14.9359</v>
      </c>
      <c r="N33" s="16" t="s">
        <v>211</v>
      </c>
      <c r="O33" s="19">
        <v>15.4955</v>
      </c>
      <c r="P33" s="20">
        <v>1.632367E7</v>
      </c>
      <c r="Q33" s="21">
        <v>1.33</v>
      </c>
      <c r="R33" s="21">
        <v>1.11</v>
      </c>
      <c r="S33" s="21">
        <v>1.16</v>
      </c>
      <c r="T33" s="21">
        <v>0.1328</v>
      </c>
      <c r="U33" s="21">
        <v>34.9438</v>
      </c>
      <c r="V33" s="16">
        <v>1896354.0</v>
      </c>
      <c r="W33" s="21">
        <v>44.7976</v>
      </c>
      <c r="X33" s="20">
        <v>2088893.0</v>
      </c>
      <c r="Y33" s="21">
        <v>1.5397</v>
      </c>
      <c r="Z33" s="21">
        <v>988.2502</v>
      </c>
      <c r="AA33" s="19">
        <v>44.396</v>
      </c>
      <c r="AB33" s="21">
        <v>444.0</v>
      </c>
      <c r="AC33" s="24"/>
      <c r="AD33" s="24"/>
      <c r="AE33" s="24"/>
      <c r="AF33" s="21">
        <v>0.4383</v>
      </c>
      <c r="AG33" s="21">
        <v>1.6633</v>
      </c>
      <c r="AH33" s="16" t="b">
        <v>0</v>
      </c>
      <c r="AI33" s="16" t="b">
        <v>0</v>
      </c>
      <c r="AJ33" s="16" t="b">
        <v>0</v>
      </c>
      <c r="AK33" s="22">
        <f>IFERROR(__xludf.DUMMYFUNCTION("IFERROR(GOOGLEFINANCE(B33,""price""),"""")"),4.08)</f>
        <v>4.08</v>
      </c>
    </row>
    <row r="34">
      <c r="A34" s="7">
        <v>46056.6268757655</v>
      </c>
      <c r="B34" s="8" t="s">
        <v>212</v>
      </c>
      <c r="C34" s="8" t="s">
        <v>213</v>
      </c>
      <c r="D34" s="9">
        <v>46061.0</v>
      </c>
      <c r="E34" s="10">
        <v>1.02</v>
      </c>
      <c r="F34" s="8" t="s">
        <v>117</v>
      </c>
      <c r="G34" s="23"/>
      <c r="H34" s="13">
        <v>-0.1854</v>
      </c>
      <c r="I34" s="8" t="s">
        <v>214</v>
      </c>
      <c r="J34" s="13">
        <v>1.9827</v>
      </c>
      <c r="K34" s="8">
        <v>1.10957867E8</v>
      </c>
      <c r="L34" s="11">
        <v>0.23</v>
      </c>
      <c r="M34" s="11">
        <v>19.2688</v>
      </c>
      <c r="N34" s="8" t="s">
        <v>215</v>
      </c>
      <c r="O34" s="11">
        <v>78.6027</v>
      </c>
      <c r="P34" s="12">
        <v>6.5165555E7</v>
      </c>
      <c r="Q34" s="13">
        <v>1.22</v>
      </c>
      <c r="R34" s="13">
        <v>0.6327</v>
      </c>
      <c r="S34" s="13">
        <v>0.6782</v>
      </c>
      <c r="T34" s="13">
        <v>0.1149</v>
      </c>
      <c r="U34" s="13">
        <v>1.0031</v>
      </c>
      <c r="V34" s="8">
        <v>7075685.0</v>
      </c>
      <c r="W34" s="13">
        <v>114.1617</v>
      </c>
      <c r="X34" s="12">
        <v>2.7605924E7</v>
      </c>
      <c r="Y34" s="13">
        <v>0.7839</v>
      </c>
      <c r="Z34" s="13">
        <v>3.7633</v>
      </c>
      <c r="AA34" s="11">
        <v>65.0747</v>
      </c>
      <c r="AB34" s="13">
        <v>33.66</v>
      </c>
      <c r="AC34" s="23"/>
      <c r="AD34" s="23"/>
      <c r="AE34" s="23"/>
      <c r="AF34" s="23"/>
      <c r="AG34" s="13">
        <v>0.4201</v>
      </c>
      <c r="AH34" s="8" t="b">
        <v>0</v>
      </c>
      <c r="AI34" s="8" t="b">
        <v>0</v>
      </c>
      <c r="AJ34" s="8" t="b">
        <v>0</v>
      </c>
      <c r="AK34" s="14">
        <f>IFERROR(__xludf.DUMMYFUNCTION("IFERROR(GOOGLEFINANCE(B34,""price""),"""")"),0.19)</f>
        <v>0.19</v>
      </c>
    </row>
    <row r="35">
      <c r="A35" s="15">
        <v>46056.6268757655</v>
      </c>
      <c r="B35" s="16" t="s">
        <v>216</v>
      </c>
      <c r="C35" s="16" t="s">
        <v>217</v>
      </c>
      <c r="D35" s="17">
        <v>46061.0</v>
      </c>
      <c r="E35" s="18">
        <v>2.93</v>
      </c>
      <c r="F35" s="16" t="s">
        <v>88</v>
      </c>
      <c r="G35" s="21">
        <v>62.2081</v>
      </c>
      <c r="H35" s="21">
        <v>0.0471</v>
      </c>
      <c r="I35" s="16" t="s">
        <v>218</v>
      </c>
      <c r="J35" s="21">
        <v>1.8189</v>
      </c>
      <c r="K35" s="16">
        <v>1.02882061E8</v>
      </c>
      <c r="L35" s="19">
        <v>0.48</v>
      </c>
      <c r="M35" s="19">
        <v>14.6381</v>
      </c>
      <c r="N35" s="16" t="s">
        <v>219</v>
      </c>
      <c r="O35" s="19">
        <v>59.2391</v>
      </c>
      <c r="P35" s="20">
        <v>5.5556313E7</v>
      </c>
      <c r="Q35" s="21">
        <v>3.23</v>
      </c>
      <c r="R35" s="21">
        <v>2.69</v>
      </c>
      <c r="S35" s="21">
        <v>3.155</v>
      </c>
      <c r="T35" s="21">
        <v>0.3032</v>
      </c>
      <c r="U35" s="21">
        <v>1.2756</v>
      </c>
      <c r="V35" s="16">
        <v>7210430.0</v>
      </c>
      <c r="W35" s="21">
        <v>33.5221</v>
      </c>
      <c r="X35" s="20">
        <v>4.0798693E7</v>
      </c>
      <c r="Y35" s="21">
        <v>2.3509</v>
      </c>
      <c r="Z35" s="21">
        <v>5.8418</v>
      </c>
      <c r="AA35" s="19">
        <v>69.0352</v>
      </c>
      <c r="AB35" s="21">
        <v>23.27</v>
      </c>
      <c r="AC35" s="21">
        <v>3.4581</v>
      </c>
      <c r="AD35" s="21">
        <v>9.9384</v>
      </c>
      <c r="AE35" s="24"/>
      <c r="AF35" s="21">
        <v>0.277</v>
      </c>
      <c r="AG35" s="21">
        <v>2.7058</v>
      </c>
      <c r="AH35" s="16" t="b">
        <v>0</v>
      </c>
      <c r="AI35" s="16" t="b">
        <v>0</v>
      </c>
      <c r="AJ35" s="16" t="b">
        <v>0</v>
      </c>
      <c r="AK35" s="22">
        <f>IFERROR(__xludf.DUMMYFUNCTION("IFERROR(GOOGLEFINANCE(B35,""price""),"""")"),2.16)</f>
        <v>2.16</v>
      </c>
    </row>
    <row r="36">
      <c r="A36" s="7">
        <v>46056.6268757655</v>
      </c>
      <c r="B36" s="8" t="s">
        <v>220</v>
      </c>
      <c r="C36" s="8" t="s">
        <v>221</v>
      </c>
      <c r="D36" s="9">
        <v>46061.0</v>
      </c>
      <c r="E36" s="10">
        <v>2.0301</v>
      </c>
      <c r="F36" s="8" t="s">
        <v>186</v>
      </c>
      <c r="G36" s="23"/>
      <c r="H36" s="13">
        <v>-43.0002</v>
      </c>
      <c r="I36" s="8" t="s">
        <v>222</v>
      </c>
      <c r="J36" s="13">
        <v>1.6478</v>
      </c>
      <c r="K36" s="8">
        <v>2430431.0</v>
      </c>
      <c r="L36" s="11">
        <v>0.77</v>
      </c>
      <c r="M36" s="11">
        <v>25.7917</v>
      </c>
      <c r="N36" s="8" t="s">
        <v>223</v>
      </c>
      <c r="O36" s="11">
        <v>33.5592</v>
      </c>
      <c r="P36" s="12">
        <v>1438815.0</v>
      </c>
      <c r="Q36" s="13">
        <v>2.21</v>
      </c>
      <c r="R36" s="13">
        <v>1.618</v>
      </c>
      <c r="S36" s="13">
        <v>1.69</v>
      </c>
      <c r="T36" s="13">
        <v>0.4081</v>
      </c>
      <c r="U36" s="13">
        <v>1.0574</v>
      </c>
      <c r="V36" s="13">
        <v>171253.3</v>
      </c>
      <c r="W36" s="13">
        <v>48.0516</v>
      </c>
      <c r="X36" s="12">
        <v>1.4628098E7</v>
      </c>
      <c r="Y36" s="13">
        <v>3.9281</v>
      </c>
      <c r="Z36" s="13">
        <v>7.7572</v>
      </c>
      <c r="AA36" s="11">
        <v>31.6792</v>
      </c>
      <c r="AB36" s="13">
        <v>12.445</v>
      </c>
      <c r="AC36" s="13">
        <v>-257.387</v>
      </c>
      <c r="AD36" s="13">
        <v>-17.0857</v>
      </c>
      <c r="AE36" s="13">
        <v>-2.1453</v>
      </c>
      <c r="AF36" s="23"/>
      <c r="AG36" s="13">
        <v>0.3199</v>
      </c>
      <c r="AH36" s="8" t="b">
        <v>0</v>
      </c>
      <c r="AI36" s="8" t="b">
        <v>0</v>
      </c>
      <c r="AJ36" s="8" t="b">
        <v>0</v>
      </c>
      <c r="AK36" s="14">
        <f>IFERROR(__xludf.DUMMYFUNCTION("IFERROR(GOOGLEFINANCE(B36,""price""),"""")"),2.54)</f>
        <v>2.54</v>
      </c>
    </row>
    <row r="37">
      <c r="A37" s="15">
        <v>46056.6268757655</v>
      </c>
      <c r="B37" s="16" t="s">
        <v>224</v>
      </c>
      <c r="C37" s="16" t="s">
        <v>225</v>
      </c>
      <c r="D37" s="17">
        <v>46061.0</v>
      </c>
      <c r="E37" s="18">
        <v>5.0</v>
      </c>
      <c r="F37" s="16" t="s">
        <v>88</v>
      </c>
      <c r="G37" s="24"/>
      <c r="H37" s="24"/>
      <c r="I37" s="16" t="s">
        <v>226</v>
      </c>
      <c r="J37" s="21">
        <v>0.495</v>
      </c>
      <c r="K37" s="16">
        <v>1882491.0</v>
      </c>
      <c r="L37" s="19">
        <v>0.95</v>
      </c>
      <c r="M37" s="19">
        <v>17.2568</v>
      </c>
      <c r="N37" s="16" t="s">
        <v>227</v>
      </c>
      <c r="O37" s="19">
        <v>1.0101</v>
      </c>
      <c r="P37" s="20">
        <v>432973.0</v>
      </c>
      <c r="Q37" s="21">
        <v>5.06</v>
      </c>
      <c r="R37" s="21">
        <v>4.83</v>
      </c>
      <c r="S37" s="21">
        <v>4.98</v>
      </c>
      <c r="T37" s="21">
        <v>0.2359</v>
      </c>
      <c r="U37" s="21">
        <v>0.4981</v>
      </c>
      <c r="V37" s="21">
        <v>223806.4</v>
      </c>
      <c r="W37" s="21">
        <v>2.2768</v>
      </c>
      <c r="X37" s="20">
        <v>6.49082277E8</v>
      </c>
      <c r="Y37" s="21">
        <v>4.6238</v>
      </c>
      <c r="Z37" s="21">
        <v>5.1039</v>
      </c>
      <c r="AA37" s="19">
        <v>56.904</v>
      </c>
      <c r="AB37" s="21">
        <v>8.0</v>
      </c>
      <c r="AC37" s="21">
        <v>12.2411</v>
      </c>
      <c r="AD37" s="21">
        <v>13.3157</v>
      </c>
      <c r="AE37" s="21">
        <v>8.3279</v>
      </c>
      <c r="AF37" s="21">
        <v>0.4742</v>
      </c>
      <c r="AG37" s="21">
        <v>1.3973</v>
      </c>
      <c r="AH37" s="16" t="b">
        <v>1</v>
      </c>
      <c r="AI37" s="16" t="b">
        <v>1</v>
      </c>
      <c r="AJ37" s="16" t="b">
        <v>0</v>
      </c>
      <c r="AK37" s="22">
        <f>IFERROR(__xludf.DUMMYFUNCTION("IFERROR(GOOGLEFINANCE(B37,""price""),"""")"),4.62)</f>
        <v>4.62</v>
      </c>
    </row>
    <row r="38">
      <c r="A38" s="7">
        <v>46056.6268757655</v>
      </c>
      <c r="B38" s="8" t="s">
        <v>228</v>
      </c>
      <c r="C38" s="8" t="s">
        <v>229</v>
      </c>
      <c r="D38" s="9">
        <v>46061.0</v>
      </c>
      <c r="E38" s="10">
        <v>1.9601</v>
      </c>
      <c r="F38" s="8" t="s">
        <v>88</v>
      </c>
      <c r="G38" s="23"/>
      <c r="H38" s="13">
        <v>-595.0846</v>
      </c>
      <c r="I38" s="8" t="s">
        <v>118</v>
      </c>
      <c r="J38" s="13">
        <v>0.4282</v>
      </c>
      <c r="K38" s="8">
        <v>1.86856027E8</v>
      </c>
      <c r="L38" s="11">
        <v>0.09</v>
      </c>
      <c r="M38" s="11">
        <v>20.4144</v>
      </c>
      <c r="N38" s="8" t="s">
        <v>230</v>
      </c>
      <c r="O38" s="11">
        <v>17.3713</v>
      </c>
      <c r="P38" s="12">
        <v>5.2301002E7</v>
      </c>
      <c r="Q38" s="13">
        <v>2.0999</v>
      </c>
      <c r="R38" s="13">
        <v>1.82</v>
      </c>
      <c r="S38" s="13">
        <v>1.96</v>
      </c>
      <c r="T38" s="13">
        <v>0.2623</v>
      </c>
      <c r="U38" s="13">
        <v>6.1426</v>
      </c>
      <c r="V38" s="8">
        <v>1.3766637E7</v>
      </c>
      <c r="W38" s="13">
        <v>6.1142</v>
      </c>
      <c r="X38" s="12">
        <v>1.5630582E7</v>
      </c>
      <c r="Y38" s="13">
        <v>2.8615</v>
      </c>
      <c r="Z38" s="13">
        <v>107.8103</v>
      </c>
      <c r="AA38" s="11">
        <v>37.7243</v>
      </c>
      <c r="AB38" s="13">
        <v>43.4232</v>
      </c>
      <c r="AC38" s="13">
        <v>-166.002</v>
      </c>
      <c r="AD38" s="13">
        <v>-5396.7082</v>
      </c>
      <c r="AE38" s="13">
        <v>347.7438</v>
      </c>
      <c r="AF38" s="13">
        <v>0.174</v>
      </c>
      <c r="AG38" s="13">
        <v>9.9903</v>
      </c>
      <c r="AH38" s="8" t="b">
        <v>0</v>
      </c>
      <c r="AI38" s="8" t="b">
        <v>1</v>
      </c>
      <c r="AJ38" s="8" t="b">
        <v>0</v>
      </c>
      <c r="AK38" s="14">
        <f>IFERROR(__xludf.DUMMYFUNCTION("IFERROR(GOOGLEFINANCE(B38,""price""),"""")"),1.5)</f>
        <v>1.5</v>
      </c>
    </row>
    <row r="39">
      <c r="A39" s="15">
        <v>46056.6268757655</v>
      </c>
      <c r="B39" s="16" t="s">
        <v>231</v>
      </c>
      <c r="C39" s="16" t="s">
        <v>232</v>
      </c>
      <c r="D39" s="17">
        <v>46061.0</v>
      </c>
      <c r="E39" s="18">
        <v>1.965</v>
      </c>
      <c r="F39" s="16" t="s">
        <v>117</v>
      </c>
      <c r="G39" s="24"/>
      <c r="H39" s="21">
        <v>-0.8638</v>
      </c>
      <c r="I39" s="16" t="s">
        <v>118</v>
      </c>
      <c r="J39" s="21">
        <v>0.4074</v>
      </c>
      <c r="K39" s="16">
        <v>4.2806575E7</v>
      </c>
      <c r="L39" s="19">
        <v>0.77</v>
      </c>
      <c r="M39" s="19">
        <v>22.0733</v>
      </c>
      <c r="N39" s="16" t="s">
        <v>233</v>
      </c>
      <c r="O39" s="19">
        <v>0.2551</v>
      </c>
      <c r="P39" s="20">
        <v>5136789.0</v>
      </c>
      <c r="Q39" s="21">
        <v>2.02</v>
      </c>
      <c r="R39" s="21">
        <v>1.9</v>
      </c>
      <c r="S39" s="21">
        <v>1.97</v>
      </c>
      <c r="T39" s="21">
        <v>0.1244</v>
      </c>
      <c r="U39" s="21">
        <v>0.3223</v>
      </c>
      <c r="V39" s="16">
        <v>2398352.0</v>
      </c>
      <c r="W39" s="21">
        <v>2.4878</v>
      </c>
      <c r="X39" s="20">
        <v>1.67357761E8</v>
      </c>
      <c r="Y39" s="21">
        <v>2.2134</v>
      </c>
      <c r="Z39" s="21">
        <v>1.9423</v>
      </c>
      <c r="AA39" s="19">
        <v>44.9766</v>
      </c>
      <c r="AB39" s="21">
        <v>3.06</v>
      </c>
      <c r="AC39" s="21">
        <v>-260.6519</v>
      </c>
      <c r="AD39" s="24"/>
      <c r="AE39" s="24"/>
      <c r="AF39" s="21">
        <v>2.7905</v>
      </c>
      <c r="AG39" s="21">
        <v>8.2355</v>
      </c>
      <c r="AH39" s="16" t="b">
        <v>0</v>
      </c>
      <c r="AI39" s="16" t="b">
        <v>1</v>
      </c>
      <c r="AJ39" s="16" t="b">
        <v>0</v>
      </c>
      <c r="AK39" s="22">
        <f>IFERROR(__xludf.DUMMYFUNCTION("IFERROR(GOOGLEFINANCE(B39,""price""),"""")"),2.02)</f>
        <v>2.02</v>
      </c>
    </row>
    <row r="40">
      <c r="A40" s="7">
        <v>46056.6268757655</v>
      </c>
      <c r="B40" s="8" t="s">
        <v>234</v>
      </c>
      <c r="C40" s="8" t="s">
        <v>235</v>
      </c>
      <c r="D40" s="9">
        <v>46061.0</v>
      </c>
      <c r="E40" s="10">
        <v>1.74</v>
      </c>
      <c r="F40" s="8" t="s">
        <v>117</v>
      </c>
      <c r="G40" s="23"/>
      <c r="H40" s="13">
        <v>-625.12</v>
      </c>
      <c r="I40" s="8" t="s">
        <v>118</v>
      </c>
      <c r="J40" s="13">
        <v>0.2683</v>
      </c>
      <c r="K40" s="8">
        <v>1.0146657E7</v>
      </c>
      <c r="L40" s="11">
        <v>0.06</v>
      </c>
      <c r="M40" s="11">
        <v>20.7658</v>
      </c>
      <c r="N40" s="8" t="s">
        <v>236</v>
      </c>
      <c r="O40" s="11">
        <v>3.5714</v>
      </c>
      <c r="P40" s="12">
        <v>1420532.0</v>
      </c>
      <c r="Q40" s="13">
        <v>1.79</v>
      </c>
      <c r="R40" s="13">
        <v>1.65</v>
      </c>
      <c r="S40" s="13">
        <v>1.73</v>
      </c>
      <c r="T40" s="13">
        <v>0.2343</v>
      </c>
      <c r="U40" s="13">
        <v>7.7673</v>
      </c>
      <c r="V40" s="13">
        <v>756860.5</v>
      </c>
      <c r="W40" s="13">
        <v>2.1586</v>
      </c>
      <c r="X40" s="12">
        <v>5.0452E7</v>
      </c>
      <c r="Y40" s="13">
        <v>2.3972</v>
      </c>
      <c r="Z40" s="13">
        <v>117.959</v>
      </c>
      <c r="AA40" s="11">
        <v>36.2454</v>
      </c>
      <c r="AB40" s="13">
        <v>211.2021</v>
      </c>
      <c r="AC40" s="13">
        <v>-47.4719</v>
      </c>
      <c r="AD40" s="13">
        <v>-4687.969</v>
      </c>
      <c r="AE40" s="23"/>
      <c r="AF40" s="13">
        <v>0.0176</v>
      </c>
      <c r="AG40" s="13">
        <v>3.7365</v>
      </c>
      <c r="AH40" s="8" t="b">
        <v>0</v>
      </c>
      <c r="AI40" s="8" t="b">
        <v>1</v>
      </c>
      <c r="AJ40" s="8" t="b">
        <v>0</v>
      </c>
      <c r="AK40" s="14">
        <f>IFERROR(__xludf.DUMMYFUNCTION("IFERROR(GOOGLEFINANCE(B40,""price""),"""")"),1.67)</f>
        <v>1.67</v>
      </c>
    </row>
    <row r="41">
      <c r="A41" s="15">
        <v>46056.6268757655</v>
      </c>
      <c r="B41" s="16" t="s">
        <v>237</v>
      </c>
      <c r="C41" s="16" t="s">
        <v>238</v>
      </c>
      <c r="D41" s="17">
        <v>46061.0</v>
      </c>
      <c r="E41" s="18">
        <v>1.495</v>
      </c>
      <c r="F41" s="16" t="s">
        <v>117</v>
      </c>
      <c r="G41" s="24"/>
      <c r="H41" s="21">
        <v>-1.5917</v>
      </c>
      <c r="I41" s="16" t="s">
        <v>118</v>
      </c>
      <c r="J41" s="21">
        <v>0.2514</v>
      </c>
      <c r="K41" s="16">
        <v>8189432.0</v>
      </c>
      <c r="L41" s="19">
        <v>0.67</v>
      </c>
      <c r="M41" s="19">
        <v>23.8679</v>
      </c>
      <c r="N41" s="16" t="s">
        <v>239</v>
      </c>
      <c r="O41" s="19">
        <v>-2.2876</v>
      </c>
      <c r="P41" s="20">
        <v>1269362.0</v>
      </c>
      <c r="Q41" s="21">
        <v>1.64</v>
      </c>
      <c r="R41" s="21">
        <v>1.485</v>
      </c>
      <c r="S41" s="21">
        <v>1.51</v>
      </c>
      <c r="T41" s="21">
        <v>0.1981</v>
      </c>
      <c r="U41" s="21">
        <v>0.5879</v>
      </c>
      <c r="V41" s="21">
        <v>552627.9</v>
      </c>
      <c r="W41" s="21">
        <v>2.606</v>
      </c>
      <c r="X41" s="20">
        <v>9.3084998E7</v>
      </c>
      <c r="Y41" s="21">
        <v>2.6172</v>
      </c>
      <c r="Z41" s="21">
        <v>2.337</v>
      </c>
      <c r="AA41" s="19">
        <v>38.6742</v>
      </c>
      <c r="AB41" s="21">
        <v>5.55</v>
      </c>
      <c r="AC41" s="21">
        <v>-87.2844</v>
      </c>
      <c r="AD41" s="21">
        <v>-3022.3404</v>
      </c>
      <c r="AE41" s="21">
        <v>-82.5344</v>
      </c>
      <c r="AF41" s="21">
        <v>0.2773</v>
      </c>
      <c r="AG41" s="21">
        <v>4.2861</v>
      </c>
      <c r="AH41" s="16" t="b">
        <v>0</v>
      </c>
      <c r="AI41" s="16" t="b">
        <v>1</v>
      </c>
      <c r="AJ41" s="16" t="b">
        <v>0</v>
      </c>
      <c r="AK41" s="22">
        <f>IFERROR(__xludf.DUMMYFUNCTION("IFERROR(GOOGLEFINANCE(B41,""price""),"""")"),1.7)</f>
        <v>1.7</v>
      </c>
    </row>
    <row r="42">
      <c r="A42" s="7">
        <v>46056.6268757655</v>
      </c>
      <c r="B42" s="8" t="s">
        <v>240</v>
      </c>
      <c r="C42" s="8" t="s">
        <v>241</v>
      </c>
      <c r="D42" s="9">
        <v>46061.0</v>
      </c>
      <c r="E42" s="10">
        <v>4.95</v>
      </c>
      <c r="F42" s="8" t="s">
        <v>88</v>
      </c>
      <c r="G42" s="23"/>
      <c r="H42" s="13">
        <v>-0.729</v>
      </c>
      <c r="I42" s="8" t="s">
        <v>179</v>
      </c>
      <c r="J42" s="13">
        <v>0.2331</v>
      </c>
      <c r="K42" s="8">
        <v>1.3616019E7</v>
      </c>
      <c r="L42" s="11">
        <v>0.82</v>
      </c>
      <c r="M42" s="11">
        <v>8.4093</v>
      </c>
      <c r="N42" s="8" t="s">
        <v>242</v>
      </c>
      <c r="O42" s="11">
        <v>-1.7857</v>
      </c>
      <c r="P42" s="12">
        <v>5106007.0</v>
      </c>
      <c r="Q42" s="13">
        <v>5.09</v>
      </c>
      <c r="R42" s="13">
        <v>4.715</v>
      </c>
      <c r="S42" s="13">
        <v>5.05</v>
      </c>
      <c r="T42" s="13">
        <v>0.3481</v>
      </c>
      <c r="U42" s="13">
        <v>0.8496</v>
      </c>
      <c r="V42" s="8">
        <v>2965215.0</v>
      </c>
      <c r="W42" s="13">
        <v>1.7656</v>
      </c>
      <c r="X42" s="12">
        <v>5.55137028E8</v>
      </c>
      <c r="Y42" s="13">
        <v>5.0337</v>
      </c>
      <c r="Z42" s="13">
        <v>4.9265</v>
      </c>
      <c r="AA42" s="11">
        <v>43.6477</v>
      </c>
      <c r="AB42" s="13">
        <v>8.2799</v>
      </c>
      <c r="AC42" s="13">
        <v>-46.8726</v>
      </c>
      <c r="AD42" s="13">
        <v>-3.4729</v>
      </c>
      <c r="AE42" s="13">
        <v>6.8185</v>
      </c>
      <c r="AF42" s="13">
        <v>2.7334</v>
      </c>
      <c r="AG42" s="13">
        <v>1.1001</v>
      </c>
      <c r="AH42" s="8" t="b">
        <v>1</v>
      </c>
      <c r="AI42" s="8" t="b">
        <v>0</v>
      </c>
      <c r="AJ42" s="8" t="b">
        <v>0</v>
      </c>
      <c r="AK42" s="14">
        <f>IFERROR(__xludf.DUMMYFUNCTION("IFERROR(GOOGLEFINANCE(B42,""price""),"""")"),2.82)</f>
        <v>2.82</v>
      </c>
    </row>
    <row r="43">
      <c r="A43" s="15">
        <v>46056.6268757655</v>
      </c>
      <c r="B43" s="16" t="s">
        <v>243</v>
      </c>
      <c r="C43" s="16" t="s">
        <v>244</v>
      </c>
      <c r="D43" s="17">
        <v>46061.0</v>
      </c>
      <c r="E43" s="18">
        <v>0.6605</v>
      </c>
      <c r="F43" s="16" t="s">
        <v>245</v>
      </c>
      <c r="G43" s="24"/>
      <c r="H43" s="21">
        <v>-1.0207</v>
      </c>
      <c r="I43" s="16" t="s">
        <v>138</v>
      </c>
      <c r="J43" s="21">
        <v>0.2147</v>
      </c>
      <c r="K43" s="16">
        <v>1.9828766E7</v>
      </c>
      <c r="L43" s="19">
        <v>0.85</v>
      </c>
      <c r="M43" s="19">
        <v>17.3834</v>
      </c>
      <c r="N43" s="16" t="s">
        <v>246</v>
      </c>
      <c r="O43" s="19">
        <v>4.8413</v>
      </c>
      <c r="P43" s="20">
        <v>931952.0</v>
      </c>
      <c r="Q43" s="21">
        <v>0.679</v>
      </c>
      <c r="R43" s="21">
        <v>0.632</v>
      </c>
      <c r="S43" s="21">
        <v>0.66</v>
      </c>
      <c r="T43" s="21">
        <v>0.076</v>
      </c>
      <c r="U43" s="21">
        <v>0.1797</v>
      </c>
      <c r="V43" s="21">
        <v>656966.8</v>
      </c>
      <c r="W43" s="21">
        <v>1.5275</v>
      </c>
      <c r="X43" s="20">
        <v>8124647.0</v>
      </c>
      <c r="Y43" s="21">
        <v>0.8296</v>
      </c>
      <c r="Z43" s="21">
        <v>1.27</v>
      </c>
      <c r="AA43" s="19">
        <v>35.396</v>
      </c>
      <c r="AB43" s="21">
        <v>2.29</v>
      </c>
      <c r="AC43" s="21">
        <v>-71.5129</v>
      </c>
      <c r="AD43" s="21">
        <v>-1322.2105</v>
      </c>
      <c r="AE43" s="21">
        <v>87.0199</v>
      </c>
      <c r="AF43" s="21">
        <v>0.0413</v>
      </c>
      <c r="AG43" s="21">
        <v>0.5768</v>
      </c>
      <c r="AH43" s="16" t="b">
        <v>0</v>
      </c>
      <c r="AI43" s="16" t="b">
        <v>1</v>
      </c>
      <c r="AJ43" s="16" t="b">
        <v>0</v>
      </c>
      <c r="AK43" s="22">
        <f>IFERROR(__xludf.DUMMYFUNCTION("IFERROR(GOOGLEFINANCE(B43,""price""),"""")"),0.5)</f>
        <v>0.5</v>
      </c>
    </row>
    <row r="44">
      <c r="A44" s="7">
        <v>46056.6268757655</v>
      </c>
      <c r="B44" s="8" t="s">
        <v>247</v>
      </c>
      <c r="C44" s="8" t="s">
        <v>248</v>
      </c>
      <c r="D44" s="9">
        <v>46061.0</v>
      </c>
      <c r="E44" s="10">
        <v>2.03</v>
      </c>
      <c r="F44" s="8" t="s">
        <v>117</v>
      </c>
      <c r="G44" s="23"/>
      <c r="H44" s="13">
        <v>-0.5445</v>
      </c>
      <c r="I44" s="8" t="s">
        <v>145</v>
      </c>
      <c r="J44" s="13">
        <v>0.1959</v>
      </c>
      <c r="K44" s="8">
        <v>8977748.0</v>
      </c>
      <c r="L44" s="11">
        <v>0.65</v>
      </c>
      <c r="M44" s="11">
        <v>13.296</v>
      </c>
      <c r="N44" s="8" t="s">
        <v>249</v>
      </c>
      <c r="O44" s="11">
        <v>-0.4902</v>
      </c>
      <c r="P44" s="12">
        <v>1849416.0</v>
      </c>
      <c r="Q44" s="13">
        <v>2.09</v>
      </c>
      <c r="R44" s="13">
        <v>1.884</v>
      </c>
      <c r="S44" s="13">
        <v>2.02</v>
      </c>
      <c r="T44" s="13">
        <v>0.1471</v>
      </c>
      <c r="U44" s="13">
        <v>0.4501</v>
      </c>
      <c r="V44" s="13">
        <v>980010.4</v>
      </c>
      <c r="W44" s="13">
        <v>1.9878</v>
      </c>
      <c r="X44" s="12">
        <v>6.10693794E8</v>
      </c>
      <c r="Y44" s="13">
        <v>2.249</v>
      </c>
      <c r="Z44" s="13">
        <v>2.2464</v>
      </c>
      <c r="AA44" s="11">
        <v>40.4743</v>
      </c>
      <c r="AB44" s="13">
        <v>7.13</v>
      </c>
      <c r="AC44" s="23"/>
      <c r="AD44" s="13">
        <v>-22296.1022</v>
      </c>
      <c r="AE44" s="23"/>
      <c r="AF44" s="23"/>
      <c r="AG44" s="13">
        <v>10.322</v>
      </c>
      <c r="AH44" s="8" t="b">
        <v>1</v>
      </c>
      <c r="AI44" s="8" t="b">
        <v>1</v>
      </c>
      <c r="AJ44" s="8" t="b">
        <v>0</v>
      </c>
      <c r="AK44" s="14">
        <f>IFERROR(__xludf.DUMMYFUNCTION("IFERROR(GOOGLEFINANCE(B44,""price""),"""")"),1.95)</f>
        <v>1.95</v>
      </c>
    </row>
    <row r="45">
      <c r="A45" s="15">
        <v>46056.6268757655</v>
      </c>
      <c r="B45" s="16" t="s">
        <v>250</v>
      </c>
      <c r="C45" s="16" t="s">
        <v>251</v>
      </c>
      <c r="D45" s="17">
        <v>46061.0</v>
      </c>
      <c r="E45" s="18">
        <v>1.535</v>
      </c>
      <c r="F45" s="16" t="s">
        <v>117</v>
      </c>
      <c r="G45" s="24"/>
      <c r="H45" s="21">
        <v>-1.6976</v>
      </c>
      <c r="I45" s="16" t="s">
        <v>118</v>
      </c>
      <c r="J45" s="21">
        <v>0.1382</v>
      </c>
      <c r="K45" s="16">
        <v>8547950.0</v>
      </c>
      <c r="L45" s="19">
        <v>0.66</v>
      </c>
      <c r="M45" s="19">
        <v>15.7051</v>
      </c>
      <c r="N45" s="16" t="s">
        <v>252</v>
      </c>
      <c r="O45" s="19">
        <v>5.137</v>
      </c>
      <c r="P45" s="20">
        <v>2222467.0</v>
      </c>
      <c r="Q45" s="21">
        <v>1.74</v>
      </c>
      <c r="R45" s="21">
        <v>1.48</v>
      </c>
      <c r="S45" s="21">
        <v>1.555</v>
      </c>
      <c r="T45" s="21">
        <v>0.1059</v>
      </c>
      <c r="U45" s="21">
        <v>0.3207</v>
      </c>
      <c r="V45" s="16">
        <v>1017352.0</v>
      </c>
      <c r="W45" s="21">
        <v>2.3408</v>
      </c>
      <c r="X45" s="20">
        <v>1.43473446E8</v>
      </c>
      <c r="Y45" s="21">
        <v>1.6783</v>
      </c>
      <c r="Z45" s="21">
        <v>1.8141</v>
      </c>
      <c r="AA45" s="19">
        <v>46.7426</v>
      </c>
      <c r="AB45" s="21">
        <v>3.535</v>
      </c>
      <c r="AC45" s="21">
        <v>-74.2833</v>
      </c>
      <c r="AD45" s="21">
        <v>-1577.3642</v>
      </c>
      <c r="AE45" s="21">
        <v>-18.9978</v>
      </c>
      <c r="AF45" s="21">
        <v>0.1795</v>
      </c>
      <c r="AG45" s="21">
        <v>5.5423</v>
      </c>
      <c r="AH45" s="16" t="b">
        <v>0</v>
      </c>
      <c r="AI45" s="16" t="b">
        <v>1</v>
      </c>
      <c r="AJ45" s="16" t="b">
        <v>0</v>
      </c>
      <c r="AK45" s="22">
        <f>IFERROR(__xludf.DUMMYFUNCTION("IFERROR(GOOGLEFINANCE(B45,""price""),"""")"),1.93)</f>
        <v>1.93</v>
      </c>
    </row>
    <row r="46">
      <c r="A46" s="7">
        <v>46056.6268757655</v>
      </c>
      <c r="B46" s="8" t="s">
        <v>253</v>
      </c>
      <c r="C46" s="8" t="s">
        <v>254</v>
      </c>
      <c r="D46" s="9">
        <v>46061.0</v>
      </c>
      <c r="E46" s="10">
        <v>1.2</v>
      </c>
      <c r="F46" s="8" t="s">
        <v>117</v>
      </c>
      <c r="G46" s="23"/>
      <c r="H46" s="13">
        <v>-2.1105</v>
      </c>
      <c r="I46" s="8" t="s">
        <v>145</v>
      </c>
      <c r="J46" s="13">
        <v>0.117</v>
      </c>
      <c r="K46" s="8">
        <v>3183927.0</v>
      </c>
      <c r="L46" s="11">
        <v>0.62</v>
      </c>
      <c r="M46" s="11">
        <v>26.4804</v>
      </c>
      <c r="N46" s="8" t="s">
        <v>255</v>
      </c>
      <c r="O46" s="11">
        <v>0.8403</v>
      </c>
      <c r="P46" s="12">
        <v>509110.0</v>
      </c>
      <c r="Q46" s="13">
        <v>1.23</v>
      </c>
      <c r="R46" s="13">
        <v>1.0701</v>
      </c>
      <c r="S46" s="13">
        <v>1.2</v>
      </c>
      <c r="T46" s="13">
        <v>0.1327</v>
      </c>
      <c r="U46" s="13">
        <v>0.4294</v>
      </c>
      <c r="V46" s="13">
        <v>352417.2</v>
      </c>
      <c r="W46" s="13">
        <v>1.5584</v>
      </c>
      <c r="X46" s="12">
        <v>3.0136975E7</v>
      </c>
      <c r="Y46" s="13">
        <v>1.6383</v>
      </c>
      <c r="Z46" s="13">
        <v>2.3559</v>
      </c>
      <c r="AA46" s="11">
        <v>30.4345</v>
      </c>
      <c r="AB46" s="13">
        <v>8.94</v>
      </c>
      <c r="AC46" s="13">
        <v>-2237.5395</v>
      </c>
      <c r="AD46" s="23"/>
      <c r="AE46" s="23"/>
      <c r="AF46" s="23"/>
      <c r="AG46" s="13">
        <v>0.9178</v>
      </c>
      <c r="AH46" s="8" t="b">
        <v>1</v>
      </c>
      <c r="AI46" s="8" t="b">
        <v>1</v>
      </c>
      <c r="AJ46" s="8" t="b">
        <v>0</v>
      </c>
      <c r="AK46" s="14">
        <f>IFERROR(__xludf.DUMMYFUNCTION("IFERROR(GOOGLEFINANCE(B46,""price""),"""")"),0.41)</f>
        <v>0.41</v>
      </c>
    </row>
    <row r="47">
      <c r="A47" s="7">
        <v>46057.45497972861</v>
      </c>
      <c r="B47" s="8" t="s">
        <v>256</v>
      </c>
      <c r="C47" s="8" t="s">
        <v>257</v>
      </c>
      <c r="D47" s="9">
        <v>46061.0</v>
      </c>
      <c r="E47" s="10">
        <v>1.007</v>
      </c>
      <c r="F47" s="8" t="s">
        <v>117</v>
      </c>
      <c r="G47" s="23"/>
      <c r="H47" s="13">
        <v>-0.4908</v>
      </c>
      <c r="I47" s="8" t="s">
        <v>258</v>
      </c>
      <c r="J47" s="13">
        <v>18.4674</v>
      </c>
      <c r="K47" s="8">
        <v>4.4752274E7</v>
      </c>
      <c r="L47" s="11">
        <v>0.81</v>
      </c>
      <c r="M47" s="11">
        <v>10.7853</v>
      </c>
      <c r="N47" s="8" t="s">
        <v>259</v>
      </c>
      <c r="O47" s="11">
        <v>-3.1731</v>
      </c>
      <c r="P47" s="12">
        <v>1.1631116E7</v>
      </c>
      <c r="Q47" s="13">
        <v>1.24</v>
      </c>
      <c r="R47" s="13">
        <v>0.9801</v>
      </c>
      <c r="S47" s="13">
        <v>1.2</v>
      </c>
      <c r="T47" s="13">
        <v>0.0667</v>
      </c>
      <c r="U47" s="13">
        <v>0.1641</v>
      </c>
      <c r="V47" s="8">
        <v>1185816.0</v>
      </c>
      <c r="W47" s="13">
        <v>476.6323</v>
      </c>
      <c r="X47" s="12">
        <v>8779220.0</v>
      </c>
      <c r="Y47" s="13">
        <v>1.0628</v>
      </c>
      <c r="Z47" s="13">
        <v>1.3635</v>
      </c>
      <c r="AA47" s="11">
        <v>42.6585</v>
      </c>
      <c r="AB47" s="13">
        <v>2.42</v>
      </c>
      <c r="AC47" s="23"/>
      <c r="AD47" s="13">
        <v>-279.3754</v>
      </c>
      <c r="AE47" s="13">
        <v>-29.7807</v>
      </c>
      <c r="AF47" s="13">
        <v>2.2067</v>
      </c>
      <c r="AG47" s="13">
        <v>4.9232</v>
      </c>
      <c r="AH47" s="8" t="b">
        <v>0</v>
      </c>
      <c r="AI47" s="8" t="b">
        <v>0</v>
      </c>
      <c r="AJ47" s="8" t="b">
        <v>0</v>
      </c>
      <c r="AK47" s="14">
        <f>IFERROR(__xludf.DUMMYFUNCTION("IFERROR(GOOGLEFINANCE(B47,""price""),"""")"),0.81)</f>
        <v>0.81</v>
      </c>
    </row>
    <row r="48">
      <c r="A48" s="15">
        <v>46057.45497972861</v>
      </c>
      <c r="B48" s="16" t="s">
        <v>260</v>
      </c>
      <c r="C48" s="16" t="s">
        <v>261</v>
      </c>
      <c r="D48" s="17">
        <v>46061.0</v>
      </c>
      <c r="E48" s="18">
        <v>0.7674</v>
      </c>
      <c r="F48" s="16" t="s">
        <v>149</v>
      </c>
      <c r="G48" s="24"/>
      <c r="H48" s="24"/>
      <c r="I48" s="16" t="s">
        <v>262</v>
      </c>
      <c r="J48" s="21">
        <v>1.533</v>
      </c>
      <c r="K48" s="16">
        <v>3.8017915E7</v>
      </c>
      <c r="L48" s="19">
        <v>0.6</v>
      </c>
      <c r="M48" s="19">
        <v>16.9862</v>
      </c>
      <c r="N48" s="16" t="s">
        <v>263</v>
      </c>
      <c r="O48" s="19">
        <v>-9.7011</v>
      </c>
      <c r="P48" s="20">
        <v>3482441.0</v>
      </c>
      <c r="Q48" s="21">
        <v>0.82</v>
      </c>
      <c r="R48" s="21">
        <v>0.7284</v>
      </c>
      <c r="S48" s="21">
        <v>0.82</v>
      </c>
      <c r="T48" s="21">
        <v>0.0822</v>
      </c>
      <c r="U48" s="21">
        <v>0.2722</v>
      </c>
      <c r="V48" s="21">
        <v>531620.0</v>
      </c>
      <c r="W48" s="21">
        <v>18.2978</v>
      </c>
      <c r="X48" s="20">
        <v>1.0008476E7</v>
      </c>
      <c r="Y48" s="21">
        <v>1.1125</v>
      </c>
      <c r="Z48" s="21">
        <v>1.2659</v>
      </c>
      <c r="AA48" s="19">
        <v>28.4963</v>
      </c>
      <c r="AB48" s="21">
        <v>3.07</v>
      </c>
      <c r="AC48" s="21">
        <v>-4195.2463</v>
      </c>
      <c r="AD48" s="24"/>
      <c r="AE48" s="24"/>
      <c r="AF48" s="24"/>
      <c r="AG48" s="21">
        <v>0.3374</v>
      </c>
      <c r="AH48" s="16" t="b">
        <v>0</v>
      </c>
      <c r="AI48" s="16" t="b">
        <v>0</v>
      </c>
      <c r="AJ48" s="16" t="b">
        <v>0</v>
      </c>
      <c r="AK48" s="22">
        <f>IFERROR(__xludf.DUMMYFUNCTION("IFERROR(GOOGLEFINANCE(B48,""price""),"""")"),0.45)</f>
        <v>0.45</v>
      </c>
    </row>
    <row r="49">
      <c r="A49" s="7">
        <v>46057.45497972861</v>
      </c>
      <c r="B49" s="8" t="s">
        <v>264</v>
      </c>
      <c r="C49" s="8" t="s">
        <v>265</v>
      </c>
      <c r="D49" s="9">
        <v>46061.0</v>
      </c>
      <c r="E49" s="10">
        <v>1.88</v>
      </c>
      <c r="F49" s="8" t="s">
        <v>102</v>
      </c>
      <c r="G49" s="23"/>
      <c r="H49" s="13">
        <v>-27.52</v>
      </c>
      <c r="I49" s="8" t="s">
        <v>118</v>
      </c>
      <c r="J49" s="13">
        <v>0.0504</v>
      </c>
      <c r="K49" s="8">
        <v>2149949.0</v>
      </c>
      <c r="L49" s="11">
        <v>0.15</v>
      </c>
      <c r="M49" s="11">
        <v>12.3367</v>
      </c>
      <c r="N49" s="8" t="s">
        <v>266</v>
      </c>
      <c r="O49" s="11">
        <v>3.5813</v>
      </c>
      <c r="P49" s="12">
        <v>1827457.0</v>
      </c>
      <c r="Q49" s="13">
        <v>2.65</v>
      </c>
      <c r="R49" s="13">
        <v>1.8</v>
      </c>
      <c r="S49" s="13">
        <v>1.89</v>
      </c>
      <c r="T49" s="13">
        <v>20.5301</v>
      </c>
      <c r="U49" s="13">
        <v>271.9649</v>
      </c>
      <c r="V49" s="13">
        <v>953799.864</v>
      </c>
      <c r="W49" s="13">
        <v>2.278</v>
      </c>
      <c r="X49" s="12">
        <v>2297603.0</v>
      </c>
      <c r="Y49" s="13">
        <v>131.9313</v>
      </c>
      <c r="Z49" s="13">
        <v>1016.4515</v>
      </c>
      <c r="AA49" s="11">
        <v>23.0173</v>
      </c>
      <c r="AB49" s="13">
        <v>5206.0</v>
      </c>
      <c r="AC49" s="13">
        <v>-81.8432</v>
      </c>
      <c r="AD49" s="13">
        <v>-45.2851</v>
      </c>
      <c r="AE49" s="23"/>
      <c r="AF49" s="13">
        <v>0.2265</v>
      </c>
      <c r="AG49" s="13">
        <v>1.649</v>
      </c>
      <c r="AH49" s="8" t="b">
        <v>0</v>
      </c>
      <c r="AI49" s="8" t="b">
        <v>1</v>
      </c>
      <c r="AJ49" s="8" t="b">
        <v>0</v>
      </c>
      <c r="AK49" s="14">
        <f>IFERROR(__xludf.DUMMYFUNCTION("IFERROR(GOOGLEFINANCE(B49,""price""),"""")"),1.22)</f>
        <v>1.22</v>
      </c>
    </row>
    <row r="50">
      <c r="A50" s="7">
        <v>46057.62728676583</v>
      </c>
      <c r="B50" s="8" t="s">
        <v>256</v>
      </c>
      <c r="C50" s="8" t="s">
        <v>257</v>
      </c>
      <c r="D50" s="9">
        <v>46061.0</v>
      </c>
      <c r="E50" s="10">
        <v>1.11</v>
      </c>
      <c r="F50" s="8" t="s">
        <v>117</v>
      </c>
      <c r="G50" s="23"/>
      <c r="H50" s="13">
        <v>-0.4908</v>
      </c>
      <c r="I50" s="8" t="s">
        <v>267</v>
      </c>
      <c r="J50" s="13">
        <v>21.9566</v>
      </c>
      <c r="K50" s="8">
        <v>4.8270227E7</v>
      </c>
      <c r="L50" s="11">
        <v>0.81</v>
      </c>
      <c r="M50" s="11">
        <v>10.7853</v>
      </c>
      <c r="N50" s="8" t="s">
        <v>259</v>
      </c>
      <c r="O50" s="11">
        <v>6.7308</v>
      </c>
      <c r="P50" s="12">
        <v>1.2545432E7</v>
      </c>
      <c r="Q50" s="13">
        <v>1.24</v>
      </c>
      <c r="R50" s="13">
        <v>0.9801</v>
      </c>
      <c r="S50" s="13">
        <v>1.2</v>
      </c>
      <c r="T50" s="13">
        <v>0.0667</v>
      </c>
      <c r="U50" s="13">
        <v>0.1641</v>
      </c>
      <c r="V50" s="8">
        <v>1277247.0</v>
      </c>
      <c r="W50" s="13">
        <v>514.1002</v>
      </c>
      <c r="X50" s="12">
        <v>9677193.0</v>
      </c>
      <c r="Y50" s="13">
        <v>1.0648</v>
      </c>
      <c r="Z50" s="13">
        <v>1.3645</v>
      </c>
      <c r="AA50" s="11">
        <v>57.8407</v>
      </c>
      <c r="AB50" s="13">
        <v>2.42</v>
      </c>
      <c r="AC50" s="23"/>
      <c r="AD50" s="13">
        <v>-279.3754</v>
      </c>
      <c r="AE50" s="13">
        <v>-29.7807</v>
      </c>
      <c r="AF50" s="13">
        <v>2.2067</v>
      </c>
      <c r="AG50" s="13">
        <v>4.9232</v>
      </c>
      <c r="AH50" s="8" t="b">
        <v>0</v>
      </c>
      <c r="AI50" s="8" t="b">
        <v>0</v>
      </c>
      <c r="AJ50" s="8" t="b">
        <v>0</v>
      </c>
      <c r="AK50" s="14">
        <f>IFERROR(__xludf.DUMMYFUNCTION("IFERROR(GOOGLEFINANCE(B50,""price""),"""")"),0.81)</f>
        <v>0.81</v>
      </c>
    </row>
    <row r="51">
      <c r="A51" s="15">
        <v>46057.62728676583</v>
      </c>
      <c r="B51" s="16" t="s">
        <v>268</v>
      </c>
      <c r="C51" s="16" t="s">
        <v>269</v>
      </c>
      <c r="D51" s="17">
        <v>46061.0</v>
      </c>
      <c r="E51" s="18">
        <v>1.165</v>
      </c>
      <c r="F51" s="16" t="s">
        <v>270</v>
      </c>
      <c r="G51" s="24"/>
      <c r="H51" s="21">
        <v>-839.8872</v>
      </c>
      <c r="I51" s="16" t="s">
        <v>171</v>
      </c>
      <c r="J51" s="21">
        <v>1.6789</v>
      </c>
      <c r="K51" s="16">
        <v>1.07862721E8</v>
      </c>
      <c r="L51" s="19">
        <v>0.01</v>
      </c>
      <c r="M51" s="19">
        <v>19.1852</v>
      </c>
      <c r="N51" s="16" t="s">
        <v>271</v>
      </c>
      <c r="O51" s="19">
        <v>48.7107</v>
      </c>
      <c r="P51" s="20">
        <v>4.8398003E7</v>
      </c>
      <c r="Q51" s="21">
        <v>1.35</v>
      </c>
      <c r="R51" s="21">
        <v>0.9013</v>
      </c>
      <c r="S51" s="21">
        <v>0.99</v>
      </c>
      <c r="T51" s="21">
        <v>0.1242</v>
      </c>
      <c r="U51" s="21">
        <v>40.6064</v>
      </c>
      <c r="V51" s="16">
        <v>5574748.0</v>
      </c>
      <c r="W51" s="21">
        <v>64.6612</v>
      </c>
      <c r="X51" s="20">
        <v>3968705.0</v>
      </c>
      <c r="Y51" s="21">
        <v>1.1341</v>
      </c>
      <c r="Z51" s="21">
        <v>1472.7597</v>
      </c>
      <c r="AA51" s="19">
        <v>56.4582</v>
      </c>
      <c r="AB51" s="21">
        <v>368.0</v>
      </c>
      <c r="AC51" s="21">
        <v>-116.5667</v>
      </c>
      <c r="AD51" s="21">
        <v>-12.3631</v>
      </c>
      <c r="AE51" s="21">
        <v>-1.4115</v>
      </c>
      <c r="AF51" s="21">
        <v>0.4796</v>
      </c>
      <c r="AG51" s="21">
        <v>0.902</v>
      </c>
      <c r="AH51" s="16" t="b">
        <v>0</v>
      </c>
      <c r="AI51" s="16" t="b">
        <v>0</v>
      </c>
      <c r="AJ51" s="16" t="b">
        <v>0</v>
      </c>
      <c r="AK51" s="22">
        <f>IFERROR(__xludf.DUMMYFUNCTION("IFERROR(GOOGLEFINANCE(B51,""price""),"""")"),1.63)</f>
        <v>1.63</v>
      </c>
    </row>
    <row r="52">
      <c r="A52" s="7">
        <v>46057.62728676583</v>
      </c>
      <c r="B52" s="8" t="s">
        <v>260</v>
      </c>
      <c r="C52" s="8" t="s">
        <v>261</v>
      </c>
      <c r="D52" s="9">
        <v>46061.0</v>
      </c>
      <c r="E52" s="10">
        <v>0.7116</v>
      </c>
      <c r="F52" s="8" t="s">
        <v>149</v>
      </c>
      <c r="G52" s="23"/>
      <c r="H52" s="23"/>
      <c r="I52" s="8" t="s">
        <v>113</v>
      </c>
      <c r="J52" s="13">
        <v>1.1972</v>
      </c>
      <c r="K52" s="8">
        <v>3.2018542E7</v>
      </c>
      <c r="L52" s="11">
        <v>0.61</v>
      </c>
      <c r="M52" s="11">
        <v>17.226</v>
      </c>
      <c r="N52" s="8" t="s">
        <v>263</v>
      </c>
      <c r="O52" s="11">
        <v>-16.2725</v>
      </c>
      <c r="P52" s="12">
        <v>3842225.0</v>
      </c>
      <c r="Q52" s="13">
        <v>0.82</v>
      </c>
      <c r="R52" s="13">
        <v>0.7</v>
      </c>
      <c r="S52" s="13">
        <v>0.82</v>
      </c>
      <c r="T52" s="13">
        <v>0.0842</v>
      </c>
      <c r="U52" s="13">
        <v>0.2742</v>
      </c>
      <c r="V52" s="13">
        <v>567598.4</v>
      </c>
      <c r="W52" s="13">
        <v>20.1882</v>
      </c>
      <c r="X52" s="12">
        <v>9280125.0</v>
      </c>
      <c r="Y52" s="13">
        <v>1.1114</v>
      </c>
      <c r="Z52" s="13">
        <v>1.2653</v>
      </c>
      <c r="AA52" s="11">
        <v>25.8852</v>
      </c>
      <c r="AB52" s="13">
        <v>3.07</v>
      </c>
      <c r="AC52" s="13">
        <v>-4195.2463</v>
      </c>
      <c r="AD52" s="23"/>
      <c r="AE52" s="23"/>
      <c r="AF52" s="23"/>
      <c r="AG52" s="13">
        <v>0.3374</v>
      </c>
      <c r="AH52" s="8" t="b">
        <v>0</v>
      </c>
      <c r="AI52" s="8" t="b">
        <v>0</v>
      </c>
      <c r="AJ52" s="8" t="b">
        <v>0</v>
      </c>
      <c r="AK52" s="14">
        <f>IFERROR(__xludf.DUMMYFUNCTION("IFERROR(GOOGLEFINANCE(B52,""price""),"""")"),0.45)</f>
        <v>0.45</v>
      </c>
    </row>
    <row r="53">
      <c r="A53" s="15">
        <v>46057.62728676583</v>
      </c>
      <c r="B53" s="16" t="s">
        <v>272</v>
      </c>
      <c r="C53" s="16" t="s">
        <v>273</v>
      </c>
      <c r="D53" s="17">
        <v>46061.0</v>
      </c>
      <c r="E53" s="18">
        <v>1.58</v>
      </c>
      <c r="F53" s="16" t="s">
        <v>117</v>
      </c>
      <c r="G53" s="24"/>
      <c r="H53" s="21">
        <v>-0.5703</v>
      </c>
      <c r="I53" s="16" t="s">
        <v>179</v>
      </c>
      <c r="J53" s="21">
        <v>0.8724</v>
      </c>
      <c r="K53" s="16">
        <v>3.1168812E7</v>
      </c>
      <c r="L53" s="19">
        <v>0.86</v>
      </c>
      <c r="M53" s="19">
        <v>18.7503</v>
      </c>
      <c r="N53" s="16" t="s">
        <v>274</v>
      </c>
      <c r="O53" s="19">
        <v>0.0</v>
      </c>
      <c r="P53" s="20">
        <v>2493505.0</v>
      </c>
      <c r="Q53" s="21">
        <v>1.61</v>
      </c>
      <c r="R53" s="21">
        <v>1.53</v>
      </c>
      <c r="S53" s="21">
        <v>1.6</v>
      </c>
      <c r="T53" s="21">
        <v>0.1129</v>
      </c>
      <c r="U53" s="21">
        <v>0.2631</v>
      </c>
      <c r="V53" s="21">
        <v>725247.9</v>
      </c>
      <c r="W53" s="21">
        <v>4.4173</v>
      </c>
      <c r="X53" s="20">
        <v>1.91601935E8</v>
      </c>
      <c r="Y53" s="21">
        <v>1.6574</v>
      </c>
      <c r="Z53" s="21">
        <v>1.7588</v>
      </c>
      <c r="AA53" s="19">
        <v>43.8656</v>
      </c>
      <c r="AB53" s="21">
        <v>3.32</v>
      </c>
      <c r="AC53" s="21">
        <v>-131.7082</v>
      </c>
      <c r="AD53" s="24"/>
      <c r="AE53" s="21">
        <v>-100.0</v>
      </c>
      <c r="AF53" s="21">
        <v>0.0</v>
      </c>
      <c r="AG53" s="21">
        <v>11.671</v>
      </c>
      <c r="AH53" s="16" t="b">
        <v>1</v>
      </c>
      <c r="AI53" s="16" t="b">
        <v>0</v>
      </c>
      <c r="AJ53" s="16" t="b">
        <v>0</v>
      </c>
      <c r="AK53" s="22">
        <f>IFERROR(__xludf.DUMMYFUNCTION("IFERROR(GOOGLEFINANCE(B53,""price""),"""")"),1.7)</f>
        <v>1.7</v>
      </c>
    </row>
    <row r="54">
      <c r="A54" s="7">
        <v>46057.62728676583</v>
      </c>
      <c r="B54" s="8" t="s">
        <v>275</v>
      </c>
      <c r="C54" s="8" t="s">
        <v>276</v>
      </c>
      <c r="D54" s="9">
        <v>46061.0</v>
      </c>
      <c r="E54" s="10">
        <v>0.8259</v>
      </c>
      <c r="F54" s="8" t="s">
        <v>162</v>
      </c>
      <c r="G54" s="23"/>
      <c r="H54" s="13">
        <v>-0.3345</v>
      </c>
      <c r="I54" s="8" t="s">
        <v>138</v>
      </c>
      <c r="J54" s="13">
        <v>0.6305</v>
      </c>
      <c r="K54" s="8">
        <v>2554917.0</v>
      </c>
      <c r="L54" s="11">
        <v>0.81</v>
      </c>
      <c r="M54" s="11">
        <v>17.8782</v>
      </c>
      <c r="N54" s="8" t="s">
        <v>277</v>
      </c>
      <c r="O54" s="11">
        <v>-1.6786</v>
      </c>
      <c r="P54" s="12">
        <v>1916188.0</v>
      </c>
      <c r="Q54" s="13">
        <v>1.43</v>
      </c>
      <c r="R54" s="13">
        <v>0.68</v>
      </c>
      <c r="S54" s="13">
        <v>0.8998</v>
      </c>
      <c r="T54" s="13">
        <v>0.1597</v>
      </c>
      <c r="U54" s="13">
        <v>0.3925</v>
      </c>
      <c r="V54" s="13">
        <v>213372.6</v>
      </c>
      <c r="W54" s="13">
        <v>57.2548</v>
      </c>
      <c r="X54" s="12">
        <v>1.6022459E7</v>
      </c>
      <c r="Y54" s="13">
        <v>0.9493</v>
      </c>
      <c r="Z54" s="13">
        <v>1.4001</v>
      </c>
      <c r="AA54" s="11">
        <v>45.8135</v>
      </c>
      <c r="AB54" s="13">
        <v>3.86</v>
      </c>
      <c r="AC54" s="13">
        <v>-106.4791</v>
      </c>
      <c r="AD54" s="13">
        <v>-42.0547</v>
      </c>
      <c r="AE54" s="23"/>
      <c r="AF54" s="13">
        <v>0.1074</v>
      </c>
      <c r="AG54" s="13">
        <v>2.5812</v>
      </c>
      <c r="AH54" s="8" t="b">
        <v>0</v>
      </c>
      <c r="AI54" s="8" t="b">
        <v>1</v>
      </c>
      <c r="AJ54" s="8" t="b">
        <v>0</v>
      </c>
      <c r="AK54" s="14">
        <f>IFERROR(__xludf.DUMMYFUNCTION("IFERROR(GOOGLEFINANCE(B54,""price""),"""")"),0.83)</f>
        <v>0.83</v>
      </c>
    </row>
    <row r="55">
      <c r="A55" s="15">
        <v>46057.62728676583</v>
      </c>
      <c r="B55" s="16" t="s">
        <v>250</v>
      </c>
      <c r="C55" s="16" t="s">
        <v>251</v>
      </c>
      <c r="D55" s="17">
        <v>46061.0</v>
      </c>
      <c r="E55" s="18">
        <v>1.635</v>
      </c>
      <c r="F55" s="16" t="s">
        <v>117</v>
      </c>
      <c r="G55" s="24"/>
      <c r="H55" s="21">
        <v>-1.6976</v>
      </c>
      <c r="I55" s="16" t="s">
        <v>175</v>
      </c>
      <c r="J55" s="21">
        <v>0.2124</v>
      </c>
      <c r="K55" s="16">
        <v>1.34328E7</v>
      </c>
      <c r="L55" s="19">
        <v>0.68</v>
      </c>
      <c r="M55" s="19">
        <v>15.7445</v>
      </c>
      <c r="N55" s="16" t="s">
        <v>252</v>
      </c>
      <c r="O55" s="19">
        <v>4.8077</v>
      </c>
      <c r="P55" s="20">
        <v>2014920.0</v>
      </c>
      <c r="Q55" s="21">
        <v>1.64</v>
      </c>
      <c r="R55" s="21">
        <v>1.49</v>
      </c>
      <c r="S55" s="21">
        <v>1.59</v>
      </c>
      <c r="T55" s="21">
        <v>0.109</v>
      </c>
      <c r="U55" s="21">
        <v>0.3207</v>
      </c>
      <c r="V55" s="16">
        <v>1096240.0</v>
      </c>
      <c r="W55" s="21">
        <v>1.9482</v>
      </c>
      <c r="X55" s="20">
        <v>1.52820241E8</v>
      </c>
      <c r="Y55" s="21">
        <v>1.6765</v>
      </c>
      <c r="Z55" s="21">
        <v>1.8125</v>
      </c>
      <c r="AA55" s="19">
        <v>53.1346</v>
      </c>
      <c r="AB55" s="21">
        <v>3.535</v>
      </c>
      <c r="AC55" s="21">
        <v>-74.2833</v>
      </c>
      <c r="AD55" s="21">
        <v>-1577.3642</v>
      </c>
      <c r="AE55" s="21">
        <v>-18.9978</v>
      </c>
      <c r="AF55" s="21">
        <v>0.1795</v>
      </c>
      <c r="AG55" s="21">
        <v>5.5423</v>
      </c>
      <c r="AH55" s="16" t="b">
        <v>1</v>
      </c>
      <c r="AI55" s="16" t="b">
        <v>0</v>
      </c>
      <c r="AJ55" s="16" t="b">
        <v>0</v>
      </c>
      <c r="AK55" s="22">
        <f>IFERROR(__xludf.DUMMYFUNCTION("IFERROR(GOOGLEFINANCE(B55,""price""),"""")"),1.93)</f>
        <v>1.93</v>
      </c>
    </row>
    <row r="56">
      <c r="A56" s="7">
        <v>46057.62728676583</v>
      </c>
      <c r="B56" s="8" t="s">
        <v>278</v>
      </c>
      <c r="C56" s="8" t="s">
        <v>279</v>
      </c>
      <c r="D56" s="9">
        <v>46061.0</v>
      </c>
      <c r="E56" s="10">
        <v>1.19</v>
      </c>
      <c r="F56" s="8" t="s">
        <v>88</v>
      </c>
      <c r="G56" s="23"/>
      <c r="H56" s="13">
        <v>-0.2206</v>
      </c>
      <c r="I56" s="8" t="s">
        <v>175</v>
      </c>
      <c r="J56" s="13">
        <v>0.2006</v>
      </c>
      <c r="K56" s="8">
        <v>1.846185E7</v>
      </c>
      <c r="L56" s="11">
        <v>0.63</v>
      </c>
      <c r="M56" s="11">
        <v>24.7063</v>
      </c>
      <c r="N56" s="8" t="s">
        <v>280</v>
      </c>
      <c r="O56" s="11">
        <v>1.7094</v>
      </c>
      <c r="P56" s="12">
        <v>1846185.0</v>
      </c>
      <c r="Q56" s="13">
        <v>1.2</v>
      </c>
      <c r="R56" s="13">
        <v>1.1</v>
      </c>
      <c r="S56" s="13">
        <v>1.18</v>
      </c>
      <c r="T56" s="13">
        <v>0.0748</v>
      </c>
      <c r="U56" s="13">
        <v>0.2361</v>
      </c>
      <c r="V56" s="8">
        <v>1117680.0</v>
      </c>
      <c r="W56" s="13">
        <v>1.6861</v>
      </c>
      <c r="X56" s="12">
        <v>4.94873619E8</v>
      </c>
      <c r="Y56" s="13">
        <v>1.3588</v>
      </c>
      <c r="Z56" s="13">
        <v>1.7997</v>
      </c>
      <c r="AA56" s="11">
        <v>34.4524</v>
      </c>
      <c r="AB56" s="13">
        <v>3.21</v>
      </c>
      <c r="AC56" s="13">
        <v>-13.786</v>
      </c>
      <c r="AD56" s="13">
        <v>20.0399</v>
      </c>
      <c r="AE56" s="13">
        <v>3.0966</v>
      </c>
      <c r="AF56" s="13">
        <v>2.1908</v>
      </c>
      <c r="AG56" s="13">
        <v>0.7066</v>
      </c>
      <c r="AH56" s="8" t="b">
        <v>1</v>
      </c>
      <c r="AI56" s="8" t="b">
        <v>0</v>
      </c>
      <c r="AJ56" s="8" t="b">
        <v>0</v>
      </c>
      <c r="AK56" s="14">
        <f>IFERROR(__xludf.DUMMYFUNCTION("IFERROR(GOOGLEFINANCE(B56,""price""),"""")"),0.82)</f>
        <v>0.82</v>
      </c>
    </row>
    <row r="57">
      <c r="A57" s="15">
        <v>46057.62728676583</v>
      </c>
      <c r="B57" s="16" t="s">
        <v>281</v>
      </c>
      <c r="C57" s="16" t="s">
        <v>282</v>
      </c>
      <c r="D57" s="17">
        <v>46061.0</v>
      </c>
      <c r="E57" s="18">
        <v>1.12</v>
      </c>
      <c r="F57" s="16" t="s">
        <v>117</v>
      </c>
      <c r="G57" s="24"/>
      <c r="H57" s="21">
        <v>-0.338</v>
      </c>
      <c r="I57" s="16" t="s">
        <v>118</v>
      </c>
      <c r="J57" s="21">
        <v>0.0906</v>
      </c>
      <c r="K57" s="16">
        <v>1543273.0</v>
      </c>
      <c r="L57" s="19">
        <v>0.51</v>
      </c>
      <c r="M57" s="19">
        <v>10.9209</v>
      </c>
      <c r="N57" s="16" t="s">
        <v>283</v>
      </c>
      <c r="O57" s="19">
        <v>0.9009</v>
      </c>
      <c r="P57" s="20">
        <v>300858.0</v>
      </c>
      <c r="Q57" s="21">
        <v>1.2449</v>
      </c>
      <c r="R57" s="21">
        <v>1.05</v>
      </c>
      <c r="S57" s="21">
        <v>1.11</v>
      </c>
      <c r="T57" s="21">
        <v>0.0987</v>
      </c>
      <c r="U57" s="21">
        <v>0.3881</v>
      </c>
      <c r="V57" s="21">
        <v>180183.3</v>
      </c>
      <c r="W57" s="21">
        <v>1.5764</v>
      </c>
      <c r="X57" s="20">
        <v>9.8868225E7</v>
      </c>
      <c r="Y57" s="21">
        <v>1.1441</v>
      </c>
      <c r="Z57" s="21">
        <v>1.6847</v>
      </c>
      <c r="AA57" s="19">
        <v>50.2255</v>
      </c>
      <c r="AB57" s="21">
        <v>6.19</v>
      </c>
      <c r="AC57" s="21">
        <v>-54.4167</v>
      </c>
      <c r="AD57" s="24"/>
      <c r="AE57" s="24"/>
      <c r="AF57" s="21">
        <v>0.0847</v>
      </c>
      <c r="AG57" s="21">
        <v>0.5565</v>
      </c>
      <c r="AH57" s="16" t="b">
        <v>0</v>
      </c>
      <c r="AI57" s="16" t="b">
        <v>1</v>
      </c>
      <c r="AJ57" s="16" t="b">
        <v>0</v>
      </c>
      <c r="AK57" s="22">
        <f>IFERROR(__xludf.DUMMYFUNCTION("IFERROR(GOOGLEFINANCE(B57,""price""),"""")"),0.68)</f>
        <v>0.68</v>
      </c>
    </row>
    <row r="58">
      <c r="A58" s="7">
        <v>46057.62728676583</v>
      </c>
      <c r="B58" s="8" t="s">
        <v>284</v>
      </c>
      <c r="C58" s="8" t="s">
        <v>285</v>
      </c>
      <c r="D58" s="9">
        <v>46061.0</v>
      </c>
      <c r="E58" s="10">
        <v>0.6598</v>
      </c>
      <c r="F58" s="8" t="s">
        <v>286</v>
      </c>
      <c r="G58" s="23"/>
      <c r="H58" s="13">
        <v>-34.8624</v>
      </c>
      <c r="I58" s="8" t="s">
        <v>145</v>
      </c>
      <c r="J58" s="13">
        <v>0.0884</v>
      </c>
      <c r="K58" s="8">
        <v>3001858.0</v>
      </c>
      <c r="L58" s="11">
        <v>0.23</v>
      </c>
      <c r="M58" s="11">
        <v>22.0192</v>
      </c>
      <c r="N58" s="8" t="s">
        <v>287</v>
      </c>
      <c r="O58" s="11">
        <v>-0.0757</v>
      </c>
      <c r="P58" s="12">
        <v>407052.0</v>
      </c>
      <c r="Q58" s="13">
        <v>0.7055</v>
      </c>
      <c r="R58" s="13">
        <v>0.5699</v>
      </c>
      <c r="S58" s="13">
        <v>0.6612</v>
      </c>
      <c r="T58" s="13">
        <v>0.1437</v>
      </c>
      <c r="U58" s="13">
        <v>1.2316</v>
      </c>
      <c r="V58" s="13">
        <v>247013.3</v>
      </c>
      <c r="W58" s="13">
        <v>1.8165</v>
      </c>
      <c r="X58" s="12">
        <v>1.0215942E7</v>
      </c>
      <c r="Y58" s="13">
        <v>1.618</v>
      </c>
      <c r="Z58" s="13">
        <v>17.8783</v>
      </c>
      <c r="AA58" s="11">
        <v>23.3182</v>
      </c>
      <c r="AB58" s="13">
        <v>17.2</v>
      </c>
      <c r="AC58" s="13">
        <v>-189.6555</v>
      </c>
      <c r="AD58" s="13">
        <v>-2441.1748</v>
      </c>
      <c r="AE58" s="13">
        <v>-88.0114</v>
      </c>
      <c r="AF58" s="13">
        <v>0.0388</v>
      </c>
      <c r="AG58" s="13">
        <v>4.9563</v>
      </c>
      <c r="AH58" s="8" t="b">
        <v>1</v>
      </c>
      <c r="AI58" s="8" t="b">
        <v>1</v>
      </c>
      <c r="AJ58" s="8" t="b">
        <v>0</v>
      </c>
      <c r="AK58" s="14">
        <f>IFERROR(__xludf.DUMMYFUNCTION("IFERROR(GOOGLEFINANCE(B58,""price""),"""")"),27.69)</f>
        <v>27.69</v>
      </c>
    </row>
    <row r="59">
      <c r="A59" s="15">
        <v>46057.62728676583</v>
      </c>
      <c r="B59" s="16" t="s">
        <v>288</v>
      </c>
      <c r="C59" s="16" t="s">
        <v>289</v>
      </c>
      <c r="D59" s="17">
        <v>46061.0</v>
      </c>
      <c r="E59" s="18">
        <v>3.145</v>
      </c>
      <c r="F59" s="16" t="s">
        <v>93</v>
      </c>
      <c r="G59" s="24"/>
      <c r="H59" s="21">
        <v>-1.4029</v>
      </c>
      <c r="I59" s="16" t="s">
        <v>179</v>
      </c>
      <c r="J59" s="21">
        <v>0.0833</v>
      </c>
      <c r="K59" s="16">
        <v>8089168.0</v>
      </c>
      <c r="L59" s="19">
        <v>0.8</v>
      </c>
      <c r="M59" s="19">
        <v>15.1733</v>
      </c>
      <c r="N59" s="16" t="s">
        <v>290</v>
      </c>
      <c r="O59" s="19">
        <v>-5.2711</v>
      </c>
      <c r="P59" s="20">
        <v>5096176.0</v>
      </c>
      <c r="Q59" s="21">
        <v>3.3</v>
      </c>
      <c r="R59" s="21">
        <v>2.67</v>
      </c>
      <c r="S59" s="21">
        <v>3.26</v>
      </c>
      <c r="T59" s="21">
        <v>0.4434</v>
      </c>
      <c r="U59" s="21">
        <v>1.1021</v>
      </c>
      <c r="V59" s="16">
        <v>3486017.0</v>
      </c>
      <c r="W59" s="21">
        <v>1.668</v>
      </c>
      <c r="X59" s="20">
        <v>2.61620363E8</v>
      </c>
      <c r="Y59" s="21">
        <v>3.6434</v>
      </c>
      <c r="Z59" s="21">
        <v>4.2904</v>
      </c>
      <c r="AA59" s="19">
        <v>44.147</v>
      </c>
      <c r="AB59" s="21">
        <v>14.11</v>
      </c>
      <c r="AC59" s="24"/>
      <c r="AD59" s="21">
        <v>-235730.7692</v>
      </c>
      <c r="AE59" s="21">
        <v>-66.6667</v>
      </c>
      <c r="AF59" s="24"/>
      <c r="AG59" s="21">
        <v>0.1194</v>
      </c>
      <c r="AH59" s="16" t="b">
        <v>1</v>
      </c>
      <c r="AI59" s="16" t="b">
        <v>0</v>
      </c>
      <c r="AJ59" s="16" t="b">
        <v>0</v>
      </c>
      <c r="AK59" s="22">
        <f>IFERROR(__xludf.DUMMYFUNCTION("IFERROR(GOOGLEFINANCE(B59,""price""),"""")"),1.06)</f>
        <v>1.06</v>
      </c>
    </row>
    <row r="60">
      <c r="A60" s="7">
        <v>46058.44438397536</v>
      </c>
      <c r="B60" s="8" t="s">
        <v>291</v>
      </c>
      <c r="C60" s="8" t="s">
        <v>292</v>
      </c>
      <c r="D60" s="9">
        <v>46061.0</v>
      </c>
      <c r="E60" s="10">
        <v>1.28</v>
      </c>
      <c r="F60" s="8" t="s">
        <v>117</v>
      </c>
      <c r="G60" s="23"/>
      <c r="H60" s="13">
        <v>-20.1363</v>
      </c>
      <c r="I60" s="8" t="s">
        <v>293</v>
      </c>
      <c r="J60" s="13">
        <v>11.7387</v>
      </c>
      <c r="K60" s="8">
        <v>8.7441361E7</v>
      </c>
      <c r="L60" s="11">
        <v>0.34</v>
      </c>
      <c r="M60" s="11">
        <v>13.4842</v>
      </c>
      <c r="N60" s="8" t="s">
        <v>294</v>
      </c>
      <c r="O60" s="11">
        <v>21.327</v>
      </c>
      <c r="P60" s="12">
        <v>6.2074622E7</v>
      </c>
      <c r="Q60" s="13">
        <v>1.8799</v>
      </c>
      <c r="R60" s="13">
        <v>1.17</v>
      </c>
      <c r="S60" s="13">
        <v>1.72</v>
      </c>
      <c r="T60" s="13">
        <v>0.1537</v>
      </c>
      <c r="U60" s="13">
        <v>0.906</v>
      </c>
      <c r="V60" s="8">
        <v>6291664.0</v>
      </c>
      <c r="W60" s="13">
        <v>651.0384</v>
      </c>
      <c r="X60" s="12">
        <v>4193824.0</v>
      </c>
      <c r="Y60" s="13">
        <v>1.3157</v>
      </c>
      <c r="Z60" s="13">
        <v>5.3714</v>
      </c>
      <c r="AA60" s="11">
        <v>51.9833</v>
      </c>
      <c r="AB60" s="13">
        <v>35.964</v>
      </c>
      <c r="AC60" s="23"/>
      <c r="AD60" s="13">
        <v>-12382.1429</v>
      </c>
      <c r="AE60" s="13">
        <v>-41.0526</v>
      </c>
      <c r="AF60" s="23"/>
      <c r="AG60" s="13">
        <v>0.6369</v>
      </c>
      <c r="AH60" s="8" t="b">
        <v>0</v>
      </c>
      <c r="AI60" s="8" t="b">
        <v>0</v>
      </c>
      <c r="AJ60" s="8" t="b">
        <v>0</v>
      </c>
      <c r="AK60" s="14">
        <f>IFERROR(__xludf.DUMMYFUNCTION("IFERROR(GOOGLEFINANCE(B60,""price""),"""")"),0.52)</f>
        <v>0.52</v>
      </c>
    </row>
    <row r="61">
      <c r="A61" s="15">
        <v>46058.44438397536</v>
      </c>
      <c r="B61" s="16" t="s">
        <v>295</v>
      </c>
      <c r="C61" s="16" t="s">
        <v>296</v>
      </c>
      <c r="D61" s="17">
        <v>46061.0</v>
      </c>
      <c r="E61" s="18">
        <v>0.775</v>
      </c>
      <c r="F61" s="16" t="s">
        <v>88</v>
      </c>
      <c r="G61" s="24"/>
      <c r="H61" s="21">
        <v>-1.0654</v>
      </c>
      <c r="I61" s="16" t="s">
        <v>297</v>
      </c>
      <c r="J61" s="21">
        <v>9.8119</v>
      </c>
      <c r="K61" s="16">
        <v>4.75959095E8</v>
      </c>
      <c r="L61" s="19">
        <v>0.6</v>
      </c>
      <c r="M61" s="19">
        <v>9.4399</v>
      </c>
      <c r="N61" s="16" t="s">
        <v>298</v>
      </c>
      <c r="O61" s="19">
        <v>32.0723</v>
      </c>
      <c r="P61" s="20">
        <v>6.1541511E7</v>
      </c>
      <c r="Q61" s="21">
        <v>0.7844</v>
      </c>
      <c r="R61" s="21">
        <v>0.6551</v>
      </c>
      <c r="S61" s="21">
        <v>0.7323</v>
      </c>
      <c r="T61" s="21">
        <v>0.0813</v>
      </c>
      <c r="U61" s="21">
        <v>0.2691</v>
      </c>
      <c r="V61" s="16">
        <v>6477340.0</v>
      </c>
      <c r="W61" s="21">
        <v>163.7</v>
      </c>
      <c r="X61" s="20">
        <v>7.3989887E7</v>
      </c>
      <c r="Y61" s="21">
        <v>0.6863</v>
      </c>
      <c r="Z61" s="21">
        <v>1.8301</v>
      </c>
      <c r="AA61" s="19">
        <v>57.7417</v>
      </c>
      <c r="AB61" s="21">
        <v>7.47</v>
      </c>
      <c r="AC61" s="21">
        <v>-23.8484</v>
      </c>
      <c r="AD61" s="21">
        <v>0.0276</v>
      </c>
      <c r="AE61" s="21">
        <v>30.9117</v>
      </c>
      <c r="AF61" s="21">
        <v>1.2485</v>
      </c>
      <c r="AG61" s="21">
        <v>1.084</v>
      </c>
      <c r="AH61" s="16" t="b">
        <v>0</v>
      </c>
      <c r="AI61" s="16" t="b">
        <v>0</v>
      </c>
      <c r="AJ61" s="16" t="b">
        <v>0</v>
      </c>
      <c r="AK61" s="22">
        <f>IFERROR(__xludf.DUMMYFUNCTION("IFERROR(GOOGLEFINANCE(B61,""price""),"""")"),0.64)</f>
        <v>0.64</v>
      </c>
    </row>
    <row r="62">
      <c r="A62" s="7">
        <v>46058.44438397536</v>
      </c>
      <c r="B62" s="8" t="s">
        <v>299</v>
      </c>
      <c r="C62" s="8" t="s">
        <v>300</v>
      </c>
      <c r="D62" s="9">
        <v>46061.0</v>
      </c>
      <c r="E62" s="10">
        <v>0.693</v>
      </c>
      <c r="F62" s="8" t="s">
        <v>117</v>
      </c>
      <c r="G62" s="23"/>
      <c r="H62" s="13">
        <v>-1.2674</v>
      </c>
      <c r="I62" s="8" t="s">
        <v>301</v>
      </c>
      <c r="J62" s="13">
        <v>2.105</v>
      </c>
      <c r="K62" s="8">
        <v>2.8317571E7</v>
      </c>
      <c r="L62" s="11">
        <v>0.47</v>
      </c>
      <c r="M62" s="11">
        <v>25.4769</v>
      </c>
      <c r="N62" s="8" t="s">
        <v>302</v>
      </c>
      <c r="O62" s="11">
        <v>-1.5625</v>
      </c>
      <c r="P62" s="12">
        <v>6212875.0</v>
      </c>
      <c r="Q62" s="13">
        <v>0.75</v>
      </c>
      <c r="R62" s="13">
        <v>0.5306</v>
      </c>
      <c r="S62" s="13">
        <v>0.61</v>
      </c>
      <c r="T62" s="13">
        <v>0.0847</v>
      </c>
      <c r="U62" s="13">
        <v>0.359</v>
      </c>
      <c r="V62" s="13">
        <v>707143.3</v>
      </c>
      <c r="W62" s="13">
        <v>66.6424</v>
      </c>
      <c r="X62" s="12">
        <v>5058267.0</v>
      </c>
      <c r="Y62" s="13">
        <v>1.0861</v>
      </c>
      <c r="Z62" s="13">
        <v>3.3356</v>
      </c>
      <c r="AA62" s="11">
        <v>20.1866</v>
      </c>
      <c r="AB62" s="13">
        <v>7.0</v>
      </c>
      <c r="AC62" s="13">
        <v>-418.8341</v>
      </c>
      <c r="AD62" s="23"/>
      <c r="AE62" s="23"/>
      <c r="AF62" s="13">
        <v>0.0</v>
      </c>
      <c r="AG62" s="13">
        <v>2.051</v>
      </c>
      <c r="AH62" s="8" t="b">
        <v>0</v>
      </c>
      <c r="AI62" s="8" t="b">
        <v>0</v>
      </c>
      <c r="AJ62" s="8" t="b">
        <v>0</v>
      </c>
      <c r="AK62" s="14">
        <f>IFERROR(__xludf.DUMMYFUNCTION("IFERROR(GOOGLEFINANCE(B62,""price""),"""")"),0.7)</f>
        <v>0.7</v>
      </c>
    </row>
    <row r="63">
      <c r="A63" s="15">
        <v>46058.44438397536</v>
      </c>
      <c r="B63" s="16" t="s">
        <v>303</v>
      </c>
      <c r="C63" s="16" t="s">
        <v>304</v>
      </c>
      <c r="D63" s="17">
        <v>46061.0</v>
      </c>
      <c r="E63" s="18">
        <v>0.8537</v>
      </c>
      <c r="F63" s="16" t="s">
        <v>190</v>
      </c>
      <c r="G63" s="24"/>
      <c r="H63" s="24"/>
      <c r="I63" s="16" t="s">
        <v>118</v>
      </c>
      <c r="J63" s="21">
        <v>0.1074</v>
      </c>
      <c r="K63" s="16">
        <v>1.5208748E7</v>
      </c>
      <c r="L63" s="19">
        <v>0.01</v>
      </c>
      <c r="M63" s="19">
        <v>14.9576</v>
      </c>
      <c r="N63" s="16" t="s">
        <v>305</v>
      </c>
      <c r="O63" s="19">
        <v>-4.1863</v>
      </c>
      <c r="P63" s="20">
        <v>8468231.0</v>
      </c>
      <c r="Q63" s="21">
        <v>1.3668</v>
      </c>
      <c r="R63" s="21">
        <v>0.81</v>
      </c>
      <c r="S63" s="21">
        <v>0.9059</v>
      </c>
      <c r="T63" s="21">
        <v>0.3848</v>
      </c>
      <c r="U63" s="21">
        <v>118.1229</v>
      </c>
      <c r="V63" s="16">
        <v>2022655.0</v>
      </c>
      <c r="W63" s="21">
        <v>7.0046</v>
      </c>
      <c r="X63" s="20">
        <v>839626.8848</v>
      </c>
      <c r="Y63" s="21">
        <v>2.6345</v>
      </c>
      <c r="Z63" s="21">
        <v>2297.1409</v>
      </c>
      <c r="AA63" s="19">
        <v>27.0916</v>
      </c>
      <c r="AB63" s="21">
        <v>2700.0</v>
      </c>
      <c r="AC63" s="24"/>
      <c r="AD63" s="24"/>
      <c r="AE63" s="24"/>
      <c r="AF63" s="21">
        <v>0.4778</v>
      </c>
      <c r="AG63" s="21">
        <v>2.2138</v>
      </c>
      <c r="AH63" s="16" t="b">
        <v>0</v>
      </c>
      <c r="AI63" s="16" t="b">
        <v>1</v>
      </c>
      <c r="AJ63" s="16" t="b">
        <v>0</v>
      </c>
      <c r="AK63" s="22">
        <f>IFERROR(__xludf.DUMMYFUNCTION("IFERROR(GOOGLEFINANCE(B63,""price""),"""")"),2.07)</f>
        <v>2.07</v>
      </c>
    </row>
    <row r="64">
      <c r="A64" s="7">
        <v>46058.44438397536</v>
      </c>
      <c r="B64" s="8" t="s">
        <v>306</v>
      </c>
      <c r="C64" s="8" t="s">
        <v>307</v>
      </c>
      <c r="D64" s="9">
        <v>46061.0</v>
      </c>
      <c r="E64" s="10">
        <v>0.545</v>
      </c>
      <c r="F64" s="8" t="s">
        <v>308</v>
      </c>
      <c r="G64" s="23"/>
      <c r="H64" s="13">
        <v>-1.1891</v>
      </c>
      <c r="I64" s="8" t="s">
        <v>118</v>
      </c>
      <c r="J64" s="13">
        <v>0.0555</v>
      </c>
      <c r="K64" s="8">
        <v>3634442.0</v>
      </c>
      <c r="L64" s="11">
        <v>0.71</v>
      </c>
      <c r="M64" s="11">
        <v>16.9726</v>
      </c>
      <c r="N64" s="8" t="s">
        <v>309</v>
      </c>
      <c r="O64" s="11">
        <v>-2.7307</v>
      </c>
      <c r="P64" s="12">
        <v>597684.0</v>
      </c>
      <c r="Q64" s="13">
        <v>0.705</v>
      </c>
      <c r="R64" s="13">
        <v>0.5406</v>
      </c>
      <c r="S64" s="13">
        <v>0.56</v>
      </c>
      <c r="T64" s="13">
        <v>0.1211</v>
      </c>
      <c r="U64" s="13">
        <v>0.3409</v>
      </c>
      <c r="V64" s="13">
        <v>381440.7</v>
      </c>
      <c r="W64" s="13">
        <v>1.6744</v>
      </c>
      <c r="X64" s="12">
        <v>3201733.0</v>
      </c>
      <c r="Y64" s="13">
        <v>0.9561</v>
      </c>
      <c r="Z64" s="13">
        <v>1.5523</v>
      </c>
      <c r="AA64" s="11">
        <v>32.7161</v>
      </c>
      <c r="AB64" s="13">
        <v>3.55</v>
      </c>
      <c r="AC64" s="13">
        <v>-71.2934</v>
      </c>
      <c r="AD64" s="13">
        <v>-47.0951</v>
      </c>
      <c r="AE64" s="13">
        <v>20.5606</v>
      </c>
      <c r="AF64" s="13">
        <v>0.2041</v>
      </c>
      <c r="AG64" s="13">
        <v>3.3255</v>
      </c>
      <c r="AH64" s="8" t="b">
        <v>0</v>
      </c>
      <c r="AI64" s="8" t="b">
        <v>1</v>
      </c>
      <c r="AJ64" s="8" t="b">
        <v>0</v>
      </c>
      <c r="AK64" s="14">
        <f>IFERROR(__xludf.DUMMYFUNCTION("IFERROR(GOOGLEFINANCE(B64,""price""),"""")"),0.26)</f>
        <v>0.26</v>
      </c>
    </row>
    <row r="65">
      <c r="A65" s="7">
        <v>46058.62871359278</v>
      </c>
      <c r="B65" s="8" t="s">
        <v>291</v>
      </c>
      <c r="C65" s="8" t="s">
        <v>292</v>
      </c>
      <c r="D65" s="9">
        <v>46061.0</v>
      </c>
      <c r="E65" s="10">
        <v>1.23</v>
      </c>
      <c r="F65" s="8" t="s">
        <v>117</v>
      </c>
      <c r="G65" s="23"/>
      <c r="H65" s="13">
        <v>-20.1363</v>
      </c>
      <c r="I65" s="8" t="s">
        <v>310</v>
      </c>
      <c r="J65" s="13">
        <v>12.0594</v>
      </c>
      <c r="K65" s="8">
        <v>9.3481689E7</v>
      </c>
      <c r="L65" s="11">
        <v>0.34</v>
      </c>
      <c r="M65" s="11">
        <v>13.4842</v>
      </c>
      <c r="N65" s="8" t="s">
        <v>294</v>
      </c>
      <c r="O65" s="11">
        <v>16.5877</v>
      </c>
      <c r="P65" s="12">
        <v>6.7297468E7</v>
      </c>
      <c r="Q65" s="13">
        <v>1.8799</v>
      </c>
      <c r="R65" s="13">
        <v>1.16</v>
      </c>
      <c r="S65" s="13">
        <v>1.72</v>
      </c>
      <c r="T65" s="13">
        <v>0.1537</v>
      </c>
      <c r="U65" s="13">
        <v>0.906</v>
      </c>
      <c r="V65" s="8">
        <v>6813948.0</v>
      </c>
      <c r="W65" s="13">
        <v>705.8156</v>
      </c>
      <c r="X65" s="12">
        <v>4030002.0</v>
      </c>
      <c r="Y65" s="13">
        <v>1.3147</v>
      </c>
      <c r="Z65" s="13">
        <v>5.3709</v>
      </c>
      <c r="AA65" s="11">
        <v>49.0693</v>
      </c>
      <c r="AB65" s="13">
        <v>35.964</v>
      </c>
      <c r="AC65" s="23"/>
      <c r="AD65" s="13">
        <v>-12382.1429</v>
      </c>
      <c r="AE65" s="13">
        <v>-41.0526</v>
      </c>
      <c r="AF65" s="23"/>
      <c r="AG65" s="13">
        <v>0.6369</v>
      </c>
      <c r="AH65" s="8" t="b">
        <v>0</v>
      </c>
      <c r="AI65" s="8" t="b">
        <v>0</v>
      </c>
      <c r="AJ65" s="8" t="b">
        <v>0</v>
      </c>
      <c r="AK65" s="14">
        <f>IFERROR(__xludf.DUMMYFUNCTION("IFERROR(GOOGLEFINANCE(B65,""price""),"""")"),0.52)</f>
        <v>0.52</v>
      </c>
    </row>
    <row r="66">
      <c r="A66" s="15">
        <v>46058.62871359278</v>
      </c>
      <c r="B66" s="16" t="s">
        <v>295</v>
      </c>
      <c r="C66" s="16" t="s">
        <v>296</v>
      </c>
      <c r="D66" s="17">
        <v>46061.0</v>
      </c>
      <c r="E66" s="18">
        <v>0.605</v>
      </c>
      <c r="F66" s="16" t="s">
        <v>88</v>
      </c>
      <c r="G66" s="24"/>
      <c r="H66" s="21">
        <v>-1.0654</v>
      </c>
      <c r="I66" s="16" t="s">
        <v>311</v>
      </c>
      <c r="J66" s="21">
        <v>6.5852</v>
      </c>
      <c r="K66" s="16">
        <v>4.09199969E8</v>
      </c>
      <c r="L66" s="19">
        <v>0.6</v>
      </c>
      <c r="M66" s="19">
        <v>9.4483</v>
      </c>
      <c r="N66" s="16" t="s">
        <v>298</v>
      </c>
      <c r="O66" s="19">
        <v>3.1016</v>
      </c>
      <c r="P66" s="20">
        <v>7.9057434E7</v>
      </c>
      <c r="Q66" s="21">
        <v>0.7852</v>
      </c>
      <c r="R66" s="21">
        <v>0.592</v>
      </c>
      <c r="S66" s="21">
        <v>0.7323</v>
      </c>
      <c r="T66" s="21">
        <v>0.0813</v>
      </c>
      <c r="U66" s="21">
        <v>0.2692</v>
      </c>
      <c r="V66" s="16">
        <v>8228932.0</v>
      </c>
      <c r="W66" s="21">
        <v>210.2922</v>
      </c>
      <c r="X66" s="20">
        <v>5.7759847E7</v>
      </c>
      <c r="Y66" s="21">
        <v>0.6829</v>
      </c>
      <c r="Z66" s="21">
        <v>1.8284</v>
      </c>
      <c r="AA66" s="19">
        <v>40.9039</v>
      </c>
      <c r="AB66" s="21">
        <v>7.47</v>
      </c>
      <c r="AC66" s="21">
        <v>-23.8484</v>
      </c>
      <c r="AD66" s="21">
        <v>0.0276</v>
      </c>
      <c r="AE66" s="21">
        <v>30.9117</v>
      </c>
      <c r="AF66" s="21">
        <v>1.2485</v>
      </c>
      <c r="AG66" s="21">
        <v>1.084</v>
      </c>
      <c r="AH66" s="16" t="b">
        <v>0</v>
      </c>
      <c r="AI66" s="16" t="b">
        <v>0</v>
      </c>
      <c r="AJ66" s="16" t="b">
        <v>0</v>
      </c>
      <c r="AK66" s="22">
        <f>IFERROR(__xludf.DUMMYFUNCTION("IFERROR(GOOGLEFINANCE(B66,""price""),"""")"),0.64)</f>
        <v>0.64</v>
      </c>
    </row>
    <row r="67">
      <c r="A67" s="7">
        <v>46058.62871359278</v>
      </c>
      <c r="B67" s="8" t="s">
        <v>312</v>
      </c>
      <c r="C67" s="8" t="s">
        <v>313</v>
      </c>
      <c r="D67" s="9">
        <v>46061.0</v>
      </c>
      <c r="E67" s="10">
        <v>0.757</v>
      </c>
      <c r="F67" s="8" t="s">
        <v>88</v>
      </c>
      <c r="G67" s="23"/>
      <c r="H67" s="13">
        <v>-23.5722</v>
      </c>
      <c r="I67" s="8" t="s">
        <v>314</v>
      </c>
      <c r="J67" s="13">
        <v>3.1057</v>
      </c>
      <c r="K67" s="8">
        <v>8.0191555E7</v>
      </c>
      <c r="L67" s="11">
        <v>0.22</v>
      </c>
      <c r="M67" s="11">
        <v>27.8728</v>
      </c>
      <c r="N67" s="8" t="s">
        <v>315</v>
      </c>
      <c r="O67" s="11">
        <v>29.5704</v>
      </c>
      <c r="P67" s="12">
        <v>2.212485E7</v>
      </c>
      <c r="Q67" s="13">
        <v>0.8959</v>
      </c>
      <c r="R67" s="13">
        <v>0.62</v>
      </c>
      <c r="S67" s="13">
        <v>0.62</v>
      </c>
      <c r="T67" s="13">
        <v>0.1179</v>
      </c>
      <c r="U67" s="13">
        <v>1.0848</v>
      </c>
      <c r="V67" s="8">
        <v>2395878.0</v>
      </c>
      <c r="W67" s="13">
        <v>113.1999</v>
      </c>
      <c r="X67" s="12">
        <v>3639753.0</v>
      </c>
      <c r="Y67" s="13">
        <v>0.9043</v>
      </c>
      <c r="Z67" s="13">
        <v>10.0255</v>
      </c>
      <c r="AA67" s="11">
        <v>47.878</v>
      </c>
      <c r="AB67" s="13">
        <v>33.7</v>
      </c>
      <c r="AC67" s="23"/>
      <c r="AD67" s="13">
        <v>-26.5992</v>
      </c>
      <c r="AE67" s="23"/>
      <c r="AF67" s="13">
        <v>0.9185</v>
      </c>
      <c r="AG67" s="13">
        <v>1.2773</v>
      </c>
      <c r="AH67" s="8" t="b">
        <v>0</v>
      </c>
      <c r="AI67" s="8" t="b">
        <v>0</v>
      </c>
      <c r="AJ67" s="8" t="b">
        <v>0</v>
      </c>
      <c r="AK67" s="14">
        <f>IFERROR(__xludf.DUMMYFUNCTION("IFERROR(GOOGLEFINANCE(B67,""price""),"""")"),3.8)</f>
        <v>3.8</v>
      </c>
    </row>
    <row r="68">
      <c r="A68" s="15">
        <v>46058.62871359278</v>
      </c>
      <c r="B68" s="16" t="s">
        <v>299</v>
      </c>
      <c r="C68" s="16" t="s">
        <v>300</v>
      </c>
      <c r="D68" s="17">
        <v>46061.0</v>
      </c>
      <c r="E68" s="18">
        <v>0.695</v>
      </c>
      <c r="F68" s="16" t="s">
        <v>117</v>
      </c>
      <c r="G68" s="24"/>
      <c r="H68" s="21">
        <v>-1.2674</v>
      </c>
      <c r="I68" s="16" t="s">
        <v>301</v>
      </c>
      <c r="J68" s="21">
        <v>2.0837</v>
      </c>
      <c r="K68" s="16">
        <v>2.7950569E7</v>
      </c>
      <c r="L68" s="19">
        <v>0.48</v>
      </c>
      <c r="M68" s="19">
        <v>25.4769</v>
      </c>
      <c r="N68" s="16" t="s">
        <v>302</v>
      </c>
      <c r="O68" s="19">
        <v>-1.2784</v>
      </c>
      <c r="P68" s="20">
        <v>6685776.0</v>
      </c>
      <c r="Q68" s="21">
        <v>0.7698</v>
      </c>
      <c r="R68" s="21">
        <v>0.5306</v>
      </c>
      <c r="S68" s="21">
        <v>0.61</v>
      </c>
      <c r="T68" s="21">
        <v>0.0861</v>
      </c>
      <c r="U68" s="21">
        <v>0.359</v>
      </c>
      <c r="V68" s="21">
        <v>754433.4</v>
      </c>
      <c r="W68" s="21">
        <v>71.715</v>
      </c>
      <c r="X68" s="20">
        <v>5072865.0</v>
      </c>
      <c r="Y68" s="21">
        <v>1.0861</v>
      </c>
      <c r="Z68" s="21">
        <v>3.3356</v>
      </c>
      <c r="AA68" s="19">
        <v>20.2633</v>
      </c>
      <c r="AB68" s="21">
        <v>7.0</v>
      </c>
      <c r="AC68" s="21">
        <v>-418.8341</v>
      </c>
      <c r="AD68" s="24"/>
      <c r="AE68" s="24"/>
      <c r="AF68" s="21">
        <v>0.0</v>
      </c>
      <c r="AG68" s="21">
        <v>2.051</v>
      </c>
      <c r="AH68" s="16" t="b">
        <v>0</v>
      </c>
      <c r="AI68" s="16" t="b">
        <v>0</v>
      </c>
      <c r="AJ68" s="16" t="b">
        <v>0</v>
      </c>
      <c r="AK68" s="22">
        <f>IFERROR(__xludf.DUMMYFUNCTION("IFERROR(GOOGLEFINANCE(B68,""price""),"""")"),0.7)</f>
        <v>0.7</v>
      </c>
    </row>
    <row r="69">
      <c r="A69" s="7">
        <v>46058.62871359278</v>
      </c>
      <c r="B69" s="8" t="s">
        <v>316</v>
      </c>
      <c r="C69" s="8" t="s">
        <v>317</v>
      </c>
      <c r="D69" s="9">
        <v>46061.0</v>
      </c>
      <c r="E69" s="10">
        <v>1.25</v>
      </c>
      <c r="F69" s="8" t="s">
        <v>117</v>
      </c>
      <c r="G69" s="23"/>
      <c r="H69" s="13">
        <v>-0.3699</v>
      </c>
      <c r="I69" s="8" t="s">
        <v>318</v>
      </c>
      <c r="J69" s="13">
        <v>2.0022</v>
      </c>
      <c r="K69" s="8">
        <v>1.1267981E7</v>
      </c>
      <c r="L69" s="11">
        <v>0.87</v>
      </c>
      <c r="M69" s="11">
        <v>23.5946</v>
      </c>
      <c r="N69" s="8" t="s">
        <v>319</v>
      </c>
      <c r="O69" s="11">
        <v>20.1923</v>
      </c>
      <c r="P69" s="12">
        <v>5239611.0</v>
      </c>
      <c r="Q69" s="13">
        <v>1.5</v>
      </c>
      <c r="R69" s="13">
        <v>1.035</v>
      </c>
      <c r="S69" s="13">
        <v>1.06</v>
      </c>
      <c r="T69" s="13">
        <v>0.1767</v>
      </c>
      <c r="U69" s="13">
        <v>0.4065</v>
      </c>
      <c r="V69" s="13">
        <v>590676.2</v>
      </c>
      <c r="W69" s="13">
        <v>74.4812</v>
      </c>
      <c r="X69" s="12">
        <v>5.254278E7</v>
      </c>
      <c r="Y69" s="13">
        <v>1.4462</v>
      </c>
      <c r="Z69" s="13">
        <v>1.3827</v>
      </c>
      <c r="AA69" s="11">
        <v>52.3275</v>
      </c>
      <c r="AB69" s="13">
        <v>3.15</v>
      </c>
      <c r="AC69" s="23"/>
      <c r="AD69" s="23"/>
      <c r="AE69" s="23"/>
      <c r="AF69" s="23"/>
      <c r="AG69" s="13">
        <v>0.1515</v>
      </c>
      <c r="AH69" s="8" t="b">
        <v>0</v>
      </c>
      <c r="AI69" s="8" t="b">
        <v>0</v>
      </c>
      <c r="AJ69" s="8" t="b">
        <v>0</v>
      </c>
      <c r="AK69" s="14">
        <f>IFERROR(__xludf.DUMMYFUNCTION("IFERROR(GOOGLEFINANCE(B69,""price""),"""")"),1.84)</f>
        <v>1.84</v>
      </c>
    </row>
    <row r="70">
      <c r="A70" s="15">
        <v>46058.62871359278</v>
      </c>
      <c r="B70" s="16" t="s">
        <v>320</v>
      </c>
      <c r="C70" s="16" t="s">
        <v>321</v>
      </c>
      <c r="D70" s="17">
        <v>46061.0</v>
      </c>
      <c r="E70" s="18">
        <v>0.82</v>
      </c>
      <c r="F70" s="16" t="s">
        <v>117</v>
      </c>
      <c r="G70" s="24"/>
      <c r="H70" s="21">
        <v>-0.8867</v>
      </c>
      <c r="I70" s="16" t="s">
        <v>138</v>
      </c>
      <c r="J70" s="21">
        <v>0.8866</v>
      </c>
      <c r="K70" s="16">
        <v>9455021.0</v>
      </c>
      <c r="L70" s="19">
        <v>0.98</v>
      </c>
      <c r="M70" s="19">
        <v>26.5767</v>
      </c>
      <c r="N70" s="16" t="s">
        <v>322</v>
      </c>
      <c r="O70" s="19">
        <v>-2.381</v>
      </c>
      <c r="P70" s="20">
        <v>4766276.0</v>
      </c>
      <c r="Q70" s="21">
        <v>1.18</v>
      </c>
      <c r="R70" s="21">
        <v>0.6759</v>
      </c>
      <c r="S70" s="21">
        <v>0.85</v>
      </c>
      <c r="T70" s="21">
        <v>0.1089</v>
      </c>
      <c r="U70" s="21">
        <v>0.2232</v>
      </c>
      <c r="V70" s="21">
        <v>562072.7</v>
      </c>
      <c r="W70" s="21">
        <v>54.5064</v>
      </c>
      <c r="X70" s="20">
        <v>3.6515039E7</v>
      </c>
      <c r="Y70" s="21">
        <v>1.0742</v>
      </c>
      <c r="Z70" s="21">
        <v>1.5334</v>
      </c>
      <c r="AA70" s="19">
        <v>27.3113</v>
      </c>
      <c r="AB70" s="21">
        <v>2.96</v>
      </c>
      <c r="AC70" s="24"/>
      <c r="AD70" s="21">
        <v>-46.0204</v>
      </c>
      <c r="AE70" s="21">
        <v>12.2449</v>
      </c>
      <c r="AF70" s="21">
        <v>26.9846</v>
      </c>
      <c r="AG70" s="21">
        <v>3.3014</v>
      </c>
      <c r="AH70" s="16" t="b">
        <v>0</v>
      </c>
      <c r="AI70" s="16" t="b">
        <v>1</v>
      </c>
      <c r="AJ70" s="16" t="b">
        <v>0</v>
      </c>
      <c r="AK70" s="22">
        <f>IFERROR(__xludf.DUMMYFUNCTION("IFERROR(GOOGLEFINANCE(B70,""price""),"""")"),0.57)</f>
        <v>0.57</v>
      </c>
    </row>
    <row r="71">
      <c r="A71" s="7">
        <v>46058.62871359278</v>
      </c>
      <c r="B71" s="8" t="s">
        <v>323</v>
      </c>
      <c r="C71" s="8" t="s">
        <v>324</v>
      </c>
      <c r="D71" s="9">
        <v>46061.0</v>
      </c>
      <c r="E71" s="10">
        <v>0.7199</v>
      </c>
      <c r="F71" s="8" t="s">
        <v>88</v>
      </c>
      <c r="G71" s="23"/>
      <c r="H71" s="13">
        <v>-0.3223</v>
      </c>
      <c r="I71" s="8" t="s">
        <v>145</v>
      </c>
      <c r="J71" s="13">
        <v>0.2872</v>
      </c>
      <c r="K71" s="8">
        <v>4710155.0</v>
      </c>
      <c r="L71" s="11">
        <v>0.71</v>
      </c>
      <c r="M71" s="11">
        <v>29.2977</v>
      </c>
      <c r="N71" s="8" t="s">
        <v>325</v>
      </c>
      <c r="O71" s="11">
        <v>-2.7425</v>
      </c>
      <c r="P71" s="12">
        <v>365508.0</v>
      </c>
      <c r="Q71" s="13">
        <v>0.7396</v>
      </c>
      <c r="R71" s="13">
        <v>0.662</v>
      </c>
      <c r="S71" s="13">
        <v>0.715</v>
      </c>
      <c r="T71" s="13">
        <v>0.0621</v>
      </c>
      <c r="U71" s="13">
        <v>0.1738</v>
      </c>
      <c r="V71" s="13">
        <v>142072.2</v>
      </c>
      <c r="W71" s="13">
        <v>3.0956</v>
      </c>
      <c r="X71" s="12">
        <v>2.2841886E7</v>
      </c>
      <c r="Y71" s="13">
        <v>0.9664</v>
      </c>
      <c r="Z71" s="13">
        <v>0.9913</v>
      </c>
      <c r="AA71" s="11">
        <v>23.4373</v>
      </c>
      <c r="AB71" s="13">
        <v>1.86</v>
      </c>
      <c r="AC71" s="23"/>
      <c r="AD71" s="13">
        <v>-16.7777</v>
      </c>
      <c r="AE71" s="13">
        <v>51.5958</v>
      </c>
      <c r="AF71" s="23"/>
      <c r="AG71" s="13">
        <v>0.8291</v>
      </c>
      <c r="AH71" s="8" t="b">
        <v>1</v>
      </c>
      <c r="AI71" s="8" t="b">
        <v>1</v>
      </c>
      <c r="AJ71" s="8" t="b">
        <v>0</v>
      </c>
      <c r="AK71" s="14">
        <f>IFERROR(__xludf.DUMMYFUNCTION("IFERROR(GOOGLEFINANCE(B71,""price""),"""")"),0.75)</f>
        <v>0.75</v>
      </c>
    </row>
    <row r="72">
      <c r="A72" s="15">
        <v>46058.62871359278</v>
      </c>
      <c r="B72" s="16" t="s">
        <v>326</v>
      </c>
      <c r="C72" s="16" t="s">
        <v>327</v>
      </c>
      <c r="D72" s="17">
        <v>46061.0</v>
      </c>
      <c r="E72" s="18">
        <v>4.21</v>
      </c>
      <c r="F72" s="16" t="s">
        <v>162</v>
      </c>
      <c r="G72" s="24"/>
      <c r="H72" s="21">
        <v>-0.417</v>
      </c>
      <c r="I72" s="16" t="s">
        <v>138</v>
      </c>
      <c r="J72" s="21">
        <v>0.1788</v>
      </c>
      <c r="K72" s="21">
        <v>482157.6687</v>
      </c>
      <c r="L72" s="19">
        <v>0.84</v>
      </c>
      <c r="M72" s="19">
        <v>20.17</v>
      </c>
      <c r="N72" s="16" t="s">
        <v>328</v>
      </c>
      <c r="O72" s="19">
        <v>-5.3933</v>
      </c>
      <c r="P72" s="20">
        <v>785917.0</v>
      </c>
      <c r="Q72" s="21">
        <v>5.75</v>
      </c>
      <c r="R72" s="21">
        <v>4.12</v>
      </c>
      <c r="S72" s="21">
        <v>4.26</v>
      </c>
      <c r="T72" s="21">
        <v>1.3692</v>
      </c>
      <c r="U72" s="21">
        <v>3.2424</v>
      </c>
      <c r="V72" s="21">
        <v>187263.71</v>
      </c>
      <c r="W72" s="21">
        <v>6.9229</v>
      </c>
      <c r="X72" s="20">
        <v>9229272.0</v>
      </c>
      <c r="Y72" s="21">
        <v>10.1574</v>
      </c>
      <c r="Z72" s="21">
        <v>13.4411</v>
      </c>
      <c r="AA72" s="19">
        <v>21.7349</v>
      </c>
      <c r="AB72" s="21">
        <v>29.571</v>
      </c>
      <c r="AC72" s="21">
        <v>-74.0288</v>
      </c>
      <c r="AD72" s="21">
        <v>-1356.1856</v>
      </c>
      <c r="AE72" s="21">
        <v>446.4789</v>
      </c>
      <c r="AF72" s="21">
        <v>0.0178</v>
      </c>
      <c r="AG72" s="21">
        <v>9.4358</v>
      </c>
      <c r="AH72" s="16" t="b">
        <v>0</v>
      </c>
      <c r="AI72" s="16" t="b">
        <v>1</v>
      </c>
      <c r="AJ72" s="16" t="b">
        <v>0</v>
      </c>
      <c r="AK72" s="22">
        <f>IFERROR(__xludf.DUMMYFUNCTION("IFERROR(GOOGLEFINANCE(B72,""price""),"""")"),8.34)</f>
        <v>8.34</v>
      </c>
    </row>
    <row r="73">
      <c r="A73" s="7">
        <v>46059.62582365888</v>
      </c>
      <c r="B73" s="8" t="s">
        <v>329</v>
      </c>
      <c r="C73" s="8" t="s">
        <v>330</v>
      </c>
      <c r="D73" s="9">
        <v>46061.0</v>
      </c>
      <c r="E73" s="10">
        <v>3.8301</v>
      </c>
      <c r="F73" s="8" t="s">
        <v>112</v>
      </c>
      <c r="G73" s="23"/>
      <c r="H73" s="13">
        <v>-24.3232</v>
      </c>
      <c r="I73" s="8" t="s">
        <v>331</v>
      </c>
      <c r="J73" s="13">
        <v>9.4553</v>
      </c>
      <c r="K73" s="8">
        <v>4025934.0</v>
      </c>
      <c r="L73" s="11">
        <v>0.24</v>
      </c>
      <c r="M73" s="11">
        <v>22.3839</v>
      </c>
      <c r="N73" s="8" t="s">
        <v>332</v>
      </c>
      <c r="O73" s="11">
        <v>-11.1346</v>
      </c>
      <c r="P73" s="12">
        <v>1.5056993E7</v>
      </c>
      <c r="Q73" s="13">
        <v>6.47</v>
      </c>
      <c r="R73" s="13">
        <v>2.73</v>
      </c>
      <c r="S73" s="13">
        <v>5.93</v>
      </c>
      <c r="T73" s="13">
        <v>0.9811</v>
      </c>
      <c r="U73" s="13">
        <v>8.291</v>
      </c>
      <c r="V73" s="8">
        <v>1519801.0</v>
      </c>
      <c r="W73" s="13">
        <v>923.2888</v>
      </c>
      <c r="X73" s="12">
        <v>6252201.0</v>
      </c>
      <c r="Y73" s="13">
        <v>6.9554</v>
      </c>
      <c r="Z73" s="13">
        <v>36.5477</v>
      </c>
      <c r="AA73" s="11">
        <v>29.6338</v>
      </c>
      <c r="AB73" s="13">
        <v>161.8</v>
      </c>
      <c r="AC73" s="13">
        <v>-41.723</v>
      </c>
      <c r="AD73" s="13">
        <v>-29.2322</v>
      </c>
      <c r="AE73" s="23"/>
      <c r="AF73" s="13">
        <v>0.6618</v>
      </c>
      <c r="AG73" s="13">
        <v>1.946</v>
      </c>
      <c r="AH73" s="8" t="b">
        <v>0</v>
      </c>
      <c r="AI73" s="8" t="b">
        <v>0</v>
      </c>
      <c r="AJ73" s="8" t="b">
        <v>0</v>
      </c>
      <c r="AK73" s="14">
        <f>IFERROR(__xludf.DUMMYFUNCTION("IFERROR(GOOGLEFINANCE(B73,""price""),"""")"),2.11)</f>
        <v>2.11</v>
      </c>
    </row>
    <row r="74">
      <c r="A74" s="15">
        <v>46059.62582365888</v>
      </c>
      <c r="B74" s="16" t="s">
        <v>333</v>
      </c>
      <c r="C74" s="16" t="s">
        <v>334</v>
      </c>
      <c r="D74" s="17">
        <v>46061.0</v>
      </c>
      <c r="E74" s="18">
        <v>1.35</v>
      </c>
      <c r="F74" s="16" t="s">
        <v>335</v>
      </c>
      <c r="G74" s="24"/>
      <c r="H74" s="21">
        <v>-30.3748</v>
      </c>
      <c r="I74" s="16" t="s">
        <v>336</v>
      </c>
      <c r="J74" s="21">
        <v>5.6767</v>
      </c>
      <c r="K74" s="16">
        <v>2.5527032E7</v>
      </c>
      <c r="L74" s="19">
        <v>0.2</v>
      </c>
      <c r="M74" s="19">
        <v>29.149</v>
      </c>
      <c r="N74" s="16" t="s">
        <v>337</v>
      </c>
      <c r="O74" s="19">
        <v>-6.8966</v>
      </c>
      <c r="P74" s="20">
        <v>7147569.0</v>
      </c>
      <c r="Q74" s="21">
        <v>1.59</v>
      </c>
      <c r="R74" s="21">
        <v>1.31</v>
      </c>
      <c r="S74" s="21">
        <v>1.48</v>
      </c>
      <c r="T74" s="21">
        <v>0.391</v>
      </c>
      <c r="U74" s="21">
        <v>3.9906</v>
      </c>
      <c r="V74" s="21">
        <v>772576.8</v>
      </c>
      <c r="W74" s="21">
        <v>117.7384</v>
      </c>
      <c r="X74" s="20">
        <v>2024781.0</v>
      </c>
      <c r="Y74" s="21">
        <v>3.0401</v>
      </c>
      <c r="Z74" s="21">
        <v>33.6783</v>
      </c>
      <c r="AA74" s="19">
        <v>22.4059</v>
      </c>
      <c r="AB74" s="21">
        <v>58.0</v>
      </c>
      <c r="AC74" s="21">
        <v>-179.3884</v>
      </c>
      <c r="AD74" s="24"/>
      <c r="AE74" s="24"/>
      <c r="AF74" s="21">
        <v>1.4916</v>
      </c>
      <c r="AG74" s="21">
        <v>1.2162</v>
      </c>
      <c r="AH74" s="16" t="b">
        <v>0</v>
      </c>
      <c r="AI74" s="16" t="b">
        <v>0</v>
      </c>
      <c r="AJ74" s="16" t="b">
        <v>0</v>
      </c>
      <c r="AK74" s="22">
        <f>IFERROR(__xludf.DUMMYFUNCTION("IFERROR(GOOGLEFINANCE(B74,""price""),"""")"),1.28)</f>
        <v>1.28</v>
      </c>
    </row>
    <row r="75">
      <c r="A75" s="7">
        <v>46059.62582365888</v>
      </c>
      <c r="B75" s="8" t="s">
        <v>338</v>
      </c>
      <c r="C75" s="8" t="s">
        <v>339</v>
      </c>
      <c r="D75" s="9">
        <v>46061.0</v>
      </c>
      <c r="E75" s="10">
        <v>1.14</v>
      </c>
      <c r="F75" s="8" t="s">
        <v>117</v>
      </c>
      <c r="G75" s="23"/>
      <c r="H75" s="13">
        <v>-3.5386</v>
      </c>
      <c r="I75" s="8" t="s">
        <v>145</v>
      </c>
      <c r="J75" s="13">
        <v>0.2358</v>
      </c>
      <c r="K75" s="8">
        <v>6.43148E7</v>
      </c>
      <c r="L75" s="11">
        <v>0.34</v>
      </c>
      <c r="M75" s="11">
        <v>26.4693</v>
      </c>
      <c r="N75" s="8" t="s">
        <v>340</v>
      </c>
      <c r="O75" s="11">
        <v>4.5872</v>
      </c>
      <c r="P75" s="12">
        <v>7717776.0</v>
      </c>
      <c r="Q75" s="13">
        <v>1.15</v>
      </c>
      <c r="R75" s="13">
        <v>1.03</v>
      </c>
      <c r="S75" s="13">
        <v>1.14</v>
      </c>
      <c r="T75" s="13">
        <v>0.1976</v>
      </c>
      <c r="U75" s="13">
        <v>1.1618</v>
      </c>
      <c r="V75" s="8">
        <v>3519846.0</v>
      </c>
      <c r="W75" s="13">
        <v>2.4817</v>
      </c>
      <c r="X75" s="12">
        <v>7.2057214E7</v>
      </c>
      <c r="Y75" s="13">
        <v>2.128</v>
      </c>
      <c r="Z75" s="13">
        <v>4.5455</v>
      </c>
      <c r="AA75" s="11">
        <v>27.0487</v>
      </c>
      <c r="AB75" s="13">
        <v>22.57</v>
      </c>
      <c r="AC75" s="13">
        <v>50.6798</v>
      </c>
      <c r="AD75" s="13">
        <v>-98.4843</v>
      </c>
      <c r="AE75" s="13">
        <v>-78.5475</v>
      </c>
      <c r="AF75" s="13">
        <v>0.9525</v>
      </c>
      <c r="AG75" s="13">
        <v>3.4093</v>
      </c>
      <c r="AH75" s="8" t="b">
        <v>1</v>
      </c>
      <c r="AI75" s="8" t="b">
        <v>1</v>
      </c>
      <c r="AJ75" s="8" t="b">
        <v>0</v>
      </c>
      <c r="AK75" s="14">
        <f>IFERROR(__xludf.DUMMYFUNCTION("IFERROR(GOOGLEFINANCE(B75,""price""),"""")"),1.1)</f>
        <v>1.1</v>
      </c>
    </row>
    <row r="76">
      <c r="A76" s="15">
        <v>46059.62582365888</v>
      </c>
      <c r="B76" s="16" t="s">
        <v>341</v>
      </c>
      <c r="C76" s="16" t="s">
        <v>342</v>
      </c>
      <c r="D76" s="17">
        <v>46061.0</v>
      </c>
      <c r="E76" s="18">
        <v>1.5852</v>
      </c>
      <c r="F76" s="16" t="s">
        <v>308</v>
      </c>
      <c r="G76" s="24"/>
      <c r="H76" s="21">
        <v>-213.6294</v>
      </c>
      <c r="I76" s="16" t="s">
        <v>175</v>
      </c>
      <c r="J76" s="21">
        <v>0.1801</v>
      </c>
      <c r="K76" s="16">
        <v>1.3416246E7</v>
      </c>
      <c r="L76" s="19">
        <v>0.01</v>
      </c>
      <c r="M76" s="19">
        <v>16.3994</v>
      </c>
      <c r="N76" s="16" t="s">
        <v>343</v>
      </c>
      <c r="O76" s="19">
        <v>13.2286</v>
      </c>
      <c r="P76" s="20">
        <v>3488224.0</v>
      </c>
      <c r="Q76" s="21">
        <v>1.62</v>
      </c>
      <c r="R76" s="21">
        <v>1.36</v>
      </c>
      <c r="S76" s="21">
        <v>1.52</v>
      </c>
      <c r="T76" s="21">
        <v>0.3049</v>
      </c>
      <c r="U76" s="21">
        <v>44.9915</v>
      </c>
      <c r="V76" s="16">
        <v>1387812.0</v>
      </c>
      <c r="W76" s="21">
        <v>2.9543</v>
      </c>
      <c r="X76" s="20">
        <v>1.3633594E7</v>
      </c>
      <c r="Y76" s="21">
        <v>2.5678</v>
      </c>
      <c r="Z76" s="21">
        <v>1973.8196</v>
      </c>
      <c r="AA76" s="19">
        <v>38.7899</v>
      </c>
      <c r="AB76" s="21">
        <v>42.6</v>
      </c>
      <c r="AC76" s="21">
        <v>-415.0809</v>
      </c>
      <c r="AD76" s="21">
        <v>0.6665</v>
      </c>
      <c r="AE76" s="21">
        <v>14.3937</v>
      </c>
      <c r="AF76" s="21">
        <v>2.152</v>
      </c>
      <c r="AG76" s="21">
        <v>1.2121</v>
      </c>
      <c r="AH76" s="16" t="b">
        <v>1</v>
      </c>
      <c r="AI76" s="16" t="b">
        <v>0</v>
      </c>
      <c r="AJ76" s="16" t="b">
        <v>0</v>
      </c>
      <c r="AK76" s="22">
        <f>IFERROR(__xludf.DUMMYFUNCTION("IFERROR(GOOGLEFINANCE(B76,""price""),"""")"),1.07)</f>
        <v>1.07</v>
      </c>
    </row>
    <row r="77">
      <c r="A77" s="7">
        <v>46059.62582365888</v>
      </c>
      <c r="B77" s="8" t="s">
        <v>253</v>
      </c>
      <c r="C77" s="8" t="s">
        <v>254</v>
      </c>
      <c r="D77" s="9">
        <v>46061.0</v>
      </c>
      <c r="E77" s="10">
        <v>1.115</v>
      </c>
      <c r="F77" s="8" t="s">
        <v>117</v>
      </c>
      <c r="G77" s="23"/>
      <c r="H77" s="13">
        <v>-2.1105</v>
      </c>
      <c r="I77" s="8" t="s">
        <v>118</v>
      </c>
      <c r="J77" s="13">
        <v>0.0855</v>
      </c>
      <c r="K77" s="8">
        <v>2345623.0</v>
      </c>
      <c r="L77" s="11">
        <v>0.61</v>
      </c>
      <c r="M77" s="11">
        <v>25.2173</v>
      </c>
      <c r="N77" s="8" t="s">
        <v>255</v>
      </c>
      <c r="O77" s="11">
        <v>2.2936</v>
      </c>
      <c r="P77" s="12">
        <v>468890.0</v>
      </c>
      <c r="Q77" s="13">
        <v>1.29</v>
      </c>
      <c r="R77" s="13">
        <v>1.0901</v>
      </c>
      <c r="S77" s="13">
        <v>1.1</v>
      </c>
      <c r="T77" s="13">
        <v>0.1312</v>
      </c>
      <c r="U77" s="13">
        <v>0.4294</v>
      </c>
      <c r="V77" s="13">
        <v>319518.4</v>
      </c>
      <c r="W77" s="13">
        <v>1.5335</v>
      </c>
      <c r="X77" s="12">
        <v>2.8488231E7</v>
      </c>
      <c r="Y77" s="13">
        <v>1.5824</v>
      </c>
      <c r="Z77" s="13">
        <v>2.3193</v>
      </c>
      <c r="AA77" s="11">
        <v>28.311</v>
      </c>
      <c r="AB77" s="13">
        <v>8.94</v>
      </c>
      <c r="AC77" s="13">
        <v>-2237.5395</v>
      </c>
      <c r="AD77" s="23"/>
      <c r="AE77" s="23"/>
      <c r="AF77" s="23"/>
      <c r="AG77" s="13">
        <v>0.9178</v>
      </c>
      <c r="AH77" s="8" t="b">
        <v>0</v>
      </c>
      <c r="AI77" s="8" t="b">
        <v>1</v>
      </c>
      <c r="AJ77" s="8" t="b">
        <v>0</v>
      </c>
      <c r="AK77" s="14">
        <f>IFERROR(__xludf.DUMMYFUNCTION("IFERROR(GOOGLEFINANCE(B77,""price""),"""")"),0.41)</f>
        <v>0.41</v>
      </c>
    </row>
    <row r="78">
      <c r="A78" s="15">
        <v>46059.62582365888</v>
      </c>
      <c r="B78" s="16" t="s">
        <v>344</v>
      </c>
      <c r="C78" s="16" t="s">
        <v>345</v>
      </c>
      <c r="D78" s="17">
        <v>46061.0</v>
      </c>
      <c r="E78" s="18">
        <v>0.8419</v>
      </c>
      <c r="F78" s="16" t="s">
        <v>308</v>
      </c>
      <c r="G78" s="24"/>
      <c r="H78" s="21">
        <v>-6.6431</v>
      </c>
      <c r="I78" s="16" t="s">
        <v>118</v>
      </c>
      <c r="J78" s="21">
        <v>0.0822</v>
      </c>
      <c r="K78" s="16">
        <v>2519666.0</v>
      </c>
      <c r="L78" s="19">
        <v>0.31</v>
      </c>
      <c r="M78" s="19">
        <v>19.1376</v>
      </c>
      <c r="N78" s="16" t="s">
        <v>346</v>
      </c>
      <c r="O78" s="19">
        <v>-3.2299</v>
      </c>
      <c r="P78" s="20">
        <v>482894.0</v>
      </c>
      <c r="Q78" s="21">
        <v>1.0192</v>
      </c>
      <c r="R78" s="21">
        <v>0.8276</v>
      </c>
      <c r="S78" s="21">
        <v>0.85</v>
      </c>
      <c r="T78" s="21">
        <v>0.2161</v>
      </c>
      <c r="U78" s="21">
        <v>1.4024</v>
      </c>
      <c r="V78" s="21">
        <v>282909.7</v>
      </c>
      <c r="W78" s="21">
        <v>1.8708</v>
      </c>
      <c r="X78" s="20">
        <v>1588038.0</v>
      </c>
      <c r="Y78" s="21">
        <v>1.6674</v>
      </c>
      <c r="Z78" s="21">
        <v>18.3489</v>
      </c>
      <c r="AA78" s="19">
        <v>29.2049</v>
      </c>
      <c r="AB78" s="21">
        <v>14.2</v>
      </c>
      <c r="AC78" s="21">
        <v>-203.3831</v>
      </c>
      <c r="AD78" s="21">
        <v>-2331.1604</v>
      </c>
      <c r="AE78" s="21">
        <v>98.067</v>
      </c>
      <c r="AF78" s="21">
        <v>0.0571</v>
      </c>
      <c r="AG78" s="21">
        <v>4.2689</v>
      </c>
      <c r="AH78" s="16" t="b">
        <v>0</v>
      </c>
      <c r="AI78" s="16" t="b">
        <v>1</v>
      </c>
      <c r="AJ78" s="16" t="b">
        <v>0</v>
      </c>
      <c r="AK78" s="22">
        <f>IFERROR(__xludf.DUMMYFUNCTION("IFERROR(GOOGLEFINANCE(B78,""price""),"""")"),0.52)</f>
        <v>0.52</v>
      </c>
    </row>
    <row r="79">
      <c r="A79" s="7">
        <v>46062.62726769344</v>
      </c>
      <c r="B79" s="8" t="s">
        <v>347</v>
      </c>
      <c r="C79" s="8" t="s">
        <v>348</v>
      </c>
      <c r="D79" s="9">
        <v>46068.0</v>
      </c>
      <c r="E79" s="10">
        <v>1.39</v>
      </c>
      <c r="F79" s="8" t="s">
        <v>88</v>
      </c>
      <c r="G79" s="23"/>
      <c r="H79" s="13">
        <v>-0.8566</v>
      </c>
      <c r="I79" s="8" t="s">
        <v>349</v>
      </c>
      <c r="J79" s="13">
        <v>30.4473</v>
      </c>
      <c r="K79" s="8">
        <v>6.3063877E7</v>
      </c>
      <c r="L79" s="11">
        <v>0.79</v>
      </c>
      <c r="M79" s="11">
        <v>20.2228</v>
      </c>
      <c r="N79" s="8" t="s">
        <v>350</v>
      </c>
      <c r="O79" s="11">
        <v>112.8637</v>
      </c>
      <c r="P79" s="12">
        <v>7.5046014E7</v>
      </c>
      <c r="Q79" s="13">
        <v>1.87</v>
      </c>
      <c r="R79" s="13">
        <v>0.68</v>
      </c>
      <c r="S79" s="13">
        <v>0.8</v>
      </c>
      <c r="T79" s="13">
        <v>0.2688</v>
      </c>
      <c r="U79" s="13">
        <v>0.678</v>
      </c>
      <c r="V79" s="8">
        <v>7531403.0</v>
      </c>
      <c r="W79" s="13">
        <v>2606.6423</v>
      </c>
      <c r="X79" s="12">
        <v>1.4015539E7</v>
      </c>
      <c r="Y79" s="13">
        <v>1.5068</v>
      </c>
      <c r="Z79" s="13">
        <v>3.0821</v>
      </c>
      <c r="AA79" s="11">
        <v>54.9935</v>
      </c>
      <c r="AB79" s="13">
        <v>7.17</v>
      </c>
      <c r="AC79" s="23"/>
      <c r="AD79" s="13">
        <v>-45.9515</v>
      </c>
      <c r="AE79" s="13">
        <v>33.4281</v>
      </c>
      <c r="AF79" s="23"/>
      <c r="AG79" s="13">
        <v>0.1477</v>
      </c>
      <c r="AH79" s="8" t="b">
        <v>0</v>
      </c>
      <c r="AI79" s="8" t="b">
        <v>0</v>
      </c>
      <c r="AJ79" s="8" t="b">
        <v>0</v>
      </c>
      <c r="AK79" s="14">
        <f>IFERROR(__xludf.DUMMYFUNCTION("IFERROR(GOOGLEFINANCE(B79,""price""),"""")"),1.45)</f>
        <v>1.45</v>
      </c>
    </row>
    <row r="80">
      <c r="A80" s="15">
        <v>46062.62726769344</v>
      </c>
      <c r="B80" s="16" t="s">
        <v>351</v>
      </c>
      <c r="C80" s="16" t="s">
        <v>352</v>
      </c>
      <c r="D80" s="17">
        <v>46068.0</v>
      </c>
      <c r="E80" s="18">
        <v>1.23</v>
      </c>
      <c r="F80" s="16" t="s">
        <v>93</v>
      </c>
      <c r="G80" s="24"/>
      <c r="H80" s="24"/>
      <c r="I80" s="16" t="s">
        <v>353</v>
      </c>
      <c r="J80" s="21">
        <v>14.0223</v>
      </c>
      <c r="K80" s="16">
        <v>2.12761265E8</v>
      </c>
      <c r="L80" s="19">
        <v>0.43</v>
      </c>
      <c r="M80" s="19">
        <v>17.6803</v>
      </c>
      <c r="N80" s="16" t="s">
        <v>354</v>
      </c>
      <c r="O80" s="19">
        <v>48.1928</v>
      </c>
      <c r="P80" s="20">
        <v>4.8935091E7</v>
      </c>
      <c r="Q80" s="21">
        <v>1.23</v>
      </c>
      <c r="R80" s="21">
        <v>1.0</v>
      </c>
      <c r="S80" s="21">
        <v>1.09</v>
      </c>
      <c r="T80" s="21">
        <v>0.1442</v>
      </c>
      <c r="U80" s="21">
        <v>0.6705</v>
      </c>
      <c r="V80" s="16">
        <v>5063488.0</v>
      </c>
      <c r="W80" s="21">
        <v>262.2062</v>
      </c>
      <c r="X80" s="20">
        <v>7.6805812E7</v>
      </c>
      <c r="Y80" s="21">
        <v>1.0895</v>
      </c>
      <c r="Z80" s="21">
        <v>2.6287</v>
      </c>
      <c r="AA80" s="19">
        <v>59.5749</v>
      </c>
      <c r="AB80" s="21">
        <v>8.37</v>
      </c>
      <c r="AC80" s="24"/>
      <c r="AD80" s="24"/>
      <c r="AE80" s="24"/>
      <c r="AF80" s="24"/>
      <c r="AG80" s="24"/>
      <c r="AH80" s="16" t="b">
        <v>0</v>
      </c>
      <c r="AI80" s="16" t="b">
        <v>0</v>
      </c>
      <c r="AJ80" s="16" t="b">
        <v>0</v>
      </c>
      <c r="AK80" s="22">
        <f>IFERROR(__xludf.DUMMYFUNCTION("IFERROR(GOOGLEFINANCE(B80,""price""),"""")"),0.54)</f>
        <v>0.54</v>
      </c>
    </row>
    <row r="81">
      <c r="A81" s="7">
        <v>46062.62726769344</v>
      </c>
      <c r="B81" s="8" t="s">
        <v>355</v>
      </c>
      <c r="C81" s="8" t="s">
        <v>356</v>
      </c>
      <c r="D81" s="9">
        <v>46068.0</v>
      </c>
      <c r="E81" s="10">
        <v>0.8038</v>
      </c>
      <c r="F81" s="8" t="s">
        <v>88</v>
      </c>
      <c r="G81" s="23"/>
      <c r="H81" s="13">
        <v>-0.3714</v>
      </c>
      <c r="I81" s="8" t="s">
        <v>113</v>
      </c>
      <c r="J81" s="13">
        <v>1.2014</v>
      </c>
      <c r="K81" s="8">
        <v>1.367537E7</v>
      </c>
      <c r="L81" s="11">
        <v>0.73</v>
      </c>
      <c r="M81" s="11">
        <v>23.8917</v>
      </c>
      <c r="N81" s="8" t="s">
        <v>357</v>
      </c>
      <c r="O81" s="11">
        <v>34.3024</v>
      </c>
      <c r="P81" s="12">
        <v>5880409.0</v>
      </c>
      <c r="Q81" s="13">
        <v>1.04</v>
      </c>
      <c r="R81" s="13">
        <v>0.61</v>
      </c>
      <c r="S81" s="13">
        <v>0.61</v>
      </c>
      <c r="T81" s="13">
        <v>0.1183</v>
      </c>
      <c r="U81" s="13">
        <v>0.325</v>
      </c>
      <c r="V81" s="13">
        <v>678388.9</v>
      </c>
      <c r="W81" s="13">
        <v>64.2682</v>
      </c>
      <c r="X81" s="12">
        <v>5.4509806E7</v>
      </c>
      <c r="Y81" s="13">
        <v>0.9856</v>
      </c>
      <c r="Z81" s="13">
        <v>1.2734</v>
      </c>
      <c r="AA81" s="11">
        <v>49.8989</v>
      </c>
      <c r="AB81" s="13">
        <v>4.44</v>
      </c>
      <c r="AC81" s="13">
        <v>-62.4555</v>
      </c>
      <c r="AD81" s="13">
        <v>-47.4269</v>
      </c>
      <c r="AE81" s="13">
        <v>19.8718</v>
      </c>
      <c r="AF81" s="13">
        <v>0.0</v>
      </c>
      <c r="AG81" s="13">
        <v>7.1789</v>
      </c>
      <c r="AH81" s="8" t="b">
        <v>0</v>
      </c>
      <c r="AI81" s="8" t="b">
        <v>0</v>
      </c>
      <c r="AJ81" s="8" t="b">
        <v>0</v>
      </c>
      <c r="AK81" s="14">
        <f>IFERROR(__xludf.DUMMYFUNCTION("IFERROR(GOOGLEFINANCE(B81,""price""),"""")"),0.66)</f>
        <v>0.66</v>
      </c>
    </row>
    <row r="82">
      <c r="A82" s="15">
        <v>46062.62726769344</v>
      </c>
      <c r="B82" s="16" t="s">
        <v>358</v>
      </c>
      <c r="C82" s="16" t="s">
        <v>359</v>
      </c>
      <c r="D82" s="17">
        <v>46068.0</v>
      </c>
      <c r="E82" s="18">
        <v>0.5907</v>
      </c>
      <c r="F82" s="16" t="s">
        <v>308</v>
      </c>
      <c r="G82" s="24"/>
      <c r="H82" s="24"/>
      <c r="I82" s="16" t="s">
        <v>118</v>
      </c>
      <c r="J82" s="21">
        <v>1.1057</v>
      </c>
      <c r="K82" s="16">
        <v>3.8927279E7</v>
      </c>
      <c r="L82" s="19">
        <v>0.61</v>
      </c>
      <c r="M82" s="19">
        <v>16.5182</v>
      </c>
      <c r="N82" s="16" t="s">
        <v>360</v>
      </c>
      <c r="O82" s="19">
        <v>1.0607</v>
      </c>
      <c r="P82" s="20">
        <v>4482048.0</v>
      </c>
      <c r="Q82" s="21">
        <v>0.6996</v>
      </c>
      <c r="R82" s="21">
        <v>0.5845</v>
      </c>
      <c r="S82" s="21">
        <v>0.6</v>
      </c>
      <c r="T82" s="21">
        <v>0.1289</v>
      </c>
      <c r="U82" s="21">
        <v>0.4195</v>
      </c>
      <c r="V82" s="21">
        <v>619641.5</v>
      </c>
      <c r="W82" s="21">
        <v>21.5521</v>
      </c>
      <c r="X82" s="20">
        <v>3.0716401E7</v>
      </c>
      <c r="Y82" s="21">
        <v>0.7895</v>
      </c>
      <c r="Z82" s="21">
        <v>1.8914</v>
      </c>
      <c r="AA82" s="19">
        <v>39.4163</v>
      </c>
      <c r="AB82" s="21">
        <v>8.18</v>
      </c>
      <c r="AC82" s="24"/>
      <c r="AD82" s="24"/>
      <c r="AE82" s="24"/>
      <c r="AF82" s="24"/>
      <c r="AG82" s="24"/>
      <c r="AH82" s="16" t="b">
        <v>0</v>
      </c>
      <c r="AI82" s="16" t="b">
        <v>1</v>
      </c>
      <c r="AJ82" s="16" t="b">
        <v>0</v>
      </c>
      <c r="AK82" s="22">
        <f>IFERROR(__xludf.DUMMYFUNCTION("IFERROR(GOOGLEFINANCE(B82,""price""),"""")"),0.19)</f>
        <v>0.19</v>
      </c>
    </row>
    <row r="83">
      <c r="A83" s="7">
        <v>46062.62726769344</v>
      </c>
      <c r="B83" s="8" t="s">
        <v>361</v>
      </c>
      <c r="C83" s="8" t="s">
        <v>362</v>
      </c>
      <c r="D83" s="9">
        <v>46068.0</v>
      </c>
      <c r="E83" s="10">
        <v>0.5992</v>
      </c>
      <c r="F83" s="8" t="s">
        <v>102</v>
      </c>
      <c r="G83" s="23"/>
      <c r="H83" s="13">
        <v>-1.154</v>
      </c>
      <c r="I83" s="8" t="s">
        <v>118</v>
      </c>
      <c r="J83" s="13">
        <v>0.7783</v>
      </c>
      <c r="K83" s="8">
        <v>2.6024776E7</v>
      </c>
      <c r="L83" s="11">
        <v>0.43</v>
      </c>
      <c r="M83" s="11">
        <v>17.1245</v>
      </c>
      <c r="N83" s="8" t="s">
        <v>363</v>
      </c>
      <c r="O83" s="11">
        <v>8.8465</v>
      </c>
      <c r="P83" s="12">
        <v>7797023.0</v>
      </c>
      <c r="Q83" s="13">
        <v>0.8498</v>
      </c>
      <c r="R83" s="13">
        <v>0.5502</v>
      </c>
      <c r="S83" s="13">
        <v>0.6</v>
      </c>
      <c r="T83" s="13">
        <v>0.1141</v>
      </c>
      <c r="U83" s="13">
        <v>0.5334</v>
      </c>
      <c r="V83" s="13">
        <v>956221.2</v>
      </c>
      <c r="W83" s="13">
        <v>38.9165</v>
      </c>
      <c r="X83" s="12">
        <v>3105666.0</v>
      </c>
      <c r="Y83" s="13">
        <v>0.892</v>
      </c>
      <c r="Z83" s="13">
        <v>3.3312</v>
      </c>
      <c r="AA83" s="11">
        <v>39.2812</v>
      </c>
      <c r="AB83" s="13">
        <v>11.196</v>
      </c>
      <c r="AC83" s="13">
        <v>-82.1831</v>
      </c>
      <c r="AD83" s="13">
        <v>-119.8731</v>
      </c>
      <c r="AE83" s="13">
        <v>-57.3972</v>
      </c>
      <c r="AF83" s="13">
        <v>0.5053</v>
      </c>
      <c r="AG83" s="13">
        <v>1.2003</v>
      </c>
      <c r="AH83" s="8" t="b">
        <v>0</v>
      </c>
      <c r="AI83" s="8" t="b">
        <v>1</v>
      </c>
      <c r="AJ83" s="8" t="b">
        <v>0</v>
      </c>
      <c r="AK83" s="14">
        <f>IFERROR(__xludf.DUMMYFUNCTION("IFERROR(GOOGLEFINANCE(B83,""price""),"""")"),0.8)</f>
        <v>0.8</v>
      </c>
    </row>
    <row r="84">
      <c r="A84" s="15">
        <v>46062.62726769344</v>
      </c>
      <c r="B84" s="16" t="s">
        <v>364</v>
      </c>
      <c r="C84" s="16" t="s">
        <v>365</v>
      </c>
      <c r="D84" s="17">
        <v>46068.0</v>
      </c>
      <c r="E84" s="18">
        <v>2.41</v>
      </c>
      <c r="F84" s="16" t="s">
        <v>117</v>
      </c>
      <c r="G84" s="24"/>
      <c r="H84" s="21">
        <v>-14.8525</v>
      </c>
      <c r="I84" s="16" t="s">
        <v>118</v>
      </c>
      <c r="J84" s="21">
        <v>0.3793</v>
      </c>
      <c r="K84" s="16">
        <v>1332216.0</v>
      </c>
      <c r="L84" s="19">
        <v>0.36</v>
      </c>
      <c r="M84" s="19">
        <v>11.2533</v>
      </c>
      <c r="N84" s="16" t="s">
        <v>366</v>
      </c>
      <c r="O84" s="19">
        <v>-2.8226</v>
      </c>
      <c r="P84" s="20">
        <v>572853.0</v>
      </c>
      <c r="Q84" s="21">
        <v>2.74</v>
      </c>
      <c r="R84" s="21">
        <v>2.31</v>
      </c>
      <c r="S84" s="21">
        <v>2.4</v>
      </c>
      <c r="T84" s="21">
        <v>0.2458</v>
      </c>
      <c r="U84" s="21">
        <v>1.3543</v>
      </c>
      <c r="V84" s="21">
        <v>136005.8</v>
      </c>
      <c r="W84" s="21">
        <v>6.7678</v>
      </c>
      <c r="X84" s="20">
        <v>9158000.0</v>
      </c>
      <c r="Y84" s="21">
        <v>2.7277</v>
      </c>
      <c r="Z84" s="21">
        <v>10.9671</v>
      </c>
      <c r="AA84" s="19">
        <v>44.9899</v>
      </c>
      <c r="AB84" s="21">
        <v>25.7</v>
      </c>
      <c r="AC84" s="21">
        <v>-290.374</v>
      </c>
      <c r="AD84" s="21">
        <v>-1580.4767</v>
      </c>
      <c r="AE84" s="21">
        <v>1195.5882</v>
      </c>
      <c r="AF84" s="21">
        <v>0.0</v>
      </c>
      <c r="AG84" s="21">
        <v>3.6581</v>
      </c>
      <c r="AH84" s="16" t="b">
        <v>0</v>
      </c>
      <c r="AI84" s="16" t="b">
        <v>1</v>
      </c>
      <c r="AJ84" s="16" t="b">
        <v>0</v>
      </c>
      <c r="AK84" s="22">
        <f>IFERROR(__xludf.DUMMYFUNCTION("IFERROR(GOOGLEFINANCE(B84,""price""),"""")"),3.71)</f>
        <v>3.71</v>
      </c>
    </row>
    <row r="85">
      <c r="A85" s="7">
        <v>46062.62726769344</v>
      </c>
      <c r="B85" s="8" t="s">
        <v>367</v>
      </c>
      <c r="C85" s="8" t="s">
        <v>368</v>
      </c>
      <c r="D85" s="9">
        <v>46068.0</v>
      </c>
      <c r="E85" s="10">
        <v>2.96</v>
      </c>
      <c r="F85" s="8" t="s">
        <v>117</v>
      </c>
      <c r="G85" s="23"/>
      <c r="H85" s="13">
        <v>-0.3367</v>
      </c>
      <c r="I85" s="8" t="s">
        <v>179</v>
      </c>
      <c r="J85" s="13">
        <v>0.1873</v>
      </c>
      <c r="K85" s="8">
        <v>1340963.0</v>
      </c>
      <c r="L85" s="11">
        <v>0.9</v>
      </c>
      <c r="M85" s="11">
        <v>24.9475</v>
      </c>
      <c r="N85" s="8" t="s">
        <v>369</v>
      </c>
      <c r="O85" s="11">
        <v>0.0</v>
      </c>
      <c r="P85" s="12">
        <v>402289.0</v>
      </c>
      <c r="Q85" s="13">
        <v>2.99</v>
      </c>
      <c r="R85" s="13">
        <v>2.69</v>
      </c>
      <c r="S85" s="13">
        <v>2.99</v>
      </c>
      <c r="T85" s="13">
        <v>0.2054</v>
      </c>
      <c r="U85" s="13">
        <v>0.4556</v>
      </c>
      <c r="V85" s="13">
        <v>226813.6</v>
      </c>
      <c r="W85" s="13">
        <v>1.8981</v>
      </c>
      <c r="X85" s="12">
        <v>9.8803337E7</v>
      </c>
      <c r="Y85" s="13">
        <v>3.5371</v>
      </c>
      <c r="Z85" s="13">
        <v>3.4443</v>
      </c>
      <c r="AA85" s="11">
        <v>42.2573</v>
      </c>
      <c r="AB85" s="13">
        <v>5.4566</v>
      </c>
      <c r="AC85" s="13">
        <v>-62.1576</v>
      </c>
      <c r="AD85" s="23"/>
      <c r="AE85" s="23"/>
      <c r="AF85" s="13">
        <v>0.0135</v>
      </c>
      <c r="AG85" s="13">
        <v>8.0768</v>
      </c>
      <c r="AH85" s="8" t="b">
        <v>1</v>
      </c>
      <c r="AI85" s="8" t="b">
        <v>0</v>
      </c>
      <c r="AJ85" s="8" t="b">
        <v>0</v>
      </c>
      <c r="AK85" s="14">
        <f>IFERROR(__xludf.DUMMYFUNCTION("IFERROR(GOOGLEFINANCE(B85,""price""),"""")"),2.69)</f>
        <v>2.69</v>
      </c>
    </row>
    <row r="86">
      <c r="A86" s="15">
        <v>46062.62726769344</v>
      </c>
      <c r="B86" s="16" t="s">
        <v>370</v>
      </c>
      <c r="C86" s="16" t="s">
        <v>371</v>
      </c>
      <c r="D86" s="17">
        <v>46068.0</v>
      </c>
      <c r="E86" s="18">
        <v>1.56</v>
      </c>
      <c r="F86" s="16" t="s">
        <v>88</v>
      </c>
      <c r="G86" s="24"/>
      <c r="H86" s="21">
        <v>-2.2962</v>
      </c>
      <c r="I86" s="16" t="s">
        <v>179</v>
      </c>
      <c r="J86" s="21">
        <v>0.1495</v>
      </c>
      <c r="K86" s="16">
        <v>5378469.0</v>
      </c>
      <c r="L86" s="19">
        <v>0.89</v>
      </c>
      <c r="M86" s="19">
        <v>14.7166</v>
      </c>
      <c r="N86" s="16" t="s">
        <v>372</v>
      </c>
      <c r="O86" s="19">
        <v>0.0</v>
      </c>
      <c r="P86" s="20">
        <v>860555.0</v>
      </c>
      <c r="Q86" s="21">
        <v>1.59</v>
      </c>
      <c r="R86" s="21">
        <v>1.43</v>
      </c>
      <c r="S86" s="21">
        <v>1.53</v>
      </c>
      <c r="T86" s="21">
        <v>0.3218</v>
      </c>
      <c r="U86" s="21">
        <v>0.7244</v>
      </c>
      <c r="V86" s="21">
        <v>542016.0</v>
      </c>
      <c r="W86" s="21">
        <v>1.533</v>
      </c>
      <c r="X86" s="20">
        <v>1.1864619E7</v>
      </c>
      <c r="Y86" s="21">
        <v>1.9899</v>
      </c>
      <c r="Z86" s="21">
        <v>1.8173</v>
      </c>
      <c r="AA86" s="19">
        <v>37.9987</v>
      </c>
      <c r="AB86" s="21">
        <v>6.75</v>
      </c>
      <c r="AC86" s="21">
        <v>-137.1537</v>
      </c>
      <c r="AD86" s="21">
        <v>-143.3847</v>
      </c>
      <c r="AE86" s="21">
        <v>4.6507</v>
      </c>
      <c r="AF86" s="21">
        <v>0.0681</v>
      </c>
      <c r="AG86" s="21">
        <v>1.4048</v>
      </c>
      <c r="AH86" s="16" t="b">
        <v>1</v>
      </c>
      <c r="AI86" s="16" t="b">
        <v>0</v>
      </c>
      <c r="AJ86" s="16" t="b">
        <v>0</v>
      </c>
      <c r="AK86" s="22">
        <f>IFERROR(__xludf.DUMMYFUNCTION("IFERROR(GOOGLEFINANCE(B86,""price""),"""")"),0.38)</f>
        <v>0.38</v>
      </c>
    </row>
    <row r="87">
      <c r="A87" s="7">
        <v>46062.62726769344</v>
      </c>
      <c r="B87" s="8" t="s">
        <v>373</v>
      </c>
      <c r="C87" s="8" t="s">
        <v>374</v>
      </c>
      <c r="D87" s="9">
        <v>46068.0</v>
      </c>
      <c r="E87" s="10">
        <v>0.9008</v>
      </c>
      <c r="F87" s="8" t="s">
        <v>117</v>
      </c>
      <c r="G87" s="23"/>
      <c r="H87" s="23"/>
      <c r="I87" s="8" t="s">
        <v>175</v>
      </c>
      <c r="J87" s="13">
        <v>0.0417</v>
      </c>
      <c r="K87" s="8">
        <v>1919662.0</v>
      </c>
      <c r="L87" s="11">
        <v>0.74</v>
      </c>
      <c r="M87" s="11">
        <v>22.7165</v>
      </c>
      <c r="N87" s="8" t="s">
        <v>375</v>
      </c>
      <c r="O87" s="11">
        <v>-4.7176</v>
      </c>
      <c r="P87" s="12">
        <v>748668.0</v>
      </c>
      <c r="Q87" s="13">
        <v>0.99</v>
      </c>
      <c r="R87" s="13">
        <v>0.6</v>
      </c>
      <c r="S87" s="13">
        <v>0.95</v>
      </c>
      <c r="T87" s="13">
        <v>0.1445</v>
      </c>
      <c r="U87" s="13">
        <v>0.3896</v>
      </c>
      <c r="V87" s="13">
        <v>273877.0</v>
      </c>
      <c r="W87" s="13">
        <v>1.8066</v>
      </c>
      <c r="X87" s="12">
        <v>8161376.0</v>
      </c>
      <c r="Y87" s="13">
        <v>1.1426</v>
      </c>
      <c r="Z87" s="13">
        <v>3.165</v>
      </c>
      <c r="AA87" s="11">
        <v>32.5356</v>
      </c>
      <c r="AB87" s="13">
        <v>8.1639</v>
      </c>
      <c r="AC87" s="23"/>
      <c r="AD87" s="23"/>
      <c r="AE87" s="23"/>
      <c r="AF87" s="13">
        <v>1.2265</v>
      </c>
      <c r="AG87" s="13">
        <v>0.5154</v>
      </c>
      <c r="AH87" s="8" t="b">
        <v>1</v>
      </c>
      <c r="AI87" s="8" t="b">
        <v>0</v>
      </c>
      <c r="AJ87" s="8" t="b">
        <v>0</v>
      </c>
      <c r="AK87" s="14" t="str">
        <f>IFERROR(__xludf.DUMMYFUNCTION("IFERROR(GOOGLEFINANCE(B87,""price""),"""")"),"")</f>
        <v/>
      </c>
    </row>
    <row r="88">
      <c r="A88" s="7">
        <v>46063.627971890564</v>
      </c>
      <c r="B88" s="8" t="s">
        <v>376</v>
      </c>
      <c r="C88" s="8" t="s">
        <v>377</v>
      </c>
      <c r="D88" s="9">
        <v>46068.0</v>
      </c>
      <c r="E88" s="10">
        <v>0.985</v>
      </c>
      <c r="F88" s="8" t="s">
        <v>186</v>
      </c>
      <c r="G88" s="23"/>
      <c r="H88" s="13">
        <v>-0.878</v>
      </c>
      <c r="I88" s="8" t="s">
        <v>378</v>
      </c>
      <c r="J88" s="13">
        <v>26.8568</v>
      </c>
      <c r="K88" s="8">
        <v>5.4167015E7</v>
      </c>
      <c r="L88" s="11">
        <v>0.8</v>
      </c>
      <c r="M88" s="11">
        <v>27.8651</v>
      </c>
      <c r="N88" s="8" t="s">
        <v>379</v>
      </c>
      <c r="O88" s="11">
        <v>42.0515</v>
      </c>
      <c r="P88" s="12">
        <v>2.1125136E7</v>
      </c>
      <c r="Q88" s="13">
        <v>1.0</v>
      </c>
      <c r="R88" s="13">
        <v>0.61</v>
      </c>
      <c r="S88" s="13">
        <v>0.6983</v>
      </c>
      <c r="T88" s="13">
        <v>0.1167</v>
      </c>
      <c r="U88" s="13">
        <v>0.2934</v>
      </c>
      <c r="V88" s="8">
        <v>2132088.0</v>
      </c>
      <c r="W88" s="13">
        <v>1063.3654</v>
      </c>
      <c r="X88" s="12">
        <v>3219439.0</v>
      </c>
      <c r="Y88" s="13">
        <v>1.2728</v>
      </c>
      <c r="Z88" s="13">
        <v>1.5991</v>
      </c>
      <c r="AA88" s="11">
        <v>41.0874</v>
      </c>
      <c r="AB88" s="13">
        <v>2.78</v>
      </c>
      <c r="AC88" s="13">
        <v>-50.2627</v>
      </c>
      <c r="AD88" s="13">
        <v>-31.7223</v>
      </c>
      <c r="AE88" s="13">
        <v>-66.5944</v>
      </c>
      <c r="AF88" s="13">
        <v>0.055</v>
      </c>
      <c r="AG88" s="13">
        <v>1.4071</v>
      </c>
      <c r="AH88" s="8" t="b">
        <v>0</v>
      </c>
      <c r="AI88" s="8" t="b">
        <v>0</v>
      </c>
      <c r="AJ88" s="8" t="b">
        <v>0</v>
      </c>
      <c r="AK88" s="14">
        <f>IFERROR(__xludf.DUMMYFUNCTION("IFERROR(GOOGLEFINANCE(B88,""price""),"""")"),0.74)</f>
        <v>0.74</v>
      </c>
    </row>
    <row r="89">
      <c r="A89" s="15">
        <v>46063.627971890564</v>
      </c>
      <c r="B89" s="16" t="s">
        <v>380</v>
      </c>
      <c r="C89" s="16" t="s">
        <v>381</v>
      </c>
      <c r="D89" s="17">
        <v>46068.0</v>
      </c>
      <c r="E89" s="18">
        <v>1.2001</v>
      </c>
      <c r="F89" s="16" t="s">
        <v>117</v>
      </c>
      <c r="G89" s="24"/>
      <c r="H89" s="21">
        <v>-2.2377</v>
      </c>
      <c r="I89" s="16" t="s">
        <v>382</v>
      </c>
      <c r="J89" s="21">
        <v>25.2362</v>
      </c>
      <c r="K89" s="16">
        <v>4.64537753E8</v>
      </c>
      <c r="L89" s="19">
        <v>0.61</v>
      </c>
      <c r="M89" s="19">
        <v>25.5628</v>
      </c>
      <c r="N89" s="16" t="s">
        <v>383</v>
      </c>
      <c r="O89" s="19">
        <v>33.3444</v>
      </c>
      <c r="P89" s="20">
        <v>1.57942836E8</v>
      </c>
      <c r="Q89" s="21">
        <v>1.48</v>
      </c>
      <c r="R89" s="21">
        <v>1.14</v>
      </c>
      <c r="S89" s="21">
        <v>1.41</v>
      </c>
      <c r="T89" s="21">
        <v>0.104</v>
      </c>
      <c r="U89" s="21">
        <v>0.3407</v>
      </c>
      <c r="V89" s="16">
        <v>1.5993096E7</v>
      </c>
      <c r="W89" s="21">
        <v>714.9659</v>
      </c>
      <c r="X89" s="20">
        <v>1.291839E7</v>
      </c>
      <c r="Y89" s="21">
        <v>1.1014</v>
      </c>
      <c r="Z89" s="21">
        <v>1.8597</v>
      </c>
      <c r="AA89" s="19">
        <v>60.9942</v>
      </c>
      <c r="AB89" s="21">
        <v>4.1899</v>
      </c>
      <c r="AC89" s="21">
        <v>-107.582</v>
      </c>
      <c r="AD89" s="24"/>
      <c r="AE89" s="24"/>
      <c r="AF89" s="21">
        <v>0.0</v>
      </c>
      <c r="AG89" s="21">
        <v>6.8986</v>
      </c>
      <c r="AH89" s="16" t="b">
        <v>0</v>
      </c>
      <c r="AI89" s="16" t="b">
        <v>0</v>
      </c>
      <c r="AJ89" s="16" t="b">
        <v>0</v>
      </c>
      <c r="AK89" s="22">
        <f>IFERROR(__xludf.DUMMYFUNCTION("IFERROR(GOOGLEFINANCE(B89,""price""),"""")"),1.21)</f>
        <v>1.21</v>
      </c>
    </row>
    <row r="90">
      <c r="A90" s="7">
        <v>46063.627971890564</v>
      </c>
      <c r="B90" s="8" t="s">
        <v>384</v>
      </c>
      <c r="C90" s="8" t="s">
        <v>385</v>
      </c>
      <c r="D90" s="9">
        <v>46068.0</v>
      </c>
      <c r="E90" s="10">
        <v>2.105</v>
      </c>
      <c r="F90" s="8" t="s">
        <v>117</v>
      </c>
      <c r="G90" s="23"/>
      <c r="H90" s="13">
        <v>-0.4533</v>
      </c>
      <c r="I90" s="8" t="s">
        <v>113</v>
      </c>
      <c r="J90" s="13">
        <v>1.2441</v>
      </c>
      <c r="K90" s="8">
        <v>7.0850362E7</v>
      </c>
      <c r="L90" s="11">
        <v>0.7</v>
      </c>
      <c r="M90" s="11">
        <v>25.0705</v>
      </c>
      <c r="N90" s="8" t="s">
        <v>386</v>
      </c>
      <c r="O90" s="11">
        <v>14.4022</v>
      </c>
      <c r="P90" s="12">
        <v>2.0546605E7</v>
      </c>
      <c r="Q90" s="13">
        <v>2.16</v>
      </c>
      <c r="R90" s="13">
        <v>1.87</v>
      </c>
      <c r="S90" s="13">
        <v>2.0</v>
      </c>
      <c r="T90" s="13">
        <v>0.1307</v>
      </c>
      <c r="U90" s="13">
        <v>0.3757</v>
      </c>
      <c r="V90" s="8">
        <v>3125574.0</v>
      </c>
      <c r="W90" s="13">
        <v>17.1395</v>
      </c>
      <c r="X90" s="12">
        <v>1.41367699E8</v>
      </c>
      <c r="Y90" s="13">
        <v>2.1053</v>
      </c>
      <c r="Z90" s="13">
        <v>2.307</v>
      </c>
      <c r="AA90" s="11">
        <v>57.4016</v>
      </c>
      <c r="AB90" s="13">
        <v>4.67</v>
      </c>
      <c r="AC90" s="13">
        <v>-31.8656</v>
      </c>
      <c r="AD90" s="23"/>
      <c r="AE90" s="23"/>
      <c r="AF90" s="13">
        <v>0.0115</v>
      </c>
      <c r="AG90" s="13">
        <v>27.5341</v>
      </c>
      <c r="AH90" s="8" t="b">
        <v>0</v>
      </c>
      <c r="AI90" s="8" t="b">
        <v>0</v>
      </c>
      <c r="AJ90" s="8" t="b">
        <v>0</v>
      </c>
      <c r="AK90" s="14">
        <f>IFERROR(__xludf.DUMMYFUNCTION("IFERROR(GOOGLEFINANCE(B90,""price""),"""")"),2.59)</f>
        <v>2.59</v>
      </c>
    </row>
    <row r="91">
      <c r="A91" s="15">
        <v>46063.627971890564</v>
      </c>
      <c r="B91" s="16" t="s">
        <v>387</v>
      </c>
      <c r="C91" s="16" t="s">
        <v>388</v>
      </c>
      <c r="D91" s="17">
        <v>46068.0</v>
      </c>
      <c r="E91" s="18">
        <v>2.0</v>
      </c>
      <c r="F91" s="16" t="s">
        <v>88</v>
      </c>
      <c r="G91" s="24"/>
      <c r="H91" s="21">
        <v>-16.4593</v>
      </c>
      <c r="I91" s="16" t="s">
        <v>118</v>
      </c>
      <c r="J91" s="21">
        <v>0.2078</v>
      </c>
      <c r="K91" s="16">
        <v>1480755.0</v>
      </c>
      <c r="L91" s="19">
        <v>0.07</v>
      </c>
      <c r="M91" s="19">
        <v>22.5885</v>
      </c>
      <c r="N91" s="16" t="s">
        <v>389</v>
      </c>
      <c r="O91" s="19">
        <v>3.0928</v>
      </c>
      <c r="P91" s="20">
        <v>307997.0</v>
      </c>
      <c r="Q91" s="21">
        <v>2.18</v>
      </c>
      <c r="R91" s="21">
        <v>1.972</v>
      </c>
      <c r="S91" s="21">
        <v>1.98</v>
      </c>
      <c r="T91" s="21">
        <v>0.2754</v>
      </c>
      <c r="U91" s="21">
        <v>8.0613</v>
      </c>
      <c r="V91" s="21">
        <v>163573.2</v>
      </c>
      <c r="W91" s="21">
        <v>2.1614</v>
      </c>
      <c r="X91" s="20">
        <v>7227258.0</v>
      </c>
      <c r="Y91" s="21">
        <v>2.858</v>
      </c>
      <c r="Z91" s="21">
        <v>35.9615</v>
      </c>
      <c r="AA91" s="19">
        <v>36.2635</v>
      </c>
      <c r="AB91" s="21">
        <v>1413.6897</v>
      </c>
      <c r="AC91" s="21">
        <v>-184.8222</v>
      </c>
      <c r="AD91" s="21">
        <v>-50.2925</v>
      </c>
      <c r="AE91" s="24"/>
      <c r="AF91" s="21">
        <v>0.4793</v>
      </c>
      <c r="AG91" s="21">
        <v>0.4238</v>
      </c>
      <c r="AH91" s="16" t="b">
        <v>0</v>
      </c>
      <c r="AI91" s="16" t="b">
        <v>1</v>
      </c>
      <c r="AJ91" s="16" t="b">
        <v>0</v>
      </c>
      <c r="AK91" s="22">
        <f>IFERROR(__xludf.DUMMYFUNCTION("IFERROR(GOOGLEFINANCE(B91,""price""),"""")"),1.18)</f>
        <v>1.18</v>
      </c>
    </row>
    <row r="92">
      <c r="A92" s="7">
        <v>46063.87608794923</v>
      </c>
      <c r="B92" s="8" t="s">
        <v>376</v>
      </c>
      <c r="C92" s="8" t="s">
        <v>377</v>
      </c>
      <c r="D92" s="9">
        <v>46068.0</v>
      </c>
      <c r="E92" s="10">
        <v>1.04</v>
      </c>
      <c r="F92" s="8" t="s">
        <v>186</v>
      </c>
      <c r="G92" s="23"/>
      <c r="H92" s="13">
        <v>-0.878</v>
      </c>
      <c r="I92" s="8" t="s">
        <v>390</v>
      </c>
      <c r="J92" s="13">
        <v>24.8657</v>
      </c>
      <c r="K92" s="8">
        <v>4.7498943E7</v>
      </c>
      <c r="L92" s="11">
        <v>0.82</v>
      </c>
      <c r="M92" s="11">
        <v>26.9681</v>
      </c>
      <c r="N92" s="8" t="s">
        <v>379</v>
      </c>
      <c r="O92" s="11">
        <v>49.9834</v>
      </c>
      <c r="P92" s="12">
        <v>2.2324503E7</v>
      </c>
      <c r="Q92" s="13">
        <v>1.08</v>
      </c>
      <c r="R92" s="13">
        <v>0.61</v>
      </c>
      <c r="S92" s="13">
        <v>0.6983</v>
      </c>
      <c r="T92" s="13">
        <v>0.1224</v>
      </c>
      <c r="U92" s="13">
        <v>0.2991</v>
      </c>
      <c r="V92" s="8">
        <v>2252025.0</v>
      </c>
      <c r="W92" s="13">
        <v>1123.7373</v>
      </c>
      <c r="X92" s="12">
        <v>3399208.0</v>
      </c>
      <c r="Y92" s="13">
        <v>1.2739</v>
      </c>
      <c r="Z92" s="13">
        <v>1.5996</v>
      </c>
      <c r="AA92" s="11">
        <v>44.0533</v>
      </c>
      <c r="AB92" s="13">
        <v>2.78</v>
      </c>
      <c r="AC92" s="13">
        <v>-50.2627</v>
      </c>
      <c r="AD92" s="13">
        <v>-31.7223</v>
      </c>
      <c r="AE92" s="13">
        <v>-66.5944</v>
      </c>
      <c r="AF92" s="13">
        <v>0.055</v>
      </c>
      <c r="AG92" s="13">
        <v>1.4071</v>
      </c>
      <c r="AH92" s="8" t="b">
        <v>0</v>
      </c>
      <c r="AI92" s="8" t="b">
        <v>0</v>
      </c>
      <c r="AJ92" s="8" t="b">
        <v>0</v>
      </c>
      <c r="AK92" s="14">
        <f>IFERROR(__xludf.DUMMYFUNCTION("IFERROR(GOOGLEFINANCE(B92,""price""),"""")"),0.74)</f>
        <v>0.74</v>
      </c>
    </row>
    <row r="93">
      <c r="A93" s="15">
        <v>46063.87608794923</v>
      </c>
      <c r="B93" s="16" t="s">
        <v>380</v>
      </c>
      <c r="C93" s="16" t="s">
        <v>381</v>
      </c>
      <c r="D93" s="17">
        <v>46068.0</v>
      </c>
      <c r="E93" s="18">
        <v>1.12</v>
      </c>
      <c r="F93" s="16" t="s">
        <v>117</v>
      </c>
      <c r="G93" s="24"/>
      <c r="H93" s="21">
        <v>-2.2377</v>
      </c>
      <c r="I93" s="16" t="s">
        <v>391</v>
      </c>
      <c r="J93" s="21">
        <v>22.9116</v>
      </c>
      <c r="K93" s="16">
        <v>4.51910217E8</v>
      </c>
      <c r="L93" s="19">
        <v>0.61</v>
      </c>
      <c r="M93" s="19">
        <v>25.5628</v>
      </c>
      <c r="N93" s="16" t="s">
        <v>383</v>
      </c>
      <c r="O93" s="19">
        <v>24.4444</v>
      </c>
      <c r="P93" s="20">
        <v>1.62687678E8</v>
      </c>
      <c r="Q93" s="21">
        <v>1.48</v>
      </c>
      <c r="R93" s="21">
        <v>1.12</v>
      </c>
      <c r="S93" s="21">
        <v>1.41</v>
      </c>
      <c r="T93" s="21">
        <v>0.104</v>
      </c>
      <c r="U93" s="21">
        <v>0.3407</v>
      </c>
      <c r="V93" s="16">
        <v>1.646758E7</v>
      </c>
      <c r="W93" s="21">
        <v>736.4446</v>
      </c>
      <c r="X93" s="20">
        <v>1.2056159E7</v>
      </c>
      <c r="Y93" s="21">
        <v>1.0998</v>
      </c>
      <c r="Z93" s="21">
        <v>1.8589</v>
      </c>
      <c r="AA93" s="19">
        <v>56.138</v>
      </c>
      <c r="AB93" s="21">
        <v>4.1899</v>
      </c>
      <c r="AC93" s="21">
        <v>-107.582</v>
      </c>
      <c r="AD93" s="24"/>
      <c r="AE93" s="24"/>
      <c r="AF93" s="21">
        <v>0.0</v>
      </c>
      <c r="AG93" s="21">
        <v>6.8986</v>
      </c>
      <c r="AH93" s="16" t="b">
        <v>0</v>
      </c>
      <c r="AI93" s="16" t="b">
        <v>0</v>
      </c>
      <c r="AJ93" s="16" t="b">
        <v>0</v>
      </c>
      <c r="AK93" s="22">
        <f>IFERROR(__xludf.DUMMYFUNCTION("IFERROR(GOOGLEFINANCE(B93,""price""),"""")"),1.21)</f>
        <v>1.21</v>
      </c>
    </row>
    <row r="94">
      <c r="A94" s="7">
        <v>46063.87608794923</v>
      </c>
      <c r="B94" s="8" t="s">
        <v>392</v>
      </c>
      <c r="C94" s="8" t="s">
        <v>393</v>
      </c>
      <c r="D94" s="9">
        <v>46068.0</v>
      </c>
      <c r="E94" s="10">
        <v>0.8372</v>
      </c>
      <c r="F94" s="8" t="s">
        <v>137</v>
      </c>
      <c r="G94" s="23"/>
      <c r="H94" s="13">
        <v>-0.4436</v>
      </c>
      <c r="I94" s="8" t="s">
        <v>394</v>
      </c>
      <c r="J94" s="13">
        <v>11.4745</v>
      </c>
      <c r="K94" s="8">
        <v>9.5032267E7</v>
      </c>
      <c r="L94" s="11">
        <v>0.45</v>
      </c>
      <c r="M94" s="11">
        <v>16.9166</v>
      </c>
      <c r="N94" s="8" t="s">
        <v>395</v>
      </c>
      <c r="O94" s="11">
        <v>2.5101</v>
      </c>
      <c r="P94" s="12">
        <v>5701936.0</v>
      </c>
      <c r="Q94" s="13">
        <v>0.87</v>
      </c>
      <c r="R94" s="13">
        <v>0.81</v>
      </c>
      <c r="S94" s="13">
        <v>0.8166</v>
      </c>
      <c r="T94" s="13">
        <v>0.0784</v>
      </c>
      <c r="U94" s="13">
        <v>0.346</v>
      </c>
      <c r="V94" s="13">
        <v>621887.0</v>
      </c>
      <c r="W94" s="13">
        <v>82.2345</v>
      </c>
      <c r="X94" s="12">
        <v>1.690709E7</v>
      </c>
      <c r="Y94" s="13">
        <v>0.892</v>
      </c>
      <c r="Z94" s="13">
        <v>2.0452</v>
      </c>
      <c r="AA94" s="11">
        <v>46.6345</v>
      </c>
      <c r="AB94" s="13">
        <v>11.2</v>
      </c>
      <c r="AC94" s="23"/>
      <c r="AD94" s="13">
        <v>-89.5497</v>
      </c>
      <c r="AE94" s="13">
        <v>-31.7572</v>
      </c>
      <c r="AF94" s="13">
        <v>0.0137</v>
      </c>
      <c r="AG94" s="13">
        <v>1.2835</v>
      </c>
      <c r="AH94" s="8" t="b">
        <v>0</v>
      </c>
      <c r="AI94" s="8" t="b">
        <v>0</v>
      </c>
      <c r="AJ94" s="8" t="b">
        <v>0</v>
      </c>
      <c r="AK94" s="14">
        <f>IFERROR(__xludf.DUMMYFUNCTION("IFERROR(GOOGLEFINANCE(B94,""price""),"""")"),0.68)</f>
        <v>0.68</v>
      </c>
    </row>
    <row r="95">
      <c r="A95" s="15">
        <v>46063.87608794923</v>
      </c>
      <c r="B95" s="16" t="s">
        <v>384</v>
      </c>
      <c r="C95" s="16" t="s">
        <v>385</v>
      </c>
      <c r="D95" s="17">
        <v>46068.0</v>
      </c>
      <c r="E95" s="18">
        <v>2.05</v>
      </c>
      <c r="F95" s="16" t="s">
        <v>117</v>
      </c>
      <c r="G95" s="24"/>
      <c r="H95" s="21">
        <v>-0.4533</v>
      </c>
      <c r="I95" s="16" t="s">
        <v>113</v>
      </c>
      <c r="J95" s="21">
        <v>1.2615</v>
      </c>
      <c r="K95" s="16">
        <v>7.376801E7</v>
      </c>
      <c r="L95" s="19">
        <v>0.7</v>
      </c>
      <c r="M95" s="19">
        <v>25.0705</v>
      </c>
      <c r="N95" s="16" t="s">
        <v>386</v>
      </c>
      <c r="O95" s="19">
        <v>11.413</v>
      </c>
      <c r="P95" s="20">
        <v>2.1392723E7</v>
      </c>
      <c r="Q95" s="21">
        <v>2.16</v>
      </c>
      <c r="R95" s="21">
        <v>1.87</v>
      </c>
      <c r="S95" s="21">
        <v>2.0</v>
      </c>
      <c r="T95" s="21">
        <v>0.1307</v>
      </c>
      <c r="U95" s="21">
        <v>0.3757</v>
      </c>
      <c r="V95" s="16">
        <v>3210186.0</v>
      </c>
      <c r="W95" s="21">
        <v>17.8453</v>
      </c>
      <c r="X95" s="20">
        <v>1.37674006E8</v>
      </c>
      <c r="Y95" s="21">
        <v>2.1042</v>
      </c>
      <c r="Z95" s="21">
        <v>2.3065</v>
      </c>
      <c r="AA95" s="19">
        <v>55.1381</v>
      </c>
      <c r="AB95" s="21">
        <v>4.67</v>
      </c>
      <c r="AC95" s="21">
        <v>-31.8656</v>
      </c>
      <c r="AD95" s="24"/>
      <c r="AE95" s="24"/>
      <c r="AF95" s="21">
        <v>0.0115</v>
      </c>
      <c r="AG95" s="21">
        <v>27.5341</v>
      </c>
      <c r="AH95" s="16" t="b">
        <v>0</v>
      </c>
      <c r="AI95" s="16" t="b">
        <v>0</v>
      </c>
      <c r="AJ95" s="16" t="b">
        <v>0</v>
      </c>
      <c r="AK95" s="22">
        <f>IFERROR(__xludf.DUMMYFUNCTION("IFERROR(GOOGLEFINANCE(B95,""price""),"""")"),2.59)</f>
        <v>2.59</v>
      </c>
    </row>
    <row r="96">
      <c r="A96" s="7">
        <v>46063.87608794923</v>
      </c>
      <c r="B96" s="8" t="s">
        <v>253</v>
      </c>
      <c r="C96" s="8" t="s">
        <v>254</v>
      </c>
      <c r="D96" s="9">
        <v>46068.0</v>
      </c>
      <c r="E96" s="10">
        <v>1.03</v>
      </c>
      <c r="F96" s="8" t="s">
        <v>117</v>
      </c>
      <c r="G96" s="23"/>
      <c r="H96" s="13">
        <v>-2.1105</v>
      </c>
      <c r="I96" s="8" t="s">
        <v>118</v>
      </c>
      <c r="J96" s="13">
        <v>0.4004</v>
      </c>
      <c r="K96" s="8">
        <v>1.114E7</v>
      </c>
      <c r="L96" s="11">
        <v>0.63</v>
      </c>
      <c r="M96" s="11">
        <v>23.8801</v>
      </c>
      <c r="N96" s="8" t="s">
        <v>255</v>
      </c>
      <c r="O96" s="11">
        <v>-4.6296</v>
      </c>
      <c r="P96" s="12">
        <v>1671000.0</v>
      </c>
      <c r="Q96" s="13">
        <v>1.14</v>
      </c>
      <c r="R96" s="13">
        <v>0.99</v>
      </c>
      <c r="S96" s="13">
        <v>1.03</v>
      </c>
      <c r="T96" s="13">
        <v>0.1292</v>
      </c>
      <c r="U96" s="13">
        <v>0.4094</v>
      </c>
      <c r="V96" s="13">
        <v>438205.8</v>
      </c>
      <c r="W96" s="13">
        <v>5.8308</v>
      </c>
      <c r="X96" s="12">
        <v>2.6316483E7</v>
      </c>
      <c r="Y96" s="13">
        <v>1.5439</v>
      </c>
      <c r="Z96" s="13">
        <v>2.2942</v>
      </c>
      <c r="AA96" s="11">
        <v>24.0416</v>
      </c>
      <c r="AB96" s="13">
        <v>8.94</v>
      </c>
      <c r="AC96" s="13">
        <v>-2237.5395</v>
      </c>
      <c r="AD96" s="23"/>
      <c r="AE96" s="23"/>
      <c r="AF96" s="23"/>
      <c r="AG96" s="13">
        <v>0.9178</v>
      </c>
      <c r="AH96" s="8" t="b">
        <v>0</v>
      </c>
      <c r="AI96" s="8" t="b">
        <v>1</v>
      </c>
      <c r="AJ96" s="8" t="b">
        <v>0</v>
      </c>
      <c r="AK96" s="14">
        <f>IFERROR(__xludf.DUMMYFUNCTION("IFERROR(GOOGLEFINANCE(B96,""price""),"""")"),0.41)</f>
        <v>0.41</v>
      </c>
    </row>
    <row r="97">
      <c r="A97" s="15">
        <v>46063.87608794923</v>
      </c>
      <c r="B97" s="16" t="s">
        <v>396</v>
      </c>
      <c r="C97" s="16" t="s">
        <v>397</v>
      </c>
      <c r="D97" s="17">
        <v>46068.0</v>
      </c>
      <c r="E97" s="18">
        <v>0.6827</v>
      </c>
      <c r="F97" s="16" t="s">
        <v>308</v>
      </c>
      <c r="G97" s="24"/>
      <c r="H97" s="21">
        <v>-0.1813</v>
      </c>
      <c r="I97" s="16" t="s">
        <v>118</v>
      </c>
      <c r="J97" s="21">
        <v>0.3324</v>
      </c>
      <c r="K97" s="16">
        <v>1.4231741E7</v>
      </c>
      <c r="L97" s="19">
        <v>0.2</v>
      </c>
      <c r="M97" s="19">
        <v>12.8496</v>
      </c>
      <c r="N97" s="16" t="s">
        <v>398</v>
      </c>
      <c r="O97" s="19">
        <v>3.4237</v>
      </c>
      <c r="P97" s="20">
        <v>735781.0</v>
      </c>
      <c r="Q97" s="21">
        <v>0.7118</v>
      </c>
      <c r="R97" s="21">
        <v>0.6601</v>
      </c>
      <c r="S97" s="21">
        <v>0.68</v>
      </c>
      <c r="T97" s="21">
        <v>0.2002</v>
      </c>
      <c r="U97" s="21">
        <v>2.0422</v>
      </c>
      <c r="V97" s="21">
        <v>327639.0</v>
      </c>
      <c r="W97" s="21">
        <v>2.5176</v>
      </c>
      <c r="X97" s="20">
        <v>2671743.0</v>
      </c>
      <c r="Y97" s="21">
        <v>1.397</v>
      </c>
      <c r="Z97" s="21">
        <v>8.1322</v>
      </c>
      <c r="AA97" s="19">
        <v>30.2917</v>
      </c>
      <c r="AB97" s="21">
        <v>26.1</v>
      </c>
      <c r="AC97" s="21">
        <v>-14.9516</v>
      </c>
      <c r="AD97" s="21">
        <v>-12.5662</v>
      </c>
      <c r="AE97" s="21">
        <v>2.7514</v>
      </c>
      <c r="AF97" s="21">
        <v>0.1138</v>
      </c>
      <c r="AG97" s="21">
        <v>1.8386</v>
      </c>
      <c r="AH97" s="16" t="b">
        <v>0</v>
      </c>
      <c r="AI97" s="16" t="b">
        <v>1</v>
      </c>
      <c r="AJ97" s="16" t="b">
        <v>0</v>
      </c>
      <c r="AK97" s="22">
        <f>IFERROR(__xludf.DUMMYFUNCTION("IFERROR(GOOGLEFINANCE(B97,""price""),"""")"),0.53)</f>
        <v>0.53</v>
      </c>
    </row>
    <row r="98">
      <c r="A98" s="7">
        <v>46063.87608794923</v>
      </c>
      <c r="B98" s="8" t="s">
        <v>399</v>
      </c>
      <c r="C98" s="8" t="s">
        <v>400</v>
      </c>
      <c r="D98" s="9">
        <v>46068.0</v>
      </c>
      <c r="E98" s="10">
        <v>0.6201</v>
      </c>
      <c r="F98" s="8" t="s">
        <v>117</v>
      </c>
      <c r="G98" s="13">
        <v>60.7941</v>
      </c>
      <c r="H98" s="13">
        <v>0.0102</v>
      </c>
      <c r="I98" s="8" t="s">
        <v>138</v>
      </c>
      <c r="J98" s="13">
        <v>0.2575</v>
      </c>
      <c r="K98" s="8">
        <v>7655302.0</v>
      </c>
      <c r="L98" s="11">
        <v>0.9</v>
      </c>
      <c r="M98" s="11">
        <v>19.6389</v>
      </c>
      <c r="N98" s="8" t="s">
        <v>401</v>
      </c>
      <c r="O98" s="11">
        <v>3.6437</v>
      </c>
      <c r="P98" s="12">
        <v>304681.0</v>
      </c>
      <c r="Q98" s="13">
        <v>0.6498</v>
      </c>
      <c r="R98" s="13">
        <v>0.61</v>
      </c>
      <c r="S98" s="13">
        <v>0.6173</v>
      </c>
      <c r="T98" s="13">
        <v>0.0466</v>
      </c>
      <c r="U98" s="13">
        <v>0.1033</v>
      </c>
      <c r="V98" s="13">
        <v>197705.7</v>
      </c>
      <c r="W98" s="13">
        <v>1.653</v>
      </c>
      <c r="X98" s="12">
        <v>8.6816627E7</v>
      </c>
      <c r="Y98" s="13">
        <v>0.6778</v>
      </c>
      <c r="Z98" s="13">
        <v>0.6587</v>
      </c>
      <c r="AA98" s="11">
        <v>45.5619</v>
      </c>
      <c r="AB98" s="13">
        <v>0.95</v>
      </c>
      <c r="AC98" s="13">
        <v>3.6438</v>
      </c>
      <c r="AD98" s="13">
        <v>4.7685</v>
      </c>
      <c r="AE98" s="13">
        <v>16.882</v>
      </c>
      <c r="AF98" s="13">
        <v>0.6448</v>
      </c>
      <c r="AG98" s="13">
        <v>2.2063</v>
      </c>
      <c r="AH98" s="8" t="b">
        <v>0</v>
      </c>
      <c r="AI98" s="8" t="b">
        <v>1</v>
      </c>
      <c r="AJ98" s="8" t="b">
        <v>0</v>
      </c>
      <c r="AK98" s="14">
        <f>IFERROR(__xludf.DUMMYFUNCTION("IFERROR(GOOGLEFINANCE(B98,""price""),"""")"),0.48)</f>
        <v>0.48</v>
      </c>
    </row>
    <row r="99">
      <c r="A99" s="15">
        <v>46063.87608794923</v>
      </c>
      <c r="B99" s="16" t="s">
        <v>402</v>
      </c>
      <c r="C99" s="16" t="s">
        <v>403</v>
      </c>
      <c r="D99" s="17">
        <v>46068.0</v>
      </c>
      <c r="E99" s="18">
        <v>1.24</v>
      </c>
      <c r="F99" s="16" t="s">
        <v>117</v>
      </c>
      <c r="G99" s="24"/>
      <c r="H99" s="21">
        <v>-2.6198</v>
      </c>
      <c r="I99" s="16" t="s">
        <v>175</v>
      </c>
      <c r="J99" s="21">
        <v>0.2414</v>
      </c>
      <c r="K99" s="16">
        <v>4060253.0</v>
      </c>
      <c r="L99" s="19">
        <v>0.62</v>
      </c>
      <c r="M99" s="19">
        <v>17.5842</v>
      </c>
      <c r="N99" s="16" t="s">
        <v>404</v>
      </c>
      <c r="O99" s="19">
        <v>6.8966</v>
      </c>
      <c r="P99" s="20">
        <v>401153.0</v>
      </c>
      <c r="Q99" s="21">
        <v>1.2588</v>
      </c>
      <c r="R99" s="21">
        <v>1.16</v>
      </c>
      <c r="S99" s="21">
        <v>1.23</v>
      </c>
      <c r="T99" s="21">
        <v>0.1025</v>
      </c>
      <c r="U99" s="21">
        <v>0.3295</v>
      </c>
      <c r="V99" s="21">
        <v>245091.9</v>
      </c>
      <c r="W99" s="21">
        <v>1.9231</v>
      </c>
      <c r="X99" s="20">
        <v>7301367.0</v>
      </c>
      <c r="Y99" s="21">
        <v>1.2972</v>
      </c>
      <c r="Z99" s="21">
        <v>1.8355</v>
      </c>
      <c r="AA99" s="19">
        <v>50.4274</v>
      </c>
      <c r="AB99" s="21">
        <v>3.86</v>
      </c>
      <c r="AC99" s="21">
        <v>-207.1878</v>
      </c>
      <c r="AD99" s="21">
        <v>-20.8586</v>
      </c>
      <c r="AE99" s="21">
        <v>-5.1875</v>
      </c>
      <c r="AF99" s="21">
        <v>12.414</v>
      </c>
      <c r="AG99" s="21">
        <v>0.9494</v>
      </c>
      <c r="AH99" s="16" t="b">
        <v>1</v>
      </c>
      <c r="AI99" s="16" t="b">
        <v>0</v>
      </c>
      <c r="AJ99" s="16" t="b">
        <v>0</v>
      </c>
      <c r="AK99" s="22">
        <f>IFERROR(__xludf.DUMMYFUNCTION("IFERROR(GOOGLEFINANCE(B99,""price""),"""")"),0.15)</f>
        <v>0.15</v>
      </c>
    </row>
    <row r="100">
      <c r="A100" s="7">
        <v>46063.87608794923</v>
      </c>
      <c r="B100" s="8" t="s">
        <v>405</v>
      </c>
      <c r="C100" s="8" t="s">
        <v>406</v>
      </c>
      <c r="D100" s="9">
        <v>46068.0</v>
      </c>
      <c r="E100" s="10">
        <v>0.7481</v>
      </c>
      <c r="F100" s="8" t="s">
        <v>117</v>
      </c>
      <c r="G100" s="23"/>
      <c r="H100" s="13">
        <v>-39.2297</v>
      </c>
      <c r="I100" s="8" t="s">
        <v>118</v>
      </c>
      <c r="J100" s="13">
        <v>0.1072</v>
      </c>
      <c r="K100" s="8">
        <v>3759283.0</v>
      </c>
      <c r="L100" s="11">
        <v>0.19</v>
      </c>
      <c r="M100" s="11">
        <v>12.0643</v>
      </c>
      <c r="N100" s="8" t="s">
        <v>407</v>
      </c>
      <c r="O100" s="11">
        <v>-2.8442</v>
      </c>
      <c r="P100" s="12">
        <v>451114.0</v>
      </c>
      <c r="Q100" s="13">
        <v>0.84</v>
      </c>
      <c r="R100" s="13">
        <v>0.72</v>
      </c>
      <c r="S100" s="13">
        <v>0.7569</v>
      </c>
      <c r="T100" s="13">
        <v>0.1188</v>
      </c>
      <c r="U100" s="13">
        <v>1.2663</v>
      </c>
      <c r="V100" s="13">
        <v>270405.0</v>
      </c>
      <c r="W100" s="13">
        <v>1.7195</v>
      </c>
      <c r="X100" s="12">
        <v>4776003.0</v>
      </c>
      <c r="Y100" s="13">
        <v>0.7714</v>
      </c>
      <c r="Z100" s="13">
        <v>7.2956</v>
      </c>
      <c r="AA100" s="11">
        <v>47.2374</v>
      </c>
      <c r="AB100" s="13">
        <v>34.65</v>
      </c>
      <c r="AC100" s="13">
        <v>-139.5512</v>
      </c>
      <c r="AD100" s="23"/>
      <c r="AE100" s="23"/>
      <c r="AF100" s="13">
        <v>0.0</v>
      </c>
      <c r="AG100" s="13">
        <v>2.7907</v>
      </c>
      <c r="AH100" s="8" t="b">
        <v>0</v>
      </c>
      <c r="AI100" s="8" t="b">
        <v>1</v>
      </c>
      <c r="AJ100" s="8" t="b">
        <v>0</v>
      </c>
      <c r="AK100" s="14">
        <f>IFERROR(__xludf.DUMMYFUNCTION("IFERROR(GOOGLEFINANCE(B100,""price""),"""")"),5.83)</f>
        <v>5.83</v>
      </c>
    </row>
    <row r="101">
      <c r="A101" s="15">
        <v>46063.87608794923</v>
      </c>
      <c r="B101" s="16" t="s">
        <v>408</v>
      </c>
      <c r="C101" s="16" t="s">
        <v>409</v>
      </c>
      <c r="D101" s="17">
        <v>46068.0</v>
      </c>
      <c r="E101" s="18">
        <v>0.5701</v>
      </c>
      <c r="F101" s="16" t="s">
        <v>102</v>
      </c>
      <c r="G101" s="24"/>
      <c r="H101" s="24"/>
      <c r="I101" s="16" t="s">
        <v>175</v>
      </c>
      <c r="J101" s="21">
        <v>0.0865</v>
      </c>
      <c r="K101" s="16">
        <v>1.179289E7</v>
      </c>
      <c r="L101" s="19">
        <v>0.36</v>
      </c>
      <c r="M101" s="19">
        <v>23.8873</v>
      </c>
      <c r="N101" s="16" t="s">
        <v>410</v>
      </c>
      <c r="O101" s="19">
        <v>-18.7197</v>
      </c>
      <c r="P101" s="20">
        <v>1179289.0</v>
      </c>
      <c r="Q101" s="21">
        <v>0.6</v>
      </c>
      <c r="R101" s="21">
        <v>0.5</v>
      </c>
      <c r="S101" s="21">
        <v>0.5975</v>
      </c>
      <c r="T101" s="21">
        <v>0.1954</v>
      </c>
      <c r="U101" s="21">
        <v>1.0788</v>
      </c>
      <c r="V101" s="21">
        <v>812441.6</v>
      </c>
      <c r="W101" s="21">
        <v>1.5169</v>
      </c>
      <c r="X101" s="20">
        <v>5272785.0</v>
      </c>
      <c r="Y101" s="21">
        <v>1.7379</v>
      </c>
      <c r="Z101" s="21">
        <v>6.2181</v>
      </c>
      <c r="AA101" s="19">
        <v>27.5543</v>
      </c>
      <c r="AB101" s="21">
        <v>8.4207</v>
      </c>
      <c r="AC101" s="21">
        <v>-54.9523</v>
      </c>
      <c r="AD101" s="24"/>
      <c r="AE101" s="24"/>
      <c r="AF101" s="21">
        <v>0.1344</v>
      </c>
      <c r="AG101" s="21">
        <v>2.8931</v>
      </c>
      <c r="AH101" s="16" t="b">
        <v>1</v>
      </c>
      <c r="AI101" s="16" t="b">
        <v>0</v>
      </c>
      <c r="AJ101" s="16" t="b">
        <v>0</v>
      </c>
      <c r="AK101" s="22">
        <f>IFERROR(__xludf.DUMMYFUNCTION("IFERROR(GOOGLEFINANCE(B101,""price""),"""")"),1.08)</f>
        <v>1.08</v>
      </c>
    </row>
    <row r="102">
      <c r="A102" s="7">
        <v>46064.628278665485</v>
      </c>
      <c r="B102" s="8" t="s">
        <v>411</v>
      </c>
      <c r="C102" s="8" t="s">
        <v>412</v>
      </c>
      <c r="D102" s="9">
        <v>46068.0</v>
      </c>
      <c r="E102" s="10">
        <v>1.79</v>
      </c>
      <c r="F102" s="8" t="s">
        <v>270</v>
      </c>
      <c r="G102" s="23"/>
      <c r="H102" s="13">
        <v>-56.0558</v>
      </c>
      <c r="I102" s="8" t="s">
        <v>413</v>
      </c>
      <c r="J102" s="13">
        <v>3.5708</v>
      </c>
      <c r="K102" s="8">
        <v>1.8729237E7</v>
      </c>
      <c r="L102" s="11">
        <v>0.41</v>
      </c>
      <c r="M102" s="11">
        <v>25.8891</v>
      </c>
      <c r="N102" s="8" t="s">
        <v>414</v>
      </c>
      <c r="O102" s="11">
        <v>-26.7894</v>
      </c>
      <c r="P102" s="12">
        <v>1.4794224E7</v>
      </c>
      <c r="Q102" s="13">
        <v>2.4099</v>
      </c>
      <c r="R102" s="13">
        <v>1.62</v>
      </c>
      <c r="S102" s="13">
        <v>2.4</v>
      </c>
      <c r="T102" s="13">
        <v>0.5218</v>
      </c>
      <c r="U102" s="13">
        <v>2.5439</v>
      </c>
      <c r="V102" s="8">
        <v>1561258.0</v>
      </c>
      <c r="W102" s="13">
        <v>157.5731</v>
      </c>
      <c r="X102" s="12">
        <v>1281375.0</v>
      </c>
      <c r="Y102" s="13">
        <v>4.4745</v>
      </c>
      <c r="Z102" s="13">
        <v>16.0138</v>
      </c>
      <c r="AA102" s="11">
        <v>28.8041</v>
      </c>
      <c r="AB102" s="13">
        <v>60.55</v>
      </c>
      <c r="AC102" s="13">
        <v>-327.2092</v>
      </c>
      <c r="AD102" s="13">
        <v>-3039.0181</v>
      </c>
      <c r="AE102" s="13">
        <v>-33.2759</v>
      </c>
      <c r="AF102" s="13">
        <v>4.3873</v>
      </c>
      <c r="AG102" s="13">
        <v>1.2972</v>
      </c>
      <c r="AH102" s="8" t="b">
        <v>0</v>
      </c>
      <c r="AI102" s="8" t="b">
        <v>0</v>
      </c>
      <c r="AJ102" s="8" t="b">
        <v>0</v>
      </c>
      <c r="AK102" s="14">
        <f>IFERROR(__xludf.DUMMYFUNCTION("IFERROR(GOOGLEFINANCE(B102,""price""),"""")"),0.59)</f>
        <v>0.59</v>
      </c>
    </row>
    <row r="103">
      <c r="A103" s="15">
        <v>46064.628278665485</v>
      </c>
      <c r="B103" s="16" t="s">
        <v>415</v>
      </c>
      <c r="C103" s="16" t="s">
        <v>416</v>
      </c>
      <c r="D103" s="17">
        <v>46068.0</v>
      </c>
      <c r="E103" s="18">
        <v>0.5895</v>
      </c>
      <c r="F103" s="16" t="s">
        <v>129</v>
      </c>
      <c r="G103" s="24"/>
      <c r="H103" s="24"/>
      <c r="I103" s="16" t="s">
        <v>118</v>
      </c>
      <c r="J103" s="21">
        <v>0.7016</v>
      </c>
      <c r="K103" s="16">
        <v>8756287.0</v>
      </c>
      <c r="L103" s="19">
        <v>0.66</v>
      </c>
      <c r="M103" s="19">
        <v>19.8441</v>
      </c>
      <c r="N103" s="16" t="s">
        <v>417</v>
      </c>
      <c r="O103" s="19">
        <v>17.7352</v>
      </c>
      <c r="P103" s="20">
        <v>1238139.0</v>
      </c>
      <c r="Q103" s="21">
        <v>0.7113</v>
      </c>
      <c r="R103" s="21">
        <v>0.5699</v>
      </c>
      <c r="S103" s="21">
        <v>0.6</v>
      </c>
      <c r="T103" s="21">
        <v>0.0888</v>
      </c>
      <c r="U103" s="21">
        <v>0.2689</v>
      </c>
      <c r="V103" s="21">
        <v>190595.2</v>
      </c>
      <c r="W103" s="21">
        <v>16.8297</v>
      </c>
      <c r="X103" s="20">
        <v>1.3891568E7</v>
      </c>
      <c r="Y103" s="21">
        <v>0.6645</v>
      </c>
      <c r="Z103" s="21">
        <v>0.9521</v>
      </c>
      <c r="AA103" s="19">
        <v>46.9161</v>
      </c>
      <c r="AB103" s="21">
        <v>6.27</v>
      </c>
      <c r="AC103" s="24"/>
      <c r="AD103" s="24"/>
      <c r="AE103" s="24"/>
      <c r="AF103" s="24"/>
      <c r="AG103" s="24"/>
      <c r="AH103" s="16" t="b">
        <v>0</v>
      </c>
      <c r="AI103" s="16" t="b">
        <v>1</v>
      </c>
      <c r="AJ103" s="16" t="b">
        <v>0</v>
      </c>
      <c r="AK103" s="22">
        <f>IFERROR(__xludf.DUMMYFUNCTION("IFERROR(GOOGLEFINANCE(B103,""price""),"""")"),1.3)</f>
        <v>1.3</v>
      </c>
    </row>
    <row r="104">
      <c r="A104" s="7">
        <v>46064.628278665485</v>
      </c>
      <c r="B104" s="8" t="s">
        <v>418</v>
      </c>
      <c r="C104" s="8" t="s">
        <v>419</v>
      </c>
      <c r="D104" s="9">
        <v>46068.0</v>
      </c>
      <c r="E104" s="10">
        <v>1.94</v>
      </c>
      <c r="F104" s="8" t="s">
        <v>186</v>
      </c>
      <c r="G104" s="23"/>
      <c r="H104" s="13">
        <v>-26.1984</v>
      </c>
      <c r="I104" s="8" t="s">
        <v>118</v>
      </c>
      <c r="J104" s="13">
        <v>0.4434</v>
      </c>
      <c r="K104" s="13">
        <v>886634.0</v>
      </c>
      <c r="L104" s="11">
        <v>0.39</v>
      </c>
      <c r="M104" s="11">
        <v>12.4739</v>
      </c>
      <c r="N104" s="8" t="s">
        <v>420</v>
      </c>
      <c r="O104" s="11">
        <v>-4.902</v>
      </c>
      <c r="P104" s="12">
        <v>443317.0</v>
      </c>
      <c r="Q104" s="13">
        <v>2.4</v>
      </c>
      <c r="R104" s="13">
        <v>1.9</v>
      </c>
      <c r="S104" s="13">
        <v>1.95</v>
      </c>
      <c r="T104" s="13">
        <v>0.2207</v>
      </c>
      <c r="U104" s="13">
        <v>1.1265</v>
      </c>
      <c r="V104" s="13">
        <v>74484.7</v>
      </c>
      <c r="W104" s="13">
        <v>11.4283</v>
      </c>
      <c r="X104" s="12">
        <v>3867634.0</v>
      </c>
      <c r="Y104" s="13">
        <v>2.3253</v>
      </c>
      <c r="Z104" s="13">
        <v>10.4344</v>
      </c>
      <c r="AA104" s="11">
        <v>45.7515</v>
      </c>
      <c r="AB104" s="13">
        <v>26.46</v>
      </c>
      <c r="AC104" s="13">
        <v>-210.109</v>
      </c>
      <c r="AD104" s="13">
        <v>-185.5096</v>
      </c>
      <c r="AE104" s="13">
        <v>219.2022</v>
      </c>
      <c r="AF104" s="13">
        <v>0.1671</v>
      </c>
      <c r="AG104" s="13">
        <v>3.0537</v>
      </c>
      <c r="AH104" s="8" t="b">
        <v>0</v>
      </c>
      <c r="AI104" s="8" t="b">
        <v>1</v>
      </c>
      <c r="AJ104" s="8" t="b">
        <v>0</v>
      </c>
      <c r="AK104" s="14">
        <f>IFERROR(__xludf.DUMMYFUNCTION("IFERROR(GOOGLEFINANCE(B104,""price""),"""")"),1.95)</f>
        <v>1.95</v>
      </c>
    </row>
    <row r="105">
      <c r="A105" s="15">
        <v>46064.628278665485</v>
      </c>
      <c r="B105" s="16" t="s">
        <v>421</v>
      </c>
      <c r="C105" s="16" t="s">
        <v>422</v>
      </c>
      <c r="D105" s="17">
        <v>46068.0</v>
      </c>
      <c r="E105" s="18">
        <v>1.875</v>
      </c>
      <c r="F105" s="16" t="s">
        <v>117</v>
      </c>
      <c r="G105" s="24"/>
      <c r="H105" s="21">
        <v>-0.825</v>
      </c>
      <c r="I105" s="16" t="s">
        <v>138</v>
      </c>
      <c r="J105" s="21">
        <v>0.3776</v>
      </c>
      <c r="K105" s="16">
        <v>4.4416802E7</v>
      </c>
      <c r="L105" s="19">
        <v>0.91</v>
      </c>
      <c r="M105" s="19">
        <v>26.6818</v>
      </c>
      <c r="N105" s="16" t="s">
        <v>423</v>
      </c>
      <c r="O105" s="19">
        <v>28.4247</v>
      </c>
      <c r="P105" s="20">
        <v>2.0875897E7</v>
      </c>
      <c r="Q105" s="21">
        <v>2.13</v>
      </c>
      <c r="R105" s="21">
        <v>1.66</v>
      </c>
      <c r="S105" s="21">
        <v>1.87</v>
      </c>
      <c r="T105" s="21">
        <v>0.2352</v>
      </c>
      <c r="U105" s="21">
        <v>0.5193</v>
      </c>
      <c r="V105" s="16">
        <v>4201709.0</v>
      </c>
      <c r="W105" s="21">
        <v>9.4648</v>
      </c>
      <c r="X105" s="20">
        <v>1.2841111E8</v>
      </c>
      <c r="Y105" s="21">
        <v>1.6671</v>
      </c>
      <c r="Z105" s="21">
        <v>2.4902</v>
      </c>
      <c r="AA105" s="19">
        <v>52.7168</v>
      </c>
      <c r="AB105" s="21">
        <v>5.92</v>
      </c>
      <c r="AC105" s="21">
        <v>-239.5296</v>
      </c>
      <c r="AD105" s="21">
        <v>-28.7527</v>
      </c>
      <c r="AE105" s="21">
        <v>78.6153</v>
      </c>
      <c r="AF105" s="21">
        <v>3.3173</v>
      </c>
      <c r="AG105" s="21">
        <v>2.2422</v>
      </c>
      <c r="AH105" s="16" t="b">
        <v>0</v>
      </c>
      <c r="AI105" s="16" t="b">
        <v>1</v>
      </c>
      <c r="AJ105" s="16" t="b">
        <v>0</v>
      </c>
      <c r="AK105" s="22">
        <f>IFERROR(__xludf.DUMMYFUNCTION("IFERROR(GOOGLEFINANCE(B105,""price""),"""")"),1.35)</f>
        <v>1.35</v>
      </c>
    </row>
    <row r="106">
      <c r="A106" s="7">
        <v>46064.628278665485</v>
      </c>
      <c r="B106" s="8" t="s">
        <v>424</v>
      </c>
      <c r="C106" s="8" t="s">
        <v>425</v>
      </c>
      <c r="D106" s="9">
        <v>46068.0</v>
      </c>
      <c r="E106" s="10">
        <v>1.05</v>
      </c>
      <c r="F106" s="8" t="s">
        <v>117</v>
      </c>
      <c r="G106" s="23"/>
      <c r="H106" s="13">
        <v>-1.3148</v>
      </c>
      <c r="I106" s="8" t="s">
        <v>118</v>
      </c>
      <c r="J106" s="13">
        <v>0.1942</v>
      </c>
      <c r="K106" s="8">
        <v>7448140.0</v>
      </c>
      <c r="L106" s="11">
        <v>0.49</v>
      </c>
      <c r="M106" s="11">
        <v>25.2187</v>
      </c>
      <c r="N106" s="8" t="s">
        <v>426</v>
      </c>
      <c r="O106" s="11">
        <v>1.9417</v>
      </c>
      <c r="P106" s="12">
        <v>1117221.0</v>
      </c>
      <c r="Q106" s="13">
        <v>1.13</v>
      </c>
      <c r="R106" s="13">
        <v>0.98</v>
      </c>
      <c r="S106" s="13">
        <v>1.04</v>
      </c>
      <c r="T106" s="13">
        <v>0.1024</v>
      </c>
      <c r="U106" s="13">
        <v>0.4219</v>
      </c>
      <c r="V106" s="13">
        <v>480408.4</v>
      </c>
      <c r="W106" s="13">
        <v>2.7737</v>
      </c>
      <c r="X106" s="12">
        <v>3.8608158E7</v>
      </c>
      <c r="Y106" s="13">
        <v>1.415</v>
      </c>
      <c r="Z106" s="13">
        <v>2.4333</v>
      </c>
      <c r="AA106" s="11">
        <v>35.0613</v>
      </c>
      <c r="AB106" s="13">
        <v>9.0</v>
      </c>
      <c r="AC106" s="13">
        <v>-16.8826</v>
      </c>
      <c r="AD106" s="23"/>
      <c r="AE106" s="23"/>
      <c r="AF106" s="13">
        <v>0.0</v>
      </c>
      <c r="AG106" s="13">
        <v>12.3933</v>
      </c>
      <c r="AH106" s="8" t="b">
        <v>0</v>
      </c>
      <c r="AI106" s="8" t="b">
        <v>1</v>
      </c>
      <c r="AJ106" s="8" t="b">
        <v>0</v>
      </c>
      <c r="AK106" s="14">
        <f>IFERROR(__xludf.DUMMYFUNCTION("IFERROR(GOOGLEFINANCE(B106,""price""),"""")"),1.16)</f>
        <v>1.16</v>
      </c>
    </row>
    <row r="107">
      <c r="A107" s="7">
        <v>46065.62861638538</v>
      </c>
      <c r="B107" s="8" t="s">
        <v>427</v>
      </c>
      <c r="C107" s="8" t="s">
        <v>428</v>
      </c>
      <c r="D107" s="9">
        <v>46068.0</v>
      </c>
      <c r="E107" s="10">
        <v>1.58</v>
      </c>
      <c r="F107" s="8" t="s">
        <v>117</v>
      </c>
      <c r="G107" s="23"/>
      <c r="H107" s="13">
        <v>-0.5127</v>
      </c>
      <c r="I107" s="8" t="s">
        <v>429</v>
      </c>
      <c r="J107" s="13">
        <v>3.0251</v>
      </c>
      <c r="K107" s="8">
        <v>2.863027E7</v>
      </c>
      <c r="L107" s="11">
        <v>0.4</v>
      </c>
      <c r="M107" s="11">
        <v>16.7248</v>
      </c>
      <c r="N107" s="8" t="s">
        <v>430</v>
      </c>
      <c r="O107" s="11">
        <v>-1.8634</v>
      </c>
      <c r="P107" s="12">
        <v>3.4356324E7</v>
      </c>
      <c r="Q107" s="13">
        <v>2.5</v>
      </c>
      <c r="R107" s="13">
        <v>1.3</v>
      </c>
      <c r="S107" s="13">
        <v>2.3</v>
      </c>
      <c r="T107" s="13">
        <v>0.2575</v>
      </c>
      <c r="U107" s="13">
        <v>1.3016</v>
      </c>
      <c r="V107" s="8">
        <v>3575514.0</v>
      </c>
      <c r="W107" s="13">
        <v>229.751</v>
      </c>
      <c r="X107" s="12">
        <v>1.16447864E8</v>
      </c>
      <c r="Y107" s="13">
        <v>2.0144</v>
      </c>
      <c r="Z107" s="23"/>
      <c r="AA107" s="11">
        <v>40.6947</v>
      </c>
      <c r="AB107" s="13">
        <v>13.68</v>
      </c>
      <c r="AC107" s="23"/>
      <c r="AD107" s="13">
        <v>-289.6104</v>
      </c>
      <c r="AE107" s="13">
        <v>8.9706</v>
      </c>
      <c r="AF107" s="13">
        <v>0.0773</v>
      </c>
      <c r="AG107" s="13">
        <v>2.1567</v>
      </c>
      <c r="AH107" s="8" t="b">
        <v>0</v>
      </c>
      <c r="AI107" s="8" t="b">
        <v>0</v>
      </c>
      <c r="AJ107" s="8" t="b">
        <v>0</v>
      </c>
      <c r="AK107" s="14">
        <f>IFERROR(__xludf.DUMMYFUNCTION("IFERROR(GOOGLEFINANCE(B107,""price""),"""")"),0.94)</f>
        <v>0.94</v>
      </c>
    </row>
    <row r="108">
      <c r="A108" s="15">
        <v>46065.62861638538</v>
      </c>
      <c r="B108" s="16" t="s">
        <v>431</v>
      </c>
      <c r="C108" s="16" t="s">
        <v>432</v>
      </c>
      <c r="D108" s="17">
        <v>46068.0</v>
      </c>
      <c r="E108" s="18">
        <v>1.125</v>
      </c>
      <c r="F108" s="16" t="s">
        <v>117</v>
      </c>
      <c r="G108" s="24"/>
      <c r="H108" s="21">
        <v>-270.8129</v>
      </c>
      <c r="I108" s="16" t="s">
        <v>433</v>
      </c>
      <c r="J108" s="21">
        <v>2.7234</v>
      </c>
      <c r="K108" s="16">
        <v>2.2088769E7</v>
      </c>
      <c r="L108" s="19">
        <v>0.19</v>
      </c>
      <c r="M108" s="19">
        <v>13.1725</v>
      </c>
      <c r="N108" s="16" t="s">
        <v>434</v>
      </c>
      <c r="O108" s="19">
        <v>-39.1892</v>
      </c>
      <c r="P108" s="20">
        <v>5743080.0</v>
      </c>
      <c r="Q108" s="21">
        <v>1.36</v>
      </c>
      <c r="R108" s="21">
        <v>1.1</v>
      </c>
      <c r="S108" s="21">
        <v>1.25</v>
      </c>
      <c r="T108" s="21">
        <v>0.2493</v>
      </c>
      <c r="U108" s="21">
        <v>2.6675</v>
      </c>
      <c r="V108" s="21">
        <v>664072.5</v>
      </c>
      <c r="W108" s="21">
        <v>62.941</v>
      </c>
      <c r="X108" s="20">
        <v>1749392.0</v>
      </c>
      <c r="Y108" s="21">
        <v>1.7697</v>
      </c>
      <c r="Z108" s="21">
        <v>46.039</v>
      </c>
      <c r="AA108" s="19">
        <v>39.822</v>
      </c>
      <c r="AB108" s="21">
        <v>47.6</v>
      </c>
      <c r="AC108" s="21">
        <v>-263.5742</v>
      </c>
      <c r="AD108" s="21">
        <v>-574.9185</v>
      </c>
      <c r="AE108" s="21">
        <v>-34.5799</v>
      </c>
      <c r="AF108" s="21">
        <v>0.0493</v>
      </c>
      <c r="AG108" s="21">
        <v>0.0799</v>
      </c>
      <c r="AH108" s="16" t="b">
        <v>0</v>
      </c>
      <c r="AI108" s="16" t="b">
        <v>0</v>
      </c>
      <c r="AJ108" s="16" t="b">
        <v>0</v>
      </c>
      <c r="AK108" s="22">
        <f>IFERROR(__xludf.DUMMYFUNCTION("IFERROR(GOOGLEFINANCE(B108,""price""),"""")"),1.09)</f>
        <v>1.09</v>
      </c>
    </row>
    <row r="109">
      <c r="A109" s="7">
        <v>46065.62861638538</v>
      </c>
      <c r="B109" s="8" t="s">
        <v>435</v>
      </c>
      <c r="C109" s="8" t="s">
        <v>436</v>
      </c>
      <c r="D109" s="9">
        <v>46068.0</v>
      </c>
      <c r="E109" s="10">
        <v>0.8101</v>
      </c>
      <c r="F109" s="8" t="s">
        <v>93</v>
      </c>
      <c r="G109" s="23"/>
      <c r="H109" s="13">
        <v>-2.1909</v>
      </c>
      <c r="I109" s="8" t="s">
        <v>214</v>
      </c>
      <c r="J109" s="13">
        <v>1.9974</v>
      </c>
      <c r="K109" s="8">
        <v>4864294.0</v>
      </c>
      <c r="L109" s="11">
        <v>0.73</v>
      </c>
      <c r="M109" s="11">
        <v>18.3043</v>
      </c>
      <c r="N109" s="8" t="s">
        <v>437</v>
      </c>
      <c r="O109" s="11">
        <v>14.0986</v>
      </c>
      <c r="P109" s="12">
        <v>1160134.0</v>
      </c>
      <c r="Q109" s="13">
        <v>0.8458</v>
      </c>
      <c r="R109" s="13">
        <v>0.6073</v>
      </c>
      <c r="S109" s="13">
        <v>0.6451</v>
      </c>
      <c r="T109" s="13">
        <v>0.0905</v>
      </c>
      <c r="U109" s="13">
        <v>0.247</v>
      </c>
      <c r="V109" s="13">
        <v>130948.8</v>
      </c>
      <c r="W109" s="13">
        <v>58.8053</v>
      </c>
      <c r="X109" s="12">
        <v>9901755.0</v>
      </c>
      <c r="Y109" s="13">
        <v>0.7758</v>
      </c>
      <c r="Z109" s="13">
        <v>0.9343</v>
      </c>
      <c r="AA109" s="11">
        <v>59.0163</v>
      </c>
      <c r="AB109" s="13">
        <v>2.83</v>
      </c>
      <c r="AC109" s="13">
        <v>-71.5308</v>
      </c>
      <c r="AD109" s="13">
        <v>-45.647</v>
      </c>
      <c r="AE109" s="13">
        <v>-39.4049</v>
      </c>
      <c r="AF109" s="13">
        <v>0.7213</v>
      </c>
      <c r="AG109" s="13">
        <v>1.0715</v>
      </c>
      <c r="AH109" s="8" t="b">
        <v>0</v>
      </c>
      <c r="AI109" s="8" t="b">
        <v>0</v>
      </c>
      <c r="AJ109" s="8" t="b">
        <v>0</v>
      </c>
      <c r="AK109" s="14">
        <f>IFERROR(__xludf.DUMMYFUNCTION("IFERROR(GOOGLEFINANCE(B109,""price""),"""")"),0.66)</f>
        <v>0.66</v>
      </c>
    </row>
    <row r="110">
      <c r="A110" s="15">
        <v>46065.62861638538</v>
      </c>
      <c r="B110" s="16" t="s">
        <v>438</v>
      </c>
      <c r="C110" s="16" t="s">
        <v>439</v>
      </c>
      <c r="D110" s="17">
        <v>46068.0</v>
      </c>
      <c r="E110" s="18">
        <v>1.3937</v>
      </c>
      <c r="F110" s="16" t="s">
        <v>117</v>
      </c>
      <c r="G110" s="24"/>
      <c r="H110" s="21">
        <v>-41.3964</v>
      </c>
      <c r="I110" s="16" t="s">
        <v>218</v>
      </c>
      <c r="J110" s="21">
        <v>1.7939</v>
      </c>
      <c r="K110" s="16">
        <v>2442058.0</v>
      </c>
      <c r="L110" s="19">
        <v>0.55</v>
      </c>
      <c r="M110" s="19">
        <v>14.2733</v>
      </c>
      <c r="N110" s="16" t="s">
        <v>440</v>
      </c>
      <c r="O110" s="19">
        <v>-26.6474</v>
      </c>
      <c r="P110" s="20">
        <v>1587338.0</v>
      </c>
      <c r="Q110" s="21">
        <v>1.79</v>
      </c>
      <c r="R110" s="21">
        <v>1.14</v>
      </c>
      <c r="S110" s="21">
        <v>1.79</v>
      </c>
      <c r="T110" s="21">
        <v>0.2044</v>
      </c>
      <c r="U110" s="21">
        <v>0.7368</v>
      </c>
      <c r="V110" s="21">
        <v>173978.1</v>
      </c>
      <c r="W110" s="21">
        <v>83.667</v>
      </c>
      <c r="X110" s="20">
        <v>2325214.0</v>
      </c>
      <c r="Y110" s="21">
        <v>2.0843</v>
      </c>
      <c r="Z110" s="21">
        <v>7.3504</v>
      </c>
      <c r="AA110" s="19">
        <v>29.6651</v>
      </c>
      <c r="AB110" s="21">
        <v>15.6805</v>
      </c>
      <c r="AC110" s="21">
        <v>-173.7352</v>
      </c>
      <c r="AD110" s="21">
        <v>-1693.9726</v>
      </c>
      <c r="AE110" s="21">
        <v>82.9574</v>
      </c>
      <c r="AF110" s="21">
        <v>2.1877</v>
      </c>
      <c r="AG110" s="21">
        <v>0.4633</v>
      </c>
      <c r="AH110" s="16" t="b">
        <v>0</v>
      </c>
      <c r="AI110" s="16" t="b">
        <v>0</v>
      </c>
      <c r="AJ110" s="16" t="b">
        <v>0</v>
      </c>
      <c r="AK110" s="22">
        <f>IFERROR(__xludf.DUMMYFUNCTION("IFERROR(GOOGLEFINANCE(B110,""price""),"""")"),1.19)</f>
        <v>1.19</v>
      </c>
    </row>
    <row r="111">
      <c r="A111" s="7">
        <v>46065.62861638538</v>
      </c>
      <c r="B111" s="8" t="s">
        <v>441</v>
      </c>
      <c r="C111" s="8" t="s">
        <v>442</v>
      </c>
      <c r="D111" s="9">
        <v>46068.0</v>
      </c>
      <c r="E111" s="10">
        <v>1.075</v>
      </c>
      <c r="F111" s="8" t="s">
        <v>149</v>
      </c>
      <c r="G111" s="23"/>
      <c r="H111" s="13">
        <v>-161.9185</v>
      </c>
      <c r="I111" s="8" t="s">
        <v>222</v>
      </c>
      <c r="J111" s="13">
        <v>1.5691</v>
      </c>
      <c r="K111" s="8">
        <v>7.2126315E7</v>
      </c>
      <c r="L111" s="11">
        <v>0.4</v>
      </c>
      <c r="M111" s="11">
        <v>12.0557</v>
      </c>
      <c r="N111" s="8" t="s">
        <v>443</v>
      </c>
      <c r="O111" s="11">
        <v>29.2689</v>
      </c>
      <c r="P111" s="12">
        <v>4.9045894E7</v>
      </c>
      <c r="Q111" s="13">
        <v>1.51</v>
      </c>
      <c r="R111" s="13">
        <v>0.83</v>
      </c>
      <c r="S111" s="13">
        <v>0.84</v>
      </c>
      <c r="T111" s="13">
        <v>0.1893</v>
      </c>
      <c r="U111" s="13">
        <v>0.9482</v>
      </c>
      <c r="V111" s="8">
        <v>5360494.0</v>
      </c>
      <c r="W111" s="13">
        <v>99.2551</v>
      </c>
      <c r="X111" s="12">
        <v>2925912.0</v>
      </c>
      <c r="Y111" s="13">
        <v>1.171</v>
      </c>
      <c r="Z111" s="13">
        <v>13.2793</v>
      </c>
      <c r="AA111" s="11">
        <v>53.1116</v>
      </c>
      <c r="AB111" s="13">
        <v>3.57</v>
      </c>
      <c r="AC111" s="13">
        <v>-1263.2952</v>
      </c>
      <c r="AD111" s="13">
        <v>-57.4659</v>
      </c>
      <c r="AE111" s="13">
        <v>-63.208</v>
      </c>
      <c r="AF111" s="13">
        <v>4.3055</v>
      </c>
      <c r="AG111" s="13">
        <v>0.5254</v>
      </c>
      <c r="AH111" s="8" t="b">
        <v>0</v>
      </c>
      <c r="AI111" s="8" t="b">
        <v>0</v>
      </c>
      <c r="AJ111" s="8" t="b">
        <v>0</v>
      </c>
      <c r="AK111" s="14">
        <f>IFERROR(__xludf.DUMMYFUNCTION("IFERROR(GOOGLEFINANCE(B111,""price""),"""")"),1.06)</f>
        <v>1.06</v>
      </c>
    </row>
    <row r="112">
      <c r="A112" s="15">
        <v>46065.62861638538</v>
      </c>
      <c r="B112" s="16" t="s">
        <v>444</v>
      </c>
      <c r="C112" s="16" t="s">
        <v>445</v>
      </c>
      <c r="D112" s="17">
        <v>46068.0</v>
      </c>
      <c r="E112" s="18">
        <v>2.64</v>
      </c>
      <c r="F112" s="16" t="s">
        <v>335</v>
      </c>
      <c r="G112" s="24"/>
      <c r="H112" s="21">
        <v>-2.3969</v>
      </c>
      <c r="I112" s="16" t="s">
        <v>179</v>
      </c>
      <c r="J112" s="21">
        <v>0.2782</v>
      </c>
      <c r="K112" s="16">
        <v>5269647.0</v>
      </c>
      <c r="L112" s="19">
        <v>0.94</v>
      </c>
      <c r="M112" s="19">
        <v>24.3575</v>
      </c>
      <c r="N112" s="16" t="s">
        <v>446</v>
      </c>
      <c r="O112" s="19">
        <v>1.9305</v>
      </c>
      <c r="P112" s="20">
        <v>790447.0</v>
      </c>
      <c r="Q112" s="21">
        <v>2.68</v>
      </c>
      <c r="R112" s="21">
        <v>2.53</v>
      </c>
      <c r="S112" s="21">
        <v>2.67</v>
      </c>
      <c r="T112" s="21">
        <v>0.2187</v>
      </c>
      <c r="U112" s="21">
        <v>0.4667</v>
      </c>
      <c r="V112" s="21">
        <v>530692.6</v>
      </c>
      <c r="W112" s="21">
        <v>1.5809</v>
      </c>
      <c r="X112" s="20">
        <v>1.40889108E8</v>
      </c>
      <c r="Y112" s="21">
        <v>2.3226</v>
      </c>
      <c r="Z112" s="21">
        <v>2.3636</v>
      </c>
      <c r="AA112" s="19">
        <v>54.1424</v>
      </c>
      <c r="AB112" s="21">
        <v>3.8799</v>
      </c>
      <c r="AC112" s="21">
        <v>-51.1043</v>
      </c>
      <c r="AD112" s="24"/>
      <c r="AE112" s="24"/>
      <c r="AF112" s="21">
        <v>0.0045</v>
      </c>
      <c r="AG112" s="21">
        <v>5.8735</v>
      </c>
      <c r="AH112" s="16" t="b">
        <v>1</v>
      </c>
      <c r="AI112" s="16" t="b">
        <v>0</v>
      </c>
      <c r="AJ112" s="16" t="b">
        <v>0</v>
      </c>
      <c r="AK112" s="22">
        <f>IFERROR(__xludf.DUMMYFUNCTION("IFERROR(GOOGLEFINANCE(B112,""price""),"""")"),3.07)</f>
        <v>3.07</v>
      </c>
    </row>
    <row r="113">
      <c r="A113" s="7">
        <v>46065.62861638538</v>
      </c>
      <c r="B113" s="8" t="s">
        <v>396</v>
      </c>
      <c r="C113" s="8" t="s">
        <v>397</v>
      </c>
      <c r="D113" s="9">
        <v>46068.0</v>
      </c>
      <c r="E113" s="10">
        <v>0.6355</v>
      </c>
      <c r="F113" s="8" t="s">
        <v>308</v>
      </c>
      <c r="G113" s="23"/>
      <c r="H113" s="13">
        <v>-0.1813</v>
      </c>
      <c r="I113" s="8" t="s">
        <v>118</v>
      </c>
      <c r="J113" s="13">
        <v>0.0681</v>
      </c>
      <c r="K113" s="8">
        <v>2547328.0</v>
      </c>
      <c r="L113" s="11">
        <v>0.19</v>
      </c>
      <c r="M113" s="11">
        <v>13.3178</v>
      </c>
      <c r="N113" s="8" t="s">
        <v>398</v>
      </c>
      <c r="O113" s="11">
        <v>1.7614</v>
      </c>
      <c r="P113" s="12">
        <v>417507.0</v>
      </c>
      <c r="Q113" s="13">
        <v>0.77</v>
      </c>
      <c r="R113" s="13">
        <v>0.6061</v>
      </c>
      <c r="S113" s="13">
        <v>0.6284</v>
      </c>
      <c r="T113" s="13">
        <v>0.1919</v>
      </c>
      <c r="U113" s="13">
        <v>2.0469</v>
      </c>
      <c r="V113" s="13">
        <v>248216.7</v>
      </c>
      <c r="W113" s="13">
        <v>1.7565</v>
      </c>
      <c r="X113" s="12">
        <v>2487026.0</v>
      </c>
      <c r="Y113" s="13">
        <v>1.3521</v>
      </c>
      <c r="Z113" s="13">
        <v>7.9837</v>
      </c>
      <c r="AA113" s="11">
        <v>29.4587</v>
      </c>
      <c r="AB113" s="13">
        <v>26.1</v>
      </c>
      <c r="AC113" s="13">
        <v>-14.9516</v>
      </c>
      <c r="AD113" s="13">
        <v>-12.5662</v>
      </c>
      <c r="AE113" s="13">
        <v>2.7514</v>
      </c>
      <c r="AF113" s="13">
        <v>0.1138</v>
      </c>
      <c r="AG113" s="13">
        <v>1.8386</v>
      </c>
      <c r="AH113" s="8" t="b">
        <v>0</v>
      </c>
      <c r="AI113" s="8" t="b">
        <v>1</v>
      </c>
      <c r="AJ113" s="8" t="b">
        <v>0</v>
      </c>
      <c r="AK113" s="14">
        <f>IFERROR(__xludf.DUMMYFUNCTION("IFERROR(GOOGLEFINANCE(B113,""price""),"""")"),0.53)</f>
        <v>0.53</v>
      </c>
    </row>
    <row r="114">
      <c r="A114" s="7">
        <v>46066.62645859568</v>
      </c>
      <c r="B114" s="8" t="s">
        <v>447</v>
      </c>
      <c r="C114" s="8" t="s">
        <v>448</v>
      </c>
      <c r="D114" s="9">
        <v>46068.0</v>
      </c>
      <c r="E114" s="10">
        <v>1.19</v>
      </c>
      <c r="F114" s="8" t="s">
        <v>112</v>
      </c>
      <c r="G114" s="23"/>
      <c r="H114" s="13">
        <v>-5.5509</v>
      </c>
      <c r="I114" s="8" t="s">
        <v>449</v>
      </c>
      <c r="J114" s="13">
        <v>4.4238</v>
      </c>
      <c r="K114" s="8">
        <v>2.7404794E7</v>
      </c>
      <c r="L114" s="11">
        <v>0.48</v>
      </c>
      <c r="M114" s="11">
        <v>25.7871</v>
      </c>
      <c r="N114" s="8" t="s">
        <v>450</v>
      </c>
      <c r="O114" s="11">
        <v>23.3161</v>
      </c>
      <c r="P114" s="12">
        <v>8769534.0</v>
      </c>
      <c r="Q114" s="13">
        <v>1.19</v>
      </c>
      <c r="R114" s="13">
        <v>0.87</v>
      </c>
      <c r="S114" s="13">
        <v>0.9805</v>
      </c>
      <c r="T114" s="13">
        <v>0.115</v>
      </c>
      <c r="U114" s="13">
        <v>0.4764</v>
      </c>
      <c r="V114" s="13">
        <v>942930.2</v>
      </c>
      <c r="W114" s="13">
        <v>118.9596</v>
      </c>
      <c r="X114" s="12">
        <v>3662205.0</v>
      </c>
      <c r="Y114" s="13">
        <v>0.9559</v>
      </c>
      <c r="Z114" s="13">
        <v>3.0618</v>
      </c>
      <c r="AA114" s="11">
        <v>62.4785</v>
      </c>
      <c r="AB114" s="13">
        <v>7.699</v>
      </c>
      <c r="AC114" s="23"/>
      <c r="AD114" s="13">
        <v>-99.0966</v>
      </c>
      <c r="AE114" s="13">
        <v>-28.0284</v>
      </c>
      <c r="AF114" s="23"/>
      <c r="AG114" s="13">
        <v>1.3302</v>
      </c>
      <c r="AH114" s="8" t="b">
        <v>0</v>
      </c>
      <c r="AI114" s="8" t="b">
        <v>0</v>
      </c>
      <c r="AJ114" s="8" t="b">
        <v>0</v>
      </c>
      <c r="AK114" s="14">
        <f>IFERROR(__xludf.DUMMYFUNCTION("IFERROR(GOOGLEFINANCE(B114,""price""),"""")"),0.97)</f>
        <v>0.97</v>
      </c>
    </row>
    <row r="115">
      <c r="A115" s="15">
        <v>46066.62645859568</v>
      </c>
      <c r="B115" s="16" t="s">
        <v>451</v>
      </c>
      <c r="C115" s="16" t="s">
        <v>452</v>
      </c>
      <c r="D115" s="17">
        <v>46068.0</v>
      </c>
      <c r="E115" s="18">
        <v>1.05</v>
      </c>
      <c r="F115" s="16" t="s">
        <v>162</v>
      </c>
      <c r="G115" s="21">
        <v>6.8898</v>
      </c>
      <c r="H115" s="21">
        <v>0.1524</v>
      </c>
      <c r="I115" s="16" t="s">
        <v>453</v>
      </c>
      <c r="J115" s="21">
        <v>1.8878</v>
      </c>
      <c r="K115" s="16">
        <v>4793969.0</v>
      </c>
      <c r="L115" s="19">
        <v>0.62</v>
      </c>
      <c r="M115" s="19">
        <v>14.6097</v>
      </c>
      <c r="N115" s="16" t="s">
        <v>454</v>
      </c>
      <c r="O115" s="19">
        <v>5.0</v>
      </c>
      <c r="P115" s="20">
        <v>1246432.0</v>
      </c>
      <c r="Q115" s="21">
        <v>1.16</v>
      </c>
      <c r="R115" s="21">
        <v>0.9</v>
      </c>
      <c r="S115" s="21">
        <v>1.14</v>
      </c>
      <c r="T115" s="21">
        <v>0.167</v>
      </c>
      <c r="U115" s="21">
        <v>0.5404</v>
      </c>
      <c r="V115" s="21">
        <v>148652.0</v>
      </c>
      <c r="W115" s="21">
        <v>46.7457</v>
      </c>
      <c r="X115" s="20">
        <v>1.261785E7</v>
      </c>
      <c r="Y115" s="21">
        <v>1.4438</v>
      </c>
      <c r="Z115" s="24"/>
      <c r="AA115" s="19">
        <v>35.5371</v>
      </c>
      <c r="AB115" s="21">
        <v>3.6</v>
      </c>
      <c r="AC115" s="21">
        <v>13.7864</v>
      </c>
      <c r="AD115" s="21">
        <v>5.2413</v>
      </c>
      <c r="AE115" s="24"/>
      <c r="AF115" s="21">
        <v>0.3795</v>
      </c>
      <c r="AG115" s="21">
        <v>1.766</v>
      </c>
      <c r="AH115" s="16" t="b">
        <v>0</v>
      </c>
      <c r="AI115" s="16" t="b">
        <v>0</v>
      </c>
      <c r="AJ115" s="16" t="b">
        <v>0</v>
      </c>
      <c r="AK115" s="22">
        <f>IFERROR(__xludf.DUMMYFUNCTION("IFERROR(GOOGLEFINANCE(B115,""price""),"""")"),0.91)</f>
        <v>0.91</v>
      </c>
    </row>
    <row r="116">
      <c r="A116" s="7">
        <v>46066.62645859568</v>
      </c>
      <c r="B116" s="8" t="s">
        <v>455</v>
      </c>
      <c r="C116" s="8" t="s">
        <v>456</v>
      </c>
      <c r="D116" s="9">
        <v>46068.0</v>
      </c>
      <c r="E116" s="10">
        <v>3.96</v>
      </c>
      <c r="F116" s="8" t="s">
        <v>186</v>
      </c>
      <c r="G116" s="23"/>
      <c r="H116" s="13">
        <v>-0.6547</v>
      </c>
      <c r="I116" s="8" t="s">
        <v>457</v>
      </c>
      <c r="J116" s="13">
        <v>1.7759</v>
      </c>
      <c r="K116" s="8">
        <v>1.9474103E7</v>
      </c>
      <c r="L116" s="11">
        <v>0.94</v>
      </c>
      <c r="M116" s="11">
        <v>19.9673</v>
      </c>
      <c r="N116" s="8" t="s">
        <v>458</v>
      </c>
      <c r="O116" s="11">
        <v>65.6904</v>
      </c>
      <c r="P116" s="12">
        <v>2.6325092E7</v>
      </c>
      <c r="Q116" s="13">
        <v>4.02</v>
      </c>
      <c r="R116" s="13">
        <v>2.6682</v>
      </c>
      <c r="S116" s="13">
        <v>2.78</v>
      </c>
      <c r="T116" s="13">
        <v>0.3512</v>
      </c>
      <c r="U116" s="13">
        <v>0.7469</v>
      </c>
      <c r="V116" s="8">
        <v>3003090.0</v>
      </c>
      <c r="W116" s="13">
        <v>60.6215</v>
      </c>
      <c r="X116" s="12">
        <v>1.25456901E8</v>
      </c>
      <c r="Y116" s="13">
        <v>2.4932</v>
      </c>
      <c r="Z116" s="13">
        <v>3.6294</v>
      </c>
      <c r="AA116" s="11">
        <v>71.8147</v>
      </c>
      <c r="AB116" s="13">
        <v>7.728</v>
      </c>
      <c r="AC116" s="13">
        <v>-92.8437</v>
      </c>
      <c r="AD116" s="13">
        <v>-32496.9231</v>
      </c>
      <c r="AE116" s="13">
        <v>-51.8519</v>
      </c>
      <c r="AF116" s="13">
        <v>0.0696</v>
      </c>
      <c r="AG116" s="13">
        <v>9.801</v>
      </c>
      <c r="AH116" s="8" t="b">
        <v>0</v>
      </c>
      <c r="AI116" s="8" t="b">
        <v>0</v>
      </c>
      <c r="AJ116" s="8" t="b">
        <v>0</v>
      </c>
      <c r="AK116" s="14">
        <f>IFERROR(__xludf.DUMMYFUNCTION("IFERROR(GOOGLEFINANCE(B116,""price""),"""")"),5.09)</f>
        <v>5.09</v>
      </c>
    </row>
    <row r="117">
      <c r="A117" s="15">
        <v>46066.62645859568</v>
      </c>
      <c r="B117" s="16" t="s">
        <v>459</v>
      </c>
      <c r="C117" s="16" t="s">
        <v>460</v>
      </c>
      <c r="D117" s="17">
        <v>46068.0</v>
      </c>
      <c r="E117" s="18">
        <v>2.78</v>
      </c>
      <c r="F117" s="16" t="s">
        <v>93</v>
      </c>
      <c r="G117" s="24"/>
      <c r="H117" s="24"/>
      <c r="I117" s="16" t="s">
        <v>113</v>
      </c>
      <c r="J117" s="21">
        <v>1.1901</v>
      </c>
      <c r="K117" s="21">
        <v>604478.3333</v>
      </c>
      <c r="L117" s="19">
        <v>0.57</v>
      </c>
      <c r="M117" s="19">
        <v>28.6622</v>
      </c>
      <c r="N117" s="16" t="s">
        <v>461</v>
      </c>
      <c r="O117" s="19">
        <v>24.1071</v>
      </c>
      <c r="P117" s="20">
        <v>362687.0</v>
      </c>
      <c r="Q117" s="21">
        <v>3.04</v>
      </c>
      <c r="R117" s="21">
        <v>2.44</v>
      </c>
      <c r="S117" s="21">
        <v>2.44</v>
      </c>
      <c r="T117" s="21">
        <v>0.3677</v>
      </c>
      <c r="U117" s="21">
        <v>1.2797</v>
      </c>
      <c r="V117" s="21">
        <v>48057.2</v>
      </c>
      <c r="W117" s="21">
        <v>25.685</v>
      </c>
      <c r="X117" s="20">
        <v>2.2764955E7</v>
      </c>
      <c r="Y117" s="21">
        <v>4.387</v>
      </c>
      <c r="Z117" s="21">
        <v>4.7456</v>
      </c>
      <c r="AA117" s="19">
        <v>43.773</v>
      </c>
      <c r="AB117" s="21">
        <v>9.58</v>
      </c>
      <c r="AC117" s="24"/>
      <c r="AD117" s="24"/>
      <c r="AE117" s="24"/>
      <c r="AF117" s="24"/>
      <c r="AG117" s="21">
        <v>0.0548</v>
      </c>
      <c r="AH117" s="16" t="b">
        <v>0</v>
      </c>
      <c r="AI117" s="16" t="b">
        <v>0</v>
      </c>
      <c r="AJ117" s="16" t="b">
        <v>0</v>
      </c>
      <c r="AK117" s="22">
        <f>IFERROR(__xludf.DUMMYFUNCTION("IFERROR(GOOGLEFINANCE(B117,""price""),"""")"),2.3)</f>
        <v>2.3</v>
      </c>
    </row>
    <row r="118">
      <c r="A118" s="7">
        <v>46066.62645859568</v>
      </c>
      <c r="B118" s="8" t="s">
        <v>462</v>
      </c>
      <c r="C118" s="8" t="s">
        <v>463</v>
      </c>
      <c r="D118" s="9">
        <v>46068.0</v>
      </c>
      <c r="E118" s="10">
        <v>2.025</v>
      </c>
      <c r="F118" s="8" t="s">
        <v>149</v>
      </c>
      <c r="G118" s="23"/>
      <c r="H118" s="13">
        <v>-0.1131</v>
      </c>
      <c r="I118" s="8" t="s">
        <v>175</v>
      </c>
      <c r="J118" s="13">
        <v>0.6709</v>
      </c>
      <c r="K118" s="8">
        <v>3895680.0</v>
      </c>
      <c r="L118" s="11">
        <v>0.77</v>
      </c>
      <c r="M118" s="11">
        <v>13.8256</v>
      </c>
      <c r="N118" s="8" t="s">
        <v>464</v>
      </c>
      <c r="O118" s="11">
        <v>1.25</v>
      </c>
      <c r="P118" s="12">
        <v>389568.0</v>
      </c>
      <c r="Q118" s="13">
        <v>2.06</v>
      </c>
      <c r="R118" s="13">
        <v>1.96</v>
      </c>
      <c r="S118" s="13">
        <v>2.04</v>
      </c>
      <c r="T118" s="13">
        <v>0.1104</v>
      </c>
      <c r="U118" s="13">
        <v>0.2879</v>
      </c>
      <c r="V118" s="13">
        <v>154699.8</v>
      </c>
      <c r="W118" s="13">
        <v>3.3132</v>
      </c>
      <c r="X118" s="12">
        <v>2.06568951E8</v>
      </c>
      <c r="Y118" s="13">
        <v>2.0183</v>
      </c>
      <c r="Z118" s="13">
        <v>2.8284</v>
      </c>
      <c r="AA118" s="11">
        <v>52.8226</v>
      </c>
      <c r="AB118" s="13">
        <v>5.348</v>
      </c>
      <c r="AC118" s="13">
        <v>-48.663</v>
      </c>
      <c r="AD118" s="13">
        <v>0.366</v>
      </c>
      <c r="AE118" s="13">
        <v>28.4611</v>
      </c>
      <c r="AF118" s="13">
        <v>3.0107</v>
      </c>
      <c r="AG118" s="13">
        <v>1.2763</v>
      </c>
      <c r="AH118" s="8" t="b">
        <v>1</v>
      </c>
      <c r="AI118" s="8" t="b">
        <v>0</v>
      </c>
      <c r="AJ118" s="8" t="b">
        <v>0</v>
      </c>
      <c r="AK118" s="14">
        <f>IFERROR(__xludf.DUMMYFUNCTION("IFERROR(GOOGLEFINANCE(B118,""price""),"""")"),1.7)</f>
        <v>1.7</v>
      </c>
    </row>
    <row r="119">
      <c r="A119" s="15">
        <v>46066.62645859568</v>
      </c>
      <c r="B119" s="16" t="s">
        <v>465</v>
      </c>
      <c r="C119" s="16" t="s">
        <v>466</v>
      </c>
      <c r="D119" s="17">
        <v>46068.0</v>
      </c>
      <c r="E119" s="18">
        <v>0.751</v>
      </c>
      <c r="F119" s="16" t="s">
        <v>308</v>
      </c>
      <c r="G119" s="24"/>
      <c r="H119" s="21">
        <v>-1.3289</v>
      </c>
      <c r="I119" s="16" t="s">
        <v>118</v>
      </c>
      <c r="J119" s="21">
        <v>0.1098</v>
      </c>
      <c r="K119" s="16">
        <v>6.16699164E8</v>
      </c>
      <c r="L119" s="19">
        <v>0.46</v>
      </c>
      <c r="M119" s="19">
        <v>11.553</v>
      </c>
      <c r="N119" s="16" t="s">
        <v>467</v>
      </c>
      <c r="O119" s="19">
        <v>3.1877</v>
      </c>
      <c r="P119" s="20">
        <v>9.0716447E7</v>
      </c>
      <c r="Q119" s="21">
        <v>0.8788</v>
      </c>
      <c r="R119" s="21">
        <v>0.7317</v>
      </c>
      <c r="S119" s="21">
        <v>0.7521</v>
      </c>
      <c r="T119" s="21">
        <v>0.1197</v>
      </c>
      <c r="U119" s="21">
        <v>0.5222</v>
      </c>
      <c r="V119" s="16">
        <v>4.7726918E7</v>
      </c>
      <c r="W119" s="21">
        <v>2.1514</v>
      </c>
      <c r="X119" s="20">
        <v>4.36613503E8</v>
      </c>
      <c r="Y119" s="21">
        <v>0.9731</v>
      </c>
      <c r="Z119" s="21">
        <v>6.3586</v>
      </c>
      <c r="AA119" s="19">
        <v>46.186</v>
      </c>
      <c r="AB119" s="21">
        <v>4.1</v>
      </c>
      <c r="AC119" s="21">
        <v>-165.7255</v>
      </c>
      <c r="AD119" s="21">
        <v>-696.564</v>
      </c>
      <c r="AE119" s="21">
        <v>181.4781</v>
      </c>
      <c r="AF119" s="21">
        <v>0.2907</v>
      </c>
      <c r="AG119" s="21">
        <v>0.684</v>
      </c>
      <c r="AH119" s="16" t="b">
        <v>0</v>
      </c>
      <c r="AI119" s="16" t="b">
        <v>1</v>
      </c>
      <c r="AJ119" s="16" t="b">
        <v>0</v>
      </c>
      <c r="AK119" s="22">
        <f>IFERROR(__xludf.DUMMYFUNCTION("IFERROR(GOOGLEFINANCE(B119,""price""),"""")"),0.68)</f>
        <v>0.68</v>
      </c>
    </row>
    <row r="120">
      <c r="A120" s="7">
        <v>46069.626390482335</v>
      </c>
      <c r="B120" s="8" t="s">
        <v>468</v>
      </c>
      <c r="C120" s="8" t="s">
        <v>469</v>
      </c>
      <c r="D120" s="9">
        <v>46075.0</v>
      </c>
      <c r="E120" s="10">
        <v>0.99</v>
      </c>
      <c r="F120" s="8" t="s">
        <v>335</v>
      </c>
      <c r="G120" s="23"/>
      <c r="H120" s="23"/>
      <c r="I120" s="8" t="s">
        <v>470</v>
      </c>
      <c r="J120" s="13">
        <v>5.6044</v>
      </c>
      <c r="K120" s="8">
        <v>2.9986692E7</v>
      </c>
      <c r="L120" s="11">
        <v>0.24</v>
      </c>
      <c r="M120" s="11">
        <v>22.0077</v>
      </c>
      <c r="N120" s="8" t="s">
        <v>471</v>
      </c>
      <c r="O120" s="11">
        <v>8.9229</v>
      </c>
      <c r="P120" s="12">
        <v>5094769.0</v>
      </c>
      <c r="Q120" s="13">
        <v>1.06</v>
      </c>
      <c r="R120" s="13">
        <v>0.8901</v>
      </c>
      <c r="S120" s="13">
        <v>0.9</v>
      </c>
      <c r="T120" s="13">
        <v>0.1878</v>
      </c>
      <c r="U120" s="13">
        <v>1.5552</v>
      </c>
      <c r="V120" s="13">
        <v>539366.4</v>
      </c>
      <c r="W120" s="13">
        <v>96.1807</v>
      </c>
      <c r="X120" s="12">
        <v>2830254.0</v>
      </c>
      <c r="Y120" s="13">
        <v>1.7595</v>
      </c>
      <c r="Z120" s="13">
        <v>14.801</v>
      </c>
      <c r="AA120" s="11">
        <v>36.3621</v>
      </c>
      <c r="AB120" s="13">
        <v>61.5</v>
      </c>
      <c r="AC120" s="23"/>
      <c r="AD120" s="23"/>
      <c r="AE120" s="23"/>
      <c r="AF120" s="13">
        <v>0.0524</v>
      </c>
      <c r="AG120" s="13">
        <v>0.5866</v>
      </c>
      <c r="AH120" s="8" t="b">
        <v>0</v>
      </c>
      <c r="AI120" s="8" t="b">
        <v>0</v>
      </c>
      <c r="AJ120" s="8" t="b">
        <v>0</v>
      </c>
      <c r="AK120" s="14">
        <f>IFERROR(__xludf.DUMMYFUNCTION("IFERROR(GOOGLEFINANCE(B120,""price""),"""")"),0.71)</f>
        <v>0.71</v>
      </c>
    </row>
    <row r="121">
      <c r="A121" s="15">
        <v>46069.626390482335</v>
      </c>
      <c r="B121" s="16" t="s">
        <v>447</v>
      </c>
      <c r="C121" s="16" t="s">
        <v>448</v>
      </c>
      <c r="D121" s="17">
        <v>46075.0</v>
      </c>
      <c r="E121" s="18">
        <v>1.27</v>
      </c>
      <c r="F121" s="16" t="s">
        <v>112</v>
      </c>
      <c r="G121" s="24"/>
      <c r="H121" s="21">
        <v>-2.5688</v>
      </c>
      <c r="I121" s="16" t="s">
        <v>472</v>
      </c>
      <c r="J121" s="21">
        <v>3.8663</v>
      </c>
      <c r="K121" s="16">
        <v>2.2442476E7</v>
      </c>
      <c r="L121" s="19">
        <v>0.5</v>
      </c>
      <c r="M121" s="19">
        <v>26.2727</v>
      </c>
      <c r="N121" s="16" t="s">
        <v>450</v>
      </c>
      <c r="O121" s="19">
        <v>31.6062</v>
      </c>
      <c r="P121" s="20">
        <v>9201415.0</v>
      </c>
      <c r="Q121" s="21">
        <v>1.28</v>
      </c>
      <c r="R121" s="21">
        <v>0.87</v>
      </c>
      <c r="S121" s="21">
        <v>0.9805</v>
      </c>
      <c r="T121" s="21">
        <v>0.1214</v>
      </c>
      <c r="U121" s="21">
        <v>0.4829</v>
      </c>
      <c r="V121" s="21">
        <v>986118.3</v>
      </c>
      <c r="W121" s="21">
        <v>124.8181</v>
      </c>
      <c r="X121" s="20">
        <v>3908403.0</v>
      </c>
      <c r="Y121" s="21">
        <v>0.9575</v>
      </c>
      <c r="Z121" s="21">
        <v>3.0625</v>
      </c>
      <c r="AA121" s="19">
        <v>65.9172</v>
      </c>
      <c r="AB121" s="21">
        <v>7.699</v>
      </c>
      <c r="AC121" s="24"/>
      <c r="AD121" s="21">
        <v>-37.4353</v>
      </c>
      <c r="AE121" s="21">
        <v>-18.5771</v>
      </c>
      <c r="AF121" s="24"/>
      <c r="AG121" s="21">
        <v>1.3045</v>
      </c>
      <c r="AH121" s="16" t="b">
        <v>0</v>
      </c>
      <c r="AI121" s="16" t="b">
        <v>0</v>
      </c>
      <c r="AJ121" s="16" t="b">
        <v>0</v>
      </c>
      <c r="AK121" s="22">
        <f>IFERROR(__xludf.DUMMYFUNCTION("IFERROR(GOOGLEFINANCE(B121,""price""),"""")"),0.97)</f>
        <v>0.97</v>
      </c>
    </row>
    <row r="122">
      <c r="A122" s="7">
        <v>46069.626390482335</v>
      </c>
      <c r="B122" s="8" t="s">
        <v>451</v>
      </c>
      <c r="C122" s="8" t="s">
        <v>452</v>
      </c>
      <c r="D122" s="9">
        <v>46075.0</v>
      </c>
      <c r="E122" s="10">
        <v>1.11</v>
      </c>
      <c r="F122" s="8" t="s">
        <v>162</v>
      </c>
      <c r="G122" s="13">
        <v>7.2835</v>
      </c>
      <c r="H122" s="13">
        <v>0.1524</v>
      </c>
      <c r="I122" s="8" t="s">
        <v>473</v>
      </c>
      <c r="J122" s="13">
        <v>2.0472</v>
      </c>
      <c r="K122" s="8">
        <v>4917735.0</v>
      </c>
      <c r="L122" s="11">
        <v>0.62</v>
      </c>
      <c r="M122" s="11">
        <v>14.6097</v>
      </c>
      <c r="N122" s="8" t="s">
        <v>454</v>
      </c>
      <c r="O122" s="11">
        <v>11.0</v>
      </c>
      <c r="P122" s="12">
        <v>1278611.0</v>
      </c>
      <c r="Q122" s="13">
        <v>1.16</v>
      </c>
      <c r="R122" s="13">
        <v>0.9</v>
      </c>
      <c r="S122" s="13">
        <v>1.14</v>
      </c>
      <c r="T122" s="13">
        <v>0.167</v>
      </c>
      <c r="U122" s="13">
        <v>0.5404</v>
      </c>
      <c r="V122" s="13">
        <v>151869.9</v>
      </c>
      <c r="W122" s="13">
        <v>47.9525</v>
      </c>
      <c r="X122" s="12">
        <v>1.333887E7</v>
      </c>
      <c r="Y122" s="13">
        <v>1.445</v>
      </c>
      <c r="Z122" s="23"/>
      <c r="AA122" s="11">
        <v>40.2211</v>
      </c>
      <c r="AB122" s="13">
        <v>3.6</v>
      </c>
      <c r="AC122" s="13">
        <v>13.7864</v>
      </c>
      <c r="AD122" s="13">
        <v>5.2413</v>
      </c>
      <c r="AE122" s="23"/>
      <c r="AF122" s="13">
        <v>0.3795</v>
      </c>
      <c r="AG122" s="13">
        <v>1.766</v>
      </c>
      <c r="AH122" s="8" t="b">
        <v>1</v>
      </c>
      <c r="AI122" s="8" t="b">
        <v>0</v>
      </c>
      <c r="AJ122" s="8" t="b">
        <v>0</v>
      </c>
      <c r="AK122" s="14">
        <f>IFERROR(__xludf.DUMMYFUNCTION("IFERROR(GOOGLEFINANCE(B122,""price""),"""")"),0.91)</f>
        <v>0.91</v>
      </c>
    </row>
    <row r="123">
      <c r="A123" s="15">
        <v>46069.626390482335</v>
      </c>
      <c r="B123" s="16" t="s">
        <v>455</v>
      </c>
      <c r="C123" s="16" t="s">
        <v>456</v>
      </c>
      <c r="D123" s="17">
        <v>46075.0</v>
      </c>
      <c r="E123" s="18">
        <v>3.92</v>
      </c>
      <c r="F123" s="16" t="s">
        <v>186</v>
      </c>
      <c r="G123" s="24"/>
      <c r="H123" s="21">
        <v>-0.6547</v>
      </c>
      <c r="I123" s="16" t="s">
        <v>474</v>
      </c>
      <c r="J123" s="21">
        <v>1.8868</v>
      </c>
      <c r="K123" s="16">
        <v>2.0902248E7</v>
      </c>
      <c r="L123" s="19">
        <v>0.94</v>
      </c>
      <c r="M123" s="19">
        <v>19.9673</v>
      </c>
      <c r="N123" s="16" t="s">
        <v>458</v>
      </c>
      <c r="O123" s="19">
        <v>64.0167</v>
      </c>
      <c r="P123" s="20">
        <v>2.8255659E7</v>
      </c>
      <c r="Q123" s="21">
        <v>4.02</v>
      </c>
      <c r="R123" s="21">
        <v>2.6682</v>
      </c>
      <c r="S123" s="21">
        <v>2.78</v>
      </c>
      <c r="T123" s="21">
        <v>0.3512</v>
      </c>
      <c r="U123" s="21">
        <v>0.7469</v>
      </c>
      <c r="V123" s="16">
        <v>3196147.0</v>
      </c>
      <c r="W123" s="21">
        <v>65.0673</v>
      </c>
      <c r="X123" s="20">
        <v>1.24189656E8</v>
      </c>
      <c r="Y123" s="21">
        <v>2.4924</v>
      </c>
      <c r="Z123" s="21">
        <v>3.629</v>
      </c>
      <c r="AA123" s="19">
        <v>71.4624</v>
      </c>
      <c r="AB123" s="21">
        <v>7.728</v>
      </c>
      <c r="AC123" s="21">
        <v>-92.8437</v>
      </c>
      <c r="AD123" s="21">
        <v>-32496.9231</v>
      </c>
      <c r="AE123" s="21">
        <v>-51.8519</v>
      </c>
      <c r="AF123" s="21">
        <v>0.0696</v>
      </c>
      <c r="AG123" s="21">
        <v>9.801</v>
      </c>
      <c r="AH123" s="16" t="b">
        <v>0</v>
      </c>
      <c r="AI123" s="16" t="b">
        <v>0</v>
      </c>
      <c r="AJ123" s="16" t="b">
        <v>0</v>
      </c>
      <c r="AK123" s="22">
        <f>IFERROR(__xludf.DUMMYFUNCTION("IFERROR(GOOGLEFINANCE(B123,""price""),"""")"),5.09)</f>
        <v>5.09</v>
      </c>
    </row>
    <row r="124">
      <c r="A124" s="7">
        <v>46069.626390482335</v>
      </c>
      <c r="B124" s="8" t="s">
        <v>459</v>
      </c>
      <c r="C124" s="8" t="s">
        <v>460</v>
      </c>
      <c r="D124" s="9">
        <v>46075.0</v>
      </c>
      <c r="E124" s="10">
        <v>2.78</v>
      </c>
      <c r="F124" s="8" t="s">
        <v>93</v>
      </c>
      <c r="G124" s="23"/>
      <c r="H124" s="23"/>
      <c r="I124" s="8" t="s">
        <v>113</v>
      </c>
      <c r="J124" s="13">
        <v>1.2462</v>
      </c>
      <c r="K124" s="13">
        <v>632968.3333</v>
      </c>
      <c r="L124" s="11">
        <v>0.57</v>
      </c>
      <c r="M124" s="11">
        <v>28.6622</v>
      </c>
      <c r="N124" s="8" t="s">
        <v>461</v>
      </c>
      <c r="O124" s="11">
        <v>24.1071</v>
      </c>
      <c r="P124" s="12">
        <v>379781.0</v>
      </c>
      <c r="Q124" s="13">
        <v>3.04</v>
      </c>
      <c r="R124" s="13">
        <v>2.44</v>
      </c>
      <c r="S124" s="13">
        <v>2.44</v>
      </c>
      <c r="T124" s="13">
        <v>0.3677</v>
      </c>
      <c r="U124" s="13">
        <v>1.2797</v>
      </c>
      <c r="V124" s="13">
        <v>49766.6</v>
      </c>
      <c r="W124" s="13">
        <v>26.8955</v>
      </c>
      <c r="X124" s="12">
        <v>2.2764954E7</v>
      </c>
      <c r="Y124" s="13">
        <v>4.387</v>
      </c>
      <c r="Z124" s="13">
        <v>4.7456</v>
      </c>
      <c r="AA124" s="11">
        <v>43.773</v>
      </c>
      <c r="AB124" s="13">
        <v>9.58</v>
      </c>
      <c r="AC124" s="23"/>
      <c r="AD124" s="23"/>
      <c r="AE124" s="23"/>
      <c r="AF124" s="23"/>
      <c r="AG124" s="13">
        <v>0.0548</v>
      </c>
      <c r="AH124" s="8" t="b">
        <v>0</v>
      </c>
      <c r="AI124" s="8" t="b">
        <v>0</v>
      </c>
      <c r="AJ124" s="8" t="b">
        <v>0</v>
      </c>
      <c r="AK124" s="14">
        <f>IFERROR(__xludf.DUMMYFUNCTION("IFERROR(GOOGLEFINANCE(B124,""price""),"""")"),2.3)</f>
        <v>2.3</v>
      </c>
    </row>
    <row r="125">
      <c r="A125" s="15">
        <v>46069.626390482335</v>
      </c>
      <c r="B125" s="16" t="s">
        <v>475</v>
      </c>
      <c r="C125" s="16" t="s">
        <v>476</v>
      </c>
      <c r="D125" s="17">
        <v>46075.0</v>
      </c>
      <c r="E125" s="18">
        <v>2.5</v>
      </c>
      <c r="F125" s="16" t="s">
        <v>149</v>
      </c>
      <c r="G125" s="24"/>
      <c r="H125" s="21">
        <v>-0.0863</v>
      </c>
      <c r="I125" s="16" t="s">
        <v>122</v>
      </c>
      <c r="J125" s="21">
        <v>1.1224</v>
      </c>
      <c r="K125" s="16">
        <v>7551169.0</v>
      </c>
      <c r="L125" s="19">
        <v>0.83</v>
      </c>
      <c r="M125" s="19">
        <v>14.0897</v>
      </c>
      <c r="N125" s="16" t="s">
        <v>477</v>
      </c>
      <c r="O125" s="19">
        <v>20.1923</v>
      </c>
      <c r="P125" s="20">
        <v>3171491.0</v>
      </c>
      <c r="Q125" s="21">
        <v>2.68</v>
      </c>
      <c r="R125" s="21">
        <v>2.26</v>
      </c>
      <c r="S125" s="21">
        <v>2.325</v>
      </c>
      <c r="T125" s="21">
        <v>0.1969</v>
      </c>
      <c r="U125" s="21">
        <v>0.4744</v>
      </c>
      <c r="V125" s="21">
        <v>477185.9</v>
      </c>
      <c r="W125" s="21">
        <v>18.8568</v>
      </c>
      <c r="X125" s="20">
        <v>4.8924665E7</v>
      </c>
      <c r="Y125" s="21">
        <v>2.1496</v>
      </c>
      <c r="Z125" s="21">
        <v>2.9787</v>
      </c>
      <c r="AA125" s="19">
        <v>64.7427</v>
      </c>
      <c r="AB125" s="21">
        <v>7.39</v>
      </c>
      <c r="AC125" s="21">
        <v>-3.4935</v>
      </c>
      <c r="AD125" s="21">
        <v>3.1307</v>
      </c>
      <c r="AE125" s="21">
        <v>77.2936</v>
      </c>
      <c r="AF125" s="21">
        <v>0.1892</v>
      </c>
      <c r="AG125" s="21">
        <v>0.9484</v>
      </c>
      <c r="AH125" s="16" t="b">
        <v>0</v>
      </c>
      <c r="AI125" s="16" t="b">
        <v>0</v>
      </c>
      <c r="AJ125" s="16" t="b">
        <v>0</v>
      </c>
      <c r="AK125" s="22">
        <f>IFERROR(__xludf.DUMMYFUNCTION("IFERROR(GOOGLEFINANCE(B125,""price""),"""")"),2.36)</f>
        <v>2.36</v>
      </c>
    </row>
    <row r="126">
      <c r="A126" s="7">
        <v>46069.626390482335</v>
      </c>
      <c r="B126" s="8" t="s">
        <v>462</v>
      </c>
      <c r="C126" s="8" t="s">
        <v>463</v>
      </c>
      <c r="D126" s="9">
        <v>46075.0</v>
      </c>
      <c r="E126" s="10">
        <v>2.03</v>
      </c>
      <c r="F126" s="8" t="s">
        <v>149</v>
      </c>
      <c r="G126" s="23"/>
      <c r="H126" s="13">
        <v>-0.1131</v>
      </c>
      <c r="I126" s="8" t="s">
        <v>175</v>
      </c>
      <c r="J126" s="13">
        <v>0.7447</v>
      </c>
      <c r="K126" s="8">
        <v>4313560.0</v>
      </c>
      <c r="L126" s="11">
        <v>0.77</v>
      </c>
      <c r="M126" s="11">
        <v>13.8256</v>
      </c>
      <c r="N126" s="8" t="s">
        <v>464</v>
      </c>
      <c r="O126" s="11">
        <v>1.5</v>
      </c>
      <c r="P126" s="12">
        <v>431356.0</v>
      </c>
      <c r="Q126" s="13">
        <v>2.06</v>
      </c>
      <c r="R126" s="13">
        <v>1.96</v>
      </c>
      <c r="S126" s="13">
        <v>2.04</v>
      </c>
      <c r="T126" s="13">
        <v>0.1104</v>
      </c>
      <c r="U126" s="13">
        <v>0.2879</v>
      </c>
      <c r="V126" s="13">
        <v>158878.6</v>
      </c>
      <c r="W126" s="13">
        <v>3.6686</v>
      </c>
      <c r="X126" s="12">
        <v>2.07078995E8</v>
      </c>
      <c r="Y126" s="13">
        <v>2.0184</v>
      </c>
      <c r="Z126" s="13">
        <v>2.8285</v>
      </c>
      <c r="AA126" s="11">
        <v>53.3353</v>
      </c>
      <c r="AB126" s="13">
        <v>5.348</v>
      </c>
      <c r="AC126" s="13">
        <v>-48.663</v>
      </c>
      <c r="AD126" s="13">
        <v>0.366</v>
      </c>
      <c r="AE126" s="13">
        <v>28.4611</v>
      </c>
      <c r="AF126" s="13">
        <v>3.0107</v>
      </c>
      <c r="AG126" s="13">
        <v>1.2763</v>
      </c>
      <c r="AH126" s="8" t="b">
        <v>1</v>
      </c>
      <c r="AI126" s="8" t="b">
        <v>0</v>
      </c>
      <c r="AJ126" s="8" t="b">
        <v>0</v>
      </c>
      <c r="AK126" s="14">
        <f>IFERROR(__xludf.DUMMYFUNCTION("IFERROR(GOOGLEFINANCE(B126,""price""),"""")"),1.7)</f>
        <v>1.7</v>
      </c>
    </row>
    <row r="127">
      <c r="A127" s="15">
        <v>46069.626390482335</v>
      </c>
      <c r="B127" s="16" t="s">
        <v>478</v>
      </c>
      <c r="C127" s="16" t="s">
        <v>479</v>
      </c>
      <c r="D127" s="17">
        <v>46075.0</v>
      </c>
      <c r="E127" s="18">
        <v>1.64</v>
      </c>
      <c r="F127" s="16" t="s">
        <v>186</v>
      </c>
      <c r="G127" s="24"/>
      <c r="H127" s="21">
        <v>-1.9708</v>
      </c>
      <c r="I127" s="16" t="s">
        <v>175</v>
      </c>
      <c r="J127" s="21">
        <v>0.1709</v>
      </c>
      <c r="K127" s="16">
        <v>2437975.0</v>
      </c>
      <c r="L127" s="19">
        <v>0.41</v>
      </c>
      <c r="M127" s="19">
        <v>27.4729</v>
      </c>
      <c r="N127" s="16" t="s">
        <v>480</v>
      </c>
      <c r="O127" s="19">
        <v>-2.381</v>
      </c>
      <c r="P127" s="20">
        <v>435910.0</v>
      </c>
      <c r="Q127" s="21">
        <v>1.71</v>
      </c>
      <c r="R127" s="21">
        <v>1.5312</v>
      </c>
      <c r="S127" s="21">
        <v>1.66</v>
      </c>
      <c r="T127" s="21">
        <v>0.1575</v>
      </c>
      <c r="U127" s="21">
        <v>0.7616</v>
      </c>
      <c r="V127" s="21">
        <v>238172.4</v>
      </c>
      <c r="W127" s="21">
        <v>1.8627</v>
      </c>
      <c r="X127" s="20">
        <v>8006419.0</v>
      </c>
      <c r="Y127" s="21">
        <v>1.3874</v>
      </c>
      <c r="Z127" s="21">
        <v>2.588</v>
      </c>
      <c r="AA127" s="19">
        <v>69.4438</v>
      </c>
      <c r="AB127" s="21">
        <v>12.39</v>
      </c>
      <c r="AC127" s="21">
        <v>-78.1157</v>
      </c>
      <c r="AD127" s="21">
        <v>-63.9936</v>
      </c>
      <c r="AE127" s="21">
        <v>-7.2597</v>
      </c>
      <c r="AF127" s="21">
        <v>0.0234</v>
      </c>
      <c r="AG127" s="21">
        <v>0.4306</v>
      </c>
      <c r="AH127" s="16" t="b">
        <v>1</v>
      </c>
      <c r="AI127" s="16" t="b">
        <v>0</v>
      </c>
      <c r="AJ127" s="16" t="b">
        <v>0</v>
      </c>
      <c r="AK127" s="22">
        <f>IFERROR(__xludf.DUMMYFUNCTION("IFERROR(GOOGLEFINANCE(B127,""price""),"""")"),0.98)</f>
        <v>0.98</v>
      </c>
    </row>
    <row r="128">
      <c r="A128" s="7">
        <v>46069.626390482335</v>
      </c>
      <c r="B128" s="8" t="s">
        <v>481</v>
      </c>
      <c r="C128" s="8" t="s">
        <v>482</v>
      </c>
      <c r="D128" s="9">
        <v>46075.0</v>
      </c>
      <c r="E128" s="10">
        <v>3.03</v>
      </c>
      <c r="F128" s="8" t="s">
        <v>186</v>
      </c>
      <c r="G128" s="23"/>
      <c r="H128" s="13">
        <v>-1.367</v>
      </c>
      <c r="I128" s="8" t="s">
        <v>145</v>
      </c>
      <c r="J128" s="13">
        <v>0.164</v>
      </c>
      <c r="K128" s="8">
        <v>5910968.0</v>
      </c>
      <c r="L128" s="11">
        <v>0.75</v>
      </c>
      <c r="M128" s="11">
        <v>20.1305</v>
      </c>
      <c r="N128" s="8" t="s">
        <v>483</v>
      </c>
      <c r="O128" s="11">
        <v>-0.3289</v>
      </c>
      <c r="P128" s="12">
        <v>1861955.0</v>
      </c>
      <c r="Q128" s="13">
        <v>3.115</v>
      </c>
      <c r="R128" s="13">
        <v>2.8</v>
      </c>
      <c r="S128" s="13">
        <v>3.01</v>
      </c>
      <c r="T128" s="13">
        <v>0.1714</v>
      </c>
      <c r="U128" s="13">
        <v>0.4544</v>
      </c>
      <c r="V128" s="8">
        <v>1178630.0</v>
      </c>
      <c r="W128" s="13">
        <v>1.7053</v>
      </c>
      <c r="X128" s="12">
        <v>4.94359829E8</v>
      </c>
      <c r="Y128" s="13">
        <v>3.542</v>
      </c>
      <c r="Z128" s="13">
        <v>4.5632</v>
      </c>
      <c r="AA128" s="11">
        <v>31.3249</v>
      </c>
      <c r="AB128" s="13">
        <v>7.57</v>
      </c>
      <c r="AC128" s="13">
        <v>-17.6042</v>
      </c>
      <c r="AD128" s="13">
        <v>1.955</v>
      </c>
      <c r="AE128" s="13">
        <v>-0.5828</v>
      </c>
      <c r="AF128" s="13">
        <v>0.7077</v>
      </c>
      <c r="AG128" s="13">
        <v>0.8107</v>
      </c>
      <c r="AH128" s="8" t="b">
        <v>1</v>
      </c>
      <c r="AI128" s="8" t="b">
        <v>1</v>
      </c>
      <c r="AJ128" s="8" t="b">
        <v>0</v>
      </c>
      <c r="AK128" s="14">
        <f>IFERROR(__xludf.DUMMYFUNCTION("IFERROR(GOOGLEFINANCE(B128,""price""),"""")"),3.01)</f>
        <v>3.01</v>
      </c>
    </row>
    <row r="129">
      <c r="A129" s="7">
        <v>46070.62597923256</v>
      </c>
      <c r="B129" s="8" t="s">
        <v>484</v>
      </c>
      <c r="C129" s="8" t="s">
        <v>485</v>
      </c>
      <c r="D129" s="9">
        <v>46075.0</v>
      </c>
      <c r="E129" s="10">
        <v>1.25</v>
      </c>
      <c r="F129" s="8" t="s">
        <v>162</v>
      </c>
      <c r="G129" s="13">
        <v>0.3168</v>
      </c>
      <c r="H129" s="13">
        <v>3.9461</v>
      </c>
      <c r="I129" s="8" t="s">
        <v>486</v>
      </c>
      <c r="J129" s="13">
        <v>22.5587</v>
      </c>
      <c r="K129" s="8">
        <v>9.2740951E7</v>
      </c>
      <c r="L129" s="11">
        <v>0.06</v>
      </c>
      <c r="M129" s="11">
        <v>19.3357</v>
      </c>
      <c r="N129" s="8" t="s">
        <v>487</v>
      </c>
      <c r="O129" s="11">
        <v>35.8253</v>
      </c>
      <c r="P129" s="12">
        <v>6.7700894E7</v>
      </c>
      <c r="Q129" s="13">
        <v>1.79</v>
      </c>
      <c r="R129" s="13">
        <v>1.06</v>
      </c>
      <c r="S129" s="13">
        <v>1.46</v>
      </c>
      <c r="T129" s="13">
        <v>0.201</v>
      </c>
      <c r="U129" s="13">
        <v>6.2016</v>
      </c>
      <c r="V129" s="8">
        <v>6815392.0</v>
      </c>
      <c r="W129" s="13">
        <v>1317.4276</v>
      </c>
      <c r="X129" s="12">
        <v>2645951.0</v>
      </c>
      <c r="Y129" s="13">
        <v>1.9866</v>
      </c>
      <c r="Z129" s="13">
        <v>39.8457</v>
      </c>
      <c r="AA129" s="11">
        <v>45.8567</v>
      </c>
      <c r="AB129" s="13">
        <v>364.0</v>
      </c>
      <c r="AC129" s="13">
        <v>8.5568</v>
      </c>
      <c r="AD129" s="13">
        <v>4.0541</v>
      </c>
      <c r="AE129" s="13">
        <v>39.0347</v>
      </c>
      <c r="AF129" s="13">
        <v>0.0031</v>
      </c>
      <c r="AG129" s="13">
        <v>8.143</v>
      </c>
      <c r="AH129" s="8" t="b">
        <v>0</v>
      </c>
      <c r="AI129" s="8" t="b">
        <v>0</v>
      </c>
      <c r="AJ129" s="8" t="b">
        <v>0</v>
      </c>
      <c r="AK129" s="14">
        <f>IFERROR(__xludf.DUMMYFUNCTION("IFERROR(GOOGLEFINANCE(B129,""price""),"""")"),2.54)</f>
        <v>2.54</v>
      </c>
    </row>
    <row r="130">
      <c r="A130" s="15">
        <v>46070.62597923256</v>
      </c>
      <c r="B130" s="16" t="s">
        <v>488</v>
      </c>
      <c r="C130" s="16" t="s">
        <v>489</v>
      </c>
      <c r="D130" s="17">
        <v>46075.0</v>
      </c>
      <c r="E130" s="18">
        <v>1.3001</v>
      </c>
      <c r="F130" s="16" t="s">
        <v>117</v>
      </c>
      <c r="G130" s="24"/>
      <c r="H130" s="24"/>
      <c r="I130" s="16" t="s">
        <v>490</v>
      </c>
      <c r="J130" s="21">
        <v>7.5747</v>
      </c>
      <c r="K130" s="16">
        <v>8.1027104E7</v>
      </c>
      <c r="L130" s="19">
        <v>0.64</v>
      </c>
      <c r="M130" s="19">
        <v>26.6801</v>
      </c>
      <c r="N130" s="16" t="s">
        <v>491</v>
      </c>
      <c r="O130" s="19">
        <v>68.8442</v>
      </c>
      <c r="P130" s="20">
        <v>4.9831669E7</v>
      </c>
      <c r="Q130" s="21">
        <v>1.41</v>
      </c>
      <c r="R130" s="21">
        <v>0.795</v>
      </c>
      <c r="S130" s="21">
        <v>0.795</v>
      </c>
      <c r="T130" s="21">
        <v>0.1365</v>
      </c>
      <c r="U130" s="21">
        <v>0.4289</v>
      </c>
      <c r="V130" s="16">
        <v>5111331.0</v>
      </c>
      <c r="W130" s="21">
        <v>358.3128</v>
      </c>
      <c r="X130" s="20">
        <v>4.7747339E7</v>
      </c>
      <c r="Y130" s="21">
        <v>1.2293</v>
      </c>
      <c r="Z130" s="21">
        <v>2.4516</v>
      </c>
      <c r="AA130" s="19">
        <v>61.5462</v>
      </c>
      <c r="AB130" s="21">
        <v>7.2616</v>
      </c>
      <c r="AC130" s="24"/>
      <c r="AD130" s="24"/>
      <c r="AE130" s="24"/>
      <c r="AF130" s="21">
        <v>0.634</v>
      </c>
      <c r="AG130" s="21">
        <v>1.7127</v>
      </c>
      <c r="AH130" s="16" t="b">
        <v>0</v>
      </c>
      <c r="AI130" s="16" t="b">
        <v>0</v>
      </c>
      <c r="AJ130" s="16" t="b">
        <v>0</v>
      </c>
      <c r="AK130" s="22">
        <f>IFERROR(__xludf.DUMMYFUNCTION("IFERROR(GOOGLEFINANCE(B130,""price""),"""")"),1.77)</f>
        <v>1.77</v>
      </c>
    </row>
    <row r="131">
      <c r="A131" s="7">
        <v>46070.62597923256</v>
      </c>
      <c r="B131" s="8" t="s">
        <v>492</v>
      </c>
      <c r="C131" s="8" t="s">
        <v>493</v>
      </c>
      <c r="D131" s="9">
        <v>46075.0</v>
      </c>
      <c r="E131" s="10">
        <v>1.4783</v>
      </c>
      <c r="F131" s="8" t="s">
        <v>88</v>
      </c>
      <c r="G131" s="13">
        <v>30.8622</v>
      </c>
      <c r="H131" s="13">
        <v>0.0479</v>
      </c>
      <c r="I131" s="8" t="s">
        <v>494</v>
      </c>
      <c r="J131" s="13">
        <v>4.3782</v>
      </c>
      <c r="K131" s="8">
        <v>3911954.0</v>
      </c>
      <c r="L131" s="11">
        <v>0.81</v>
      </c>
      <c r="M131" s="11">
        <v>20.4322</v>
      </c>
      <c r="N131" s="8" t="s">
        <v>495</v>
      </c>
      <c r="O131" s="11">
        <v>33.1802</v>
      </c>
      <c r="P131" s="12">
        <v>2894846.0</v>
      </c>
      <c r="Q131" s="13">
        <v>1.85</v>
      </c>
      <c r="R131" s="13">
        <v>1.11</v>
      </c>
      <c r="S131" s="13">
        <v>1.11</v>
      </c>
      <c r="T131" s="13">
        <v>0.149</v>
      </c>
      <c r="U131" s="13">
        <v>0.3663</v>
      </c>
      <c r="V131" s="13">
        <v>302106.6</v>
      </c>
      <c r="W131" s="13">
        <v>219.1621</v>
      </c>
      <c r="X131" s="12">
        <v>7.3276454E7</v>
      </c>
      <c r="Y131" s="13">
        <v>1.299</v>
      </c>
      <c r="Z131" s="13">
        <v>3.3479</v>
      </c>
      <c r="AA131" s="11">
        <v>60.8795</v>
      </c>
      <c r="AB131" s="13">
        <v>4.75</v>
      </c>
      <c r="AC131" s="13">
        <v>-35.8218</v>
      </c>
      <c r="AD131" s="13">
        <v>5.3696</v>
      </c>
      <c r="AE131" s="13">
        <v>35.2514</v>
      </c>
      <c r="AF131" s="13">
        <v>0.0594</v>
      </c>
      <c r="AG131" s="13">
        <v>1.0977</v>
      </c>
      <c r="AH131" s="8" t="b">
        <v>0</v>
      </c>
      <c r="AI131" s="8" t="b">
        <v>0</v>
      </c>
      <c r="AJ131" s="8" t="b">
        <v>0</v>
      </c>
      <c r="AK131" s="14">
        <f>IFERROR(__xludf.DUMMYFUNCTION("IFERROR(GOOGLEFINANCE(B131,""price""),"""")"),1.47)</f>
        <v>1.47</v>
      </c>
    </row>
    <row r="132">
      <c r="A132" s="15">
        <v>46070.62597923256</v>
      </c>
      <c r="B132" s="16" t="s">
        <v>373</v>
      </c>
      <c r="C132" s="16" t="s">
        <v>374</v>
      </c>
      <c r="D132" s="17">
        <v>46075.0</v>
      </c>
      <c r="E132" s="18">
        <v>0.66</v>
      </c>
      <c r="F132" s="16" t="s">
        <v>117</v>
      </c>
      <c r="G132" s="24"/>
      <c r="H132" s="24"/>
      <c r="I132" s="16" t="s">
        <v>113</v>
      </c>
      <c r="J132" s="21">
        <v>1.4591</v>
      </c>
      <c r="K132" s="16">
        <v>5.4533744E7</v>
      </c>
      <c r="L132" s="19">
        <v>0.73</v>
      </c>
      <c r="M132" s="19">
        <v>26.3192</v>
      </c>
      <c r="N132" s="16" t="s">
        <v>375</v>
      </c>
      <c r="O132" s="19">
        <v>-17.5</v>
      </c>
      <c r="P132" s="20">
        <v>7749245.0</v>
      </c>
      <c r="Q132" s="21">
        <v>0.75</v>
      </c>
      <c r="R132" s="21">
        <v>0.6079</v>
      </c>
      <c r="S132" s="21">
        <v>0.75</v>
      </c>
      <c r="T132" s="21">
        <v>0.1376</v>
      </c>
      <c r="U132" s="21">
        <v>0.3755</v>
      </c>
      <c r="V132" s="16">
        <v>1004790.0</v>
      </c>
      <c r="W132" s="21">
        <v>31.4159</v>
      </c>
      <c r="X132" s="20">
        <v>5979693.0</v>
      </c>
      <c r="Y132" s="21">
        <v>1.108</v>
      </c>
      <c r="Z132" s="21">
        <v>3.0488</v>
      </c>
      <c r="AA132" s="19">
        <v>27.0395</v>
      </c>
      <c r="AB132" s="21">
        <v>6.29</v>
      </c>
      <c r="AC132" s="24"/>
      <c r="AD132" s="24"/>
      <c r="AE132" s="24"/>
      <c r="AF132" s="21">
        <v>1.2265</v>
      </c>
      <c r="AG132" s="21">
        <v>0.5154</v>
      </c>
      <c r="AH132" s="16" t="b">
        <v>0</v>
      </c>
      <c r="AI132" s="16" t="b">
        <v>0</v>
      </c>
      <c r="AJ132" s="16" t="b">
        <v>0</v>
      </c>
      <c r="AK132" s="22" t="str">
        <f>IFERROR(__xludf.DUMMYFUNCTION("IFERROR(GOOGLEFINANCE(B132,""price""),"""")"),"")</f>
        <v/>
      </c>
    </row>
    <row r="133">
      <c r="A133" s="7">
        <v>46070.62597923256</v>
      </c>
      <c r="B133" s="8" t="s">
        <v>475</v>
      </c>
      <c r="C133" s="8" t="s">
        <v>476</v>
      </c>
      <c r="D133" s="9">
        <v>46075.0</v>
      </c>
      <c r="E133" s="10">
        <v>2.615</v>
      </c>
      <c r="F133" s="8" t="s">
        <v>149</v>
      </c>
      <c r="G133" s="23"/>
      <c r="H133" s="13">
        <v>-0.0863</v>
      </c>
      <c r="I133" s="8" t="s">
        <v>138</v>
      </c>
      <c r="J133" s="13">
        <v>0.1744</v>
      </c>
      <c r="K133" s="8">
        <v>3182458.0</v>
      </c>
      <c r="L133" s="11">
        <v>0.93</v>
      </c>
      <c r="M133" s="11">
        <v>17.2226</v>
      </c>
      <c r="N133" s="8" t="s">
        <v>477</v>
      </c>
      <c r="O133" s="11">
        <v>4.6</v>
      </c>
      <c r="P133" s="12">
        <v>1499256.0</v>
      </c>
      <c r="Q133" s="13">
        <v>3.0711</v>
      </c>
      <c r="R133" s="13">
        <v>2.6</v>
      </c>
      <c r="S133" s="13">
        <v>2.65</v>
      </c>
      <c r="T133" s="13">
        <v>0.2236</v>
      </c>
      <c r="U133" s="13">
        <v>0.4813</v>
      </c>
      <c r="V133" s="13">
        <v>622229.1</v>
      </c>
      <c r="W133" s="13">
        <v>3.1419</v>
      </c>
      <c r="X133" s="12">
        <v>5.11752E7</v>
      </c>
      <c r="Y133" s="13">
        <v>2.1529</v>
      </c>
      <c r="Z133" s="13">
        <v>2.9751</v>
      </c>
      <c r="AA133" s="11">
        <v>67.3996</v>
      </c>
      <c r="AB133" s="13">
        <v>7.39</v>
      </c>
      <c r="AC133" s="13">
        <v>-3.4935</v>
      </c>
      <c r="AD133" s="13">
        <v>3.1307</v>
      </c>
      <c r="AE133" s="13">
        <v>77.2936</v>
      </c>
      <c r="AF133" s="13">
        <v>0.1892</v>
      </c>
      <c r="AG133" s="13">
        <v>0.9484</v>
      </c>
      <c r="AH133" s="8" t="b">
        <v>0</v>
      </c>
      <c r="AI133" s="8" t="b">
        <v>1</v>
      </c>
      <c r="AJ133" s="8" t="b">
        <v>0</v>
      </c>
      <c r="AK133" s="14">
        <f>IFERROR(__xludf.DUMMYFUNCTION("IFERROR(GOOGLEFINANCE(B133,""price""),"""")"),2.36)</f>
        <v>2.36</v>
      </c>
    </row>
    <row r="134">
      <c r="A134" s="15">
        <v>46070.62597923256</v>
      </c>
      <c r="B134" s="16" t="s">
        <v>496</v>
      </c>
      <c r="C134" s="16" t="s">
        <v>497</v>
      </c>
      <c r="D134" s="17">
        <v>46075.0</v>
      </c>
      <c r="E134" s="18">
        <v>4.12</v>
      </c>
      <c r="F134" s="16" t="s">
        <v>88</v>
      </c>
      <c r="G134" s="24"/>
      <c r="H134" s="21">
        <v>-0.4063</v>
      </c>
      <c r="I134" s="16" t="s">
        <v>179</v>
      </c>
      <c r="J134" s="21">
        <v>0.1417</v>
      </c>
      <c r="K134" s="16">
        <v>2404026.0</v>
      </c>
      <c r="L134" s="19">
        <v>0.87</v>
      </c>
      <c r="M134" s="19">
        <v>20.5133</v>
      </c>
      <c r="N134" s="16" t="s">
        <v>498</v>
      </c>
      <c r="O134" s="19">
        <v>-5.7208</v>
      </c>
      <c r="P134" s="20">
        <v>1129892.0</v>
      </c>
      <c r="Q134" s="21">
        <v>4.3</v>
      </c>
      <c r="R134" s="21">
        <v>3.83</v>
      </c>
      <c r="S134" s="21">
        <v>4.25</v>
      </c>
      <c r="T134" s="21">
        <v>0.3146</v>
      </c>
      <c r="U134" s="21">
        <v>0.7259</v>
      </c>
      <c r="V134" s="21">
        <v>744304.6</v>
      </c>
      <c r="W134" s="21">
        <v>1.6169</v>
      </c>
      <c r="X134" s="20">
        <v>3.03867815E8</v>
      </c>
      <c r="Y134" s="21">
        <v>5.3199</v>
      </c>
      <c r="Z134" s="21">
        <v>5.0549</v>
      </c>
      <c r="AA134" s="19">
        <v>27.429</v>
      </c>
      <c r="AB134" s="21">
        <v>8.36</v>
      </c>
      <c r="AC134" s="21">
        <v>-23.7319</v>
      </c>
      <c r="AD134" s="21">
        <v>-21.7119</v>
      </c>
      <c r="AE134" s="21">
        <v>17.4375</v>
      </c>
      <c r="AF134" s="21">
        <v>0.0718</v>
      </c>
      <c r="AG134" s="21">
        <v>2.6011</v>
      </c>
      <c r="AH134" s="16" t="b">
        <v>1</v>
      </c>
      <c r="AI134" s="16" t="b">
        <v>0</v>
      </c>
      <c r="AJ134" s="16" t="b">
        <v>0</v>
      </c>
      <c r="AK134" s="22">
        <f>IFERROR(__xludf.DUMMYFUNCTION("IFERROR(GOOGLEFINANCE(B134,""price""),"""")"),3.96)</f>
        <v>3.96</v>
      </c>
    </row>
    <row r="135">
      <c r="A135" s="7">
        <v>46070.62597923256</v>
      </c>
      <c r="B135" s="8" t="s">
        <v>499</v>
      </c>
      <c r="C135" s="8" t="s">
        <v>500</v>
      </c>
      <c r="D135" s="9">
        <v>46075.0</v>
      </c>
      <c r="E135" s="10">
        <v>4.04</v>
      </c>
      <c r="F135" s="8" t="s">
        <v>117</v>
      </c>
      <c r="G135" s="23"/>
      <c r="H135" s="13">
        <v>-48.764</v>
      </c>
      <c r="I135" s="8" t="s">
        <v>145</v>
      </c>
      <c r="J135" s="13">
        <v>0.1274</v>
      </c>
      <c r="K135" s="13">
        <v>613194.2308</v>
      </c>
      <c r="L135" s="11">
        <v>0.33</v>
      </c>
      <c r="M135" s="11">
        <v>7.6495</v>
      </c>
      <c r="N135" s="8" t="s">
        <v>501</v>
      </c>
      <c r="O135" s="11">
        <v>-0.7371</v>
      </c>
      <c r="P135" s="12">
        <v>318861.0</v>
      </c>
      <c r="Q135" s="13">
        <v>4.19</v>
      </c>
      <c r="R135" s="13">
        <v>3.67</v>
      </c>
      <c r="S135" s="13">
        <v>4.05</v>
      </c>
      <c r="T135" s="13">
        <v>0.5281</v>
      </c>
      <c r="U135" s="13">
        <v>3.1897</v>
      </c>
      <c r="V135" s="13">
        <v>208198.1</v>
      </c>
      <c r="W135" s="13">
        <v>1.6399</v>
      </c>
      <c r="X135" s="12">
        <v>2.9291967E7</v>
      </c>
      <c r="Y135" s="13">
        <v>6.8226</v>
      </c>
      <c r="Z135" s="13">
        <v>25.8207</v>
      </c>
      <c r="AA135" s="11">
        <v>36.5968</v>
      </c>
      <c r="AB135" s="13">
        <v>98.2</v>
      </c>
      <c r="AC135" s="13">
        <v>-409.2456</v>
      </c>
      <c r="AD135" s="23"/>
      <c r="AE135" s="23"/>
      <c r="AF135" s="13">
        <v>0.0</v>
      </c>
      <c r="AG135" s="13">
        <v>3.4205</v>
      </c>
      <c r="AH135" s="8" t="b">
        <v>1</v>
      </c>
      <c r="AI135" s="8" t="b">
        <v>1</v>
      </c>
      <c r="AJ135" s="8" t="b">
        <v>0</v>
      </c>
      <c r="AK135" s="14">
        <f>IFERROR(__xludf.DUMMYFUNCTION("IFERROR(GOOGLEFINANCE(B135,""price""),"""")"),4.28)</f>
        <v>4.28</v>
      </c>
    </row>
    <row r="136">
      <c r="A136" s="7">
        <v>46071.62867635352</v>
      </c>
      <c r="B136" s="8" t="s">
        <v>502</v>
      </c>
      <c r="C136" s="8" t="s">
        <v>503</v>
      </c>
      <c r="D136" s="9">
        <v>46075.0</v>
      </c>
      <c r="E136" s="10">
        <v>1.19</v>
      </c>
      <c r="F136" s="8" t="s">
        <v>137</v>
      </c>
      <c r="G136" s="23"/>
      <c r="H136" s="13">
        <v>-11.9834</v>
      </c>
      <c r="I136" s="8" t="s">
        <v>504</v>
      </c>
      <c r="J136" s="13">
        <v>4.5205</v>
      </c>
      <c r="K136" s="8">
        <v>2.691663E7</v>
      </c>
      <c r="L136" s="11">
        <v>0.36</v>
      </c>
      <c r="M136" s="11">
        <v>17.3272</v>
      </c>
      <c r="N136" s="8" t="s">
        <v>505</v>
      </c>
      <c r="O136" s="11">
        <v>3.4783</v>
      </c>
      <c r="P136" s="12">
        <v>7267490.0</v>
      </c>
      <c r="Q136" s="13">
        <v>1.27</v>
      </c>
      <c r="R136" s="13">
        <v>1.0</v>
      </c>
      <c r="S136" s="13">
        <v>1.11</v>
      </c>
      <c r="T136" s="13">
        <v>0.184</v>
      </c>
      <c r="U136" s="13">
        <v>1.0295</v>
      </c>
      <c r="V136" s="13">
        <v>787569.3</v>
      </c>
      <c r="W136" s="13">
        <v>102.567</v>
      </c>
      <c r="X136" s="12">
        <v>2899919.0</v>
      </c>
      <c r="Y136" s="13">
        <v>1.561</v>
      </c>
      <c r="Z136" s="13">
        <v>6.5574</v>
      </c>
      <c r="AA136" s="11">
        <v>41.8186</v>
      </c>
      <c r="AB136" s="13">
        <v>28.849</v>
      </c>
      <c r="AC136" s="13">
        <v>-373.2211</v>
      </c>
      <c r="AD136" s="13">
        <v>-34.1047</v>
      </c>
      <c r="AE136" s="13">
        <v>-39.9915</v>
      </c>
      <c r="AF136" s="13">
        <v>6.5185</v>
      </c>
      <c r="AG136" s="13">
        <v>0.8874</v>
      </c>
      <c r="AH136" s="8" t="b">
        <v>0</v>
      </c>
      <c r="AI136" s="8" t="b">
        <v>0</v>
      </c>
      <c r="AJ136" s="8" t="b">
        <v>0</v>
      </c>
      <c r="AK136" s="14">
        <f>IFERROR(__xludf.DUMMYFUNCTION("IFERROR(GOOGLEFINANCE(B136,""price""),"""")"),1.17)</f>
        <v>1.17</v>
      </c>
    </row>
    <row r="137">
      <c r="A137" s="15">
        <v>46071.62867635352</v>
      </c>
      <c r="B137" s="16" t="s">
        <v>506</v>
      </c>
      <c r="C137" s="16" t="s">
        <v>507</v>
      </c>
      <c r="D137" s="17">
        <v>46075.0</v>
      </c>
      <c r="E137" s="18">
        <v>1.25</v>
      </c>
      <c r="F137" s="16" t="s">
        <v>88</v>
      </c>
      <c r="G137" s="24"/>
      <c r="H137" s="21">
        <v>-14.0777</v>
      </c>
      <c r="I137" s="16" t="s">
        <v>508</v>
      </c>
      <c r="J137" s="21">
        <v>2.3147</v>
      </c>
      <c r="K137" s="16">
        <v>2.12766591E8</v>
      </c>
      <c r="L137" s="19">
        <v>0.51</v>
      </c>
      <c r="M137" s="19">
        <v>23.63</v>
      </c>
      <c r="N137" s="16" t="s">
        <v>509</v>
      </c>
      <c r="O137" s="19">
        <v>49.7365</v>
      </c>
      <c r="P137" s="20">
        <v>1.02106687E8</v>
      </c>
      <c r="Q137" s="21">
        <v>1.4899</v>
      </c>
      <c r="R137" s="21">
        <v>1.01</v>
      </c>
      <c r="S137" s="21">
        <v>1.43</v>
      </c>
      <c r="T137" s="21">
        <v>0.1318</v>
      </c>
      <c r="U137" s="21">
        <v>0.5204</v>
      </c>
      <c r="V137" s="16">
        <v>1.1348373E7</v>
      </c>
      <c r="W137" s="21">
        <v>88.8659</v>
      </c>
      <c r="X137" s="20">
        <v>3876779.0</v>
      </c>
      <c r="Y137" s="21">
        <v>0.9807</v>
      </c>
      <c r="Z137" s="21">
        <v>3.8935</v>
      </c>
      <c r="AA137" s="19">
        <v>67.2642</v>
      </c>
      <c r="AB137" s="21">
        <v>7.8897</v>
      </c>
      <c r="AC137" s="21">
        <v>-154.1838</v>
      </c>
      <c r="AD137" s="24"/>
      <c r="AE137" s="24"/>
      <c r="AF137" s="21">
        <v>0.0146</v>
      </c>
      <c r="AG137" s="21">
        <v>4.4135</v>
      </c>
      <c r="AH137" s="16" t="b">
        <v>0</v>
      </c>
      <c r="AI137" s="16" t="b">
        <v>0</v>
      </c>
      <c r="AJ137" s="16" t="b">
        <v>0</v>
      </c>
      <c r="AK137" s="22">
        <f>IFERROR(__xludf.DUMMYFUNCTION("IFERROR(GOOGLEFINANCE(B137,""price""),"""")"),3.73)</f>
        <v>3.73</v>
      </c>
    </row>
    <row r="138">
      <c r="A138" s="7">
        <v>46071.62867635352</v>
      </c>
      <c r="B138" s="8" t="s">
        <v>510</v>
      </c>
      <c r="C138" s="8" t="s">
        <v>511</v>
      </c>
      <c r="D138" s="9">
        <v>46075.0</v>
      </c>
      <c r="E138" s="10">
        <v>1.4</v>
      </c>
      <c r="F138" s="8" t="s">
        <v>93</v>
      </c>
      <c r="G138" s="23"/>
      <c r="H138" s="13">
        <v>-4789.7615</v>
      </c>
      <c r="I138" s="8" t="s">
        <v>453</v>
      </c>
      <c r="J138" s="13">
        <v>1.8634</v>
      </c>
      <c r="K138" s="8">
        <v>7.6816135E7</v>
      </c>
      <c r="L138" s="11">
        <v>0.12</v>
      </c>
      <c r="M138" s="11">
        <v>23.4734</v>
      </c>
      <c r="N138" s="8" t="s">
        <v>512</v>
      </c>
      <c r="O138" s="11">
        <v>-3.4483</v>
      </c>
      <c r="P138" s="12">
        <v>4.9930488E7</v>
      </c>
      <c r="Q138" s="13">
        <v>1.98</v>
      </c>
      <c r="R138" s="13">
        <v>1.33</v>
      </c>
      <c r="S138" s="13">
        <v>1.82</v>
      </c>
      <c r="T138" s="13">
        <v>0.8056</v>
      </c>
      <c r="U138" s="13">
        <v>13.2053</v>
      </c>
      <c r="V138" s="8">
        <v>5541526.0</v>
      </c>
      <c r="W138" s="13">
        <v>86.5154</v>
      </c>
      <c r="X138" s="12">
        <v>749000.0</v>
      </c>
      <c r="Y138" s="13">
        <v>6.1693</v>
      </c>
      <c r="Z138" s="13">
        <v>98.0347</v>
      </c>
      <c r="AA138" s="11">
        <v>20.5431</v>
      </c>
      <c r="AB138" s="13">
        <v>212.0</v>
      </c>
      <c r="AC138" s="13">
        <v>-856.8365</v>
      </c>
      <c r="AD138" s="13">
        <v>-18.252</v>
      </c>
      <c r="AE138" s="13">
        <v>24.5172</v>
      </c>
      <c r="AF138" s="13">
        <v>6.8126</v>
      </c>
      <c r="AG138" s="13">
        <v>1.208</v>
      </c>
      <c r="AH138" s="8" t="b">
        <v>0</v>
      </c>
      <c r="AI138" s="8" t="b">
        <v>0</v>
      </c>
      <c r="AJ138" s="8" t="b">
        <v>0</v>
      </c>
      <c r="AK138" s="14">
        <f>IFERROR(__xludf.DUMMYFUNCTION("IFERROR(GOOGLEFINANCE(B138,""price""),"""")"),0.43)</f>
        <v>0.43</v>
      </c>
    </row>
    <row r="139">
      <c r="A139" s="15">
        <v>46071.62867635352</v>
      </c>
      <c r="B139" s="16" t="s">
        <v>513</v>
      </c>
      <c r="C139" s="16" t="s">
        <v>514</v>
      </c>
      <c r="D139" s="17">
        <v>46075.0</v>
      </c>
      <c r="E139" s="18">
        <v>4.285</v>
      </c>
      <c r="F139" s="16" t="s">
        <v>93</v>
      </c>
      <c r="G139" s="21">
        <v>40.4245</v>
      </c>
      <c r="H139" s="21">
        <v>0.106</v>
      </c>
      <c r="I139" s="16" t="s">
        <v>515</v>
      </c>
      <c r="J139" s="21">
        <v>1.5533</v>
      </c>
      <c r="K139" s="16">
        <v>7030258.0</v>
      </c>
      <c r="L139" s="19">
        <v>0.92</v>
      </c>
      <c r="M139" s="19">
        <v>18.6261</v>
      </c>
      <c r="N139" s="16" t="s">
        <v>516</v>
      </c>
      <c r="O139" s="19">
        <v>0.5869</v>
      </c>
      <c r="P139" s="20">
        <v>843631.0</v>
      </c>
      <c r="Q139" s="21">
        <v>4.355</v>
      </c>
      <c r="R139" s="21">
        <v>4.235</v>
      </c>
      <c r="S139" s="21">
        <v>4.24</v>
      </c>
      <c r="T139" s="21">
        <v>0.1041</v>
      </c>
      <c r="U139" s="21">
        <v>0.2268</v>
      </c>
      <c r="V139" s="21">
        <v>251330.5</v>
      </c>
      <c r="W139" s="21">
        <v>4.35</v>
      </c>
      <c r="X139" s="20">
        <v>3.92028941E8</v>
      </c>
      <c r="Y139" s="21">
        <v>4.3467</v>
      </c>
      <c r="Z139" s="21">
        <v>4.0575</v>
      </c>
      <c r="AA139" s="19">
        <v>47.3849</v>
      </c>
      <c r="AB139" s="21">
        <v>4.785</v>
      </c>
      <c r="AC139" s="21">
        <v>3.2876</v>
      </c>
      <c r="AD139" s="21">
        <v>8.5594</v>
      </c>
      <c r="AE139" s="21">
        <v>-12.8087</v>
      </c>
      <c r="AF139" s="21">
        <v>0.5312</v>
      </c>
      <c r="AG139" s="21">
        <v>0.1272</v>
      </c>
      <c r="AH139" s="16" t="b">
        <v>0</v>
      </c>
      <c r="AI139" s="16" t="b">
        <v>0</v>
      </c>
      <c r="AJ139" s="16" t="b">
        <v>0</v>
      </c>
      <c r="AK139" s="22">
        <f>IFERROR(__xludf.DUMMYFUNCTION("IFERROR(GOOGLEFINANCE(B139,""price""),"""")"),4.18)</f>
        <v>4.18</v>
      </c>
    </row>
    <row r="140">
      <c r="A140" s="7">
        <v>46071.62867635352</v>
      </c>
      <c r="B140" s="8" t="s">
        <v>517</v>
      </c>
      <c r="C140" s="8" t="s">
        <v>518</v>
      </c>
      <c r="D140" s="9">
        <v>46075.0</v>
      </c>
      <c r="E140" s="10">
        <v>2.41</v>
      </c>
      <c r="F140" s="8" t="s">
        <v>186</v>
      </c>
      <c r="G140" s="13">
        <v>20.1337</v>
      </c>
      <c r="H140" s="13">
        <v>0.1197</v>
      </c>
      <c r="I140" s="8" t="s">
        <v>122</v>
      </c>
      <c r="J140" s="13">
        <v>1.1626</v>
      </c>
      <c r="K140" s="8">
        <v>4687441.0</v>
      </c>
      <c r="L140" s="11">
        <v>0.83</v>
      </c>
      <c r="M140" s="11">
        <v>24.9302</v>
      </c>
      <c r="N140" s="8" t="s">
        <v>519</v>
      </c>
      <c r="O140" s="11">
        <v>-3.9841</v>
      </c>
      <c r="P140" s="12">
        <v>679679.0</v>
      </c>
      <c r="Q140" s="13">
        <v>2.525</v>
      </c>
      <c r="R140" s="13">
        <v>2.38</v>
      </c>
      <c r="S140" s="13">
        <v>2.51</v>
      </c>
      <c r="T140" s="13">
        <v>0.1247</v>
      </c>
      <c r="U140" s="13">
        <v>0.3022</v>
      </c>
      <c r="V140" s="13">
        <v>154124.5</v>
      </c>
      <c r="W140" s="13">
        <v>6.995</v>
      </c>
      <c r="X140" s="12">
        <v>7.9302195E7</v>
      </c>
      <c r="Y140" s="13">
        <v>2.8136</v>
      </c>
      <c r="Z140" s="13">
        <v>2.9715</v>
      </c>
      <c r="AA140" s="11">
        <v>28.7777</v>
      </c>
      <c r="AB140" s="13">
        <v>4.12</v>
      </c>
      <c r="AC140" s="13">
        <v>27.3185</v>
      </c>
      <c r="AD140" s="13">
        <v>6.8159</v>
      </c>
      <c r="AE140" s="13">
        <v>2.0665</v>
      </c>
      <c r="AF140" s="13">
        <v>0.0</v>
      </c>
      <c r="AG140" s="13">
        <v>0.7909</v>
      </c>
      <c r="AH140" s="8" t="b">
        <v>0</v>
      </c>
      <c r="AI140" s="8" t="b">
        <v>0</v>
      </c>
      <c r="AJ140" s="8" t="b">
        <v>0</v>
      </c>
      <c r="AK140" s="14">
        <f>IFERROR(__xludf.DUMMYFUNCTION("IFERROR(GOOGLEFINANCE(B140,""price""),"""")"),2.41)</f>
        <v>2.41</v>
      </c>
    </row>
    <row r="141">
      <c r="A141" s="15">
        <v>46071.62867635352</v>
      </c>
      <c r="B141" s="16" t="s">
        <v>520</v>
      </c>
      <c r="C141" s="16" t="s">
        <v>521</v>
      </c>
      <c r="D141" s="17">
        <v>46075.0</v>
      </c>
      <c r="E141" s="18">
        <v>1.06</v>
      </c>
      <c r="F141" s="16" t="s">
        <v>190</v>
      </c>
      <c r="G141" s="24"/>
      <c r="H141" s="21">
        <v>-7.7183</v>
      </c>
      <c r="I141" s="16" t="s">
        <v>175</v>
      </c>
      <c r="J141" s="21">
        <v>0.5564</v>
      </c>
      <c r="K141" s="16">
        <v>5.0808049E7</v>
      </c>
      <c r="L141" s="19">
        <v>0.27</v>
      </c>
      <c r="M141" s="19">
        <v>11.8191</v>
      </c>
      <c r="N141" s="16" t="s">
        <v>522</v>
      </c>
      <c r="O141" s="19">
        <v>20.4545</v>
      </c>
      <c r="P141" s="20">
        <v>1.546597E7</v>
      </c>
      <c r="Q141" s="21">
        <v>1.12</v>
      </c>
      <c r="R141" s="21">
        <v>0.8156</v>
      </c>
      <c r="S141" s="21">
        <v>1.11</v>
      </c>
      <c r="T141" s="21">
        <v>0.1561</v>
      </c>
      <c r="U141" s="21">
        <v>1.1643</v>
      </c>
      <c r="V141" s="16">
        <v>2510124.0</v>
      </c>
      <c r="W141" s="21">
        <v>15.979</v>
      </c>
      <c r="X141" s="20">
        <v>3126500.0</v>
      </c>
      <c r="Y141" s="21">
        <v>1.098</v>
      </c>
      <c r="Z141" s="21">
        <v>10.1462</v>
      </c>
      <c r="AA141" s="19">
        <v>49.9939</v>
      </c>
      <c r="AB141" s="21">
        <v>40.0</v>
      </c>
      <c r="AC141" s="21">
        <v>-99.9861</v>
      </c>
      <c r="AD141" s="21">
        <v>-46.3662</v>
      </c>
      <c r="AE141" s="21">
        <v>-44.2893</v>
      </c>
      <c r="AF141" s="21">
        <v>0.1187</v>
      </c>
      <c r="AG141" s="21">
        <v>1.0553</v>
      </c>
      <c r="AH141" s="16" t="b">
        <v>1</v>
      </c>
      <c r="AI141" s="16" t="b">
        <v>0</v>
      </c>
      <c r="AJ141" s="16" t="b">
        <v>0</v>
      </c>
      <c r="AK141" s="22">
        <f>IFERROR(__xludf.DUMMYFUNCTION("IFERROR(GOOGLEFINANCE(B141,""price""),"""")"),0.83)</f>
        <v>0.83</v>
      </c>
    </row>
    <row r="142">
      <c r="A142" s="7">
        <v>46071.62867635352</v>
      </c>
      <c r="B142" s="8" t="s">
        <v>523</v>
      </c>
      <c r="C142" s="8" t="s">
        <v>524</v>
      </c>
      <c r="D142" s="9">
        <v>46075.0</v>
      </c>
      <c r="E142" s="10">
        <v>2.615</v>
      </c>
      <c r="F142" s="8" t="s">
        <v>117</v>
      </c>
      <c r="G142" s="23"/>
      <c r="H142" s="13">
        <v>-0.8421</v>
      </c>
      <c r="I142" s="8" t="s">
        <v>138</v>
      </c>
      <c r="J142" s="13">
        <v>0.2507</v>
      </c>
      <c r="K142" s="8">
        <v>2443313.0</v>
      </c>
      <c r="L142" s="11">
        <v>0.97</v>
      </c>
      <c r="M142" s="11">
        <v>22.7751</v>
      </c>
      <c r="N142" s="8" t="s">
        <v>525</v>
      </c>
      <c r="O142" s="11">
        <v>-10.1375</v>
      </c>
      <c r="P142" s="12">
        <v>732994.0</v>
      </c>
      <c r="Q142" s="13">
        <v>2.75</v>
      </c>
      <c r="R142" s="13">
        <v>2.45</v>
      </c>
      <c r="S142" s="13">
        <v>2.625</v>
      </c>
      <c r="T142" s="13">
        <v>0.2344</v>
      </c>
      <c r="U142" s="13">
        <v>0.4843</v>
      </c>
      <c r="V142" s="13">
        <v>302522.6</v>
      </c>
      <c r="W142" s="13">
        <v>2.8755</v>
      </c>
      <c r="X142" s="12">
        <v>2.58736294E8</v>
      </c>
      <c r="Y142" s="13">
        <v>3.2255</v>
      </c>
      <c r="Z142" s="13">
        <v>2.8757</v>
      </c>
      <c r="AA142" s="11">
        <v>32.3225</v>
      </c>
      <c r="AB142" s="13">
        <v>4.0</v>
      </c>
      <c r="AC142" s="13">
        <v>-72.6965</v>
      </c>
      <c r="AD142" s="13">
        <v>-1667.5867</v>
      </c>
      <c r="AE142" s="13">
        <v>-89.0068</v>
      </c>
      <c r="AF142" s="13">
        <v>0.0746</v>
      </c>
      <c r="AG142" s="13">
        <v>1.1573</v>
      </c>
      <c r="AH142" s="8" t="b">
        <v>0</v>
      </c>
      <c r="AI142" s="8" t="b">
        <v>1</v>
      </c>
      <c r="AJ142" s="8" t="b">
        <v>0</v>
      </c>
      <c r="AK142" s="14">
        <f>IFERROR(__xludf.DUMMYFUNCTION("IFERROR(GOOGLEFINANCE(B142,""price""),"""")"),3.28)</f>
        <v>3.28</v>
      </c>
    </row>
    <row r="143">
      <c r="A143" s="15">
        <v>46071.62867635352</v>
      </c>
      <c r="B143" s="16" t="s">
        <v>526</v>
      </c>
      <c r="C143" s="16" t="s">
        <v>527</v>
      </c>
      <c r="D143" s="17">
        <v>46075.0</v>
      </c>
      <c r="E143" s="18">
        <v>1.01</v>
      </c>
      <c r="F143" s="16" t="s">
        <v>117</v>
      </c>
      <c r="G143" s="24"/>
      <c r="H143" s="21">
        <v>-0.5089</v>
      </c>
      <c r="I143" s="16" t="s">
        <v>138</v>
      </c>
      <c r="J143" s="21">
        <v>0.1962</v>
      </c>
      <c r="K143" s="16">
        <v>5826005.0</v>
      </c>
      <c r="L143" s="19">
        <v>0.83</v>
      </c>
      <c r="M143" s="19">
        <v>18.3527</v>
      </c>
      <c r="N143" s="16" t="s">
        <v>528</v>
      </c>
      <c r="O143" s="19">
        <v>-1.9417</v>
      </c>
      <c r="P143" s="20">
        <v>640278.0</v>
      </c>
      <c r="Q143" s="21">
        <v>1.0699</v>
      </c>
      <c r="R143" s="21">
        <v>0.96</v>
      </c>
      <c r="S143" s="21">
        <v>1.02</v>
      </c>
      <c r="T143" s="21">
        <v>0.0816</v>
      </c>
      <c r="U143" s="21">
        <v>0.1972</v>
      </c>
      <c r="V143" s="21">
        <v>346303.3</v>
      </c>
      <c r="W143" s="21">
        <v>2.1353</v>
      </c>
      <c r="X143" s="20">
        <v>2.1784113E7</v>
      </c>
      <c r="Y143" s="21">
        <v>1.1351</v>
      </c>
      <c r="Z143" s="21">
        <v>1.3201</v>
      </c>
      <c r="AA143" s="19">
        <v>47.1441</v>
      </c>
      <c r="AB143" s="21">
        <v>2.2299</v>
      </c>
      <c r="AC143" s="21">
        <v>-94.0283</v>
      </c>
      <c r="AD143" s="24"/>
      <c r="AE143" s="24"/>
      <c r="AF143" s="21">
        <v>0.0</v>
      </c>
      <c r="AG143" s="21">
        <v>1.0594</v>
      </c>
      <c r="AH143" s="16" t="b">
        <v>0</v>
      </c>
      <c r="AI143" s="16" t="b">
        <v>1</v>
      </c>
      <c r="AJ143" s="16" t="b">
        <v>0</v>
      </c>
      <c r="AK143" s="22">
        <f>IFERROR(__xludf.DUMMYFUNCTION("IFERROR(GOOGLEFINANCE(B143,""price""),"""")"),0.98)</f>
        <v>0.98</v>
      </c>
    </row>
    <row r="144">
      <c r="A144" s="7">
        <v>46071.62867635352</v>
      </c>
      <c r="B144" s="8" t="s">
        <v>344</v>
      </c>
      <c r="C144" s="8" t="s">
        <v>345</v>
      </c>
      <c r="D144" s="9">
        <v>46075.0</v>
      </c>
      <c r="E144" s="10">
        <v>0.8383</v>
      </c>
      <c r="F144" s="8" t="s">
        <v>308</v>
      </c>
      <c r="G144" s="23"/>
      <c r="H144" s="13">
        <v>-6.6431</v>
      </c>
      <c r="I144" s="8" t="s">
        <v>118</v>
      </c>
      <c r="J144" s="13">
        <v>0.1481</v>
      </c>
      <c r="K144" s="8">
        <v>3193662.0</v>
      </c>
      <c r="L144" s="11">
        <v>0.26</v>
      </c>
      <c r="M144" s="11">
        <v>16.8345</v>
      </c>
      <c r="N144" s="8" t="s">
        <v>346</v>
      </c>
      <c r="O144" s="11">
        <v>8.8843</v>
      </c>
      <c r="P144" s="12">
        <v>355774.0</v>
      </c>
      <c r="Q144" s="13">
        <v>0.8813</v>
      </c>
      <c r="R144" s="13">
        <v>0.7699</v>
      </c>
      <c r="S144" s="13">
        <v>0.83</v>
      </c>
      <c r="T144" s="13">
        <v>0.1587</v>
      </c>
      <c r="U144" s="13">
        <v>1.2276</v>
      </c>
      <c r="V144" s="13">
        <v>157842.8</v>
      </c>
      <c r="W144" s="13">
        <v>1.9683</v>
      </c>
      <c r="X144" s="12">
        <v>1581248.0</v>
      </c>
      <c r="Y144" s="13">
        <v>1.5724</v>
      </c>
      <c r="Z144" s="13">
        <v>17.1644</v>
      </c>
      <c r="AA144" s="11">
        <v>31.9613</v>
      </c>
      <c r="AB144" s="13">
        <v>11.9</v>
      </c>
      <c r="AC144" s="13">
        <v>-203.3831</v>
      </c>
      <c r="AD144" s="13">
        <v>-2331.1604</v>
      </c>
      <c r="AE144" s="13">
        <v>98.067</v>
      </c>
      <c r="AF144" s="13">
        <v>0.0571</v>
      </c>
      <c r="AG144" s="13">
        <v>4.2689</v>
      </c>
      <c r="AH144" s="8" t="b">
        <v>0</v>
      </c>
      <c r="AI144" s="8" t="b">
        <v>1</v>
      </c>
      <c r="AJ144" s="8" t="b">
        <v>0</v>
      </c>
      <c r="AK144" s="14">
        <f>IFERROR(__xludf.DUMMYFUNCTION("IFERROR(GOOGLEFINANCE(B144,""price""),"""")"),0.52)</f>
        <v>0.52</v>
      </c>
    </row>
    <row r="145">
      <c r="A145" s="7">
        <v>46072.62598352536</v>
      </c>
      <c r="B145" s="8" t="s">
        <v>529</v>
      </c>
      <c r="C145" s="8" t="s">
        <v>530</v>
      </c>
      <c r="D145" s="9">
        <v>46075.0</v>
      </c>
      <c r="E145" s="10">
        <v>2.37</v>
      </c>
      <c r="F145" s="8" t="s">
        <v>117</v>
      </c>
      <c r="G145" s="23"/>
      <c r="H145" s="13">
        <v>-94.8452</v>
      </c>
      <c r="I145" s="8" t="s">
        <v>531</v>
      </c>
      <c r="J145" s="13">
        <v>32.6105</v>
      </c>
      <c r="K145" s="8">
        <v>7.3121159E7</v>
      </c>
      <c r="L145" s="11">
        <v>0.32</v>
      </c>
      <c r="M145" s="11">
        <v>23.4622</v>
      </c>
      <c r="N145" s="8" t="s">
        <v>532</v>
      </c>
      <c r="O145" s="11">
        <v>5.8036</v>
      </c>
      <c r="P145" s="12">
        <v>1.7541766E7</v>
      </c>
      <c r="Q145" s="13">
        <v>2.47</v>
      </c>
      <c r="R145" s="13">
        <v>2.2301</v>
      </c>
      <c r="S145" s="13">
        <v>2.455</v>
      </c>
      <c r="T145" s="13">
        <v>0.3293</v>
      </c>
      <c r="U145" s="13">
        <v>2.0444</v>
      </c>
      <c r="V145" s="8">
        <v>1803022.0</v>
      </c>
      <c r="W145" s="13">
        <v>330.0954</v>
      </c>
      <c r="X145" s="12">
        <v>3295094.0</v>
      </c>
      <c r="Y145" s="13">
        <v>3.9736</v>
      </c>
      <c r="Z145" s="13">
        <v>16.25</v>
      </c>
      <c r="AA145" s="11">
        <v>35.9519</v>
      </c>
      <c r="AB145" s="13">
        <v>54.0</v>
      </c>
      <c r="AC145" s="13">
        <v>-262.7794</v>
      </c>
      <c r="AD145" s="23"/>
      <c r="AE145" s="23"/>
      <c r="AF145" s="13">
        <v>0.0</v>
      </c>
      <c r="AG145" s="13">
        <v>4.5612</v>
      </c>
      <c r="AH145" s="8" t="b">
        <v>0</v>
      </c>
      <c r="AI145" s="8" t="b">
        <v>0</v>
      </c>
      <c r="AJ145" s="8" t="b">
        <v>0</v>
      </c>
      <c r="AK145" s="14">
        <f>IFERROR(__xludf.DUMMYFUNCTION("IFERROR(GOOGLEFINANCE(B145,""price""),"""")"),1.96)</f>
        <v>1.96</v>
      </c>
    </row>
    <row r="146">
      <c r="A146" s="15">
        <v>46072.62598352536</v>
      </c>
      <c r="B146" s="16" t="s">
        <v>533</v>
      </c>
      <c r="C146" s="16" t="s">
        <v>534</v>
      </c>
      <c r="D146" s="17">
        <v>46075.0</v>
      </c>
      <c r="E146" s="18">
        <v>1.745</v>
      </c>
      <c r="F146" s="16" t="s">
        <v>162</v>
      </c>
      <c r="G146" s="24"/>
      <c r="H146" s="24"/>
      <c r="I146" s="16" t="s">
        <v>311</v>
      </c>
      <c r="J146" s="21">
        <v>6.618</v>
      </c>
      <c r="K146" s="16">
        <v>3.4080297E7</v>
      </c>
      <c r="L146" s="19">
        <v>0.03</v>
      </c>
      <c r="M146" s="19">
        <v>23.9394</v>
      </c>
      <c r="N146" s="16" t="s">
        <v>535</v>
      </c>
      <c r="O146" s="19">
        <v>-22.0982</v>
      </c>
      <c r="P146" s="20">
        <v>8.9631182E7</v>
      </c>
      <c r="Q146" s="21">
        <v>4.37</v>
      </c>
      <c r="R146" s="21">
        <v>1.74</v>
      </c>
      <c r="S146" s="21">
        <v>4.14</v>
      </c>
      <c r="T146" s="21">
        <v>1.4438</v>
      </c>
      <c r="U146" s="21">
        <v>84.6019</v>
      </c>
      <c r="V146" s="16">
        <v>9051462.0</v>
      </c>
      <c r="W146" s="21">
        <v>997.4475</v>
      </c>
      <c r="X146" s="20">
        <v>890263.9442</v>
      </c>
      <c r="Y146" s="21">
        <v>7.8152</v>
      </c>
      <c r="Z146" s="21">
        <v>558.7054</v>
      </c>
      <c r="AA146" s="19">
        <v>14.266</v>
      </c>
      <c r="AB146" s="21">
        <v>1565.46</v>
      </c>
      <c r="AC146" s="24"/>
      <c r="AD146" s="24"/>
      <c r="AE146" s="24"/>
      <c r="AF146" s="24"/>
      <c r="AG146" s="24"/>
      <c r="AH146" s="16" t="b">
        <v>0</v>
      </c>
      <c r="AI146" s="16" t="b">
        <v>0</v>
      </c>
      <c r="AJ146" s="16" t="b">
        <v>0</v>
      </c>
      <c r="AK146" s="22">
        <f>IFERROR(__xludf.DUMMYFUNCTION("IFERROR(GOOGLEFINANCE(B146,""price""),"""")"),3.88)</f>
        <v>3.88</v>
      </c>
    </row>
    <row r="147">
      <c r="A147" s="7">
        <v>46072.62598352536</v>
      </c>
      <c r="B147" s="8" t="s">
        <v>536</v>
      </c>
      <c r="C147" s="8" t="s">
        <v>537</v>
      </c>
      <c r="D147" s="9">
        <v>46075.0</v>
      </c>
      <c r="E147" s="10">
        <v>1.59</v>
      </c>
      <c r="F147" s="8" t="s">
        <v>117</v>
      </c>
      <c r="G147" s="23"/>
      <c r="H147" s="13">
        <v>-0.2819</v>
      </c>
      <c r="I147" s="8" t="s">
        <v>538</v>
      </c>
      <c r="J147" s="13">
        <v>6.3847</v>
      </c>
      <c r="K147" s="8">
        <v>7782863.0</v>
      </c>
      <c r="L147" s="11">
        <v>0.27</v>
      </c>
      <c r="M147" s="11">
        <v>18.9914</v>
      </c>
      <c r="N147" s="8" t="s">
        <v>539</v>
      </c>
      <c r="O147" s="11">
        <v>-3.6364</v>
      </c>
      <c r="P147" s="12">
        <v>2334859.0</v>
      </c>
      <c r="Q147" s="13">
        <v>1.72</v>
      </c>
      <c r="R147" s="13">
        <v>1.42</v>
      </c>
      <c r="S147" s="13">
        <v>1.54</v>
      </c>
      <c r="T147" s="13">
        <v>0.087</v>
      </c>
      <c r="U147" s="13">
        <v>0.6446</v>
      </c>
      <c r="V147" s="13">
        <v>250170.9</v>
      </c>
      <c r="W147" s="13">
        <v>120.4653</v>
      </c>
      <c r="X147" s="12">
        <v>1.2924808E7</v>
      </c>
      <c r="Y147" s="13">
        <v>1.6813</v>
      </c>
      <c r="Z147" s="13">
        <v>6.5708</v>
      </c>
      <c r="AA147" s="11">
        <v>39.0144</v>
      </c>
      <c r="AB147" s="13">
        <v>73.75</v>
      </c>
      <c r="AC147" s="13">
        <v>-3.9322</v>
      </c>
      <c r="AD147" s="13">
        <v>-8.6939</v>
      </c>
      <c r="AE147" s="13">
        <v>-21.6983</v>
      </c>
      <c r="AF147" s="13">
        <v>0.2135</v>
      </c>
      <c r="AG147" s="13">
        <v>1.7394</v>
      </c>
      <c r="AH147" s="8" t="b">
        <v>0</v>
      </c>
      <c r="AI147" s="8" t="b">
        <v>0</v>
      </c>
      <c r="AJ147" s="8" t="b">
        <v>0</v>
      </c>
      <c r="AK147" s="14">
        <f>IFERROR(__xludf.DUMMYFUNCTION("IFERROR(GOOGLEFINANCE(B147,""price""),"""")"),1.31)</f>
        <v>1.31</v>
      </c>
    </row>
    <row r="148">
      <c r="A148" s="15">
        <v>46072.62598352536</v>
      </c>
      <c r="B148" s="16" t="s">
        <v>540</v>
      </c>
      <c r="C148" s="16" t="s">
        <v>541</v>
      </c>
      <c r="D148" s="17">
        <v>46075.0</v>
      </c>
      <c r="E148" s="18">
        <v>0.98</v>
      </c>
      <c r="F148" s="16" t="s">
        <v>112</v>
      </c>
      <c r="G148" s="24"/>
      <c r="H148" s="21">
        <v>-0.0541</v>
      </c>
      <c r="I148" s="16" t="s">
        <v>542</v>
      </c>
      <c r="J148" s="21">
        <v>4.0968</v>
      </c>
      <c r="K148" s="16">
        <v>6981216.0</v>
      </c>
      <c r="L148" s="19">
        <v>0.82</v>
      </c>
      <c r="M148" s="19">
        <v>17.226</v>
      </c>
      <c r="N148" s="16" t="s">
        <v>543</v>
      </c>
      <c r="O148" s="19">
        <v>15.2941</v>
      </c>
      <c r="P148" s="20">
        <v>3054275.0</v>
      </c>
      <c r="Q148" s="21">
        <v>1.27</v>
      </c>
      <c r="R148" s="21">
        <v>0.8325</v>
      </c>
      <c r="S148" s="21">
        <v>0.85</v>
      </c>
      <c r="T148" s="21">
        <v>0.091</v>
      </c>
      <c r="U148" s="21">
        <v>0.2221</v>
      </c>
      <c r="V148" s="21">
        <v>318011.1</v>
      </c>
      <c r="W148" s="21">
        <v>182.8918</v>
      </c>
      <c r="X148" s="20">
        <v>3245760.0</v>
      </c>
      <c r="Y148" s="21">
        <v>0.721</v>
      </c>
      <c r="Z148" s="21">
        <v>1.1467</v>
      </c>
      <c r="AA148" s="19">
        <v>74.3476</v>
      </c>
      <c r="AB148" s="21">
        <v>2.933</v>
      </c>
      <c r="AC148" s="21">
        <v>-16.6184</v>
      </c>
      <c r="AD148" s="21">
        <v>-11.8012</v>
      </c>
      <c r="AE148" s="21">
        <v>2.8911</v>
      </c>
      <c r="AF148" s="21">
        <v>1.3522</v>
      </c>
      <c r="AG148" s="21">
        <v>1.1766</v>
      </c>
      <c r="AH148" s="16" t="b">
        <v>0</v>
      </c>
      <c r="AI148" s="16" t="b">
        <v>0</v>
      </c>
      <c r="AJ148" s="16" t="b">
        <v>0</v>
      </c>
      <c r="AK148" s="22">
        <f>IFERROR(__xludf.DUMMYFUNCTION("IFERROR(GOOGLEFINANCE(B148,""price""),"""")"),1.09)</f>
        <v>1.09</v>
      </c>
    </row>
    <row r="149">
      <c r="A149" s="7">
        <v>46072.62598352536</v>
      </c>
      <c r="B149" s="8" t="s">
        <v>544</v>
      </c>
      <c r="C149" s="8" t="s">
        <v>545</v>
      </c>
      <c r="D149" s="9">
        <v>46075.0</v>
      </c>
      <c r="E149" s="10">
        <v>1.885</v>
      </c>
      <c r="F149" s="8" t="s">
        <v>117</v>
      </c>
      <c r="G149" s="23"/>
      <c r="H149" s="13">
        <v>-20.2893</v>
      </c>
      <c r="I149" s="8" t="s">
        <v>546</v>
      </c>
      <c r="J149" s="13">
        <v>3.3954</v>
      </c>
      <c r="K149" s="8">
        <v>3.9624276E7</v>
      </c>
      <c r="L149" s="11">
        <v>0.73</v>
      </c>
      <c r="M149" s="11">
        <v>21.0285</v>
      </c>
      <c r="N149" s="8" t="s">
        <v>547</v>
      </c>
      <c r="O149" s="11">
        <v>47.2656</v>
      </c>
      <c r="P149" s="12">
        <v>3.4405759E7</v>
      </c>
      <c r="Q149" s="13">
        <v>2.29</v>
      </c>
      <c r="R149" s="13">
        <v>1.4217</v>
      </c>
      <c r="S149" s="13">
        <v>1.5</v>
      </c>
      <c r="T149" s="13">
        <v>0.3612</v>
      </c>
      <c r="U149" s="13">
        <v>0.9927</v>
      </c>
      <c r="V149" s="8">
        <v>3638506.0</v>
      </c>
      <c r="W149" s="13">
        <v>156.4047</v>
      </c>
      <c r="X149" s="12">
        <v>6690606.0</v>
      </c>
      <c r="Y149" s="13">
        <v>2.1471</v>
      </c>
      <c r="Z149" s="13">
        <v>6.9873</v>
      </c>
      <c r="AA149" s="11">
        <v>49.7639</v>
      </c>
      <c r="AB149" s="13">
        <v>23.7</v>
      </c>
      <c r="AC149" s="13">
        <v>-203.3622</v>
      </c>
      <c r="AD149" s="23"/>
      <c r="AE149" s="23"/>
      <c r="AF149" s="13">
        <v>0.0</v>
      </c>
      <c r="AG149" s="13">
        <v>4.5635</v>
      </c>
      <c r="AH149" s="8" t="b">
        <v>0</v>
      </c>
      <c r="AI149" s="8" t="b">
        <v>0</v>
      </c>
      <c r="AJ149" s="8" t="b">
        <v>0</v>
      </c>
      <c r="AK149" s="14">
        <f>IFERROR(__xludf.DUMMYFUNCTION("IFERROR(GOOGLEFINANCE(B149,""price""),"""")"),1.22)</f>
        <v>1.22</v>
      </c>
    </row>
    <row r="150">
      <c r="A150" s="15">
        <v>46072.62598352536</v>
      </c>
      <c r="B150" s="16" t="s">
        <v>548</v>
      </c>
      <c r="C150" s="16" t="s">
        <v>549</v>
      </c>
      <c r="D150" s="17">
        <v>46075.0</v>
      </c>
      <c r="E150" s="18">
        <v>1.0281</v>
      </c>
      <c r="F150" s="16" t="s">
        <v>112</v>
      </c>
      <c r="G150" s="24"/>
      <c r="H150" s="21">
        <v>-0.0947</v>
      </c>
      <c r="I150" s="16" t="s">
        <v>179</v>
      </c>
      <c r="J150" s="21">
        <v>0.7978</v>
      </c>
      <c r="K150" s="16">
        <v>5.258983E7</v>
      </c>
      <c r="L150" s="19">
        <v>0.88</v>
      </c>
      <c r="M150" s="19">
        <v>27.049</v>
      </c>
      <c r="N150" s="16" t="s">
        <v>550</v>
      </c>
      <c r="O150" s="19">
        <v>18.1724</v>
      </c>
      <c r="P150" s="20">
        <v>1.2095661E7</v>
      </c>
      <c r="Q150" s="21">
        <v>1.09</v>
      </c>
      <c r="R150" s="21">
        <v>0.86</v>
      </c>
      <c r="S150" s="21">
        <v>1.09</v>
      </c>
      <c r="T150" s="21">
        <v>0.1205</v>
      </c>
      <c r="U150" s="21">
        <v>0.2726</v>
      </c>
      <c r="V150" s="16">
        <v>1886243.0</v>
      </c>
      <c r="W150" s="21">
        <v>17.8487</v>
      </c>
      <c r="X150" s="20">
        <v>6.0898705E7</v>
      </c>
      <c r="Y150" s="21">
        <v>0.9867</v>
      </c>
      <c r="Z150" s="21">
        <v>1.307</v>
      </c>
      <c r="AA150" s="19">
        <v>56.1641</v>
      </c>
      <c r="AB150" s="21">
        <v>2.69</v>
      </c>
      <c r="AC150" s="21">
        <v>-9.3193</v>
      </c>
      <c r="AD150" s="21">
        <v>-6.437</v>
      </c>
      <c r="AE150" s="21">
        <v>-4.0507</v>
      </c>
      <c r="AF150" s="21">
        <v>0.8298</v>
      </c>
      <c r="AG150" s="21">
        <v>1.4778</v>
      </c>
      <c r="AH150" s="16" t="b">
        <v>1</v>
      </c>
      <c r="AI150" s="16" t="b">
        <v>0</v>
      </c>
      <c r="AJ150" s="16" t="b">
        <v>0</v>
      </c>
      <c r="AK150" s="22">
        <f>IFERROR(__xludf.DUMMYFUNCTION("IFERROR(GOOGLEFINANCE(B150,""price""),"""")"),0.95)</f>
        <v>0.95</v>
      </c>
    </row>
    <row r="151">
      <c r="A151" s="7">
        <v>46072.62598352536</v>
      </c>
      <c r="B151" s="8" t="s">
        <v>551</v>
      </c>
      <c r="C151" s="8" t="s">
        <v>552</v>
      </c>
      <c r="D151" s="9">
        <v>46075.0</v>
      </c>
      <c r="E151" s="10">
        <v>1.225</v>
      </c>
      <c r="F151" s="8" t="s">
        <v>117</v>
      </c>
      <c r="G151" s="23"/>
      <c r="H151" s="13">
        <v>-20.8714</v>
      </c>
      <c r="I151" s="8" t="s">
        <v>118</v>
      </c>
      <c r="J151" s="13">
        <v>0.5303</v>
      </c>
      <c r="K151" s="8">
        <v>9327873.0</v>
      </c>
      <c r="L151" s="11">
        <v>0.26</v>
      </c>
      <c r="M151" s="11">
        <v>13.15</v>
      </c>
      <c r="N151" s="8" t="s">
        <v>553</v>
      </c>
      <c r="O151" s="11">
        <v>6.5217</v>
      </c>
      <c r="P151" s="12">
        <v>2052132.0</v>
      </c>
      <c r="Q151" s="13">
        <v>1.39</v>
      </c>
      <c r="R151" s="13">
        <v>1.17</v>
      </c>
      <c r="S151" s="13">
        <v>1.22</v>
      </c>
      <c r="T151" s="13">
        <v>0.1534</v>
      </c>
      <c r="U151" s="13">
        <v>1.1938</v>
      </c>
      <c r="V151" s="13">
        <v>361327.2</v>
      </c>
      <c r="W151" s="13">
        <v>9.5244</v>
      </c>
      <c r="X151" s="12">
        <v>5510918.0</v>
      </c>
      <c r="Y151" s="13">
        <v>1.2461</v>
      </c>
      <c r="Z151" s="13">
        <v>7.0991</v>
      </c>
      <c r="AA151" s="11">
        <v>54.0064</v>
      </c>
      <c r="AB151" s="13">
        <v>46.53</v>
      </c>
      <c r="AC151" s="13">
        <v>-245.1786</v>
      </c>
      <c r="AD151" s="13">
        <v>-153.202</v>
      </c>
      <c r="AE151" s="13">
        <v>-27.6591</v>
      </c>
      <c r="AF151" s="13">
        <v>0.0765</v>
      </c>
      <c r="AG151" s="13">
        <v>3.6505</v>
      </c>
      <c r="AH151" s="8" t="b">
        <v>0</v>
      </c>
      <c r="AI151" s="8" t="b">
        <v>1</v>
      </c>
      <c r="AJ151" s="8" t="b">
        <v>0</v>
      </c>
      <c r="AK151" s="14">
        <f>IFERROR(__xludf.DUMMYFUNCTION("IFERROR(GOOGLEFINANCE(B151,""price""),"""")"),3.35)</f>
        <v>3.35</v>
      </c>
    </row>
    <row r="152">
      <c r="A152" s="15">
        <v>46072.62598352536</v>
      </c>
      <c r="B152" s="16" t="s">
        <v>231</v>
      </c>
      <c r="C152" s="16" t="s">
        <v>232</v>
      </c>
      <c r="D152" s="17">
        <v>46075.0</v>
      </c>
      <c r="E152" s="18">
        <v>1.655</v>
      </c>
      <c r="F152" s="16" t="s">
        <v>117</v>
      </c>
      <c r="G152" s="24"/>
      <c r="H152" s="21">
        <v>-0.8638</v>
      </c>
      <c r="I152" s="16" t="s">
        <v>175</v>
      </c>
      <c r="J152" s="21">
        <v>0.4058</v>
      </c>
      <c r="K152" s="16">
        <v>3.9049714E7</v>
      </c>
      <c r="L152" s="19">
        <v>0.67</v>
      </c>
      <c r="M152" s="19">
        <v>25.8102</v>
      </c>
      <c r="N152" s="16" t="s">
        <v>233</v>
      </c>
      <c r="O152" s="19">
        <v>-0.8982</v>
      </c>
      <c r="P152" s="20">
        <v>2733480.0</v>
      </c>
      <c r="Q152" s="21">
        <v>1.68</v>
      </c>
      <c r="R152" s="21">
        <v>1.61</v>
      </c>
      <c r="S152" s="21">
        <v>1.67</v>
      </c>
      <c r="T152" s="21">
        <v>0.1045</v>
      </c>
      <c r="U152" s="21">
        <v>0.312</v>
      </c>
      <c r="V152" s="16">
        <v>1684363.0</v>
      </c>
      <c r="W152" s="21">
        <v>1.7162</v>
      </c>
      <c r="X152" s="20">
        <v>1.40955258E8</v>
      </c>
      <c r="Y152" s="21">
        <v>2.0365</v>
      </c>
      <c r="Z152" s="21">
        <v>1.9224</v>
      </c>
      <c r="AA152" s="19">
        <v>32.6305</v>
      </c>
      <c r="AB152" s="21">
        <v>3.06</v>
      </c>
      <c r="AC152" s="21">
        <v>-260.6519</v>
      </c>
      <c r="AD152" s="24"/>
      <c r="AE152" s="24"/>
      <c r="AF152" s="21">
        <v>2.7905</v>
      </c>
      <c r="AG152" s="21">
        <v>8.2355</v>
      </c>
      <c r="AH152" s="16" t="b">
        <v>1</v>
      </c>
      <c r="AI152" s="16" t="b">
        <v>0</v>
      </c>
      <c r="AJ152" s="16" t="b">
        <v>0</v>
      </c>
      <c r="AK152" s="22">
        <f>IFERROR(__xludf.DUMMYFUNCTION("IFERROR(GOOGLEFINANCE(B152,""price""),"""")"),2.02)</f>
        <v>2.02</v>
      </c>
    </row>
    <row r="153">
      <c r="A153" s="7">
        <v>46072.62598352536</v>
      </c>
      <c r="B153" s="8" t="s">
        <v>554</v>
      </c>
      <c r="C153" s="8" t="s">
        <v>555</v>
      </c>
      <c r="D153" s="9">
        <v>46075.0</v>
      </c>
      <c r="E153" s="10">
        <v>1.535</v>
      </c>
      <c r="F153" s="8" t="s">
        <v>117</v>
      </c>
      <c r="G153" s="13">
        <v>0.0637</v>
      </c>
      <c r="H153" s="13">
        <v>24.0802</v>
      </c>
      <c r="I153" s="8" t="s">
        <v>138</v>
      </c>
      <c r="J153" s="13">
        <v>0.1989</v>
      </c>
      <c r="K153" s="8">
        <v>1780831.0</v>
      </c>
      <c r="L153" s="11">
        <v>0.91</v>
      </c>
      <c r="M153" s="11">
        <v>19.1749</v>
      </c>
      <c r="N153" s="8" t="s">
        <v>556</v>
      </c>
      <c r="O153" s="11">
        <v>-22.0812</v>
      </c>
      <c r="P153" s="12">
        <v>623291.0</v>
      </c>
      <c r="Q153" s="13">
        <v>1.72</v>
      </c>
      <c r="R153" s="13">
        <v>1.37</v>
      </c>
      <c r="S153" s="13">
        <v>1.51</v>
      </c>
      <c r="T153" s="13">
        <v>0.281</v>
      </c>
      <c r="U153" s="13">
        <v>0.6146</v>
      </c>
      <c r="V153" s="13">
        <v>179869.9</v>
      </c>
      <c r="W153" s="13">
        <v>4.5342</v>
      </c>
      <c r="X153" s="12">
        <v>1.2265981E7</v>
      </c>
      <c r="Y153" s="13">
        <v>1.8348</v>
      </c>
      <c r="Z153" s="13">
        <v>2.582</v>
      </c>
      <c r="AA153" s="11">
        <v>37.9597</v>
      </c>
      <c r="AB153" s="13">
        <v>5.1</v>
      </c>
      <c r="AC153" s="13">
        <v>7432.3248</v>
      </c>
      <c r="AD153" s="13">
        <v>-1413.3169</v>
      </c>
      <c r="AE153" s="13">
        <v>1159.292</v>
      </c>
      <c r="AF153" s="13">
        <v>0.0</v>
      </c>
      <c r="AG153" s="13">
        <v>1.2204</v>
      </c>
      <c r="AH153" s="8" t="b">
        <v>0</v>
      </c>
      <c r="AI153" s="8" t="b">
        <v>1</v>
      </c>
      <c r="AJ153" s="8" t="b">
        <v>0</v>
      </c>
      <c r="AK153" s="14">
        <f>IFERROR(__xludf.DUMMYFUNCTION("IFERROR(GOOGLEFINANCE(B153,""price""),"""")"),1.48)</f>
        <v>1.48</v>
      </c>
    </row>
    <row r="154">
      <c r="A154" s="15">
        <v>46072.62598352536</v>
      </c>
      <c r="B154" s="16" t="s">
        <v>557</v>
      </c>
      <c r="C154" s="16" t="s">
        <v>558</v>
      </c>
      <c r="D154" s="17">
        <v>46075.0</v>
      </c>
      <c r="E154" s="18">
        <v>1.71</v>
      </c>
      <c r="F154" s="16" t="s">
        <v>93</v>
      </c>
      <c r="G154" s="24"/>
      <c r="H154" s="21">
        <v>-283.719</v>
      </c>
      <c r="I154" s="16" t="s">
        <v>175</v>
      </c>
      <c r="J154" s="21">
        <v>0.1586</v>
      </c>
      <c r="K154" s="16">
        <v>2524844.0</v>
      </c>
      <c r="L154" s="19">
        <v>0.14</v>
      </c>
      <c r="M154" s="19">
        <v>24.9889</v>
      </c>
      <c r="N154" s="16" t="s">
        <v>559</v>
      </c>
      <c r="O154" s="19">
        <v>-3.3898</v>
      </c>
      <c r="P154" s="20">
        <v>681708.0</v>
      </c>
      <c r="Q154" s="21">
        <v>1.77</v>
      </c>
      <c r="R154" s="21">
        <v>1.5</v>
      </c>
      <c r="S154" s="21">
        <v>1.77</v>
      </c>
      <c r="T154" s="21">
        <v>0.9608</v>
      </c>
      <c r="U154" s="21">
        <v>13.4151</v>
      </c>
      <c r="V154" s="21">
        <v>333610.1803</v>
      </c>
      <c r="W154" s="21">
        <v>2.5036</v>
      </c>
      <c r="X154" s="20">
        <v>2106809.0</v>
      </c>
      <c r="Y154" s="21">
        <v>7.0032</v>
      </c>
      <c r="Z154" s="21">
        <v>189.9366</v>
      </c>
      <c r="AA154" s="19">
        <v>24.5268</v>
      </c>
      <c r="AB154" s="21">
        <v>957.0026</v>
      </c>
      <c r="AC154" s="24"/>
      <c r="AD154" s="24"/>
      <c r="AE154" s="24"/>
      <c r="AF154" s="24"/>
      <c r="AG154" s="21">
        <v>0.1782</v>
      </c>
      <c r="AH154" s="16" t="b">
        <v>1</v>
      </c>
      <c r="AI154" s="16" t="b">
        <v>0</v>
      </c>
      <c r="AJ154" s="16" t="b">
        <v>0</v>
      </c>
      <c r="AK154" s="22">
        <f>IFERROR(__xludf.DUMMYFUNCTION("IFERROR(GOOGLEFINANCE(B154,""price""),"""")"),0.87)</f>
        <v>0.87</v>
      </c>
    </row>
    <row r="155">
      <c r="A155" s="7">
        <v>46072.866721699014</v>
      </c>
      <c r="B155" s="8" t="s">
        <v>529</v>
      </c>
      <c r="C155" s="8" t="s">
        <v>530</v>
      </c>
      <c r="D155" s="9">
        <v>46075.0</v>
      </c>
      <c r="E155" s="10">
        <v>2.42</v>
      </c>
      <c r="F155" s="8" t="s">
        <v>117</v>
      </c>
      <c r="G155" s="23"/>
      <c r="H155" s="13">
        <v>-94.8452</v>
      </c>
      <c r="I155" s="8" t="s">
        <v>560</v>
      </c>
      <c r="J155" s="13">
        <v>34.0127</v>
      </c>
      <c r="K155" s="8">
        <v>7.4689462E7</v>
      </c>
      <c r="L155" s="11">
        <v>0.32</v>
      </c>
      <c r="M155" s="11">
        <v>23.4622</v>
      </c>
      <c r="N155" s="8" t="s">
        <v>532</v>
      </c>
      <c r="O155" s="11">
        <v>8.0357</v>
      </c>
      <c r="P155" s="12">
        <v>1.7918002E7</v>
      </c>
      <c r="Q155" s="13">
        <v>2.47</v>
      </c>
      <c r="R155" s="13">
        <v>2.2301</v>
      </c>
      <c r="S155" s="13">
        <v>2.455</v>
      </c>
      <c r="T155" s="13">
        <v>0.3293</v>
      </c>
      <c r="U155" s="13">
        <v>2.0444</v>
      </c>
      <c r="V155" s="8">
        <v>1840646.0</v>
      </c>
      <c r="W155" s="13">
        <v>337.1753</v>
      </c>
      <c r="X155" s="12">
        <v>3364610.0</v>
      </c>
      <c r="Y155" s="13">
        <v>3.9746</v>
      </c>
      <c r="Z155" s="13">
        <v>16.2505</v>
      </c>
      <c r="AA155" s="11">
        <v>37.2004</v>
      </c>
      <c r="AB155" s="13">
        <v>54.0</v>
      </c>
      <c r="AC155" s="13">
        <v>-262.7794</v>
      </c>
      <c r="AD155" s="23"/>
      <c r="AE155" s="23"/>
      <c r="AF155" s="13">
        <v>0.0</v>
      </c>
      <c r="AG155" s="13">
        <v>4.5612</v>
      </c>
      <c r="AH155" s="8" t="b">
        <v>1</v>
      </c>
      <c r="AI155" s="8" t="b">
        <v>0</v>
      </c>
      <c r="AJ155" s="8" t="b">
        <v>0</v>
      </c>
      <c r="AK155" s="14">
        <f>IFERROR(__xludf.DUMMYFUNCTION("IFERROR(GOOGLEFINANCE(B155,""price""),"""")"),1.96)</f>
        <v>1.96</v>
      </c>
    </row>
    <row r="156">
      <c r="A156" s="15">
        <v>46072.866721699014</v>
      </c>
      <c r="B156" s="16" t="s">
        <v>533</v>
      </c>
      <c r="C156" s="16" t="s">
        <v>534</v>
      </c>
      <c r="D156" s="17">
        <v>46075.0</v>
      </c>
      <c r="E156" s="18">
        <v>1.79</v>
      </c>
      <c r="F156" s="16" t="s">
        <v>162</v>
      </c>
      <c r="G156" s="24"/>
      <c r="H156" s="24"/>
      <c r="I156" s="16" t="s">
        <v>561</v>
      </c>
      <c r="J156" s="21">
        <v>6.9332</v>
      </c>
      <c r="K156" s="16">
        <v>3.4805574E7</v>
      </c>
      <c r="L156" s="19">
        <v>0.03</v>
      </c>
      <c r="M156" s="19">
        <v>23.9394</v>
      </c>
      <c r="N156" s="16" t="s">
        <v>535</v>
      </c>
      <c r="O156" s="19">
        <v>-20.0893</v>
      </c>
      <c r="P156" s="20">
        <v>9.1538659E7</v>
      </c>
      <c r="Q156" s="21">
        <v>4.37</v>
      </c>
      <c r="R156" s="21">
        <v>1.74</v>
      </c>
      <c r="S156" s="21">
        <v>4.14</v>
      </c>
      <c r="T156" s="21">
        <v>1.4438</v>
      </c>
      <c r="U156" s="21">
        <v>84.6019</v>
      </c>
      <c r="V156" s="16">
        <v>9242210.0</v>
      </c>
      <c r="W156" s="21">
        <v>1018.6745</v>
      </c>
      <c r="X156" s="20">
        <v>913222.0402</v>
      </c>
      <c r="Y156" s="21">
        <v>7.8161</v>
      </c>
      <c r="Z156" s="21">
        <v>558.7059</v>
      </c>
      <c r="AA156" s="19">
        <v>14.3414</v>
      </c>
      <c r="AB156" s="21">
        <v>1565.46</v>
      </c>
      <c r="AC156" s="24"/>
      <c r="AD156" s="24"/>
      <c r="AE156" s="24"/>
      <c r="AF156" s="24"/>
      <c r="AG156" s="24"/>
      <c r="AH156" s="16" t="b">
        <v>0</v>
      </c>
      <c r="AI156" s="16" t="b">
        <v>0</v>
      </c>
      <c r="AJ156" s="16" t="b">
        <v>0</v>
      </c>
      <c r="AK156" s="22">
        <f>IFERROR(__xludf.DUMMYFUNCTION("IFERROR(GOOGLEFINANCE(B156,""price""),"""")"),3.88)</f>
        <v>3.88</v>
      </c>
    </row>
    <row r="157">
      <c r="A157" s="7">
        <v>46072.866721699014</v>
      </c>
      <c r="B157" s="8" t="s">
        <v>536</v>
      </c>
      <c r="C157" s="8" t="s">
        <v>537</v>
      </c>
      <c r="D157" s="9">
        <v>46075.0</v>
      </c>
      <c r="E157" s="10">
        <v>1.66</v>
      </c>
      <c r="F157" s="8" t="s">
        <v>117</v>
      </c>
      <c r="G157" s="23"/>
      <c r="H157" s="13">
        <v>-0.2819</v>
      </c>
      <c r="I157" s="8" t="s">
        <v>561</v>
      </c>
      <c r="J157" s="13">
        <v>6.8851</v>
      </c>
      <c r="K157" s="8">
        <v>8039010.0</v>
      </c>
      <c r="L157" s="11">
        <v>0.27</v>
      </c>
      <c r="M157" s="11">
        <v>18.9914</v>
      </c>
      <c r="N157" s="8" t="s">
        <v>539</v>
      </c>
      <c r="O157" s="11">
        <v>0.6061</v>
      </c>
      <c r="P157" s="12">
        <v>2411703.0</v>
      </c>
      <c r="Q157" s="13">
        <v>1.72</v>
      </c>
      <c r="R157" s="13">
        <v>1.42</v>
      </c>
      <c r="S157" s="13">
        <v>1.54</v>
      </c>
      <c r="T157" s="13">
        <v>0.087</v>
      </c>
      <c r="U157" s="13">
        <v>0.6446</v>
      </c>
      <c r="V157" s="13">
        <v>257855.3</v>
      </c>
      <c r="W157" s="13">
        <v>124.43</v>
      </c>
      <c r="X157" s="12">
        <v>1.3493825E7</v>
      </c>
      <c r="Y157" s="13">
        <v>1.6827</v>
      </c>
      <c r="Z157" s="13">
        <v>6.5715</v>
      </c>
      <c r="AA157" s="11">
        <v>49.7805</v>
      </c>
      <c r="AB157" s="13">
        <v>73.75</v>
      </c>
      <c r="AC157" s="13">
        <v>-3.9322</v>
      </c>
      <c r="AD157" s="13">
        <v>-8.6939</v>
      </c>
      <c r="AE157" s="13">
        <v>-21.6983</v>
      </c>
      <c r="AF157" s="13">
        <v>0.2135</v>
      </c>
      <c r="AG157" s="13">
        <v>1.7394</v>
      </c>
      <c r="AH157" s="8" t="b">
        <v>0</v>
      </c>
      <c r="AI157" s="8" t="b">
        <v>0</v>
      </c>
      <c r="AJ157" s="8" t="b">
        <v>0</v>
      </c>
      <c r="AK157" s="14">
        <f>IFERROR(__xludf.DUMMYFUNCTION("IFERROR(GOOGLEFINANCE(B157,""price""),"""")"),1.31)</f>
        <v>1.31</v>
      </c>
    </row>
    <row r="158">
      <c r="A158" s="15">
        <v>46072.866721699014</v>
      </c>
      <c r="B158" s="16" t="s">
        <v>540</v>
      </c>
      <c r="C158" s="16" t="s">
        <v>541</v>
      </c>
      <c r="D158" s="17">
        <v>46075.0</v>
      </c>
      <c r="E158" s="18">
        <v>1.0</v>
      </c>
      <c r="F158" s="16" t="s">
        <v>112</v>
      </c>
      <c r="G158" s="24"/>
      <c r="H158" s="21">
        <v>-0.0541</v>
      </c>
      <c r="I158" s="16" t="s">
        <v>562</v>
      </c>
      <c r="J158" s="21">
        <v>4.2653</v>
      </c>
      <c r="K158" s="16">
        <v>7122960.0</v>
      </c>
      <c r="L158" s="19">
        <v>0.82</v>
      </c>
      <c r="M158" s="19">
        <v>17.226</v>
      </c>
      <c r="N158" s="16" t="s">
        <v>543</v>
      </c>
      <c r="O158" s="19">
        <v>17.6471</v>
      </c>
      <c r="P158" s="20">
        <v>3116288.0</v>
      </c>
      <c r="Q158" s="21">
        <v>1.27</v>
      </c>
      <c r="R158" s="21">
        <v>0.8325</v>
      </c>
      <c r="S158" s="21">
        <v>0.85</v>
      </c>
      <c r="T158" s="21">
        <v>0.091</v>
      </c>
      <c r="U158" s="21">
        <v>0.2221</v>
      </c>
      <c r="V158" s="21">
        <v>324212.4</v>
      </c>
      <c r="W158" s="21">
        <v>186.6052</v>
      </c>
      <c r="X158" s="20">
        <v>3312000.0</v>
      </c>
      <c r="Y158" s="21">
        <v>0.7214</v>
      </c>
      <c r="Z158" s="21">
        <v>1.1469</v>
      </c>
      <c r="AA158" s="19">
        <v>75.544</v>
      </c>
      <c r="AB158" s="21">
        <v>2.933</v>
      </c>
      <c r="AC158" s="21">
        <v>-16.6184</v>
      </c>
      <c r="AD158" s="21">
        <v>-11.8012</v>
      </c>
      <c r="AE158" s="21">
        <v>2.8911</v>
      </c>
      <c r="AF158" s="21">
        <v>1.3522</v>
      </c>
      <c r="AG158" s="21">
        <v>1.1766</v>
      </c>
      <c r="AH158" s="16" t="b">
        <v>0</v>
      </c>
      <c r="AI158" s="16" t="b">
        <v>0</v>
      </c>
      <c r="AJ158" s="16" t="b">
        <v>0</v>
      </c>
      <c r="AK158" s="22">
        <f>IFERROR(__xludf.DUMMYFUNCTION("IFERROR(GOOGLEFINANCE(B158,""price""),"""")"),1.09)</f>
        <v>1.09</v>
      </c>
    </row>
    <row r="159">
      <c r="A159" s="7">
        <v>46072.866721699014</v>
      </c>
      <c r="B159" s="8" t="s">
        <v>544</v>
      </c>
      <c r="C159" s="8" t="s">
        <v>545</v>
      </c>
      <c r="D159" s="9">
        <v>46075.0</v>
      </c>
      <c r="E159" s="10">
        <v>1.93</v>
      </c>
      <c r="F159" s="8" t="s">
        <v>117</v>
      </c>
      <c r="G159" s="23"/>
      <c r="H159" s="13">
        <v>-20.2893</v>
      </c>
      <c r="I159" s="8" t="s">
        <v>413</v>
      </c>
      <c r="J159" s="13">
        <v>3.6404</v>
      </c>
      <c r="K159" s="8">
        <v>4.1492264E7</v>
      </c>
      <c r="L159" s="11">
        <v>0.73</v>
      </c>
      <c r="M159" s="11">
        <v>21.0285</v>
      </c>
      <c r="N159" s="8" t="s">
        <v>547</v>
      </c>
      <c r="O159" s="11">
        <v>50.7812</v>
      </c>
      <c r="P159" s="12">
        <v>3.6027733E7</v>
      </c>
      <c r="Q159" s="13">
        <v>2.29</v>
      </c>
      <c r="R159" s="13">
        <v>1.4217</v>
      </c>
      <c r="S159" s="13">
        <v>1.5</v>
      </c>
      <c r="T159" s="13">
        <v>0.3612</v>
      </c>
      <c r="U159" s="13">
        <v>0.9927</v>
      </c>
      <c r="V159" s="8">
        <v>3800703.0</v>
      </c>
      <c r="W159" s="13">
        <v>163.7781</v>
      </c>
      <c r="X159" s="12">
        <v>6850328.0</v>
      </c>
      <c r="Y159" s="13">
        <v>2.148</v>
      </c>
      <c r="Z159" s="13">
        <v>6.9878</v>
      </c>
      <c r="AA159" s="11">
        <v>50.5719</v>
      </c>
      <c r="AB159" s="13">
        <v>23.7</v>
      </c>
      <c r="AC159" s="13">
        <v>-203.3622</v>
      </c>
      <c r="AD159" s="23"/>
      <c r="AE159" s="23"/>
      <c r="AF159" s="13">
        <v>0.0</v>
      </c>
      <c r="AG159" s="13">
        <v>4.5635</v>
      </c>
      <c r="AH159" s="8" t="b">
        <v>0</v>
      </c>
      <c r="AI159" s="8" t="b">
        <v>0</v>
      </c>
      <c r="AJ159" s="8" t="b">
        <v>0</v>
      </c>
      <c r="AK159" s="14">
        <f>IFERROR(__xludf.DUMMYFUNCTION("IFERROR(GOOGLEFINANCE(B159,""price""),"""")"),1.22)</f>
        <v>1.22</v>
      </c>
    </row>
    <row r="160">
      <c r="A160" s="15">
        <v>46072.866721699014</v>
      </c>
      <c r="B160" s="16" t="s">
        <v>231</v>
      </c>
      <c r="C160" s="16" t="s">
        <v>232</v>
      </c>
      <c r="D160" s="17">
        <v>46075.0</v>
      </c>
      <c r="E160" s="18">
        <v>1.68</v>
      </c>
      <c r="F160" s="16" t="s">
        <v>117</v>
      </c>
      <c r="G160" s="24"/>
      <c r="H160" s="21">
        <v>-0.8638</v>
      </c>
      <c r="I160" s="16" t="s">
        <v>175</v>
      </c>
      <c r="J160" s="21">
        <v>0.4334</v>
      </c>
      <c r="K160" s="16">
        <v>4.10631E7</v>
      </c>
      <c r="L160" s="19">
        <v>0.67</v>
      </c>
      <c r="M160" s="19">
        <v>25.8102</v>
      </c>
      <c r="N160" s="16" t="s">
        <v>233</v>
      </c>
      <c r="O160" s="19">
        <v>0.5988</v>
      </c>
      <c r="P160" s="20">
        <v>2874417.0</v>
      </c>
      <c r="Q160" s="21">
        <v>1.68</v>
      </c>
      <c r="R160" s="21">
        <v>1.61</v>
      </c>
      <c r="S160" s="21">
        <v>1.67</v>
      </c>
      <c r="T160" s="21">
        <v>0.1045</v>
      </c>
      <c r="U160" s="21">
        <v>0.312</v>
      </c>
      <c r="V160" s="16">
        <v>1698599.0</v>
      </c>
      <c r="W160" s="21">
        <v>1.8057</v>
      </c>
      <c r="X160" s="20">
        <v>1.43084491E8</v>
      </c>
      <c r="Y160" s="21">
        <v>2.0369</v>
      </c>
      <c r="Z160" s="21">
        <v>1.9226</v>
      </c>
      <c r="AA160" s="19">
        <v>34.1766</v>
      </c>
      <c r="AB160" s="21">
        <v>3.06</v>
      </c>
      <c r="AC160" s="21">
        <v>-260.6519</v>
      </c>
      <c r="AD160" s="24"/>
      <c r="AE160" s="24"/>
      <c r="AF160" s="21">
        <v>2.7905</v>
      </c>
      <c r="AG160" s="21">
        <v>8.2355</v>
      </c>
      <c r="AH160" s="16" t="b">
        <v>1</v>
      </c>
      <c r="AI160" s="16" t="b">
        <v>0</v>
      </c>
      <c r="AJ160" s="16" t="b">
        <v>0</v>
      </c>
      <c r="AK160" s="22">
        <f>IFERROR(__xludf.DUMMYFUNCTION("IFERROR(GOOGLEFINANCE(B160,""price""),"""")"),2.02)</f>
        <v>2.02</v>
      </c>
    </row>
    <row r="161">
      <c r="A161" s="7">
        <v>46072.866721699014</v>
      </c>
      <c r="B161" s="8" t="s">
        <v>563</v>
      </c>
      <c r="C161" s="8" t="s">
        <v>564</v>
      </c>
      <c r="D161" s="9">
        <v>46075.0</v>
      </c>
      <c r="E161" s="10">
        <v>4.32</v>
      </c>
      <c r="F161" s="8" t="s">
        <v>117</v>
      </c>
      <c r="G161" s="13">
        <v>18.7581</v>
      </c>
      <c r="H161" s="13">
        <v>0.2303</v>
      </c>
      <c r="I161" s="8" t="s">
        <v>175</v>
      </c>
      <c r="J161" s="13">
        <v>0.4311</v>
      </c>
      <c r="K161" s="8">
        <v>4551114.0</v>
      </c>
      <c r="L161" s="11">
        <v>0.74</v>
      </c>
      <c r="M161" s="11">
        <v>22.7515</v>
      </c>
      <c r="N161" s="8" t="s">
        <v>565</v>
      </c>
      <c r="O161" s="11">
        <v>-1.1442</v>
      </c>
      <c r="P161" s="12">
        <v>1752179.0</v>
      </c>
      <c r="Q161" s="13">
        <v>4.45</v>
      </c>
      <c r="R161" s="13">
        <v>4.065</v>
      </c>
      <c r="S161" s="13">
        <v>4.4</v>
      </c>
      <c r="T161" s="13">
        <v>0.271</v>
      </c>
      <c r="U161" s="13">
        <v>0.7363</v>
      </c>
      <c r="V161" s="13">
        <v>589222.9</v>
      </c>
      <c r="W161" s="13">
        <v>3.8422</v>
      </c>
      <c r="X161" s="12">
        <v>1.291346158E9</v>
      </c>
      <c r="Y161" s="13">
        <v>5.0454</v>
      </c>
      <c r="Z161" s="13">
        <v>7.1575</v>
      </c>
      <c r="AA161" s="11">
        <v>29.041</v>
      </c>
      <c r="AB161" s="13">
        <v>12.38</v>
      </c>
      <c r="AC161" s="23"/>
      <c r="AD161" s="13">
        <v>7.1855</v>
      </c>
      <c r="AE161" s="13">
        <v>55.3846</v>
      </c>
      <c r="AF161" s="23"/>
      <c r="AG161" s="13">
        <v>1.4207</v>
      </c>
      <c r="AH161" s="8" t="b">
        <v>1</v>
      </c>
      <c r="AI161" s="8" t="b">
        <v>0</v>
      </c>
      <c r="AJ161" s="8" t="b">
        <v>0</v>
      </c>
      <c r="AK161" s="14">
        <f>IFERROR(__xludf.DUMMYFUNCTION("IFERROR(GOOGLEFINANCE(B161,""price""),"""")"),3.62)</f>
        <v>3.62</v>
      </c>
    </row>
    <row r="162">
      <c r="A162" s="15">
        <v>46072.866721699014</v>
      </c>
      <c r="B162" s="16" t="s">
        <v>566</v>
      </c>
      <c r="C162" s="16" t="s">
        <v>567</v>
      </c>
      <c r="D162" s="17">
        <v>46075.0</v>
      </c>
      <c r="E162" s="18">
        <v>1.05</v>
      </c>
      <c r="F162" s="16" t="s">
        <v>245</v>
      </c>
      <c r="G162" s="24"/>
      <c r="H162" s="21">
        <v>-0.8134</v>
      </c>
      <c r="I162" s="16" t="s">
        <v>179</v>
      </c>
      <c r="J162" s="21">
        <v>0.3712</v>
      </c>
      <c r="K162" s="16">
        <v>3.7864322E7</v>
      </c>
      <c r="L162" s="19">
        <v>0.99</v>
      </c>
      <c r="M162" s="19">
        <v>23.9618</v>
      </c>
      <c r="N162" s="16" t="s">
        <v>568</v>
      </c>
      <c r="O162" s="19">
        <v>0.9615</v>
      </c>
      <c r="P162" s="20">
        <v>3407789.0</v>
      </c>
      <c r="Q162" s="21">
        <v>1.08</v>
      </c>
      <c r="R162" s="21">
        <v>0.99</v>
      </c>
      <c r="S162" s="21">
        <v>1.06</v>
      </c>
      <c r="T162" s="21">
        <v>0.0773</v>
      </c>
      <c r="U162" s="21">
        <v>0.157</v>
      </c>
      <c r="V162" s="16">
        <v>1235176.0</v>
      </c>
      <c r="W162" s="21">
        <v>3.1818</v>
      </c>
      <c r="X162" s="20">
        <v>3.7625514E7</v>
      </c>
      <c r="Y162" s="21">
        <v>1.0047</v>
      </c>
      <c r="Z162" s="21">
        <v>1.1534</v>
      </c>
      <c r="AA162" s="19">
        <v>52.9187</v>
      </c>
      <c r="AB162" s="21">
        <v>2.75</v>
      </c>
      <c r="AC162" s="21">
        <v>-80.7464</v>
      </c>
      <c r="AD162" s="21">
        <v>-102.4843</v>
      </c>
      <c r="AE162" s="21">
        <v>-57.0621</v>
      </c>
      <c r="AF162" s="21">
        <v>0.0186</v>
      </c>
      <c r="AG162" s="21">
        <v>0.3305</v>
      </c>
      <c r="AH162" s="16" t="b">
        <v>1</v>
      </c>
      <c r="AI162" s="16" t="b">
        <v>0</v>
      </c>
      <c r="AJ162" s="16" t="b">
        <v>0</v>
      </c>
      <c r="AK162" s="22">
        <f>IFERROR(__xludf.DUMMYFUNCTION("IFERROR(GOOGLEFINANCE(B162,""price""),"""")"),0.69)</f>
        <v>0.69</v>
      </c>
    </row>
    <row r="163">
      <c r="A163" s="7">
        <v>46072.866721699014</v>
      </c>
      <c r="B163" s="8" t="s">
        <v>569</v>
      </c>
      <c r="C163" s="8" t="s">
        <v>570</v>
      </c>
      <c r="D163" s="9">
        <v>46075.0</v>
      </c>
      <c r="E163" s="10">
        <v>1.49</v>
      </c>
      <c r="F163" s="8" t="s">
        <v>117</v>
      </c>
      <c r="G163" s="23"/>
      <c r="H163" s="13">
        <v>-0.7486</v>
      </c>
      <c r="I163" s="8" t="s">
        <v>175</v>
      </c>
      <c r="J163" s="13">
        <v>0.2872</v>
      </c>
      <c r="K163" s="8">
        <v>4063030.0</v>
      </c>
      <c r="L163" s="11">
        <v>0.76</v>
      </c>
      <c r="M163" s="11">
        <v>13.8049</v>
      </c>
      <c r="N163" s="8" t="s">
        <v>571</v>
      </c>
      <c r="O163" s="11">
        <v>-0.6667</v>
      </c>
      <c r="P163" s="12">
        <v>406303.0</v>
      </c>
      <c r="Q163" s="13">
        <v>1.52</v>
      </c>
      <c r="R163" s="13">
        <v>1.42</v>
      </c>
      <c r="S163" s="13">
        <v>1.51</v>
      </c>
      <c r="T163" s="13">
        <v>0.1047</v>
      </c>
      <c r="U163" s="13">
        <v>0.2758</v>
      </c>
      <c r="V163" s="13">
        <v>229087.0</v>
      </c>
      <c r="W163" s="13">
        <v>1.9276</v>
      </c>
      <c r="X163" s="12">
        <v>4.5726452E7</v>
      </c>
      <c r="Y163" s="13">
        <v>1.5842</v>
      </c>
      <c r="Z163" s="13">
        <v>1.827</v>
      </c>
      <c r="AA163" s="11">
        <v>40.9597</v>
      </c>
      <c r="AB163" s="13">
        <v>3.21</v>
      </c>
      <c r="AC163" s="23"/>
      <c r="AD163" s="13">
        <v>-32.2471</v>
      </c>
      <c r="AE163" s="13">
        <v>-15.0235</v>
      </c>
      <c r="AF163" s="23"/>
      <c r="AG163" s="13">
        <v>0.854</v>
      </c>
      <c r="AH163" s="8" t="b">
        <v>1</v>
      </c>
      <c r="AI163" s="8" t="b">
        <v>0</v>
      </c>
      <c r="AJ163" s="8" t="b">
        <v>0</v>
      </c>
      <c r="AK163" s="14">
        <f>IFERROR(__xludf.DUMMYFUNCTION("IFERROR(GOOGLEFINANCE(B163,""price""),"""")"),1.73)</f>
        <v>1.73</v>
      </c>
    </row>
    <row r="164">
      <c r="A164" s="15">
        <v>46072.866721699014</v>
      </c>
      <c r="B164" s="16" t="s">
        <v>557</v>
      </c>
      <c r="C164" s="16" t="s">
        <v>558</v>
      </c>
      <c r="D164" s="17">
        <v>46075.0</v>
      </c>
      <c r="E164" s="18">
        <v>1.69</v>
      </c>
      <c r="F164" s="16" t="s">
        <v>93</v>
      </c>
      <c r="G164" s="24"/>
      <c r="H164" s="21">
        <v>-283.719</v>
      </c>
      <c r="I164" s="16" t="s">
        <v>175</v>
      </c>
      <c r="J164" s="21">
        <v>0.162</v>
      </c>
      <c r="K164" s="16">
        <v>2610219.0</v>
      </c>
      <c r="L164" s="19">
        <v>0.14</v>
      </c>
      <c r="M164" s="19">
        <v>24.9889</v>
      </c>
      <c r="N164" s="16" t="s">
        <v>559</v>
      </c>
      <c r="O164" s="19">
        <v>-4.5198</v>
      </c>
      <c r="P164" s="20">
        <v>704759.0</v>
      </c>
      <c r="Q164" s="21">
        <v>1.77</v>
      </c>
      <c r="R164" s="21">
        <v>1.5</v>
      </c>
      <c r="S164" s="21">
        <v>1.77</v>
      </c>
      <c r="T164" s="21">
        <v>0.9608</v>
      </c>
      <c r="U164" s="21">
        <v>13.4151</v>
      </c>
      <c r="V164" s="21">
        <v>335915.2803</v>
      </c>
      <c r="W164" s="21">
        <v>2.5883</v>
      </c>
      <c r="X164" s="20">
        <v>2082168.0</v>
      </c>
      <c r="Y164" s="21">
        <v>7.0028</v>
      </c>
      <c r="Z164" s="21">
        <v>189.9364</v>
      </c>
      <c r="AA164" s="19">
        <v>24.458</v>
      </c>
      <c r="AB164" s="21">
        <v>957.0026</v>
      </c>
      <c r="AC164" s="24"/>
      <c r="AD164" s="24"/>
      <c r="AE164" s="24"/>
      <c r="AF164" s="24"/>
      <c r="AG164" s="21">
        <v>0.1782</v>
      </c>
      <c r="AH164" s="16" t="b">
        <v>1</v>
      </c>
      <c r="AI164" s="16" t="b">
        <v>0</v>
      </c>
      <c r="AJ164" s="16" t="b">
        <v>0</v>
      </c>
      <c r="AK164" s="22">
        <f>IFERROR(__xludf.DUMMYFUNCTION("IFERROR(GOOGLEFINANCE(B164,""price""),"""")"),0.87)</f>
        <v>0.87</v>
      </c>
    </row>
    <row r="165">
      <c r="A165" s="7">
        <v>46072.8681818767</v>
      </c>
      <c r="B165" s="8" t="s">
        <v>529</v>
      </c>
      <c r="C165" s="8" t="s">
        <v>530</v>
      </c>
      <c r="D165" s="9">
        <v>46075.0</v>
      </c>
      <c r="E165" s="10">
        <v>2.42</v>
      </c>
      <c r="F165" s="8" t="s">
        <v>117</v>
      </c>
      <c r="G165" s="23"/>
      <c r="H165" s="13">
        <v>-94.8452</v>
      </c>
      <c r="I165" s="8" t="s">
        <v>560</v>
      </c>
      <c r="J165" s="13">
        <v>34.0127</v>
      </c>
      <c r="K165" s="8">
        <v>7.4689462E7</v>
      </c>
      <c r="L165" s="11">
        <v>0.32</v>
      </c>
      <c r="M165" s="11">
        <v>23.4622</v>
      </c>
      <c r="N165" s="8" t="s">
        <v>532</v>
      </c>
      <c r="O165" s="11">
        <v>8.0357</v>
      </c>
      <c r="P165" s="12">
        <v>1.7918002E7</v>
      </c>
      <c r="Q165" s="13">
        <v>2.47</v>
      </c>
      <c r="R165" s="13">
        <v>2.2301</v>
      </c>
      <c r="S165" s="13">
        <v>2.455</v>
      </c>
      <c r="T165" s="13">
        <v>0.3293</v>
      </c>
      <c r="U165" s="13">
        <v>2.0444</v>
      </c>
      <c r="V165" s="8">
        <v>1840646.0</v>
      </c>
      <c r="W165" s="13">
        <v>337.1753</v>
      </c>
      <c r="X165" s="12">
        <v>3364610.0</v>
      </c>
      <c r="Y165" s="13">
        <v>3.9746</v>
      </c>
      <c r="Z165" s="13">
        <v>16.2505</v>
      </c>
      <c r="AA165" s="11">
        <v>37.2004</v>
      </c>
      <c r="AB165" s="13">
        <v>54.0</v>
      </c>
      <c r="AC165" s="13">
        <v>-262.7794</v>
      </c>
      <c r="AD165" s="23"/>
      <c r="AE165" s="23"/>
      <c r="AF165" s="13">
        <v>0.0</v>
      </c>
      <c r="AG165" s="13">
        <v>4.5612</v>
      </c>
      <c r="AH165" s="8" t="b">
        <v>1</v>
      </c>
      <c r="AI165" s="8" t="b">
        <v>0</v>
      </c>
      <c r="AJ165" s="8" t="b">
        <v>0</v>
      </c>
      <c r="AK165" s="14">
        <f>IFERROR(__xludf.DUMMYFUNCTION("IFERROR(GOOGLEFINANCE(B165,""price""),"""")"),1.96)</f>
        <v>1.96</v>
      </c>
    </row>
    <row r="166">
      <c r="A166" s="15">
        <v>46072.8681818767</v>
      </c>
      <c r="B166" s="16" t="s">
        <v>533</v>
      </c>
      <c r="C166" s="16" t="s">
        <v>534</v>
      </c>
      <c r="D166" s="17">
        <v>46075.0</v>
      </c>
      <c r="E166" s="18">
        <v>1.79</v>
      </c>
      <c r="F166" s="16" t="s">
        <v>162</v>
      </c>
      <c r="G166" s="24"/>
      <c r="H166" s="24"/>
      <c r="I166" s="16" t="s">
        <v>561</v>
      </c>
      <c r="J166" s="21">
        <v>6.9332</v>
      </c>
      <c r="K166" s="16">
        <v>3.4805574E7</v>
      </c>
      <c r="L166" s="19">
        <v>0.03</v>
      </c>
      <c r="M166" s="19">
        <v>23.9394</v>
      </c>
      <c r="N166" s="16" t="s">
        <v>535</v>
      </c>
      <c r="O166" s="19">
        <v>-20.0893</v>
      </c>
      <c r="P166" s="20">
        <v>9.1538659E7</v>
      </c>
      <c r="Q166" s="21">
        <v>4.37</v>
      </c>
      <c r="R166" s="21">
        <v>1.74</v>
      </c>
      <c r="S166" s="21">
        <v>4.14</v>
      </c>
      <c r="T166" s="21">
        <v>1.4438</v>
      </c>
      <c r="U166" s="21">
        <v>84.6019</v>
      </c>
      <c r="V166" s="16">
        <v>9242210.0</v>
      </c>
      <c r="W166" s="21">
        <v>1018.6745</v>
      </c>
      <c r="X166" s="20">
        <v>913222.0402</v>
      </c>
      <c r="Y166" s="21">
        <v>7.8161</v>
      </c>
      <c r="Z166" s="21">
        <v>558.7059</v>
      </c>
      <c r="AA166" s="19">
        <v>14.3414</v>
      </c>
      <c r="AB166" s="21">
        <v>1565.46</v>
      </c>
      <c r="AC166" s="24"/>
      <c r="AD166" s="24"/>
      <c r="AE166" s="24"/>
      <c r="AF166" s="24"/>
      <c r="AG166" s="24"/>
      <c r="AH166" s="16" t="b">
        <v>0</v>
      </c>
      <c r="AI166" s="16" t="b">
        <v>0</v>
      </c>
      <c r="AJ166" s="16" t="b">
        <v>0</v>
      </c>
      <c r="AK166" s="22">
        <f>IFERROR(__xludf.DUMMYFUNCTION("IFERROR(GOOGLEFINANCE(B166,""price""),"""")"),3.88)</f>
        <v>3.88</v>
      </c>
    </row>
    <row r="167">
      <c r="A167" s="7">
        <v>46072.8681818767</v>
      </c>
      <c r="B167" s="8" t="s">
        <v>536</v>
      </c>
      <c r="C167" s="8" t="s">
        <v>537</v>
      </c>
      <c r="D167" s="9">
        <v>46075.0</v>
      </c>
      <c r="E167" s="10">
        <v>1.66</v>
      </c>
      <c r="F167" s="8" t="s">
        <v>117</v>
      </c>
      <c r="G167" s="23"/>
      <c r="H167" s="13">
        <v>-0.2819</v>
      </c>
      <c r="I167" s="8" t="s">
        <v>561</v>
      </c>
      <c r="J167" s="13">
        <v>6.8851</v>
      </c>
      <c r="K167" s="8">
        <v>8039010.0</v>
      </c>
      <c r="L167" s="11">
        <v>0.27</v>
      </c>
      <c r="M167" s="11">
        <v>18.9914</v>
      </c>
      <c r="N167" s="8" t="s">
        <v>539</v>
      </c>
      <c r="O167" s="11">
        <v>0.6061</v>
      </c>
      <c r="P167" s="12">
        <v>2411703.0</v>
      </c>
      <c r="Q167" s="13">
        <v>1.72</v>
      </c>
      <c r="R167" s="13">
        <v>1.42</v>
      </c>
      <c r="S167" s="13">
        <v>1.54</v>
      </c>
      <c r="T167" s="13">
        <v>0.087</v>
      </c>
      <c r="U167" s="13">
        <v>0.6446</v>
      </c>
      <c r="V167" s="13">
        <v>257855.3</v>
      </c>
      <c r="W167" s="13">
        <v>124.43</v>
      </c>
      <c r="X167" s="12">
        <v>1.3493825E7</v>
      </c>
      <c r="Y167" s="13">
        <v>1.6827</v>
      </c>
      <c r="Z167" s="13">
        <v>6.5715</v>
      </c>
      <c r="AA167" s="11">
        <v>49.7805</v>
      </c>
      <c r="AB167" s="13">
        <v>73.75</v>
      </c>
      <c r="AC167" s="13">
        <v>-3.9322</v>
      </c>
      <c r="AD167" s="13">
        <v>-8.6939</v>
      </c>
      <c r="AE167" s="13">
        <v>-21.6983</v>
      </c>
      <c r="AF167" s="13">
        <v>0.2135</v>
      </c>
      <c r="AG167" s="13">
        <v>1.7394</v>
      </c>
      <c r="AH167" s="8" t="b">
        <v>0</v>
      </c>
      <c r="AI167" s="8" t="b">
        <v>0</v>
      </c>
      <c r="AJ167" s="8" t="b">
        <v>0</v>
      </c>
      <c r="AK167" s="14">
        <f>IFERROR(__xludf.DUMMYFUNCTION("IFERROR(GOOGLEFINANCE(B167,""price""),"""")"),1.31)</f>
        <v>1.31</v>
      </c>
    </row>
    <row r="168">
      <c r="A168" s="15">
        <v>46072.8681818767</v>
      </c>
      <c r="B168" s="16" t="s">
        <v>540</v>
      </c>
      <c r="C168" s="16" t="s">
        <v>541</v>
      </c>
      <c r="D168" s="17">
        <v>46075.0</v>
      </c>
      <c r="E168" s="18">
        <v>1.0</v>
      </c>
      <c r="F168" s="16" t="s">
        <v>112</v>
      </c>
      <c r="G168" s="24"/>
      <c r="H168" s="21">
        <v>-0.0541</v>
      </c>
      <c r="I168" s="16" t="s">
        <v>562</v>
      </c>
      <c r="J168" s="21">
        <v>4.2653</v>
      </c>
      <c r="K168" s="16">
        <v>7122960.0</v>
      </c>
      <c r="L168" s="19">
        <v>0.82</v>
      </c>
      <c r="M168" s="19">
        <v>17.226</v>
      </c>
      <c r="N168" s="16" t="s">
        <v>543</v>
      </c>
      <c r="O168" s="19">
        <v>17.6471</v>
      </c>
      <c r="P168" s="20">
        <v>3116288.0</v>
      </c>
      <c r="Q168" s="21">
        <v>1.27</v>
      </c>
      <c r="R168" s="21">
        <v>0.8325</v>
      </c>
      <c r="S168" s="21">
        <v>0.85</v>
      </c>
      <c r="T168" s="21">
        <v>0.091</v>
      </c>
      <c r="U168" s="21">
        <v>0.2221</v>
      </c>
      <c r="V168" s="21">
        <v>324212.4</v>
      </c>
      <c r="W168" s="21">
        <v>186.6052</v>
      </c>
      <c r="X168" s="20">
        <v>3312000.0</v>
      </c>
      <c r="Y168" s="21">
        <v>0.7214</v>
      </c>
      <c r="Z168" s="21">
        <v>1.1469</v>
      </c>
      <c r="AA168" s="19">
        <v>75.544</v>
      </c>
      <c r="AB168" s="21">
        <v>2.933</v>
      </c>
      <c r="AC168" s="21">
        <v>-16.6184</v>
      </c>
      <c r="AD168" s="21">
        <v>-11.8012</v>
      </c>
      <c r="AE168" s="21">
        <v>2.8911</v>
      </c>
      <c r="AF168" s="21">
        <v>1.3522</v>
      </c>
      <c r="AG168" s="21">
        <v>1.1766</v>
      </c>
      <c r="AH168" s="16" t="b">
        <v>0</v>
      </c>
      <c r="AI168" s="16" t="b">
        <v>0</v>
      </c>
      <c r="AJ168" s="16" t="b">
        <v>0</v>
      </c>
      <c r="AK168" s="22">
        <f>IFERROR(__xludf.DUMMYFUNCTION("IFERROR(GOOGLEFINANCE(B168,""price""),"""")"),1.09)</f>
        <v>1.09</v>
      </c>
    </row>
    <row r="169">
      <c r="A169" s="7">
        <v>46072.8681818767</v>
      </c>
      <c r="B169" s="8" t="s">
        <v>544</v>
      </c>
      <c r="C169" s="8" t="s">
        <v>545</v>
      </c>
      <c r="D169" s="9">
        <v>46075.0</v>
      </c>
      <c r="E169" s="10">
        <v>1.93</v>
      </c>
      <c r="F169" s="8" t="s">
        <v>117</v>
      </c>
      <c r="G169" s="23"/>
      <c r="H169" s="13">
        <v>-20.2893</v>
      </c>
      <c r="I169" s="8" t="s">
        <v>413</v>
      </c>
      <c r="J169" s="13">
        <v>3.6404</v>
      </c>
      <c r="K169" s="8">
        <v>4.1492264E7</v>
      </c>
      <c r="L169" s="11">
        <v>0.73</v>
      </c>
      <c r="M169" s="11">
        <v>21.0285</v>
      </c>
      <c r="N169" s="8" t="s">
        <v>547</v>
      </c>
      <c r="O169" s="11">
        <v>50.7812</v>
      </c>
      <c r="P169" s="12">
        <v>3.6027733E7</v>
      </c>
      <c r="Q169" s="13">
        <v>2.29</v>
      </c>
      <c r="R169" s="13">
        <v>1.4217</v>
      </c>
      <c r="S169" s="13">
        <v>1.5</v>
      </c>
      <c r="T169" s="13">
        <v>0.3612</v>
      </c>
      <c r="U169" s="13">
        <v>0.9927</v>
      </c>
      <c r="V169" s="8">
        <v>3800703.0</v>
      </c>
      <c r="W169" s="13">
        <v>163.7781</v>
      </c>
      <c r="X169" s="12">
        <v>6850328.0</v>
      </c>
      <c r="Y169" s="13">
        <v>2.148</v>
      </c>
      <c r="Z169" s="13">
        <v>6.9878</v>
      </c>
      <c r="AA169" s="11">
        <v>50.5719</v>
      </c>
      <c r="AB169" s="13">
        <v>23.7</v>
      </c>
      <c r="AC169" s="13">
        <v>-203.3622</v>
      </c>
      <c r="AD169" s="23"/>
      <c r="AE169" s="23"/>
      <c r="AF169" s="13">
        <v>0.0</v>
      </c>
      <c r="AG169" s="13">
        <v>4.5635</v>
      </c>
      <c r="AH169" s="8" t="b">
        <v>0</v>
      </c>
      <c r="AI169" s="8" t="b">
        <v>0</v>
      </c>
      <c r="AJ169" s="8" t="b">
        <v>0</v>
      </c>
      <c r="AK169" s="14">
        <f>IFERROR(__xludf.DUMMYFUNCTION("IFERROR(GOOGLEFINANCE(B169,""price""),"""")"),1.22)</f>
        <v>1.22</v>
      </c>
    </row>
    <row r="170">
      <c r="A170" s="15">
        <v>46072.8681818767</v>
      </c>
      <c r="B170" s="16" t="s">
        <v>231</v>
      </c>
      <c r="C170" s="16" t="s">
        <v>232</v>
      </c>
      <c r="D170" s="17">
        <v>46075.0</v>
      </c>
      <c r="E170" s="18">
        <v>1.68</v>
      </c>
      <c r="F170" s="16" t="s">
        <v>117</v>
      </c>
      <c r="G170" s="24"/>
      <c r="H170" s="21">
        <v>-0.8638</v>
      </c>
      <c r="I170" s="16" t="s">
        <v>175</v>
      </c>
      <c r="J170" s="21">
        <v>0.4334</v>
      </c>
      <c r="K170" s="16">
        <v>4.10631E7</v>
      </c>
      <c r="L170" s="19">
        <v>0.67</v>
      </c>
      <c r="M170" s="19">
        <v>25.8102</v>
      </c>
      <c r="N170" s="16" t="s">
        <v>233</v>
      </c>
      <c r="O170" s="19">
        <v>0.5988</v>
      </c>
      <c r="P170" s="20">
        <v>2874417.0</v>
      </c>
      <c r="Q170" s="21">
        <v>1.68</v>
      </c>
      <c r="R170" s="21">
        <v>1.61</v>
      </c>
      <c r="S170" s="21">
        <v>1.67</v>
      </c>
      <c r="T170" s="21">
        <v>0.1045</v>
      </c>
      <c r="U170" s="21">
        <v>0.312</v>
      </c>
      <c r="V170" s="16">
        <v>1698599.0</v>
      </c>
      <c r="W170" s="21">
        <v>1.8057</v>
      </c>
      <c r="X170" s="20">
        <v>1.43084491E8</v>
      </c>
      <c r="Y170" s="21">
        <v>2.0369</v>
      </c>
      <c r="Z170" s="21">
        <v>1.9226</v>
      </c>
      <c r="AA170" s="19">
        <v>34.1766</v>
      </c>
      <c r="AB170" s="21">
        <v>3.06</v>
      </c>
      <c r="AC170" s="21">
        <v>-260.6519</v>
      </c>
      <c r="AD170" s="24"/>
      <c r="AE170" s="24"/>
      <c r="AF170" s="21">
        <v>2.7905</v>
      </c>
      <c r="AG170" s="21">
        <v>8.2355</v>
      </c>
      <c r="AH170" s="16" t="b">
        <v>1</v>
      </c>
      <c r="AI170" s="16" t="b">
        <v>0</v>
      </c>
      <c r="AJ170" s="16" t="b">
        <v>0</v>
      </c>
      <c r="AK170" s="22">
        <f>IFERROR(__xludf.DUMMYFUNCTION("IFERROR(GOOGLEFINANCE(B170,""price""),"""")"),2.02)</f>
        <v>2.02</v>
      </c>
    </row>
    <row r="171">
      <c r="A171" s="7">
        <v>46072.8681818767</v>
      </c>
      <c r="B171" s="8" t="s">
        <v>563</v>
      </c>
      <c r="C171" s="8" t="s">
        <v>564</v>
      </c>
      <c r="D171" s="9">
        <v>46075.0</v>
      </c>
      <c r="E171" s="10">
        <v>4.32</v>
      </c>
      <c r="F171" s="8" t="s">
        <v>117</v>
      </c>
      <c r="G171" s="13">
        <v>18.7581</v>
      </c>
      <c r="H171" s="13">
        <v>0.2303</v>
      </c>
      <c r="I171" s="8" t="s">
        <v>175</v>
      </c>
      <c r="J171" s="13">
        <v>0.4311</v>
      </c>
      <c r="K171" s="8">
        <v>4551114.0</v>
      </c>
      <c r="L171" s="11">
        <v>0.74</v>
      </c>
      <c r="M171" s="11">
        <v>22.7515</v>
      </c>
      <c r="N171" s="8" t="s">
        <v>565</v>
      </c>
      <c r="O171" s="11">
        <v>-1.1442</v>
      </c>
      <c r="P171" s="12">
        <v>1752179.0</v>
      </c>
      <c r="Q171" s="13">
        <v>4.45</v>
      </c>
      <c r="R171" s="13">
        <v>4.065</v>
      </c>
      <c r="S171" s="13">
        <v>4.4</v>
      </c>
      <c r="T171" s="13">
        <v>0.271</v>
      </c>
      <c r="U171" s="13">
        <v>0.7363</v>
      </c>
      <c r="V171" s="13">
        <v>589222.9</v>
      </c>
      <c r="W171" s="13">
        <v>3.8422</v>
      </c>
      <c r="X171" s="12">
        <v>1.291346158E9</v>
      </c>
      <c r="Y171" s="13">
        <v>5.0454</v>
      </c>
      <c r="Z171" s="13">
        <v>7.1575</v>
      </c>
      <c r="AA171" s="11">
        <v>29.041</v>
      </c>
      <c r="AB171" s="13">
        <v>12.38</v>
      </c>
      <c r="AC171" s="23"/>
      <c r="AD171" s="13">
        <v>7.1855</v>
      </c>
      <c r="AE171" s="13">
        <v>55.3846</v>
      </c>
      <c r="AF171" s="23"/>
      <c r="AG171" s="13">
        <v>1.4207</v>
      </c>
      <c r="AH171" s="8" t="b">
        <v>1</v>
      </c>
      <c r="AI171" s="8" t="b">
        <v>0</v>
      </c>
      <c r="AJ171" s="8" t="b">
        <v>0</v>
      </c>
      <c r="AK171" s="14">
        <f>IFERROR(__xludf.DUMMYFUNCTION("IFERROR(GOOGLEFINANCE(B171,""price""),"""")"),3.62)</f>
        <v>3.62</v>
      </c>
    </row>
    <row r="172">
      <c r="A172" s="15">
        <v>46072.8681818767</v>
      </c>
      <c r="B172" s="16" t="s">
        <v>566</v>
      </c>
      <c r="C172" s="16" t="s">
        <v>567</v>
      </c>
      <c r="D172" s="17">
        <v>46075.0</v>
      </c>
      <c r="E172" s="18">
        <v>1.05</v>
      </c>
      <c r="F172" s="16" t="s">
        <v>245</v>
      </c>
      <c r="G172" s="24"/>
      <c r="H172" s="21">
        <v>-0.8134</v>
      </c>
      <c r="I172" s="16" t="s">
        <v>179</v>
      </c>
      <c r="J172" s="21">
        <v>0.3712</v>
      </c>
      <c r="K172" s="16">
        <v>3.7864322E7</v>
      </c>
      <c r="L172" s="19">
        <v>0.99</v>
      </c>
      <c r="M172" s="19">
        <v>23.9618</v>
      </c>
      <c r="N172" s="16" t="s">
        <v>568</v>
      </c>
      <c r="O172" s="19">
        <v>0.9615</v>
      </c>
      <c r="P172" s="20">
        <v>3407789.0</v>
      </c>
      <c r="Q172" s="21">
        <v>1.08</v>
      </c>
      <c r="R172" s="21">
        <v>0.99</v>
      </c>
      <c r="S172" s="21">
        <v>1.06</v>
      </c>
      <c r="T172" s="21">
        <v>0.0773</v>
      </c>
      <c r="U172" s="21">
        <v>0.157</v>
      </c>
      <c r="V172" s="16">
        <v>1235176.0</v>
      </c>
      <c r="W172" s="21">
        <v>3.1818</v>
      </c>
      <c r="X172" s="20">
        <v>3.7625514E7</v>
      </c>
      <c r="Y172" s="21">
        <v>1.0047</v>
      </c>
      <c r="Z172" s="21">
        <v>1.1534</v>
      </c>
      <c r="AA172" s="19">
        <v>52.9187</v>
      </c>
      <c r="AB172" s="21">
        <v>2.75</v>
      </c>
      <c r="AC172" s="21">
        <v>-80.7464</v>
      </c>
      <c r="AD172" s="21">
        <v>-102.4843</v>
      </c>
      <c r="AE172" s="21">
        <v>-57.0621</v>
      </c>
      <c r="AF172" s="21">
        <v>0.0186</v>
      </c>
      <c r="AG172" s="21">
        <v>0.3305</v>
      </c>
      <c r="AH172" s="16" t="b">
        <v>1</v>
      </c>
      <c r="AI172" s="16" t="b">
        <v>0</v>
      </c>
      <c r="AJ172" s="16" t="b">
        <v>0</v>
      </c>
      <c r="AK172" s="22">
        <f>IFERROR(__xludf.DUMMYFUNCTION("IFERROR(GOOGLEFINANCE(B172,""price""),"""")"),0.69)</f>
        <v>0.69</v>
      </c>
    </row>
    <row r="173">
      <c r="A173" s="7">
        <v>46072.8681818767</v>
      </c>
      <c r="B173" s="8" t="s">
        <v>569</v>
      </c>
      <c r="C173" s="8" t="s">
        <v>570</v>
      </c>
      <c r="D173" s="9">
        <v>46075.0</v>
      </c>
      <c r="E173" s="10">
        <v>1.49</v>
      </c>
      <c r="F173" s="8" t="s">
        <v>117</v>
      </c>
      <c r="G173" s="23"/>
      <c r="H173" s="13">
        <v>-0.7486</v>
      </c>
      <c r="I173" s="8" t="s">
        <v>175</v>
      </c>
      <c r="J173" s="13">
        <v>0.2872</v>
      </c>
      <c r="K173" s="8">
        <v>4063030.0</v>
      </c>
      <c r="L173" s="11">
        <v>0.76</v>
      </c>
      <c r="M173" s="11">
        <v>13.8049</v>
      </c>
      <c r="N173" s="8" t="s">
        <v>571</v>
      </c>
      <c r="O173" s="11">
        <v>-0.6667</v>
      </c>
      <c r="P173" s="12">
        <v>406303.0</v>
      </c>
      <c r="Q173" s="13">
        <v>1.52</v>
      </c>
      <c r="R173" s="13">
        <v>1.42</v>
      </c>
      <c r="S173" s="13">
        <v>1.51</v>
      </c>
      <c r="T173" s="13">
        <v>0.1047</v>
      </c>
      <c r="U173" s="13">
        <v>0.2758</v>
      </c>
      <c r="V173" s="13">
        <v>229087.0</v>
      </c>
      <c r="W173" s="13">
        <v>1.9276</v>
      </c>
      <c r="X173" s="12">
        <v>4.5726452E7</v>
      </c>
      <c r="Y173" s="13">
        <v>1.5842</v>
      </c>
      <c r="Z173" s="13">
        <v>1.827</v>
      </c>
      <c r="AA173" s="11">
        <v>40.9597</v>
      </c>
      <c r="AB173" s="13">
        <v>3.21</v>
      </c>
      <c r="AC173" s="23"/>
      <c r="AD173" s="13">
        <v>-32.2471</v>
      </c>
      <c r="AE173" s="13">
        <v>-15.0235</v>
      </c>
      <c r="AF173" s="23"/>
      <c r="AG173" s="13">
        <v>0.854</v>
      </c>
      <c r="AH173" s="8" t="b">
        <v>1</v>
      </c>
      <c r="AI173" s="8" t="b">
        <v>0</v>
      </c>
      <c r="AJ173" s="8" t="b">
        <v>0</v>
      </c>
      <c r="AK173" s="14">
        <f>IFERROR(__xludf.DUMMYFUNCTION("IFERROR(GOOGLEFINANCE(B173,""price""),"""")"),1.73)</f>
        <v>1.73</v>
      </c>
    </row>
    <row r="174">
      <c r="A174" s="15">
        <v>46072.8681818767</v>
      </c>
      <c r="B174" s="16" t="s">
        <v>557</v>
      </c>
      <c r="C174" s="16" t="s">
        <v>558</v>
      </c>
      <c r="D174" s="17">
        <v>46075.0</v>
      </c>
      <c r="E174" s="18">
        <v>1.69</v>
      </c>
      <c r="F174" s="16" t="s">
        <v>93</v>
      </c>
      <c r="G174" s="24"/>
      <c r="H174" s="21">
        <v>-283.719</v>
      </c>
      <c r="I174" s="16" t="s">
        <v>175</v>
      </c>
      <c r="J174" s="21">
        <v>0.162</v>
      </c>
      <c r="K174" s="16">
        <v>2610219.0</v>
      </c>
      <c r="L174" s="19">
        <v>0.14</v>
      </c>
      <c r="M174" s="19">
        <v>24.9889</v>
      </c>
      <c r="N174" s="16" t="s">
        <v>559</v>
      </c>
      <c r="O174" s="19">
        <v>-4.5198</v>
      </c>
      <c r="P174" s="20">
        <v>704759.0</v>
      </c>
      <c r="Q174" s="21">
        <v>1.77</v>
      </c>
      <c r="R174" s="21">
        <v>1.5</v>
      </c>
      <c r="S174" s="21">
        <v>1.77</v>
      </c>
      <c r="T174" s="21">
        <v>0.9608</v>
      </c>
      <c r="U174" s="21">
        <v>13.4151</v>
      </c>
      <c r="V174" s="21">
        <v>335915.2803</v>
      </c>
      <c r="W174" s="21">
        <v>2.5883</v>
      </c>
      <c r="X174" s="20">
        <v>2082168.0</v>
      </c>
      <c r="Y174" s="21">
        <v>7.0028</v>
      </c>
      <c r="Z174" s="21">
        <v>189.9364</v>
      </c>
      <c r="AA174" s="19">
        <v>24.458</v>
      </c>
      <c r="AB174" s="21">
        <v>957.0026</v>
      </c>
      <c r="AC174" s="24"/>
      <c r="AD174" s="24"/>
      <c r="AE174" s="24"/>
      <c r="AF174" s="24"/>
      <c r="AG174" s="21">
        <v>0.1782</v>
      </c>
      <c r="AH174" s="16" t="b">
        <v>1</v>
      </c>
      <c r="AI174" s="16" t="b">
        <v>0</v>
      </c>
      <c r="AJ174" s="16" t="b">
        <v>0</v>
      </c>
      <c r="AK174" s="22">
        <f>IFERROR(__xludf.DUMMYFUNCTION("IFERROR(GOOGLEFINANCE(B174,""price""),"""")"),0.87)</f>
        <v>0.87</v>
      </c>
    </row>
    <row r="175">
      <c r="A175" s="7">
        <v>46072.87029630961</v>
      </c>
      <c r="B175" s="8" t="s">
        <v>529</v>
      </c>
      <c r="C175" s="8" t="s">
        <v>530</v>
      </c>
      <c r="D175" s="9">
        <v>46075.0</v>
      </c>
      <c r="E175" s="10">
        <v>2.42</v>
      </c>
      <c r="F175" s="8" t="s">
        <v>117</v>
      </c>
      <c r="G175" s="23"/>
      <c r="H175" s="13">
        <v>-94.8452</v>
      </c>
      <c r="I175" s="8" t="s">
        <v>560</v>
      </c>
      <c r="J175" s="13">
        <v>34.0127</v>
      </c>
      <c r="K175" s="8">
        <v>7.4689462E7</v>
      </c>
      <c r="L175" s="11">
        <v>0.32</v>
      </c>
      <c r="M175" s="11">
        <v>23.4622</v>
      </c>
      <c r="N175" s="8" t="s">
        <v>532</v>
      </c>
      <c r="O175" s="11">
        <v>8.0357</v>
      </c>
      <c r="P175" s="12">
        <v>1.7918002E7</v>
      </c>
      <c r="Q175" s="13">
        <v>2.47</v>
      </c>
      <c r="R175" s="13">
        <v>2.2301</v>
      </c>
      <c r="S175" s="13">
        <v>2.455</v>
      </c>
      <c r="T175" s="13">
        <v>0.3293</v>
      </c>
      <c r="U175" s="13">
        <v>2.0444</v>
      </c>
      <c r="V175" s="8">
        <v>1840646.0</v>
      </c>
      <c r="W175" s="13">
        <v>337.1753</v>
      </c>
      <c r="X175" s="12">
        <v>3364610.0</v>
      </c>
      <c r="Y175" s="13">
        <v>3.9746</v>
      </c>
      <c r="Z175" s="13">
        <v>16.2505</v>
      </c>
      <c r="AA175" s="11">
        <v>37.2004</v>
      </c>
      <c r="AB175" s="13">
        <v>54.0</v>
      </c>
      <c r="AC175" s="13">
        <v>-262.7794</v>
      </c>
      <c r="AD175" s="23"/>
      <c r="AE175" s="23"/>
      <c r="AF175" s="13">
        <v>0.0</v>
      </c>
      <c r="AG175" s="13">
        <v>4.5612</v>
      </c>
      <c r="AH175" s="8" t="b">
        <v>1</v>
      </c>
      <c r="AI175" s="8" t="b">
        <v>0</v>
      </c>
      <c r="AJ175" s="8" t="b">
        <v>0</v>
      </c>
      <c r="AK175" s="14">
        <f>IFERROR(__xludf.DUMMYFUNCTION("IFERROR(GOOGLEFINANCE(B175,""price""),"""")"),1.96)</f>
        <v>1.96</v>
      </c>
    </row>
    <row r="176">
      <c r="A176" s="15">
        <v>46072.87029630961</v>
      </c>
      <c r="B176" s="16" t="s">
        <v>533</v>
      </c>
      <c r="C176" s="16" t="s">
        <v>534</v>
      </c>
      <c r="D176" s="17">
        <v>46075.0</v>
      </c>
      <c r="E176" s="18">
        <v>1.79</v>
      </c>
      <c r="F176" s="16" t="s">
        <v>162</v>
      </c>
      <c r="G176" s="24"/>
      <c r="H176" s="24"/>
      <c r="I176" s="16" t="s">
        <v>561</v>
      </c>
      <c r="J176" s="21">
        <v>6.9332</v>
      </c>
      <c r="K176" s="16">
        <v>3.4805574E7</v>
      </c>
      <c r="L176" s="19">
        <v>0.03</v>
      </c>
      <c r="M176" s="19">
        <v>23.9394</v>
      </c>
      <c r="N176" s="16" t="s">
        <v>535</v>
      </c>
      <c r="O176" s="19">
        <v>-20.0893</v>
      </c>
      <c r="P176" s="20">
        <v>9.1538659E7</v>
      </c>
      <c r="Q176" s="21">
        <v>4.37</v>
      </c>
      <c r="R176" s="21">
        <v>1.74</v>
      </c>
      <c r="S176" s="21">
        <v>4.14</v>
      </c>
      <c r="T176" s="21">
        <v>1.4438</v>
      </c>
      <c r="U176" s="21">
        <v>84.6019</v>
      </c>
      <c r="V176" s="16">
        <v>9242210.0</v>
      </c>
      <c r="W176" s="21">
        <v>1018.6745</v>
      </c>
      <c r="X176" s="20">
        <v>913222.0402</v>
      </c>
      <c r="Y176" s="21">
        <v>7.8161</v>
      </c>
      <c r="Z176" s="21">
        <v>558.7059</v>
      </c>
      <c r="AA176" s="19">
        <v>14.3414</v>
      </c>
      <c r="AB176" s="21">
        <v>1565.46</v>
      </c>
      <c r="AC176" s="24"/>
      <c r="AD176" s="24"/>
      <c r="AE176" s="24"/>
      <c r="AF176" s="24"/>
      <c r="AG176" s="24"/>
      <c r="AH176" s="16" t="b">
        <v>0</v>
      </c>
      <c r="AI176" s="16" t="b">
        <v>0</v>
      </c>
      <c r="AJ176" s="16" t="b">
        <v>0</v>
      </c>
      <c r="AK176" s="22">
        <f>IFERROR(__xludf.DUMMYFUNCTION("IFERROR(GOOGLEFINANCE(B176,""price""),"""")"),3.88)</f>
        <v>3.88</v>
      </c>
    </row>
    <row r="177">
      <c r="A177" s="7">
        <v>46072.87029630961</v>
      </c>
      <c r="B177" s="8" t="s">
        <v>536</v>
      </c>
      <c r="C177" s="8" t="s">
        <v>537</v>
      </c>
      <c r="D177" s="9">
        <v>46075.0</v>
      </c>
      <c r="E177" s="10">
        <v>1.66</v>
      </c>
      <c r="F177" s="8" t="s">
        <v>117</v>
      </c>
      <c r="G177" s="23"/>
      <c r="H177" s="13">
        <v>-0.2819</v>
      </c>
      <c r="I177" s="8" t="s">
        <v>561</v>
      </c>
      <c r="J177" s="13">
        <v>6.8851</v>
      </c>
      <c r="K177" s="8">
        <v>8039010.0</v>
      </c>
      <c r="L177" s="11">
        <v>0.27</v>
      </c>
      <c r="M177" s="11">
        <v>18.9914</v>
      </c>
      <c r="N177" s="8" t="s">
        <v>539</v>
      </c>
      <c r="O177" s="11">
        <v>0.6061</v>
      </c>
      <c r="P177" s="12">
        <v>2411703.0</v>
      </c>
      <c r="Q177" s="13">
        <v>1.72</v>
      </c>
      <c r="R177" s="13">
        <v>1.42</v>
      </c>
      <c r="S177" s="13">
        <v>1.54</v>
      </c>
      <c r="T177" s="13">
        <v>0.087</v>
      </c>
      <c r="U177" s="13">
        <v>0.6446</v>
      </c>
      <c r="V177" s="13">
        <v>257855.3</v>
      </c>
      <c r="W177" s="13">
        <v>124.43</v>
      </c>
      <c r="X177" s="12">
        <v>1.3493825E7</v>
      </c>
      <c r="Y177" s="13">
        <v>1.6827</v>
      </c>
      <c r="Z177" s="13">
        <v>6.5715</v>
      </c>
      <c r="AA177" s="11">
        <v>49.7805</v>
      </c>
      <c r="AB177" s="13">
        <v>73.75</v>
      </c>
      <c r="AC177" s="13">
        <v>-3.9322</v>
      </c>
      <c r="AD177" s="13">
        <v>-8.6939</v>
      </c>
      <c r="AE177" s="13">
        <v>-21.6983</v>
      </c>
      <c r="AF177" s="13">
        <v>0.2135</v>
      </c>
      <c r="AG177" s="13">
        <v>1.7394</v>
      </c>
      <c r="AH177" s="8" t="b">
        <v>0</v>
      </c>
      <c r="AI177" s="8" t="b">
        <v>0</v>
      </c>
      <c r="AJ177" s="8" t="b">
        <v>0</v>
      </c>
      <c r="AK177" s="14">
        <f>IFERROR(__xludf.DUMMYFUNCTION("IFERROR(GOOGLEFINANCE(B177,""price""),"""")"),1.31)</f>
        <v>1.31</v>
      </c>
    </row>
    <row r="178">
      <c r="A178" s="15">
        <v>46072.87029630961</v>
      </c>
      <c r="B178" s="16" t="s">
        <v>540</v>
      </c>
      <c r="C178" s="16" t="s">
        <v>541</v>
      </c>
      <c r="D178" s="17">
        <v>46075.0</v>
      </c>
      <c r="E178" s="18">
        <v>1.0</v>
      </c>
      <c r="F178" s="16" t="s">
        <v>112</v>
      </c>
      <c r="G178" s="24"/>
      <c r="H178" s="21">
        <v>-0.0541</v>
      </c>
      <c r="I178" s="16" t="s">
        <v>562</v>
      </c>
      <c r="J178" s="21">
        <v>4.2653</v>
      </c>
      <c r="K178" s="16">
        <v>7122960.0</v>
      </c>
      <c r="L178" s="19">
        <v>0.82</v>
      </c>
      <c r="M178" s="19">
        <v>17.226</v>
      </c>
      <c r="N178" s="16" t="s">
        <v>543</v>
      </c>
      <c r="O178" s="19">
        <v>17.6471</v>
      </c>
      <c r="P178" s="20">
        <v>3116288.0</v>
      </c>
      <c r="Q178" s="21">
        <v>1.27</v>
      </c>
      <c r="R178" s="21">
        <v>0.8325</v>
      </c>
      <c r="S178" s="21">
        <v>0.85</v>
      </c>
      <c r="T178" s="21">
        <v>0.091</v>
      </c>
      <c r="U178" s="21">
        <v>0.2221</v>
      </c>
      <c r="V178" s="21">
        <v>324212.4</v>
      </c>
      <c r="W178" s="21">
        <v>186.6052</v>
      </c>
      <c r="X178" s="20">
        <v>3312000.0</v>
      </c>
      <c r="Y178" s="21">
        <v>0.7214</v>
      </c>
      <c r="Z178" s="21">
        <v>1.1469</v>
      </c>
      <c r="AA178" s="19">
        <v>75.544</v>
      </c>
      <c r="AB178" s="21">
        <v>2.933</v>
      </c>
      <c r="AC178" s="21">
        <v>-16.6184</v>
      </c>
      <c r="AD178" s="21">
        <v>-11.8012</v>
      </c>
      <c r="AE178" s="21">
        <v>2.8911</v>
      </c>
      <c r="AF178" s="21">
        <v>1.3522</v>
      </c>
      <c r="AG178" s="21">
        <v>1.1766</v>
      </c>
      <c r="AH178" s="16" t="b">
        <v>0</v>
      </c>
      <c r="AI178" s="16" t="b">
        <v>0</v>
      </c>
      <c r="AJ178" s="16" t="b">
        <v>0</v>
      </c>
      <c r="AK178" s="22">
        <f>IFERROR(__xludf.DUMMYFUNCTION("IFERROR(GOOGLEFINANCE(B178,""price""),"""")"),1.09)</f>
        <v>1.09</v>
      </c>
    </row>
    <row r="179">
      <c r="A179" s="7">
        <v>46072.87029630961</v>
      </c>
      <c r="B179" s="8" t="s">
        <v>544</v>
      </c>
      <c r="C179" s="8" t="s">
        <v>545</v>
      </c>
      <c r="D179" s="9">
        <v>46075.0</v>
      </c>
      <c r="E179" s="10">
        <v>1.93</v>
      </c>
      <c r="F179" s="8" t="s">
        <v>117</v>
      </c>
      <c r="G179" s="23"/>
      <c r="H179" s="13">
        <v>-20.2893</v>
      </c>
      <c r="I179" s="8" t="s">
        <v>413</v>
      </c>
      <c r="J179" s="13">
        <v>3.6404</v>
      </c>
      <c r="K179" s="8">
        <v>4.1492264E7</v>
      </c>
      <c r="L179" s="11">
        <v>0.73</v>
      </c>
      <c r="M179" s="11">
        <v>21.0285</v>
      </c>
      <c r="N179" s="8" t="s">
        <v>547</v>
      </c>
      <c r="O179" s="11">
        <v>50.7812</v>
      </c>
      <c r="P179" s="12">
        <v>3.6027733E7</v>
      </c>
      <c r="Q179" s="13">
        <v>2.29</v>
      </c>
      <c r="R179" s="13">
        <v>1.4217</v>
      </c>
      <c r="S179" s="13">
        <v>1.5</v>
      </c>
      <c r="T179" s="13">
        <v>0.3612</v>
      </c>
      <c r="U179" s="13">
        <v>0.9927</v>
      </c>
      <c r="V179" s="8">
        <v>3800703.0</v>
      </c>
      <c r="W179" s="13">
        <v>163.7781</v>
      </c>
      <c r="X179" s="12">
        <v>6850328.0</v>
      </c>
      <c r="Y179" s="13">
        <v>2.148</v>
      </c>
      <c r="Z179" s="13">
        <v>6.9878</v>
      </c>
      <c r="AA179" s="11">
        <v>50.5719</v>
      </c>
      <c r="AB179" s="13">
        <v>23.7</v>
      </c>
      <c r="AC179" s="13">
        <v>-203.3622</v>
      </c>
      <c r="AD179" s="23"/>
      <c r="AE179" s="23"/>
      <c r="AF179" s="13">
        <v>0.0</v>
      </c>
      <c r="AG179" s="13">
        <v>4.5635</v>
      </c>
      <c r="AH179" s="8" t="b">
        <v>0</v>
      </c>
      <c r="AI179" s="8" t="b">
        <v>0</v>
      </c>
      <c r="AJ179" s="8" t="b">
        <v>0</v>
      </c>
      <c r="AK179" s="14">
        <f>IFERROR(__xludf.DUMMYFUNCTION("IFERROR(GOOGLEFINANCE(B179,""price""),"""")"),1.22)</f>
        <v>1.22</v>
      </c>
    </row>
    <row r="180">
      <c r="A180" s="15">
        <v>46072.87029630961</v>
      </c>
      <c r="B180" s="16" t="s">
        <v>231</v>
      </c>
      <c r="C180" s="16" t="s">
        <v>232</v>
      </c>
      <c r="D180" s="17">
        <v>46075.0</v>
      </c>
      <c r="E180" s="18">
        <v>1.68</v>
      </c>
      <c r="F180" s="16" t="s">
        <v>117</v>
      </c>
      <c r="G180" s="24"/>
      <c r="H180" s="21">
        <v>-0.8638</v>
      </c>
      <c r="I180" s="16" t="s">
        <v>175</v>
      </c>
      <c r="J180" s="21">
        <v>0.4334</v>
      </c>
      <c r="K180" s="16">
        <v>4.10631E7</v>
      </c>
      <c r="L180" s="19">
        <v>0.67</v>
      </c>
      <c r="M180" s="19">
        <v>25.8102</v>
      </c>
      <c r="N180" s="16" t="s">
        <v>233</v>
      </c>
      <c r="O180" s="19">
        <v>0.5988</v>
      </c>
      <c r="P180" s="20">
        <v>2874417.0</v>
      </c>
      <c r="Q180" s="21">
        <v>1.68</v>
      </c>
      <c r="R180" s="21">
        <v>1.61</v>
      </c>
      <c r="S180" s="21">
        <v>1.67</v>
      </c>
      <c r="T180" s="21">
        <v>0.1045</v>
      </c>
      <c r="U180" s="21">
        <v>0.312</v>
      </c>
      <c r="V180" s="16">
        <v>1698599.0</v>
      </c>
      <c r="W180" s="21">
        <v>1.8057</v>
      </c>
      <c r="X180" s="20">
        <v>1.43084491E8</v>
      </c>
      <c r="Y180" s="21">
        <v>2.0369</v>
      </c>
      <c r="Z180" s="21">
        <v>1.9226</v>
      </c>
      <c r="AA180" s="19">
        <v>34.1766</v>
      </c>
      <c r="AB180" s="21">
        <v>3.06</v>
      </c>
      <c r="AC180" s="21">
        <v>-260.6519</v>
      </c>
      <c r="AD180" s="24"/>
      <c r="AE180" s="24"/>
      <c r="AF180" s="21">
        <v>2.7905</v>
      </c>
      <c r="AG180" s="21">
        <v>8.2355</v>
      </c>
      <c r="AH180" s="16" t="b">
        <v>1</v>
      </c>
      <c r="AI180" s="16" t="b">
        <v>0</v>
      </c>
      <c r="AJ180" s="16" t="b">
        <v>0</v>
      </c>
      <c r="AK180" s="22">
        <f>IFERROR(__xludf.DUMMYFUNCTION("IFERROR(GOOGLEFINANCE(B180,""price""),"""")"),2.02)</f>
        <v>2.02</v>
      </c>
    </row>
    <row r="181">
      <c r="A181" s="7">
        <v>46072.87029630961</v>
      </c>
      <c r="B181" s="8" t="s">
        <v>563</v>
      </c>
      <c r="C181" s="8" t="s">
        <v>564</v>
      </c>
      <c r="D181" s="9">
        <v>46075.0</v>
      </c>
      <c r="E181" s="10">
        <v>4.32</v>
      </c>
      <c r="F181" s="8" t="s">
        <v>117</v>
      </c>
      <c r="G181" s="13">
        <v>18.7581</v>
      </c>
      <c r="H181" s="13">
        <v>0.2303</v>
      </c>
      <c r="I181" s="8" t="s">
        <v>175</v>
      </c>
      <c r="J181" s="13">
        <v>0.4311</v>
      </c>
      <c r="K181" s="8">
        <v>4551114.0</v>
      </c>
      <c r="L181" s="11">
        <v>0.74</v>
      </c>
      <c r="M181" s="11">
        <v>22.7515</v>
      </c>
      <c r="N181" s="8" t="s">
        <v>565</v>
      </c>
      <c r="O181" s="11">
        <v>-1.1442</v>
      </c>
      <c r="P181" s="12">
        <v>1752179.0</v>
      </c>
      <c r="Q181" s="13">
        <v>4.45</v>
      </c>
      <c r="R181" s="13">
        <v>4.065</v>
      </c>
      <c r="S181" s="13">
        <v>4.4</v>
      </c>
      <c r="T181" s="13">
        <v>0.271</v>
      </c>
      <c r="U181" s="13">
        <v>0.7363</v>
      </c>
      <c r="V181" s="13">
        <v>589222.9</v>
      </c>
      <c r="W181" s="13">
        <v>3.8422</v>
      </c>
      <c r="X181" s="12">
        <v>1.291346158E9</v>
      </c>
      <c r="Y181" s="13">
        <v>5.0454</v>
      </c>
      <c r="Z181" s="13">
        <v>7.1575</v>
      </c>
      <c r="AA181" s="11">
        <v>29.041</v>
      </c>
      <c r="AB181" s="13">
        <v>12.38</v>
      </c>
      <c r="AC181" s="23"/>
      <c r="AD181" s="13">
        <v>7.1855</v>
      </c>
      <c r="AE181" s="13">
        <v>55.3846</v>
      </c>
      <c r="AF181" s="23"/>
      <c r="AG181" s="13">
        <v>1.4207</v>
      </c>
      <c r="AH181" s="8" t="b">
        <v>1</v>
      </c>
      <c r="AI181" s="8" t="b">
        <v>0</v>
      </c>
      <c r="AJ181" s="8" t="b">
        <v>0</v>
      </c>
      <c r="AK181" s="14">
        <f>IFERROR(__xludf.DUMMYFUNCTION("IFERROR(GOOGLEFINANCE(B181,""price""),"""")"),3.62)</f>
        <v>3.62</v>
      </c>
    </row>
    <row r="182">
      <c r="A182" s="15">
        <v>46072.87029630961</v>
      </c>
      <c r="B182" s="16" t="s">
        <v>566</v>
      </c>
      <c r="C182" s="16" t="s">
        <v>567</v>
      </c>
      <c r="D182" s="17">
        <v>46075.0</v>
      </c>
      <c r="E182" s="18">
        <v>1.05</v>
      </c>
      <c r="F182" s="16" t="s">
        <v>245</v>
      </c>
      <c r="G182" s="24"/>
      <c r="H182" s="21">
        <v>-0.8134</v>
      </c>
      <c r="I182" s="16" t="s">
        <v>179</v>
      </c>
      <c r="J182" s="21">
        <v>0.3712</v>
      </c>
      <c r="K182" s="16">
        <v>3.7864322E7</v>
      </c>
      <c r="L182" s="19">
        <v>0.99</v>
      </c>
      <c r="M182" s="19">
        <v>23.9618</v>
      </c>
      <c r="N182" s="16" t="s">
        <v>568</v>
      </c>
      <c r="O182" s="19">
        <v>0.9615</v>
      </c>
      <c r="P182" s="20">
        <v>3407789.0</v>
      </c>
      <c r="Q182" s="21">
        <v>1.08</v>
      </c>
      <c r="R182" s="21">
        <v>0.99</v>
      </c>
      <c r="S182" s="21">
        <v>1.06</v>
      </c>
      <c r="T182" s="21">
        <v>0.0773</v>
      </c>
      <c r="U182" s="21">
        <v>0.157</v>
      </c>
      <c r="V182" s="16">
        <v>1235176.0</v>
      </c>
      <c r="W182" s="21">
        <v>3.1818</v>
      </c>
      <c r="X182" s="20">
        <v>3.7625514E7</v>
      </c>
      <c r="Y182" s="21">
        <v>1.0047</v>
      </c>
      <c r="Z182" s="21">
        <v>1.1534</v>
      </c>
      <c r="AA182" s="19">
        <v>52.9187</v>
      </c>
      <c r="AB182" s="21">
        <v>2.75</v>
      </c>
      <c r="AC182" s="21">
        <v>-80.7464</v>
      </c>
      <c r="AD182" s="21">
        <v>-102.4843</v>
      </c>
      <c r="AE182" s="21">
        <v>-57.0621</v>
      </c>
      <c r="AF182" s="21">
        <v>0.0186</v>
      </c>
      <c r="AG182" s="21">
        <v>0.3305</v>
      </c>
      <c r="AH182" s="16" t="b">
        <v>1</v>
      </c>
      <c r="AI182" s="16" t="b">
        <v>0</v>
      </c>
      <c r="AJ182" s="16" t="b">
        <v>0</v>
      </c>
      <c r="AK182" s="22">
        <f>IFERROR(__xludf.DUMMYFUNCTION("IFERROR(GOOGLEFINANCE(B182,""price""),"""")"),0.69)</f>
        <v>0.69</v>
      </c>
    </row>
    <row r="183">
      <c r="A183" s="7">
        <v>46072.87029630961</v>
      </c>
      <c r="B183" s="8" t="s">
        <v>569</v>
      </c>
      <c r="C183" s="8" t="s">
        <v>570</v>
      </c>
      <c r="D183" s="9">
        <v>46075.0</v>
      </c>
      <c r="E183" s="10">
        <v>1.49</v>
      </c>
      <c r="F183" s="8" t="s">
        <v>117</v>
      </c>
      <c r="G183" s="23"/>
      <c r="H183" s="13">
        <v>-0.7486</v>
      </c>
      <c r="I183" s="8" t="s">
        <v>175</v>
      </c>
      <c r="J183" s="13">
        <v>0.2872</v>
      </c>
      <c r="K183" s="8">
        <v>4063030.0</v>
      </c>
      <c r="L183" s="11">
        <v>0.76</v>
      </c>
      <c r="M183" s="11">
        <v>13.8049</v>
      </c>
      <c r="N183" s="8" t="s">
        <v>571</v>
      </c>
      <c r="O183" s="11">
        <v>-0.6667</v>
      </c>
      <c r="P183" s="12">
        <v>406303.0</v>
      </c>
      <c r="Q183" s="13">
        <v>1.52</v>
      </c>
      <c r="R183" s="13">
        <v>1.42</v>
      </c>
      <c r="S183" s="13">
        <v>1.51</v>
      </c>
      <c r="T183" s="13">
        <v>0.1047</v>
      </c>
      <c r="U183" s="13">
        <v>0.2758</v>
      </c>
      <c r="V183" s="13">
        <v>229087.0</v>
      </c>
      <c r="W183" s="13">
        <v>1.9276</v>
      </c>
      <c r="X183" s="12">
        <v>4.5726452E7</v>
      </c>
      <c r="Y183" s="13">
        <v>1.5842</v>
      </c>
      <c r="Z183" s="13">
        <v>1.827</v>
      </c>
      <c r="AA183" s="11">
        <v>40.9597</v>
      </c>
      <c r="AB183" s="13">
        <v>3.21</v>
      </c>
      <c r="AC183" s="23"/>
      <c r="AD183" s="13">
        <v>-32.2471</v>
      </c>
      <c r="AE183" s="13">
        <v>-15.0235</v>
      </c>
      <c r="AF183" s="23"/>
      <c r="AG183" s="13">
        <v>0.854</v>
      </c>
      <c r="AH183" s="8" t="b">
        <v>1</v>
      </c>
      <c r="AI183" s="8" t="b">
        <v>0</v>
      </c>
      <c r="AJ183" s="8" t="b">
        <v>0</v>
      </c>
      <c r="AK183" s="14">
        <f>IFERROR(__xludf.DUMMYFUNCTION("IFERROR(GOOGLEFINANCE(B183,""price""),"""")"),1.73)</f>
        <v>1.73</v>
      </c>
    </row>
    <row r="184">
      <c r="A184" s="15">
        <v>46072.87029630961</v>
      </c>
      <c r="B184" s="16" t="s">
        <v>557</v>
      </c>
      <c r="C184" s="16" t="s">
        <v>558</v>
      </c>
      <c r="D184" s="17">
        <v>46075.0</v>
      </c>
      <c r="E184" s="18">
        <v>1.69</v>
      </c>
      <c r="F184" s="16" t="s">
        <v>93</v>
      </c>
      <c r="G184" s="24"/>
      <c r="H184" s="21">
        <v>-283.719</v>
      </c>
      <c r="I184" s="16" t="s">
        <v>175</v>
      </c>
      <c r="J184" s="21">
        <v>0.162</v>
      </c>
      <c r="K184" s="16">
        <v>2610219.0</v>
      </c>
      <c r="L184" s="19">
        <v>0.14</v>
      </c>
      <c r="M184" s="19">
        <v>24.9889</v>
      </c>
      <c r="N184" s="16" t="s">
        <v>559</v>
      </c>
      <c r="O184" s="19">
        <v>-4.5198</v>
      </c>
      <c r="P184" s="20">
        <v>704759.0</v>
      </c>
      <c r="Q184" s="21">
        <v>1.77</v>
      </c>
      <c r="R184" s="21">
        <v>1.5</v>
      </c>
      <c r="S184" s="21">
        <v>1.77</v>
      </c>
      <c r="T184" s="21">
        <v>0.9608</v>
      </c>
      <c r="U184" s="21">
        <v>13.4151</v>
      </c>
      <c r="V184" s="21">
        <v>335915.2803</v>
      </c>
      <c r="W184" s="21">
        <v>2.5883</v>
      </c>
      <c r="X184" s="20">
        <v>2082168.0</v>
      </c>
      <c r="Y184" s="21">
        <v>7.0028</v>
      </c>
      <c r="Z184" s="21">
        <v>189.9364</v>
      </c>
      <c r="AA184" s="19">
        <v>24.458</v>
      </c>
      <c r="AB184" s="21">
        <v>957.0026</v>
      </c>
      <c r="AC184" s="24"/>
      <c r="AD184" s="24"/>
      <c r="AE184" s="24"/>
      <c r="AF184" s="24"/>
      <c r="AG184" s="21">
        <v>0.1782</v>
      </c>
      <c r="AH184" s="16" t="b">
        <v>1</v>
      </c>
      <c r="AI184" s="16" t="b">
        <v>0</v>
      </c>
      <c r="AJ184" s="16" t="b">
        <v>0</v>
      </c>
      <c r="AK184" s="22">
        <f>IFERROR(__xludf.DUMMYFUNCTION("IFERROR(GOOGLEFINANCE(B184,""price""),"""")"),0.87)</f>
        <v>0.87</v>
      </c>
    </row>
    <row r="185">
      <c r="A185" s="7">
        <v>46072.87250923243</v>
      </c>
      <c r="B185" s="8" t="s">
        <v>529</v>
      </c>
      <c r="C185" s="8" t="s">
        <v>530</v>
      </c>
      <c r="D185" s="9">
        <v>46075.0</v>
      </c>
      <c r="E185" s="10">
        <v>2.42</v>
      </c>
      <c r="F185" s="8" t="s">
        <v>117</v>
      </c>
      <c r="G185" s="23"/>
      <c r="H185" s="13">
        <v>-94.8452</v>
      </c>
      <c r="I185" s="8" t="s">
        <v>560</v>
      </c>
      <c r="J185" s="13">
        <v>34.0127</v>
      </c>
      <c r="K185" s="8">
        <v>7.4689462E7</v>
      </c>
      <c r="L185" s="11">
        <v>0.32</v>
      </c>
      <c r="M185" s="11">
        <v>23.4622</v>
      </c>
      <c r="N185" s="8" t="s">
        <v>532</v>
      </c>
      <c r="O185" s="11">
        <v>8.0357</v>
      </c>
      <c r="P185" s="12">
        <v>1.7918002E7</v>
      </c>
      <c r="Q185" s="13">
        <v>2.47</v>
      </c>
      <c r="R185" s="13">
        <v>2.2301</v>
      </c>
      <c r="S185" s="13">
        <v>2.455</v>
      </c>
      <c r="T185" s="13">
        <v>0.3293</v>
      </c>
      <c r="U185" s="13">
        <v>2.0444</v>
      </c>
      <c r="V185" s="8">
        <v>1840646.0</v>
      </c>
      <c r="W185" s="13">
        <v>337.1753</v>
      </c>
      <c r="X185" s="12">
        <v>3364610.0</v>
      </c>
      <c r="Y185" s="13">
        <v>3.9746</v>
      </c>
      <c r="Z185" s="13">
        <v>16.2505</v>
      </c>
      <c r="AA185" s="11">
        <v>37.2004</v>
      </c>
      <c r="AB185" s="13">
        <v>54.0</v>
      </c>
      <c r="AC185" s="13">
        <v>-262.7794</v>
      </c>
      <c r="AD185" s="23"/>
      <c r="AE185" s="23"/>
      <c r="AF185" s="13">
        <v>0.0</v>
      </c>
      <c r="AG185" s="13">
        <v>4.5612</v>
      </c>
      <c r="AH185" s="8" t="b">
        <v>1</v>
      </c>
      <c r="AI185" s="8" t="b">
        <v>0</v>
      </c>
      <c r="AJ185" s="8" t="b">
        <v>0</v>
      </c>
      <c r="AK185" s="14">
        <f>IFERROR(__xludf.DUMMYFUNCTION("IFERROR(GOOGLEFINANCE(B185,""price""),"""")"),1.96)</f>
        <v>1.96</v>
      </c>
    </row>
    <row r="186">
      <c r="A186" s="15">
        <v>46072.87250923243</v>
      </c>
      <c r="B186" s="16" t="s">
        <v>533</v>
      </c>
      <c r="C186" s="16" t="s">
        <v>534</v>
      </c>
      <c r="D186" s="17">
        <v>46075.0</v>
      </c>
      <c r="E186" s="18">
        <v>1.79</v>
      </c>
      <c r="F186" s="16" t="s">
        <v>162</v>
      </c>
      <c r="G186" s="24"/>
      <c r="H186" s="24"/>
      <c r="I186" s="16" t="s">
        <v>561</v>
      </c>
      <c r="J186" s="21">
        <v>6.9332</v>
      </c>
      <c r="K186" s="16">
        <v>3.4805574E7</v>
      </c>
      <c r="L186" s="19">
        <v>0.03</v>
      </c>
      <c r="M186" s="19">
        <v>23.9394</v>
      </c>
      <c r="N186" s="16" t="s">
        <v>535</v>
      </c>
      <c r="O186" s="19">
        <v>-20.0893</v>
      </c>
      <c r="P186" s="20">
        <v>9.1538659E7</v>
      </c>
      <c r="Q186" s="21">
        <v>4.37</v>
      </c>
      <c r="R186" s="21">
        <v>1.74</v>
      </c>
      <c r="S186" s="21">
        <v>4.14</v>
      </c>
      <c r="T186" s="21">
        <v>1.4438</v>
      </c>
      <c r="U186" s="21">
        <v>84.6019</v>
      </c>
      <c r="V186" s="16">
        <v>9242210.0</v>
      </c>
      <c r="W186" s="21">
        <v>1018.6745</v>
      </c>
      <c r="X186" s="20">
        <v>913222.0402</v>
      </c>
      <c r="Y186" s="21">
        <v>7.8161</v>
      </c>
      <c r="Z186" s="21">
        <v>558.7059</v>
      </c>
      <c r="AA186" s="19">
        <v>14.3414</v>
      </c>
      <c r="AB186" s="21">
        <v>1565.46</v>
      </c>
      <c r="AC186" s="24"/>
      <c r="AD186" s="24"/>
      <c r="AE186" s="24"/>
      <c r="AF186" s="24"/>
      <c r="AG186" s="24"/>
      <c r="AH186" s="16" t="b">
        <v>0</v>
      </c>
      <c r="AI186" s="16" t="b">
        <v>0</v>
      </c>
      <c r="AJ186" s="16" t="b">
        <v>0</v>
      </c>
      <c r="AK186" s="22">
        <f>IFERROR(__xludf.DUMMYFUNCTION("IFERROR(GOOGLEFINANCE(B186,""price""),"""")"),3.88)</f>
        <v>3.88</v>
      </c>
    </row>
    <row r="187">
      <c r="A187" s="7">
        <v>46072.87250923243</v>
      </c>
      <c r="B187" s="8" t="s">
        <v>536</v>
      </c>
      <c r="C187" s="8" t="s">
        <v>537</v>
      </c>
      <c r="D187" s="9">
        <v>46075.0</v>
      </c>
      <c r="E187" s="10">
        <v>1.66</v>
      </c>
      <c r="F187" s="8" t="s">
        <v>117</v>
      </c>
      <c r="G187" s="23"/>
      <c r="H187" s="13">
        <v>-0.2819</v>
      </c>
      <c r="I187" s="8" t="s">
        <v>561</v>
      </c>
      <c r="J187" s="13">
        <v>6.8851</v>
      </c>
      <c r="K187" s="8">
        <v>8039010.0</v>
      </c>
      <c r="L187" s="11">
        <v>0.27</v>
      </c>
      <c r="M187" s="11">
        <v>18.9914</v>
      </c>
      <c r="N187" s="8" t="s">
        <v>539</v>
      </c>
      <c r="O187" s="11">
        <v>0.6061</v>
      </c>
      <c r="P187" s="12">
        <v>2411703.0</v>
      </c>
      <c r="Q187" s="13">
        <v>1.72</v>
      </c>
      <c r="R187" s="13">
        <v>1.42</v>
      </c>
      <c r="S187" s="13">
        <v>1.54</v>
      </c>
      <c r="T187" s="13">
        <v>0.087</v>
      </c>
      <c r="U187" s="13">
        <v>0.6446</v>
      </c>
      <c r="V187" s="13">
        <v>257855.3</v>
      </c>
      <c r="W187" s="13">
        <v>124.43</v>
      </c>
      <c r="X187" s="12">
        <v>1.3493825E7</v>
      </c>
      <c r="Y187" s="13">
        <v>1.6827</v>
      </c>
      <c r="Z187" s="13">
        <v>6.5715</v>
      </c>
      <c r="AA187" s="11">
        <v>49.7805</v>
      </c>
      <c r="AB187" s="13">
        <v>73.75</v>
      </c>
      <c r="AC187" s="13">
        <v>-3.9322</v>
      </c>
      <c r="AD187" s="13">
        <v>-8.6939</v>
      </c>
      <c r="AE187" s="13">
        <v>-21.6983</v>
      </c>
      <c r="AF187" s="13">
        <v>0.2135</v>
      </c>
      <c r="AG187" s="13">
        <v>1.7394</v>
      </c>
      <c r="AH187" s="8" t="b">
        <v>0</v>
      </c>
      <c r="AI187" s="8" t="b">
        <v>0</v>
      </c>
      <c r="AJ187" s="8" t="b">
        <v>0</v>
      </c>
      <c r="AK187" s="14">
        <f>IFERROR(__xludf.DUMMYFUNCTION("IFERROR(GOOGLEFINANCE(B187,""price""),"""")"),1.31)</f>
        <v>1.31</v>
      </c>
    </row>
    <row r="188">
      <c r="A188" s="15">
        <v>46072.87250923243</v>
      </c>
      <c r="B188" s="16" t="s">
        <v>540</v>
      </c>
      <c r="C188" s="16" t="s">
        <v>541</v>
      </c>
      <c r="D188" s="17">
        <v>46075.0</v>
      </c>
      <c r="E188" s="18">
        <v>1.0</v>
      </c>
      <c r="F188" s="16" t="s">
        <v>112</v>
      </c>
      <c r="G188" s="24"/>
      <c r="H188" s="21">
        <v>-0.0541</v>
      </c>
      <c r="I188" s="16" t="s">
        <v>562</v>
      </c>
      <c r="J188" s="21">
        <v>4.2653</v>
      </c>
      <c r="K188" s="16">
        <v>7122960.0</v>
      </c>
      <c r="L188" s="19">
        <v>0.82</v>
      </c>
      <c r="M188" s="19">
        <v>17.226</v>
      </c>
      <c r="N188" s="16" t="s">
        <v>543</v>
      </c>
      <c r="O188" s="19">
        <v>17.6471</v>
      </c>
      <c r="P188" s="20">
        <v>3116288.0</v>
      </c>
      <c r="Q188" s="21">
        <v>1.27</v>
      </c>
      <c r="R188" s="21">
        <v>0.8325</v>
      </c>
      <c r="S188" s="21">
        <v>0.85</v>
      </c>
      <c r="T188" s="21">
        <v>0.091</v>
      </c>
      <c r="U188" s="21">
        <v>0.2221</v>
      </c>
      <c r="V188" s="21">
        <v>324212.4</v>
      </c>
      <c r="W188" s="21">
        <v>186.6052</v>
      </c>
      <c r="X188" s="20">
        <v>3312000.0</v>
      </c>
      <c r="Y188" s="21">
        <v>0.7214</v>
      </c>
      <c r="Z188" s="21">
        <v>1.1469</v>
      </c>
      <c r="AA188" s="19">
        <v>75.544</v>
      </c>
      <c r="AB188" s="21">
        <v>2.933</v>
      </c>
      <c r="AC188" s="21">
        <v>-16.6184</v>
      </c>
      <c r="AD188" s="21">
        <v>-11.8012</v>
      </c>
      <c r="AE188" s="21">
        <v>2.8911</v>
      </c>
      <c r="AF188" s="21">
        <v>1.3522</v>
      </c>
      <c r="AG188" s="21">
        <v>1.1766</v>
      </c>
      <c r="AH188" s="16" t="b">
        <v>0</v>
      </c>
      <c r="AI188" s="16" t="b">
        <v>0</v>
      </c>
      <c r="AJ188" s="16" t="b">
        <v>0</v>
      </c>
      <c r="AK188" s="22">
        <f>IFERROR(__xludf.DUMMYFUNCTION("IFERROR(GOOGLEFINANCE(B188,""price""),"""")"),1.09)</f>
        <v>1.09</v>
      </c>
    </row>
    <row r="189">
      <c r="A189" s="7">
        <v>46072.87250923243</v>
      </c>
      <c r="B189" s="8" t="s">
        <v>544</v>
      </c>
      <c r="C189" s="8" t="s">
        <v>545</v>
      </c>
      <c r="D189" s="9">
        <v>46075.0</v>
      </c>
      <c r="E189" s="10">
        <v>1.93</v>
      </c>
      <c r="F189" s="8" t="s">
        <v>117</v>
      </c>
      <c r="G189" s="23"/>
      <c r="H189" s="13">
        <v>-20.2893</v>
      </c>
      <c r="I189" s="8" t="s">
        <v>413</v>
      </c>
      <c r="J189" s="13">
        <v>3.6404</v>
      </c>
      <c r="K189" s="8">
        <v>4.1492264E7</v>
      </c>
      <c r="L189" s="11">
        <v>0.73</v>
      </c>
      <c r="M189" s="11">
        <v>21.0285</v>
      </c>
      <c r="N189" s="8" t="s">
        <v>547</v>
      </c>
      <c r="O189" s="11">
        <v>50.7812</v>
      </c>
      <c r="P189" s="12">
        <v>3.6027733E7</v>
      </c>
      <c r="Q189" s="13">
        <v>2.29</v>
      </c>
      <c r="R189" s="13">
        <v>1.4217</v>
      </c>
      <c r="S189" s="13">
        <v>1.5</v>
      </c>
      <c r="T189" s="13">
        <v>0.3612</v>
      </c>
      <c r="U189" s="13">
        <v>0.9927</v>
      </c>
      <c r="V189" s="8">
        <v>3800703.0</v>
      </c>
      <c r="W189" s="13">
        <v>163.7781</v>
      </c>
      <c r="X189" s="12">
        <v>6850328.0</v>
      </c>
      <c r="Y189" s="13">
        <v>2.148</v>
      </c>
      <c r="Z189" s="13">
        <v>6.9878</v>
      </c>
      <c r="AA189" s="11">
        <v>50.5719</v>
      </c>
      <c r="AB189" s="13">
        <v>23.7</v>
      </c>
      <c r="AC189" s="13">
        <v>-203.3622</v>
      </c>
      <c r="AD189" s="23"/>
      <c r="AE189" s="23"/>
      <c r="AF189" s="13">
        <v>0.0</v>
      </c>
      <c r="AG189" s="13">
        <v>4.5635</v>
      </c>
      <c r="AH189" s="8" t="b">
        <v>0</v>
      </c>
      <c r="AI189" s="8" t="b">
        <v>0</v>
      </c>
      <c r="AJ189" s="8" t="b">
        <v>0</v>
      </c>
      <c r="AK189" s="14">
        <f>IFERROR(__xludf.DUMMYFUNCTION("IFERROR(GOOGLEFINANCE(B189,""price""),"""")"),1.22)</f>
        <v>1.22</v>
      </c>
    </row>
    <row r="190">
      <c r="A190" s="15">
        <v>46072.87250923243</v>
      </c>
      <c r="B190" s="16" t="s">
        <v>231</v>
      </c>
      <c r="C190" s="16" t="s">
        <v>232</v>
      </c>
      <c r="D190" s="17">
        <v>46075.0</v>
      </c>
      <c r="E190" s="18">
        <v>1.68</v>
      </c>
      <c r="F190" s="16" t="s">
        <v>117</v>
      </c>
      <c r="G190" s="24"/>
      <c r="H190" s="21">
        <v>-0.8638</v>
      </c>
      <c r="I190" s="16" t="s">
        <v>175</v>
      </c>
      <c r="J190" s="21">
        <v>0.4334</v>
      </c>
      <c r="K190" s="16">
        <v>4.10631E7</v>
      </c>
      <c r="L190" s="19">
        <v>0.67</v>
      </c>
      <c r="M190" s="19">
        <v>25.8102</v>
      </c>
      <c r="N190" s="16" t="s">
        <v>233</v>
      </c>
      <c r="O190" s="19">
        <v>0.5988</v>
      </c>
      <c r="P190" s="20">
        <v>2874417.0</v>
      </c>
      <c r="Q190" s="21">
        <v>1.68</v>
      </c>
      <c r="R190" s="21">
        <v>1.61</v>
      </c>
      <c r="S190" s="21">
        <v>1.67</v>
      </c>
      <c r="T190" s="21">
        <v>0.1045</v>
      </c>
      <c r="U190" s="21">
        <v>0.312</v>
      </c>
      <c r="V190" s="16">
        <v>1698599.0</v>
      </c>
      <c r="W190" s="21">
        <v>1.8057</v>
      </c>
      <c r="X190" s="20">
        <v>1.43084491E8</v>
      </c>
      <c r="Y190" s="21">
        <v>2.0369</v>
      </c>
      <c r="Z190" s="21">
        <v>1.9226</v>
      </c>
      <c r="AA190" s="19">
        <v>34.1766</v>
      </c>
      <c r="AB190" s="21">
        <v>3.06</v>
      </c>
      <c r="AC190" s="21">
        <v>-260.6519</v>
      </c>
      <c r="AD190" s="24"/>
      <c r="AE190" s="24"/>
      <c r="AF190" s="21">
        <v>2.7905</v>
      </c>
      <c r="AG190" s="21">
        <v>8.2355</v>
      </c>
      <c r="AH190" s="16" t="b">
        <v>1</v>
      </c>
      <c r="AI190" s="16" t="b">
        <v>0</v>
      </c>
      <c r="AJ190" s="16" t="b">
        <v>0</v>
      </c>
      <c r="AK190" s="22">
        <f>IFERROR(__xludf.DUMMYFUNCTION("IFERROR(GOOGLEFINANCE(B190,""price""),"""")"),2.02)</f>
        <v>2.02</v>
      </c>
    </row>
    <row r="191">
      <c r="A191" s="7">
        <v>46072.87250923243</v>
      </c>
      <c r="B191" s="8" t="s">
        <v>563</v>
      </c>
      <c r="C191" s="8" t="s">
        <v>564</v>
      </c>
      <c r="D191" s="9">
        <v>46075.0</v>
      </c>
      <c r="E191" s="10">
        <v>4.32</v>
      </c>
      <c r="F191" s="8" t="s">
        <v>117</v>
      </c>
      <c r="G191" s="13">
        <v>18.7581</v>
      </c>
      <c r="H191" s="13">
        <v>0.2303</v>
      </c>
      <c r="I191" s="8" t="s">
        <v>175</v>
      </c>
      <c r="J191" s="13">
        <v>0.4311</v>
      </c>
      <c r="K191" s="8">
        <v>4551114.0</v>
      </c>
      <c r="L191" s="11">
        <v>0.74</v>
      </c>
      <c r="M191" s="11">
        <v>22.7515</v>
      </c>
      <c r="N191" s="8" t="s">
        <v>565</v>
      </c>
      <c r="O191" s="11">
        <v>-1.1442</v>
      </c>
      <c r="P191" s="12">
        <v>1752179.0</v>
      </c>
      <c r="Q191" s="13">
        <v>4.45</v>
      </c>
      <c r="R191" s="13">
        <v>4.065</v>
      </c>
      <c r="S191" s="13">
        <v>4.4</v>
      </c>
      <c r="T191" s="13">
        <v>0.271</v>
      </c>
      <c r="U191" s="13">
        <v>0.7363</v>
      </c>
      <c r="V191" s="13">
        <v>589222.9</v>
      </c>
      <c r="W191" s="13">
        <v>3.8422</v>
      </c>
      <c r="X191" s="12">
        <v>1.291346158E9</v>
      </c>
      <c r="Y191" s="13">
        <v>5.0454</v>
      </c>
      <c r="Z191" s="13">
        <v>7.1575</v>
      </c>
      <c r="AA191" s="11">
        <v>29.041</v>
      </c>
      <c r="AB191" s="13">
        <v>12.38</v>
      </c>
      <c r="AC191" s="23"/>
      <c r="AD191" s="13">
        <v>7.1855</v>
      </c>
      <c r="AE191" s="13">
        <v>55.3846</v>
      </c>
      <c r="AF191" s="23"/>
      <c r="AG191" s="13">
        <v>1.4207</v>
      </c>
      <c r="AH191" s="8" t="b">
        <v>1</v>
      </c>
      <c r="AI191" s="8" t="b">
        <v>0</v>
      </c>
      <c r="AJ191" s="8" t="b">
        <v>0</v>
      </c>
      <c r="AK191" s="14">
        <f>IFERROR(__xludf.DUMMYFUNCTION("IFERROR(GOOGLEFINANCE(B191,""price""),"""")"),3.62)</f>
        <v>3.62</v>
      </c>
    </row>
    <row r="192">
      <c r="A192" s="15">
        <v>46072.87250923243</v>
      </c>
      <c r="B192" s="16" t="s">
        <v>566</v>
      </c>
      <c r="C192" s="16" t="s">
        <v>567</v>
      </c>
      <c r="D192" s="17">
        <v>46075.0</v>
      </c>
      <c r="E192" s="18">
        <v>1.05</v>
      </c>
      <c r="F192" s="16" t="s">
        <v>245</v>
      </c>
      <c r="G192" s="24"/>
      <c r="H192" s="21">
        <v>-0.8134</v>
      </c>
      <c r="I192" s="16" t="s">
        <v>179</v>
      </c>
      <c r="J192" s="21">
        <v>0.3712</v>
      </c>
      <c r="K192" s="16">
        <v>3.7864322E7</v>
      </c>
      <c r="L192" s="19">
        <v>0.99</v>
      </c>
      <c r="M192" s="19">
        <v>23.9618</v>
      </c>
      <c r="N192" s="16" t="s">
        <v>568</v>
      </c>
      <c r="O192" s="19">
        <v>0.9615</v>
      </c>
      <c r="P192" s="20">
        <v>3407789.0</v>
      </c>
      <c r="Q192" s="21">
        <v>1.08</v>
      </c>
      <c r="R192" s="21">
        <v>0.99</v>
      </c>
      <c r="S192" s="21">
        <v>1.06</v>
      </c>
      <c r="T192" s="21">
        <v>0.0773</v>
      </c>
      <c r="U192" s="21">
        <v>0.157</v>
      </c>
      <c r="V192" s="16">
        <v>1235176.0</v>
      </c>
      <c r="W192" s="21">
        <v>3.1818</v>
      </c>
      <c r="X192" s="20">
        <v>3.7625514E7</v>
      </c>
      <c r="Y192" s="21">
        <v>1.0047</v>
      </c>
      <c r="Z192" s="21">
        <v>1.1534</v>
      </c>
      <c r="AA192" s="19">
        <v>52.9187</v>
      </c>
      <c r="AB192" s="21">
        <v>2.75</v>
      </c>
      <c r="AC192" s="21">
        <v>-80.7464</v>
      </c>
      <c r="AD192" s="21">
        <v>-102.4843</v>
      </c>
      <c r="AE192" s="21">
        <v>-57.0621</v>
      </c>
      <c r="AF192" s="21">
        <v>0.0186</v>
      </c>
      <c r="AG192" s="21">
        <v>0.3305</v>
      </c>
      <c r="AH192" s="16" t="b">
        <v>1</v>
      </c>
      <c r="AI192" s="16" t="b">
        <v>0</v>
      </c>
      <c r="AJ192" s="16" t="b">
        <v>0</v>
      </c>
      <c r="AK192" s="22">
        <f>IFERROR(__xludf.DUMMYFUNCTION("IFERROR(GOOGLEFINANCE(B192,""price""),"""")"),0.69)</f>
        <v>0.69</v>
      </c>
    </row>
    <row r="193">
      <c r="A193" s="7">
        <v>46072.87250923243</v>
      </c>
      <c r="B193" s="8" t="s">
        <v>569</v>
      </c>
      <c r="C193" s="8" t="s">
        <v>570</v>
      </c>
      <c r="D193" s="9">
        <v>46075.0</v>
      </c>
      <c r="E193" s="10">
        <v>1.49</v>
      </c>
      <c r="F193" s="8" t="s">
        <v>117</v>
      </c>
      <c r="G193" s="23"/>
      <c r="H193" s="13">
        <v>-0.7486</v>
      </c>
      <c r="I193" s="8" t="s">
        <v>175</v>
      </c>
      <c r="J193" s="13">
        <v>0.2872</v>
      </c>
      <c r="K193" s="8">
        <v>4063030.0</v>
      </c>
      <c r="L193" s="11">
        <v>0.76</v>
      </c>
      <c r="M193" s="11">
        <v>13.8049</v>
      </c>
      <c r="N193" s="8" t="s">
        <v>571</v>
      </c>
      <c r="O193" s="11">
        <v>-0.6667</v>
      </c>
      <c r="P193" s="12">
        <v>406303.0</v>
      </c>
      <c r="Q193" s="13">
        <v>1.52</v>
      </c>
      <c r="R193" s="13">
        <v>1.42</v>
      </c>
      <c r="S193" s="13">
        <v>1.51</v>
      </c>
      <c r="T193" s="13">
        <v>0.1047</v>
      </c>
      <c r="U193" s="13">
        <v>0.2758</v>
      </c>
      <c r="V193" s="13">
        <v>229087.0</v>
      </c>
      <c r="W193" s="13">
        <v>1.9276</v>
      </c>
      <c r="X193" s="12">
        <v>4.5726452E7</v>
      </c>
      <c r="Y193" s="13">
        <v>1.5842</v>
      </c>
      <c r="Z193" s="13">
        <v>1.827</v>
      </c>
      <c r="AA193" s="11">
        <v>40.9597</v>
      </c>
      <c r="AB193" s="13">
        <v>3.21</v>
      </c>
      <c r="AC193" s="23"/>
      <c r="AD193" s="13">
        <v>-32.2471</v>
      </c>
      <c r="AE193" s="13">
        <v>-15.0235</v>
      </c>
      <c r="AF193" s="23"/>
      <c r="AG193" s="13">
        <v>0.854</v>
      </c>
      <c r="AH193" s="8" t="b">
        <v>1</v>
      </c>
      <c r="AI193" s="8" t="b">
        <v>0</v>
      </c>
      <c r="AJ193" s="8" t="b">
        <v>0</v>
      </c>
      <c r="AK193" s="14">
        <f>IFERROR(__xludf.DUMMYFUNCTION("IFERROR(GOOGLEFINANCE(B193,""price""),"""")"),1.73)</f>
        <v>1.73</v>
      </c>
    </row>
    <row r="194">
      <c r="A194" s="15">
        <v>46072.87250923243</v>
      </c>
      <c r="B194" s="16" t="s">
        <v>557</v>
      </c>
      <c r="C194" s="16" t="s">
        <v>558</v>
      </c>
      <c r="D194" s="17">
        <v>46075.0</v>
      </c>
      <c r="E194" s="18">
        <v>1.69</v>
      </c>
      <c r="F194" s="16" t="s">
        <v>93</v>
      </c>
      <c r="G194" s="24"/>
      <c r="H194" s="21">
        <v>-283.719</v>
      </c>
      <c r="I194" s="16" t="s">
        <v>175</v>
      </c>
      <c r="J194" s="21">
        <v>0.162</v>
      </c>
      <c r="K194" s="16">
        <v>2610219.0</v>
      </c>
      <c r="L194" s="19">
        <v>0.14</v>
      </c>
      <c r="M194" s="19">
        <v>24.9889</v>
      </c>
      <c r="N194" s="16" t="s">
        <v>559</v>
      </c>
      <c r="O194" s="19">
        <v>-4.5198</v>
      </c>
      <c r="P194" s="20">
        <v>704759.0</v>
      </c>
      <c r="Q194" s="21">
        <v>1.77</v>
      </c>
      <c r="R194" s="21">
        <v>1.5</v>
      </c>
      <c r="S194" s="21">
        <v>1.77</v>
      </c>
      <c r="T194" s="21">
        <v>0.9608</v>
      </c>
      <c r="U194" s="21">
        <v>13.4151</v>
      </c>
      <c r="V194" s="21">
        <v>335915.2803</v>
      </c>
      <c r="W194" s="21">
        <v>2.5883</v>
      </c>
      <c r="X194" s="20">
        <v>2082168.0</v>
      </c>
      <c r="Y194" s="21">
        <v>7.0028</v>
      </c>
      <c r="Z194" s="21">
        <v>189.9364</v>
      </c>
      <c r="AA194" s="19">
        <v>24.458</v>
      </c>
      <c r="AB194" s="21">
        <v>957.0026</v>
      </c>
      <c r="AC194" s="24"/>
      <c r="AD194" s="24"/>
      <c r="AE194" s="24"/>
      <c r="AF194" s="24"/>
      <c r="AG194" s="21">
        <v>0.1782</v>
      </c>
      <c r="AH194" s="16" t="b">
        <v>1</v>
      </c>
      <c r="AI194" s="16" t="b">
        <v>0</v>
      </c>
      <c r="AJ194" s="16" t="b">
        <v>0</v>
      </c>
      <c r="AK194" s="22">
        <f>IFERROR(__xludf.DUMMYFUNCTION("IFERROR(GOOGLEFINANCE(B194,""price""),"""")"),0.87)</f>
        <v>0.87</v>
      </c>
    </row>
    <row r="195">
      <c r="A195" s="7">
        <v>46073.629304331305</v>
      </c>
      <c r="B195" s="8" t="s">
        <v>572</v>
      </c>
      <c r="C195" s="8" t="s">
        <v>573</v>
      </c>
      <c r="D195" s="9">
        <v>46075.0</v>
      </c>
      <c r="E195" s="10">
        <v>0.9222</v>
      </c>
      <c r="F195" s="8" t="s">
        <v>88</v>
      </c>
      <c r="G195" s="23"/>
      <c r="H195" s="23"/>
      <c r="I195" s="8" t="s">
        <v>310</v>
      </c>
      <c r="J195" s="13">
        <v>12.137</v>
      </c>
      <c r="K195" s="8">
        <v>6.3400764E7</v>
      </c>
      <c r="L195" s="11">
        <v>0.58</v>
      </c>
      <c r="M195" s="11">
        <v>14.2082</v>
      </c>
      <c r="N195" s="8" t="s">
        <v>574</v>
      </c>
      <c r="O195" s="11">
        <v>55.777</v>
      </c>
      <c r="P195" s="12">
        <v>2.903755E7</v>
      </c>
      <c r="Q195" s="13">
        <v>1.05</v>
      </c>
      <c r="R195" s="13">
        <v>0.592</v>
      </c>
      <c r="S195" s="13">
        <v>0.601</v>
      </c>
      <c r="T195" s="13">
        <v>0.1602</v>
      </c>
      <c r="U195" s="13">
        <v>0.5562</v>
      </c>
      <c r="V195" s="8">
        <v>2938640.0</v>
      </c>
      <c r="W195" s="13">
        <v>602.7689</v>
      </c>
      <c r="X195" s="12">
        <v>4676735.0</v>
      </c>
      <c r="Y195" s="13">
        <v>1.231</v>
      </c>
      <c r="Z195" s="13">
        <v>2.2726</v>
      </c>
      <c r="AA195" s="11">
        <v>50.4821</v>
      </c>
      <c r="AB195" s="13">
        <v>5.46</v>
      </c>
      <c r="AC195" s="23"/>
      <c r="AD195" s="23"/>
      <c r="AE195" s="23"/>
      <c r="AF195" s="23"/>
      <c r="AG195" s="23"/>
      <c r="AH195" s="8" t="b">
        <v>0</v>
      </c>
      <c r="AI195" s="8" t="b">
        <v>0</v>
      </c>
      <c r="AJ195" s="8" t="b">
        <v>0</v>
      </c>
      <c r="AK195" s="14">
        <f>IFERROR(__xludf.DUMMYFUNCTION("IFERROR(GOOGLEFINANCE(B195,""price""),"""")"),0.47)</f>
        <v>0.47</v>
      </c>
    </row>
    <row r="196">
      <c r="A196" s="15">
        <v>46073.629304331305</v>
      </c>
      <c r="B196" s="16" t="s">
        <v>575</v>
      </c>
      <c r="C196" s="16" t="s">
        <v>576</v>
      </c>
      <c r="D196" s="17">
        <v>46075.0</v>
      </c>
      <c r="E196" s="18">
        <v>0.5005</v>
      </c>
      <c r="F196" s="16" t="s">
        <v>117</v>
      </c>
      <c r="G196" s="24"/>
      <c r="H196" s="21">
        <v>-2.8575</v>
      </c>
      <c r="I196" s="16" t="s">
        <v>577</v>
      </c>
      <c r="J196" s="21">
        <v>8.4041</v>
      </c>
      <c r="K196" s="16">
        <v>1.609031804E9</v>
      </c>
      <c r="L196" s="19">
        <v>0.48</v>
      </c>
      <c r="M196" s="19">
        <v>25.4605</v>
      </c>
      <c r="N196" s="16" t="s">
        <v>578</v>
      </c>
      <c r="O196" s="19">
        <v>40.5504</v>
      </c>
      <c r="P196" s="20">
        <v>3.39167814E8</v>
      </c>
      <c r="Q196" s="21">
        <v>0.689</v>
      </c>
      <c r="R196" s="21">
        <v>0.4782</v>
      </c>
      <c r="S196" s="21">
        <v>0.6235</v>
      </c>
      <c r="T196" s="21">
        <v>0.0897</v>
      </c>
      <c r="U196" s="21">
        <v>0.3763</v>
      </c>
      <c r="V196" s="16">
        <v>3.4850113E7</v>
      </c>
      <c r="W196" s="21">
        <v>353.9472</v>
      </c>
      <c r="X196" s="20">
        <v>8152543.0</v>
      </c>
      <c r="Y196" s="21">
        <v>0.6729</v>
      </c>
      <c r="Z196" s="21">
        <v>1.6164</v>
      </c>
      <c r="AA196" s="19">
        <v>50.6136</v>
      </c>
      <c r="AB196" s="21">
        <v>5.33</v>
      </c>
      <c r="AC196" s="21">
        <v>-134.9862</v>
      </c>
      <c r="AD196" s="21">
        <v>-4297.1643</v>
      </c>
      <c r="AE196" s="21">
        <v>-38.1579</v>
      </c>
      <c r="AF196" s="21">
        <v>0.0071</v>
      </c>
      <c r="AG196" s="21">
        <v>0.7438</v>
      </c>
      <c r="AH196" s="16" t="b">
        <v>0</v>
      </c>
      <c r="AI196" s="16" t="b">
        <v>0</v>
      </c>
      <c r="AJ196" s="16" t="b">
        <v>0</v>
      </c>
      <c r="AK196" s="22">
        <f>IFERROR(__xludf.DUMMYFUNCTION("IFERROR(GOOGLEFINANCE(B196,""price""),"""")"),0.34)</f>
        <v>0.34</v>
      </c>
    </row>
    <row r="197">
      <c r="A197" s="7">
        <v>46073.629304331305</v>
      </c>
      <c r="B197" s="8" t="s">
        <v>579</v>
      </c>
      <c r="C197" s="8" t="s">
        <v>580</v>
      </c>
      <c r="D197" s="9">
        <v>46075.0</v>
      </c>
      <c r="E197" s="10">
        <v>0.5241</v>
      </c>
      <c r="F197" s="8" t="s">
        <v>88</v>
      </c>
      <c r="G197" s="23"/>
      <c r="H197" s="13">
        <v>-0.4523</v>
      </c>
      <c r="I197" s="8" t="s">
        <v>581</v>
      </c>
      <c r="J197" s="13">
        <v>4.9742</v>
      </c>
      <c r="K197" s="8">
        <v>4.76283068E8</v>
      </c>
      <c r="L197" s="11">
        <v>0.83</v>
      </c>
      <c r="M197" s="11">
        <v>29.9304</v>
      </c>
      <c r="N197" s="8" t="s">
        <v>582</v>
      </c>
      <c r="O197" s="11">
        <v>21.7987</v>
      </c>
      <c r="P197" s="12">
        <v>8.0110812E7</v>
      </c>
      <c r="Q197" s="13">
        <v>0.62</v>
      </c>
      <c r="R197" s="13">
        <v>0.4518</v>
      </c>
      <c r="S197" s="13">
        <v>0.5428</v>
      </c>
      <c r="T197" s="13">
        <v>0.065</v>
      </c>
      <c r="U197" s="13">
        <v>0.1566</v>
      </c>
      <c r="V197" s="8">
        <v>8464034.0</v>
      </c>
      <c r="W197" s="13">
        <v>159.6376</v>
      </c>
      <c r="X197" s="12">
        <v>1.1018431E7</v>
      </c>
      <c r="Y197" s="13">
        <v>0.6075</v>
      </c>
      <c r="Z197" s="13">
        <v>0.9437</v>
      </c>
      <c r="AA197" s="11">
        <v>51.582</v>
      </c>
      <c r="AB197" s="13">
        <v>1.5</v>
      </c>
      <c r="AC197" s="13">
        <v>-21.5377</v>
      </c>
      <c r="AD197" s="13">
        <v>-18.7412</v>
      </c>
      <c r="AE197" s="13">
        <v>4.3847</v>
      </c>
      <c r="AF197" s="13">
        <v>0.0852</v>
      </c>
      <c r="AG197" s="13">
        <v>5.2638</v>
      </c>
      <c r="AH197" s="8" t="b">
        <v>0</v>
      </c>
      <c r="AI197" s="8" t="b">
        <v>0</v>
      </c>
      <c r="AJ197" s="8" t="b">
        <v>0</v>
      </c>
      <c r="AK197" s="14">
        <f>IFERROR(__xludf.DUMMYFUNCTION("IFERROR(GOOGLEFINANCE(B197,""price""),"""")"),0.44)</f>
        <v>0.44</v>
      </c>
    </row>
    <row r="198">
      <c r="A198" s="15">
        <v>46073.629304331305</v>
      </c>
      <c r="B198" s="16" t="s">
        <v>583</v>
      </c>
      <c r="C198" s="16" t="s">
        <v>584</v>
      </c>
      <c r="D198" s="17">
        <v>46075.0</v>
      </c>
      <c r="E198" s="18">
        <v>0.953</v>
      </c>
      <c r="F198" s="16" t="s">
        <v>88</v>
      </c>
      <c r="G198" s="24"/>
      <c r="H198" s="24"/>
      <c r="I198" s="16" t="s">
        <v>585</v>
      </c>
      <c r="J198" s="21">
        <v>3.2941</v>
      </c>
      <c r="K198" s="16">
        <v>2.2364115E7</v>
      </c>
      <c r="L198" s="19">
        <v>0.62</v>
      </c>
      <c r="M198" s="19">
        <v>28.4716</v>
      </c>
      <c r="N198" s="16" t="s">
        <v>586</v>
      </c>
      <c r="O198" s="19">
        <v>3.587</v>
      </c>
      <c r="P198" s="20">
        <v>3461965.0</v>
      </c>
      <c r="Q198" s="21">
        <v>0.9848</v>
      </c>
      <c r="R198" s="21">
        <v>0.83</v>
      </c>
      <c r="S198" s="21">
        <v>0.88</v>
      </c>
      <c r="T198" s="21">
        <v>0.1249</v>
      </c>
      <c r="U198" s="21">
        <v>0.4047</v>
      </c>
      <c r="V198" s="21">
        <v>397997.3</v>
      </c>
      <c r="W198" s="21">
        <v>53.5072</v>
      </c>
      <c r="X198" s="20">
        <v>4.2147984E7</v>
      </c>
      <c r="Y198" s="21">
        <v>1.2869</v>
      </c>
      <c r="Z198" s="21">
        <v>1.647</v>
      </c>
      <c r="AA198" s="19">
        <v>39.6046</v>
      </c>
      <c r="AB198" s="21">
        <v>5.36</v>
      </c>
      <c r="AC198" s="24"/>
      <c r="AD198" s="24"/>
      <c r="AE198" s="24"/>
      <c r="AF198" s="24"/>
      <c r="AG198" s="24"/>
      <c r="AH198" s="16" t="b">
        <v>0</v>
      </c>
      <c r="AI198" s="16" t="b">
        <v>0</v>
      </c>
      <c r="AJ198" s="16" t="b">
        <v>0</v>
      </c>
      <c r="AK198" s="22">
        <f>IFERROR(__xludf.DUMMYFUNCTION("IFERROR(GOOGLEFINANCE(B198,""price""),"""")"),0.57)</f>
        <v>0.57</v>
      </c>
    </row>
    <row r="199">
      <c r="A199" s="7">
        <v>46073.629304331305</v>
      </c>
      <c r="B199" s="8" t="s">
        <v>587</v>
      </c>
      <c r="C199" s="8" t="s">
        <v>588</v>
      </c>
      <c r="D199" s="9">
        <v>46075.0</v>
      </c>
      <c r="E199" s="10">
        <v>2.3</v>
      </c>
      <c r="F199" s="8" t="s">
        <v>186</v>
      </c>
      <c r="G199" s="23"/>
      <c r="H199" s="13">
        <v>-9.5137</v>
      </c>
      <c r="I199" s="8" t="s">
        <v>589</v>
      </c>
      <c r="J199" s="13">
        <v>2.9474</v>
      </c>
      <c r="K199" s="8">
        <v>3624478.0</v>
      </c>
      <c r="L199" s="11">
        <v>0.21</v>
      </c>
      <c r="M199" s="11">
        <v>16.0962</v>
      </c>
      <c r="N199" s="8" t="s">
        <v>590</v>
      </c>
      <c r="O199" s="11">
        <v>13.8614</v>
      </c>
      <c r="P199" s="12">
        <v>7026776.0</v>
      </c>
      <c r="Q199" s="13">
        <v>3.68</v>
      </c>
      <c r="R199" s="13">
        <v>1.7413</v>
      </c>
      <c r="S199" s="13">
        <v>2.0822</v>
      </c>
      <c r="T199" s="13">
        <v>0.6726</v>
      </c>
      <c r="U199" s="13">
        <v>6.3407</v>
      </c>
      <c r="V199" s="13">
        <v>727411.3</v>
      </c>
      <c r="W199" s="13">
        <v>248.4443</v>
      </c>
      <c r="X199" s="12">
        <v>2782100.0</v>
      </c>
      <c r="Y199" s="13">
        <v>4.1752</v>
      </c>
      <c r="Z199" s="13">
        <v>30.1033</v>
      </c>
      <c r="AA199" s="11">
        <v>34.9382</v>
      </c>
      <c r="AB199" s="13">
        <v>200.0</v>
      </c>
      <c r="AC199" s="13">
        <v>-41.1141</v>
      </c>
      <c r="AD199" s="13">
        <v>-34.9837</v>
      </c>
      <c r="AE199" s="13">
        <v>-2.8689</v>
      </c>
      <c r="AF199" s="13">
        <v>0.0108</v>
      </c>
      <c r="AG199" s="13">
        <v>5.5821</v>
      </c>
      <c r="AH199" s="8" t="b">
        <v>0</v>
      </c>
      <c r="AI199" s="8" t="b">
        <v>0</v>
      </c>
      <c r="AJ199" s="8" t="b">
        <v>0</v>
      </c>
      <c r="AK199" s="14">
        <f>IFERROR(__xludf.DUMMYFUNCTION("IFERROR(GOOGLEFINANCE(B199,""price""),"""")"),1.29)</f>
        <v>1.29</v>
      </c>
    </row>
    <row r="200">
      <c r="A200" s="15">
        <v>46073.629304331305</v>
      </c>
      <c r="B200" s="16" t="s">
        <v>591</v>
      </c>
      <c r="C200" s="16" t="s">
        <v>592</v>
      </c>
      <c r="D200" s="17">
        <v>46075.0</v>
      </c>
      <c r="E200" s="18">
        <v>0.9685</v>
      </c>
      <c r="F200" s="16" t="s">
        <v>190</v>
      </c>
      <c r="G200" s="24"/>
      <c r="H200" s="21">
        <v>-635.9418</v>
      </c>
      <c r="I200" s="16" t="s">
        <v>593</v>
      </c>
      <c r="J200" s="21">
        <v>2.2266</v>
      </c>
      <c r="K200" s="16">
        <v>7.7246686E7</v>
      </c>
      <c r="L200" s="19">
        <v>0.13</v>
      </c>
      <c r="M200" s="19">
        <v>28.4591</v>
      </c>
      <c r="N200" s="16" t="s">
        <v>594</v>
      </c>
      <c r="O200" s="19">
        <v>1.0749</v>
      </c>
      <c r="P200" s="20">
        <v>1.0814536E7</v>
      </c>
      <c r="Q200" s="21">
        <v>1.02</v>
      </c>
      <c r="R200" s="21">
        <v>0.88</v>
      </c>
      <c r="S200" s="21">
        <v>0.9968</v>
      </c>
      <c r="T200" s="21">
        <v>0.2232</v>
      </c>
      <c r="U200" s="21">
        <v>3.39</v>
      </c>
      <c r="V200" s="16">
        <v>1368179.0</v>
      </c>
      <c r="W200" s="21">
        <v>32.186</v>
      </c>
      <c r="X200" s="20">
        <v>6741820.0</v>
      </c>
      <c r="Y200" s="21">
        <v>1.1285</v>
      </c>
      <c r="Z200" s="21">
        <v>32.5394</v>
      </c>
      <c r="AA200" s="19">
        <v>41.8548</v>
      </c>
      <c r="AB200" s="21">
        <v>120.9312</v>
      </c>
      <c r="AC200" s="21">
        <v>-922.8815</v>
      </c>
      <c r="AD200" s="21">
        <v>-131.8381</v>
      </c>
      <c r="AE200" s="21">
        <v>11.4986</v>
      </c>
      <c r="AF200" s="21">
        <v>0.7239</v>
      </c>
      <c r="AG200" s="21">
        <v>0.123</v>
      </c>
      <c r="AH200" s="16" t="b">
        <v>1</v>
      </c>
      <c r="AI200" s="16" t="b">
        <v>0</v>
      </c>
      <c r="AJ200" s="16" t="b">
        <v>0</v>
      </c>
      <c r="AK200" s="22">
        <f>IFERROR(__xludf.DUMMYFUNCTION("IFERROR(GOOGLEFINANCE(B200,""price""),"""")"),2.01)</f>
        <v>2.01</v>
      </c>
    </row>
    <row r="201">
      <c r="A201" s="7">
        <v>46073.629304331305</v>
      </c>
      <c r="B201" s="8" t="s">
        <v>208</v>
      </c>
      <c r="C201" s="8" t="s">
        <v>209</v>
      </c>
      <c r="D201" s="9">
        <v>46075.0</v>
      </c>
      <c r="E201" s="10">
        <v>0.7795</v>
      </c>
      <c r="F201" s="8" t="s">
        <v>117</v>
      </c>
      <c r="G201" s="23"/>
      <c r="H201" s="13">
        <v>-412.0841</v>
      </c>
      <c r="I201" s="8" t="s">
        <v>113</v>
      </c>
      <c r="J201" s="13">
        <v>1.3384</v>
      </c>
      <c r="K201" s="8">
        <v>2.4898438E7</v>
      </c>
      <c r="L201" s="11">
        <v>0.01</v>
      </c>
      <c r="M201" s="11">
        <v>18.1461</v>
      </c>
      <c r="N201" s="8" t="s">
        <v>211</v>
      </c>
      <c r="O201" s="11">
        <v>-16.2098</v>
      </c>
      <c r="P201" s="12">
        <v>1.1622591E7</v>
      </c>
      <c r="Q201" s="13">
        <v>1.15</v>
      </c>
      <c r="R201" s="13">
        <v>0.6832</v>
      </c>
      <c r="S201" s="13">
        <v>1.14</v>
      </c>
      <c r="T201" s="13">
        <v>0.1492</v>
      </c>
      <c r="U201" s="13">
        <v>30.1852</v>
      </c>
      <c r="V201" s="8">
        <v>1282536.0</v>
      </c>
      <c r="W201" s="13">
        <v>80.1488</v>
      </c>
      <c r="X201" s="12">
        <v>1795571.0</v>
      </c>
      <c r="Y201" s="13">
        <v>1.3615</v>
      </c>
      <c r="Z201" s="13">
        <v>876.6168</v>
      </c>
      <c r="AA201" s="11">
        <v>30.0636</v>
      </c>
      <c r="AB201" s="13">
        <v>168.0</v>
      </c>
      <c r="AC201" s="23"/>
      <c r="AD201" s="23"/>
      <c r="AE201" s="23"/>
      <c r="AF201" s="13">
        <v>0.4383</v>
      </c>
      <c r="AG201" s="13">
        <v>1.6633</v>
      </c>
      <c r="AH201" s="8" t="b">
        <v>0</v>
      </c>
      <c r="AI201" s="8" t="b">
        <v>0</v>
      </c>
      <c r="AJ201" s="8" t="b">
        <v>0</v>
      </c>
      <c r="AK201" s="14">
        <f>IFERROR(__xludf.DUMMYFUNCTION("IFERROR(GOOGLEFINANCE(B201,""price""),"""")"),4.08)</f>
        <v>4.08</v>
      </c>
    </row>
    <row r="202">
      <c r="A202" s="15">
        <v>46073.629304331305</v>
      </c>
      <c r="B202" s="16" t="s">
        <v>595</v>
      </c>
      <c r="C202" s="16" t="s">
        <v>596</v>
      </c>
      <c r="D202" s="17">
        <v>46075.0</v>
      </c>
      <c r="E202" s="18">
        <v>0.6232</v>
      </c>
      <c r="F202" s="16" t="s">
        <v>102</v>
      </c>
      <c r="G202" s="24"/>
      <c r="H202" s="21">
        <v>-17.3786</v>
      </c>
      <c r="I202" s="16" t="s">
        <v>118</v>
      </c>
      <c r="J202" s="21">
        <v>1.1727</v>
      </c>
      <c r="K202" s="16">
        <v>3.97908146E8</v>
      </c>
      <c r="L202" s="19">
        <v>0.74</v>
      </c>
      <c r="M202" s="19">
        <v>27.2266</v>
      </c>
      <c r="N202" s="16" t="s">
        <v>597</v>
      </c>
      <c r="O202" s="19">
        <v>38.4889</v>
      </c>
      <c r="P202" s="20">
        <v>6.9948273E7</v>
      </c>
      <c r="Q202" s="21">
        <v>0.7085</v>
      </c>
      <c r="R202" s="21">
        <v>0.5327</v>
      </c>
      <c r="S202" s="21">
        <v>0.6299</v>
      </c>
      <c r="T202" s="21">
        <v>0.2088</v>
      </c>
      <c r="U202" s="21">
        <v>0.5681</v>
      </c>
      <c r="V202" s="16">
        <v>9104829.0</v>
      </c>
      <c r="W202" s="21">
        <v>33.0792</v>
      </c>
      <c r="X202" s="20">
        <v>2873962.0</v>
      </c>
      <c r="Y202" s="21">
        <v>1.4327</v>
      </c>
      <c r="Z202" s="21">
        <v>3.4139</v>
      </c>
      <c r="AA202" s="19">
        <v>34.9107</v>
      </c>
      <c r="AB202" s="21">
        <v>8.2733</v>
      </c>
      <c r="AC202" s="21">
        <v>-45.6896</v>
      </c>
      <c r="AD202" s="21">
        <v>-1.5101</v>
      </c>
      <c r="AE202" s="21">
        <v>-47.248</v>
      </c>
      <c r="AF202" s="21">
        <v>0.0</v>
      </c>
      <c r="AG202" s="21">
        <v>2.6894</v>
      </c>
      <c r="AH202" s="16" t="b">
        <v>0</v>
      </c>
      <c r="AI202" s="16" t="b">
        <v>1</v>
      </c>
      <c r="AJ202" s="16" t="b">
        <v>0</v>
      </c>
      <c r="AK202" s="22">
        <f>IFERROR(__xludf.DUMMYFUNCTION("IFERROR(GOOGLEFINANCE(B202,""price""),"""")"),0.59)</f>
        <v>0.59</v>
      </c>
    </row>
    <row r="203">
      <c r="A203" s="7">
        <v>46073.629304331305</v>
      </c>
      <c r="B203" s="8" t="s">
        <v>598</v>
      </c>
      <c r="C203" s="8" t="s">
        <v>599</v>
      </c>
      <c r="D203" s="9">
        <v>46075.0</v>
      </c>
      <c r="E203" s="10">
        <v>1.4501</v>
      </c>
      <c r="F203" s="8" t="s">
        <v>93</v>
      </c>
      <c r="G203" s="23"/>
      <c r="H203" s="23"/>
      <c r="I203" s="8" t="s">
        <v>113</v>
      </c>
      <c r="J203" s="13">
        <v>1.1566</v>
      </c>
      <c r="K203" s="8">
        <v>5584673.0</v>
      </c>
      <c r="L203" s="11">
        <v>0.01</v>
      </c>
      <c r="M203" s="11">
        <v>18.2273</v>
      </c>
      <c r="N203" s="8" t="s">
        <v>600</v>
      </c>
      <c r="O203" s="11">
        <v>-10.4877</v>
      </c>
      <c r="P203" s="12">
        <v>1675402.0</v>
      </c>
      <c r="Q203" s="13">
        <v>1.65</v>
      </c>
      <c r="R203" s="13">
        <v>1.35</v>
      </c>
      <c r="S203" s="13">
        <v>1.515</v>
      </c>
      <c r="T203" s="13">
        <v>0.1916</v>
      </c>
      <c r="U203" s="13">
        <v>34.628</v>
      </c>
      <c r="V203" s="13">
        <v>230383.0</v>
      </c>
      <c r="W203" s="13">
        <v>23.9289</v>
      </c>
      <c r="X203" s="12">
        <v>5259281.0</v>
      </c>
      <c r="Y203" s="13">
        <v>1.9733</v>
      </c>
      <c r="Z203" s="13">
        <v>336.9282</v>
      </c>
      <c r="AA203" s="11">
        <v>38.7101</v>
      </c>
      <c r="AB203" s="13">
        <v>4836.0</v>
      </c>
      <c r="AC203" s="23"/>
      <c r="AD203" s="23"/>
      <c r="AE203" s="23"/>
      <c r="AF203" s="13">
        <v>0.1641</v>
      </c>
      <c r="AG203" s="13">
        <v>0.6906</v>
      </c>
      <c r="AH203" s="8" t="b">
        <v>0</v>
      </c>
      <c r="AI203" s="8" t="b">
        <v>0</v>
      </c>
      <c r="AJ203" s="8" t="b">
        <v>0</v>
      </c>
      <c r="AK203" s="14">
        <f>IFERROR(__xludf.DUMMYFUNCTION("IFERROR(GOOGLEFINANCE(B203,""price""),"""")"),1.3)</f>
        <v>1.3</v>
      </c>
    </row>
    <row r="204">
      <c r="A204" s="15">
        <v>46073.629304331305</v>
      </c>
      <c r="B204" s="16" t="s">
        <v>601</v>
      </c>
      <c r="C204" s="16" t="s">
        <v>602</v>
      </c>
      <c r="D204" s="17">
        <v>46075.0</v>
      </c>
      <c r="E204" s="18">
        <v>2.05</v>
      </c>
      <c r="F204" s="16" t="s">
        <v>117</v>
      </c>
      <c r="G204" s="24"/>
      <c r="H204" s="21">
        <v>-128.9725</v>
      </c>
      <c r="I204" s="16" t="s">
        <v>118</v>
      </c>
      <c r="J204" s="21">
        <v>0.7773</v>
      </c>
      <c r="K204" s="16">
        <v>1.0541979E7</v>
      </c>
      <c r="L204" s="19">
        <v>0.35</v>
      </c>
      <c r="M204" s="19">
        <v>24.2349</v>
      </c>
      <c r="N204" s="16" t="s">
        <v>603</v>
      </c>
      <c r="O204" s="19">
        <v>3.0151</v>
      </c>
      <c r="P204" s="20">
        <v>5060150.0</v>
      </c>
      <c r="Q204" s="21">
        <v>2.26</v>
      </c>
      <c r="R204" s="21">
        <v>1.78</v>
      </c>
      <c r="S204" s="21">
        <v>2.01</v>
      </c>
      <c r="T204" s="21">
        <v>0.439</v>
      </c>
      <c r="U204" s="21">
        <v>2.5446</v>
      </c>
      <c r="V204" s="21">
        <v>773621.4</v>
      </c>
      <c r="W204" s="21">
        <v>18.1993</v>
      </c>
      <c r="X204" s="20">
        <v>1452493.0</v>
      </c>
      <c r="Y204" s="21">
        <v>3.08</v>
      </c>
      <c r="Z204" s="21">
        <v>65.5262</v>
      </c>
      <c r="AA204" s="19">
        <v>31.9996</v>
      </c>
      <c r="AB204" s="21">
        <v>40.8</v>
      </c>
      <c r="AC204" s="21">
        <v>-126.1955</v>
      </c>
      <c r="AD204" s="24"/>
      <c r="AE204" s="24"/>
      <c r="AF204" s="21">
        <v>0.0415</v>
      </c>
      <c r="AG204" s="21">
        <v>2.8302</v>
      </c>
      <c r="AH204" s="16" t="b">
        <v>0</v>
      </c>
      <c r="AI204" s="16" t="b">
        <v>1</v>
      </c>
      <c r="AJ204" s="16" t="b">
        <v>0</v>
      </c>
      <c r="AK204" s="22">
        <f>IFERROR(__xludf.DUMMYFUNCTION("IFERROR(GOOGLEFINANCE(B204,""price""),"""")"),1.78)</f>
        <v>1.78</v>
      </c>
    </row>
    <row r="205">
      <c r="A205" s="7">
        <v>46073.629304331305</v>
      </c>
      <c r="B205" s="8" t="s">
        <v>604</v>
      </c>
      <c r="C205" s="8" t="s">
        <v>605</v>
      </c>
      <c r="D205" s="9">
        <v>46075.0</v>
      </c>
      <c r="E205" s="10">
        <v>2.225</v>
      </c>
      <c r="F205" s="8" t="s">
        <v>117</v>
      </c>
      <c r="G205" s="23"/>
      <c r="H205" s="13">
        <v>-1.2021</v>
      </c>
      <c r="I205" s="8" t="s">
        <v>175</v>
      </c>
      <c r="J205" s="13">
        <v>0.2531</v>
      </c>
      <c r="K205" s="8">
        <v>6120150.0</v>
      </c>
      <c r="L205" s="11">
        <v>0.67</v>
      </c>
      <c r="M205" s="11">
        <v>16.2584</v>
      </c>
      <c r="N205" s="8" t="s">
        <v>606</v>
      </c>
      <c r="O205" s="11">
        <v>0.2252</v>
      </c>
      <c r="P205" s="12">
        <v>856821.0</v>
      </c>
      <c r="Q205" s="13">
        <v>2.25</v>
      </c>
      <c r="R205" s="13">
        <v>2.11</v>
      </c>
      <c r="S205" s="13">
        <v>2.24</v>
      </c>
      <c r="T205" s="13">
        <v>0.1407</v>
      </c>
      <c r="U205" s="13">
        <v>0.4218</v>
      </c>
      <c r="V205" s="13">
        <v>581309.5</v>
      </c>
      <c r="W205" s="13">
        <v>1.5924</v>
      </c>
      <c r="X205" s="12">
        <v>1.67063446E8</v>
      </c>
      <c r="Y205" s="13">
        <v>1.9029</v>
      </c>
      <c r="Z205" s="13">
        <v>2.5102</v>
      </c>
      <c r="AA205" s="11">
        <v>59.3146</v>
      </c>
      <c r="AB205" s="13">
        <v>4.6</v>
      </c>
      <c r="AC205" s="13">
        <v>-95.4893</v>
      </c>
      <c r="AD205" s="23"/>
      <c r="AE205" s="23"/>
      <c r="AF205" s="13">
        <v>0.0079</v>
      </c>
      <c r="AG205" s="13">
        <v>6.7362</v>
      </c>
      <c r="AH205" s="8" t="b">
        <v>1</v>
      </c>
      <c r="AI205" s="8" t="b">
        <v>0</v>
      </c>
      <c r="AJ205" s="8" t="b">
        <v>0</v>
      </c>
      <c r="AK205" s="14">
        <f>IFERROR(__xludf.DUMMYFUNCTION("IFERROR(GOOGLEFINANCE(B205,""price""),"""")"),3.1)</f>
        <v>3.1</v>
      </c>
    </row>
    <row r="206">
      <c r="A206" s="15">
        <v>46073.629304331305</v>
      </c>
      <c r="B206" s="16" t="s">
        <v>607</v>
      </c>
      <c r="C206" s="16" t="s">
        <v>608</v>
      </c>
      <c r="D206" s="17">
        <v>46075.0</v>
      </c>
      <c r="E206" s="18">
        <v>2.36</v>
      </c>
      <c r="F206" s="16" t="s">
        <v>186</v>
      </c>
      <c r="G206" s="21">
        <v>3.6527</v>
      </c>
      <c r="H206" s="21">
        <v>0.6461</v>
      </c>
      <c r="I206" s="16" t="s">
        <v>118</v>
      </c>
      <c r="J206" s="21">
        <v>0.1799</v>
      </c>
      <c r="K206" s="21">
        <v>343466.4835</v>
      </c>
      <c r="L206" s="19">
        <v>0.23</v>
      </c>
      <c r="M206" s="19">
        <v>26.8583</v>
      </c>
      <c r="N206" s="16" t="s">
        <v>609</v>
      </c>
      <c r="O206" s="19">
        <v>-5.6</v>
      </c>
      <c r="P206" s="20">
        <v>625109.0</v>
      </c>
      <c r="Q206" s="21">
        <v>3.82</v>
      </c>
      <c r="R206" s="21">
        <v>2.0</v>
      </c>
      <c r="S206" s="21">
        <v>2.5</v>
      </c>
      <c r="T206" s="21">
        <v>0.5722</v>
      </c>
      <c r="U206" s="21">
        <v>4.92</v>
      </c>
      <c r="V206" s="21">
        <v>105671.8583</v>
      </c>
      <c r="W206" s="21">
        <v>13.8748</v>
      </c>
      <c r="X206" s="20">
        <v>4752943.0</v>
      </c>
      <c r="Y206" s="21">
        <v>3.5526</v>
      </c>
      <c r="Z206" s="24"/>
      <c r="AA206" s="19">
        <v>30.4433</v>
      </c>
      <c r="AB206" s="21">
        <v>102.18</v>
      </c>
      <c r="AC206" s="21">
        <v>72.5168</v>
      </c>
      <c r="AD206" s="21">
        <v>11.1587</v>
      </c>
      <c r="AE206" s="21">
        <v>-0.8198</v>
      </c>
      <c r="AF206" s="21">
        <v>1.8407</v>
      </c>
      <c r="AG206" s="21">
        <v>0.9005</v>
      </c>
      <c r="AH206" s="16" t="b">
        <v>0</v>
      </c>
      <c r="AI206" s="16" t="b">
        <v>1</v>
      </c>
      <c r="AJ206" s="16" t="b">
        <v>0</v>
      </c>
      <c r="AK206" s="22">
        <f>IFERROR(__xludf.DUMMYFUNCTION("IFERROR(GOOGLEFINANCE(B206,""price""),"""")"),2.3)</f>
        <v>2.3</v>
      </c>
    </row>
    <row r="207">
      <c r="A207" s="7">
        <v>46073.77983257588</v>
      </c>
      <c r="B207" s="8" t="s">
        <v>572</v>
      </c>
      <c r="C207" s="8" t="s">
        <v>573</v>
      </c>
      <c r="D207" s="9">
        <v>46075.0</v>
      </c>
      <c r="E207" s="10">
        <v>0.8892</v>
      </c>
      <c r="F207" s="8" t="s">
        <v>88</v>
      </c>
      <c r="G207" s="23"/>
      <c r="H207" s="23"/>
      <c r="I207" s="8" t="s">
        <v>610</v>
      </c>
      <c r="J207" s="13">
        <v>12.4056</v>
      </c>
      <c r="K207" s="8">
        <v>6.720888E7</v>
      </c>
      <c r="L207" s="11">
        <v>0.58</v>
      </c>
      <c r="M207" s="11">
        <v>14.2082</v>
      </c>
      <c r="N207" s="8" t="s">
        <v>574</v>
      </c>
      <c r="O207" s="11">
        <v>50.2027</v>
      </c>
      <c r="P207" s="12">
        <v>3.0781667E7</v>
      </c>
      <c r="Q207" s="13">
        <v>1.05</v>
      </c>
      <c r="R207" s="13">
        <v>0.592</v>
      </c>
      <c r="S207" s="13">
        <v>0.601</v>
      </c>
      <c r="T207" s="13">
        <v>0.1602</v>
      </c>
      <c r="U207" s="13">
        <v>0.5562</v>
      </c>
      <c r="V207" s="8">
        <v>3113052.0</v>
      </c>
      <c r="W207" s="13">
        <v>638.9738</v>
      </c>
      <c r="X207" s="12">
        <v>4509383.0</v>
      </c>
      <c r="Y207" s="13">
        <v>1.2304</v>
      </c>
      <c r="Z207" s="13">
        <v>2.2723</v>
      </c>
      <c r="AA207" s="11">
        <v>49.0086</v>
      </c>
      <c r="AB207" s="13">
        <v>5.46</v>
      </c>
      <c r="AC207" s="23"/>
      <c r="AD207" s="23"/>
      <c r="AE207" s="23"/>
      <c r="AF207" s="23"/>
      <c r="AG207" s="23"/>
      <c r="AH207" s="8" t="b">
        <v>0</v>
      </c>
      <c r="AI207" s="8" t="b">
        <v>0</v>
      </c>
      <c r="AJ207" s="8" t="b">
        <v>0</v>
      </c>
      <c r="AK207" s="14">
        <f>IFERROR(__xludf.DUMMYFUNCTION("IFERROR(GOOGLEFINANCE(B207,""price""),"""")"),0.47)</f>
        <v>0.47</v>
      </c>
    </row>
    <row r="208">
      <c r="A208" s="15">
        <v>46073.77983257588</v>
      </c>
      <c r="B208" s="16" t="s">
        <v>575</v>
      </c>
      <c r="C208" s="16" t="s">
        <v>576</v>
      </c>
      <c r="D208" s="17">
        <v>46075.0</v>
      </c>
      <c r="E208" s="18">
        <v>0.53</v>
      </c>
      <c r="F208" s="16" t="s">
        <v>117</v>
      </c>
      <c r="G208" s="24"/>
      <c r="H208" s="21">
        <v>-2.8575</v>
      </c>
      <c r="I208" s="16" t="s">
        <v>611</v>
      </c>
      <c r="J208" s="21">
        <v>9.146</v>
      </c>
      <c r="K208" s="16">
        <v>1.653605849E9</v>
      </c>
      <c r="L208" s="19">
        <v>0.48</v>
      </c>
      <c r="M208" s="19">
        <v>25.4605</v>
      </c>
      <c r="N208" s="16" t="s">
        <v>578</v>
      </c>
      <c r="O208" s="19">
        <v>48.8346</v>
      </c>
      <c r="P208" s="20">
        <v>3.48563577E8</v>
      </c>
      <c r="Q208" s="21">
        <v>0.689</v>
      </c>
      <c r="R208" s="21">
        <v>0.4782</v>
      </c>
      <c r="S208" s="21">
        <v>0.6235</v>
      </c>
      <c r="T208" s="21">
        <v>0.0897</v>
      </c>
      <c r="U208" s="21">
        <v>0.3763</v>
      </c>
      <c r="V208" s="16">
        <v>3.578969E7</v>
      </c>
      <c r="W208" s="21">
        <v>363.7524</v>
      </c>
      <c r="X208" s="20">
        <v>8633063.0</v>
      </c>
      <c r="Y208" s="21">
        <v>0.6735</v>
      </c>
      <c r="Z208" s="21">
        <v>1.6167</v>
      </c>
      <c r="AA208" s="19">
        <v>53.2247</v>
      </c>
      <c r="AB208" s="21">
        <v>5.33</v>
      </c>
      <c r="AC208" s="21">
        <v>-134.9862</v>
      </c>
      <c r="AD208" s="21">
        <v>-4297.1643</v>
      </c>
      <c r="AE208" s="21">
        <v>-38.1579</v>
      </c>
      <c r="AF208" s="21">
        <v>0.0071</v>
      </c>
      <c r="AG208" s="21">
        <v>0.7438</v>
      </c>
      <c r="AH208" s="16" t="b">
        <v>0</v>
      </c>
      <c r="AI208" s="16" t="b">
        <v>0</v>
      </c>
      <c r="AJ208" s="16" t="b">
        <v>0</v>
      </c>
      <c r="AK208" s="22">
        <f>IFERROR(__xludf.DUMMYFUNCTION("IFERROR(GOOGLEFINANCE(B208,""price""),"""")"),0.34)</f>
        <v>0.34</v>
      </c>
    </row>
    <row r="209">
      <c r="A209" s="7">
        <v>46073.77983257588</v>
      </c>
      <c r="B209" s="8" t="s">
        <v>579</v>
      </c>
      <c r="C209" s="8" t="s">
        <v>580</v>
      </c>
      <c r="D209" s="9">
        <v>46075.0</v>
      </c>
      <c r="E209" s="10">
        <v>0.5344</v>
      </c>
      <c r="F209" s="8" t="s">
        <v>88</v>
      </c>
      <c r="G209" s="23"/>
      <c r="H209" s="13">
        <v>-0.4523</v>
      </c>
      <c r="I209" s="8" t="s">
        <v>612</v>
      </c>
      <c r="J209" s="13">
        <v>5.1464</v>
      </c>
      <c r="K209" s="8">
        <v>4.83270392E8</v>
      </c>
      <c r="L209" s="11">
        <v>0.83</v>
      </c>
      <c r="M209" s="11">
        <v>29.9304</v>
      </c>
      <c r="N209" s="8" t="s">
        <v>582</v>
      </c>
      <c r="O209" s="11">
        <v>24.1924</v>
      </c>
      <c r="P209" s="12">
        <v>8.128608E7</v>
      </c>
      <c r="Q209" s="13">
        <v>0.62</v>
      </c>
      <c r="R209" s="13">
        <v>0.4518</v>
      </c>
      <c r="S209" s="13">
        <v>0.5428</v>
      </c>
      <c r="T209" s="13">
        <v>0.065</v>
      </c>
      <c r="U209" s="13">
        <v>0.1566</v>
      </c>
      <c r="V209" s="8">
        <v>8581561.0</v>
      </c>
      <c r="W209" s="13">
        <v>161.9796</v>
      </c>
      <c r="X209" s="12">
        <v>1.1234973E7</v>
      </c>
      <c r="Y209" s="13">
        <v>0.6077</v>
      </c>
      <c r="Z209" s="13">
        <v>0.9438</v>
      </c>
      <c r="AA209" s="11">
        <v>52.6234</v>
      </c>
      <c r="AB209" s="13">
        <v>1.5</v>
      </c>
      <c r="AC209" s="13">
        <v>-21.5377</v>
      </c>
      <c r="AD209" s="13">
        <v>-18.7412</v>
      </c>
      <c r="AE209" s="13">
        <v>4.3847</v>
      </c>
      <c r="AF209" s="13">
        <v>0.0852</v>
      </c>
      <c r="AG209" s="13">
        <v>5.2638</v>
      </c>
      <c r="AH209" s="8" t="b">
        <v>0</v>
      </c>
      <c r="AI209" s="8" t="b">
        <v>1</v>
      </c>
      <c r="AJ209" s="8" t="b">
        <v>0</v>
      </c>
      <c r="AK209" s="14">
        <f>IFERROR(__xludf.DUMMYFUNCTION("IFERROR(GOOGLEFINANCE(B209,""price""),"""")"),0.44)</f>
        <v>0.44</v>
      </c>
    </row>
    <row r="210">
      <c r="A210" s="15">
        <v>46073.77983257588</v>
      </c>
      <c r="B210" s="16" t="s">
        <v>583</v>
      </c>
      <c r="C210" s="16" t="s">
        <v>584</v>
      </c>
      <c r="D210" s="17">
        <v>46075.0</v>
      </c>
      <c r="E210" s="18">
        <v>0.9476</v>
      </c>
      <c r="F210" s="16" t="s">
        <v>88</v>
      </c>
      <c r="G210" s="24"/>
      <c r="H210" s="24"/>
      <c r="I210" s="16" t="s">
        <v>585</v>
      </c>
      <c r="J210" s="21">
        <v>3.3243</v>
      </c>
      <c r="K210" s="16">
        <v>2.269803E7</v>
      </c>
      <c r="L210" s="19">
        <v>0.62</v>
      </c>
      <c r="M210" s="19">
        <v>28.4716</v>
      </c>
      <c r="N210" s="16" t="s">
        <v>586</v>
      </c>
      <c r="O210" s="19">
        <v>3.0</v>
      </c>
      <c r="P210" s="20">
        <v>3513655.0</v>
      </c>
      <c r="Q210" s="21">
        <v>0.9848</v>
      </c>
      <c r="R210" s="21">
        <v>0.83</v>
      </c>
      <c r="S210" s="21">
        <v>0.88</v>
      </c>
      <c r="T210" s="21">
        <v>0.1249</v>
      </c>
      <c r="U210" s="21">
        <v>0.4047</v>
      </c>
      <c r="V210" s="21">
        <v>403166.3</v>
      </c>
      <c r="W210" s="21">
        <v>54.3061</v>
      </c>
      <c r="X210" s="20">
        <v>4.190916E7</v>
      </c>
      <c r="Y210" s="21">
        <v>1.2868</v>
      </c>
      <c r="Z210" s="21">
        <v>1.6469</v>
      </c>
      <c r="AA210" s="19">
        <v>39.1707</v>
      </c>
      <c r="AB210" s="21">
        <v>5.36</v>
      </c>
      <c r="AC210" s="24"/>
      <c r="AD210" s="24"/>
      <c r="AE210" s="24"/>
      <c r="AF210" s="24"/>
      <c r="AG210" s="24"/>
      <c r="AH210" s="16" t="b">
        <v>0</v>
      </c>
      <c r="AI210" s="16" t="b">
        <v>0</v>
      </c>
      <c r="AJ210" s="16" t="b">
        <v>0</v>
      </c>
      <c r="AK210" s="22">
        <f>IFERROR(__xludf.DUMMYFUNCTION("IFERROR(GOOGLEFINANCE(B210,""price""),"""")"),0.57)</f>
        <v>0.57</v>
      </c>
    </row>
    <row r="211">
      <c r="A211" s="7">
        <v>46073.77983257588</v>
      </c>
      <c r="B211" s="8" t="s">
        <v>587</v>
      </c>
      <c r="C211" s="8" t="s">
        <v>588</v>
      </c>
      <c r="D211" s="9">
        <v>46075.0</v>
      </c>
      <c r="E211" s="10">
        <v>2.39</v>
      </c>
      <c r="F211" s="8" t="s">
        <v>186</v>
      </c>
      <c r="G211" s="23"/>
      <c r="H211" s="13">
        <v>-9.5137</v>
      </c>
      <c r="I211" s="8" t="s">
        <v>314</v>
      </c>
      <c r="J211" s="13">
        <v>3.1116</v>
      </c>
      <c r="K211" s="8">
        <v>3682207.0</v>
      </c>
      <c r="L211" s="11">
        <v>0.21</v>
      </c>
      <c r="M211" s="11">
        <v>16.0962</v>
      </c>
      <c r="N211" s="8" t="s">
        <v>590</v>
      </c>
      <c r="O211" s="11">
        <v>18.3168</v>
      </c>
      <c r="P211" s="12">
        <v>7138695.0</v>
      </c>
      <c r="Q211" s="13">
        <v>3.68</v>
      </c>
      <c r="R211" s="13">
        <v>1.7413</v>
      </c>
      <c r="S211" s="13">
        <v>2.0822</v>
      </c>
      <c r="T211" s="13">
        <v>0.6726</v>
      </c>
      <c r="U211" s="13">
        <v>6.3407</v>
      </c>
      <c r="V211" s="13">
        <v>738603.2</v>
      </c>
      <c r="W211" s="13">
        <v>252.4014</v>
      </c>
      <c r="X211" s="12">
        <v>2890965.0</v>
      </c>
      <c r="Y211" s="13">
        <v>4.177</v>
      </c>
      <c r="Z211" s="13">
        <v>30.1041</v>
      </c>
      <c r="AA211" s="11">
        <v>36.3689</v>
      </c>
      <c r="AB211" s="13">
        <v>200.0</v>
      </c>
      <c r="AC211" s="13">
        <v>-41.1141</v>
      </c>
      <c r="AD211" s="13">
        <v>-34.9837</v>
      </c>
      <c r="AE211" s="13">
        <v>-2.8689</v>
      </c>
      <c r="AF211" s="13">
        <v>0.0108</v>
      </c>
      <c r="AG211" s="13">
        <v>5.5821</v>
      </c>
      <c r="AH211" s="8" t="b">
        <v>0</v>
      </c>
      <c r="AI211" s="8" t="b">
        <v>0</v>
      </c>
      <c r="AJ211" s="8" t="b">
        <v>0</v>
      </c>
      <c r="AK211" s="14">
        <f>IFERROR(__xludf.DUMMYFUNCTION("IFERROR(GOOGLEFINANCE(B211,""price""),"""")"),1.29)</f>
        <v>1.29</v>
      </c>
    </row>
    <row r="212">
      <c r="A212" s="15">
        <v>46073.77983257588</v>
      </c>
      <c r="B212" s="16" t="s">
        <v>613</v>
      </c>
      <c r="C212" s="16" t="s">
        <v>614</v>
      </c>
      <c r="D212" s="17">
        <v>46075.0</v>
      </c>
      <c r="E212" s="18">
        <v>3.25</v>
      </c>
      <c r="F212" s="16" t="s">
        <v>137</v>
      </c>
      <c r="G212" s="24"/>
      <c r="H212" s="21">
        <v>-3.3099</v>
      </c>
      <c r="I212" s="16" t="s">
        <v>433</v>
      </c>
      <c r="J212" s="21">
        <v>2.7117</v>
      </c>
      <c r="K212" s="16">
        <v>1.0587575E7</v>
      </c>
      <c r="L212" s="19">
        <v>0.39</v>
      </c>
      <c r="M212" s="19">
        <v>11.7227</v>
      </c>
      <c r="N212" s="16" t="s">
        <v>615</v>
      </c>
      <c r="O212" s="19">
        <v>-3.2738</v>
      </c>
      <c r="P212" s="20">
        <v>3069338.0</v>
      </c>
      <c r="Q212" s="21">
        <v>3.4899</v>
      </c>
      <c r="R212" s="21">
        <v>3.2</v>
      </c>
      <c r="S212" s="21">
        <v>3.44</v>
      </c>
      <c r="T212" s="21">
        <v>0.6514</v>
      </c>
      <c r="U212" s="21">
        <v>3.3832</v>
      </c>
      <c r="V212" s="21">
        <v>424398.7</v>
      </c>
      <c r="W212" s="21">
        <v>24.1885</v>
      </c>
      <c r="X212" s="20">
        <v>3725939.0</v>
      </c>
      <c r="Y212" s="21">
        <v>6.6782</v>
      </c>
      <c r="Z212" s="21">
        <v>13.3407</v>
      </c>
      <c r="AA212" s="19">
        <v>29.1953</v>
      </c>
      <c r="AB212" s="21">
        <v>34.65</v>
      </c>
      <c r="AC212" s="21">
        <v>-17.7444</v>
      </c>
      <c r="AD212" s="21">
        <v>-8.1393</v>
      </c>
      <c r="AE212" s="21">
        <v>-24.7162</v>
      </c>
      <c r="AF212" s="21">
        <v>0.3484</v>
      </c>
      <c r="AG212" s="21">
        <v>1.4577</v>
      </c>
      <c r="AH212" s="16" t="b">
        <v>0</v>
      </c>
      <c r="AI212" s="16" t="b">
        <v>0</v>
      </c>
      <c r="AJ212" s="16" t="b">
        <v>0</v>
      </c>
      <c r="AK212" s="22">
        <f>IFERROR(__xludf.DUMMYFUNCTION("IFERROR(GOOGLEFINANCE(B212,""price""),"""")"),1.11)</f>
        <v>1.11</v>
      </c>
    </row>
    <row r="213">
      <c r="A213" s="7">
        <v>46073.77983257588</v>
      </c>
      <c r="B213" s="8" t="s">
        <v>591</v>
      </c>
      <c r="C213" s="8" t="s">
        <v>592</v>
      </c>
      <c r="D213" s="9">
        <v>46075.0</v>
      </c>
      <c r="E213" s="10">
        <v>0.9911</v>
      </c>
      <c r="F213" s="8" t="s">
        <v>190</v>
      </c>
      <c r="G213" s="23"/>
      <c r="H213" s="13">
        <v>-635.9418</v>
      </c>
      <c r="I213" s="8" t="s">
        <v>616</v>
      </c>
      <c r="J213" s="13">
        <v>2.3206</v>
      </c>
      <c r="K213" s="8">
        <v>7.8674186E7</v>
      </c>
      <c r="L213" s="11">
        <v>0.13</v>
      </c>
      <c r="M213" s="11">
        <v>28.4591</v>
      </c>
      <c r="N213" s="8" t="s">
        <v>594</v>
      </c>
      <c r="O213" s="11">
        <v>3.4335</v>
      </c>
      <c r="P213" s="12">
        <v>1.1014386E7</v>
      </c>
      <c r="Q213" s="13">
        <v>1.02</v>
      </c>
      <c r="R213" s="13">
        <v>0.88</v>
      </c>
      <c r="S213" s="13">
        <v>0.9968</v>
      </c>
      <c r="T213" s="13">
        <v>0.2232</v>
      </c>
      <c r="U213" s="13">
        <v>3.39</v>
      </c>
      <c r="V213" s="8">
        <v>1388164.0</v>
      </c>
      <c r="W213" s="13">
        <v>32.7808</v>
      </c>
      <c r="X213" s="12">
        <v>6899141.0</v>
      </c>
      <c r="Y213" s="13">
        <v>1.1289</v>
      </c>
      <c r="Z213" s="13">
        <v>32.5396</v>
      </c>
      <c r="AA213" s="11">
        <v>42.7998</v>
      </c>
      <c r="AB213" s="13">
        <v>120.9312</v>
      </c>
      <c r="AC213" s="13">
        <v>-922.8815</v>
      </c>
      <c r="AD213" s="13">
        <v>-131.8381</v>
      </c>
      <c r="AE213" s="13">
        <v>11.4986</v>
      </c>
      <c r="AF213" s="13">
        <v>0.7239</v>
      </c>
      <c r="AG213" s="13">
        <v>0.123</v>
      </c>
      <c r="AH213" s="8" t="b">
        <v>1</v>
      </c>
      <c r="AI213" s="8" t="b">
        <v>1</v>
      </c>
      <c r="AJ213" s="8" t="b">
        <v>0</v>
      </c>
      <c r="AK213" s="14">
        <f>IFERROR(__xludf.DUMMYFUNCTION("IFERROR(GOOGLEFINANCE(B213,""price""),"""")"),2.01)</f>
        <v>2.01</v>
      </c>
    </row>
    <row r="214">
      <c r="A214" s="15">
        <v>46073.77983257588</v>
      </c>
      <c r="B214" s="16" t="s">
        <v>208</v>
      </c>
      <c r="C214" s="16" t="s">
        <v>209</v>
      </c>
      <c r="D214" s="17">
        <v>46075.0</v>
      </c>
      <c r="E214" s="18">
        <v>0.7508</v>
      </c>
      <c r="F214" s="16" t="s">
        <v>117</v>
      </c>
      <c r="G214" s="24"/>
      <c r="H214" s="21">
        <v>-412.0841</v>
      </c>
      <c r="I214" s="16" t="s">
        <v>113</v>
      </c>
      <c r="J214" s="21">
        <v>1.3103</v>
      </c>
      <c r="K214" s="16">
        <v>2.5306904E7</v>
      </c>
      <c r="L214" s="19">
        <v>0.01</v>
      </c>
      <c r="M214" s="19">
        <v>18.1461</v>
      </c>
      <c r="N214" s="16" t="s">
        <v>211</v>
      </c>
      <c r="O214" s="19">
        <v>-19.2949</v>
      </c>
      <c r="P214" s="20">
        <v>1.1813263E7</v>
      </c>
      <c r="Q214" s="21">
        <v>1.15</v>
      </c>
      <c r="R214" s="21">
        <v>0.6832</v>
      </c>
      <c r="S214" s="21">
        <v>1.14</v>
      </c>
      <c r="T214" s="21">
        <v>0.1492</v>
      </c>
      <c r="U214" s="21">
        <v>30.1852</v>
      </c>
      <c r="V214" s="16">
        <v>1301603.0</v>
      </c>
      <c r="W214" s="21">
        <v>81.4637</v>
      </c>
      <c r="X214" s="20">
        <v>1729460.0</v>
      </c>
      <c r="Y214" s="21">
        <v>1.3609</v>
      </c>
      <c r="Z214" s="21">
        <v>876.6165</v>
      </c>
      <c r="AA214" s="19">
        <v>29.2781</v>
      </c>
      <c r="AB214" s="21">
        <v>168.0</v>
      </c>
      <c r="AC214" s="24"/>
      <c r="AD214" s="24"/>
      <c r="AE214" s="24"/>
      <c r="AF214" s="21">
        <v>0.4383</v>
      </c>
      <c r="AG214" s="21">
        <v>1.6633</v>
      </c>
      <c r="AH214" s="16" t="b">
        <v>0</v>
      </c>
      <c r="AI214" s="16" t="b">
        <v>0</v>
      </c>
      <c r="AJ214" s="16" t="b">
        <v>0</v>
      </c>
      <c r="AK214" s="22">
        <f>IFERROR(__xludf.DUMMYFUNCTION("IFERROR(GOOGLEFINANCE(B214,""price""),"""")"),4.08)</f>
        <v>4.08</v>
      </c>
    </row>
    <row r="215">
      <c r="A215" s="7">
        <v>46073.77983257588</v>
      </c>
      <c r="B215" s="8" t="s">
        <v>598</v>
      </c>
      <c r="C215" s="8" t="s">
        <v>599</v>
      </c>
      <c r="D215" s="9">
        <v>46075.0</v>
      </c>
      <c r="E215" s="10">
        <v>1.54</v>
      </c>
      <c r="F215" s="8" t="s">
        <v>93</v>
      </c>
      <c r="G215" s="23"/>
      <c r="H215" s="23"/>
      <c r="I215" s="8" t="s">
        <v>118</v>
      </c>
      <c r="J215" s="13">
        <v>1.2584</v>
      </c>
      <c r="K215" s="8">
        <v>5721440.0</v>
      </c>
      <c r="L215" s="11">
        <v>0.01</v>
      </c>
      <c r="M215" s="11">
        <v>18.2273</v>
      </c>
      <c r="N215" s="8" t="s">
        <v>600</v>
      </c>
      <c r="O215" s="11">
        <v>-4.9383</v>
      </c>
      <c r="P215" s="12">
        <v>1716432.0</v>
      </c>
      <c r="Q215" s="13">
        <v>1.65</v>
      </c>
      <c r="R215" s="13">
        <v>1.35</v>
      </c>
      <c r="S215" s="13">
        <v>1.515</v>
      </c>
      <c r="T215" s="13">
        <v>0.1916</v>
      </c>
      <c r="U215" s="13">
        <v>34.628</v>
      </c>
      <c r="V215" s="13">
        <v>234486.0</v>
      </c>
      <c r="W215" s="13">
        <v>24.515</v>
      </c>
      <c r="X215" s="12">
        <v>5585334.0</v>
      </c>
      <c r="Y215" s="13">
        <v>1.9751</v>
      </c>
      <c r="Z215" s="13">
        <v>336.9291</v>
      </c>
      <c r="AA215" s="11">
        <v>42.6795</v>
      </c>
      <c r="AB215" s="13">
        <v>4836.0</v>
      </c>
      <c r="AC215" s="23"/>
      <c r="AD215" s="23"/>
      <c r="AE215" s="23"/>
      <c r="AF215" s="13">
        <v>0.1641</v>
      </c>
      <c r="AG215" s="13">
        <v>0.6906</v>
      </c>
      <c r="AH215" s="8" t="b">
        <v>0</v>
      </c>
      <c r="AI215" s="8" t="b">
        <v>1</v>
      </c>
      <c r="AJ215" s="8" t="b">
        <v>0</v>
      </c>
      <c r="AK215" s="14">
        <f>IFERROR(__xludf.DUMMYFUNCTION("IFERROR(GOOGLEFINANCE(B215,""price""),"""")"),1.3)</f>
        <v>1.3</v>
      </c>
    </row>
    <row r="216">
      <c r="A216" s="15">
        <v>46073.77983257588</v>
      </c>
      <c r="B216" s="16" t="s">
        <v>595</v>
      </c>
      <c r="C216" s="16" t="s">
        <v>596</v>
      </c>
      <c r="D216" s="17">
        <v>46075.0</v>
      </c>
      <c r="E216" s="18">
        <v>0.6169</v>
      </c>
      <c r="F216" s="16" t="s">
        <v>102</v>
      </c>
      <c r="G216" s="24"/>
      <c r="H216" s="21">
        <v>-17.3786</v>
      </c>
      <c r="I216" s="16" t="s">
        <v>118</v>
      </c>
      <c r="J216" s="21">
        <v>1.2199</v>
      </c>
      <c r="K216" s="16">
        <v>4.18153928E8</v>
      </c>
      <c r="L216" s="19">
        <v>0.74</v>
      </c>
      <c r="M216" s="19">
        <v>27.2266</v>
      </c>
      <c r="N216" s="16" t="s">
        <v>597</v>
      </c>
      <c r="O216" s="19">
        <v>37.0889</v>
      </c>
      <c r="P216" s="20">
        <v>7.3507279E7</v>
      </c>
      <c r="Q216" s="21">
        <v>0.7085</v>
      </c>
      <c r="R216" s="21">
        <v>0.5327</v>
      </c>
      <c r="S216" s="21">
        <v>0.6299</v>
      </c>
      <c r="T216" s="21">
        <v>0.2088</v>
      </c>
      <c r="U216" s="21">
        <v>0.5681</v>
      </c>
      <c r="V216" s="16">
        <v>9460729.0</v>
      </c>
      <c r="W216" s="21">
        <v>34.7623</v>
      </c>
      <c r="X216" s="20">
        <v>2844908.0</v>
      </c>
      <c r="Y216" s="21">
        <v>1.4326</v>
      </c>
      <c r="Z216" s="21">
        <v>3.4139</v>
      </c>
      <c r="AA216" s="19">
        <v>34.6492</v>
      </c>
      <c r="AB216" s="21">
        <v>8.2733</v>
      </c>
      <c r="AC216" s="21">
        <v>-45.6896</v>
      </c>
      <c r="AD216" s="21">
        <v>-1.5101</v>
      </c>
      <c r="AE216" s="21">
        <v>-47.248</v>
      </c>
      <c r="AF216" s="21">
        <v>0.0</v>
      </c>
      <c r="AG216" s="21">
        <v>2.6894</v>
      </c>
      <c r="AH216" s="16" t="b">
        <v>0</v>
      </c>
      <c r="AI216" s="16" t="b">
        <v>1</v>
      </c>
      <c r="AJ216" s="16" t="b">
        <v>0</v>
      </c>
      <c r="AK216" s="22">
        <f>IFERROR(__xludf.DUMMYFUNCTION("IFERROR(GOOGLEFINANCE(B216,""price""),"""")"),0.59)</f>
        <v>0.59</v>
      </c>
    </row>
    <row r="217">
      <c r="A217" s="7">
        <v>46073.77983257588</v>
      </c>
      <c r="B217" s="8" t="s">
        <v>617</v>
      </c>
      <c r="C217" s="8" t="s">
        <v>618</v>
      </c>
      <c r="D217" s="9">
        <v>46075.0</v>
      </c>
      <c r="E217" s="10">
        <v>4.62</v>
      </c>
      <c r="F217" s="8" t="s">
        <v>129</v>
      </c>
      <c r="G217" s="13">
        <v>12.2644</v>
      </c>
      <c r="H217" s="13">
        <v>0.3767</v>
      </c>
      <c r="I217" s="8" t="s">
        <v>113</v>
      </c>
      <c r="J217" s="13">
        <v>1.1594</v>
      </c>
      <c r="K217" s="8">
        <v>1.0686839E7</v>
      </c>
      <c r="L217" s="11">
        <v>0.7</v>
      </c>
      <c r="M217" s="11">
        <v>20.3479</v>
      </c>
      <c r="N217" s="8" t="s">
        <v>619</v>
      </c>
      <c r="O217" s="11">
        <v>-0.431</v>
      </c>
      <c r="P217" s="12">
        <v>1656460.0</v>
      </c>
      <c r="Q217" s="13">
        <v>4.695</v>
      </c>
      <c r="R217" s="13">
        <v>4.54</v>
      </c>
      <c r="S217" s="13">
        <v>4.64</v>
      </c>
      <c r="T217" s="13">
        <v>0.1524</v>
      </c>
      <c r="U217" s="13">
        <v>0.4325</v>
      </c>
      <c r="V217" s="13">
        <v>550740.8</v>
      </c>
      <c r="W217" s="13">
        <v>3.8897</v>
      </c>
      <c r="X217" s="12">
        <v>9.78262406E8</v>
      </c>
      <c r="Y217" s="13">
        <v>4.7534</v>
      </c>
      <c r="Z217" s="13">
        <v>5.2404</v>
      </c>
      <c r="AA217" s="11">
        <v>50.3524</v>
      </c>
      <c r="AB217" s="13">
        <v>7.33</v>
      </c>
      <c r="AC217" s="13">
        <v>19.3808</v>
      </c>
      <c r="AD217" s="13">
        <v>13.4325</v>
      </c>
      <c r="AE217" s="13">
        <v>-2.7207</v>
      </c>
      <c r="AF217" s="13">
        <v>0.0349</v>
      </c>
      <c r="AG217" s="13">
        <v>2.3583</v>
      </c>
      <c r="AH217" s="8" t="b">
        <v>0</v>
      </c>
      <c r="AI217" s="8" t="b">
        <v>0</v>
      </c>
      <c r="AJ217" s="8" t="b">
        <v>0</v>
      </c>
      <c r="AK217" s="14">
        <f>IFERROR(__xludf.DUMMYFUNCTION("IFERROR(GOOGLEFINANCE(B217,""price""),"""")"),4.18)</f>
        <v>4.18</v>
      </c>
    </row>
    <row r="218">
      <c r="A218" s="15">
        <v>46073.77983257588</v>
      </c>
      <c r="B218" s="16" t="s">
        <v>601</v>
      </c>
      <c r="C218" s="16" t="s">
        <v>602</v>
      </c>
      <c r="D218" s="17">
        <v>46075.0</v>
      </c>
      <c r="E218" s="18">
        <v>2.02</v>
      </c>
      <c r="F218" s="16" t="s">
        <v>117</v>
      </c>
      <c r="G218" s="24"/>
      <c r="H218" s="21">
        <v>-128.9725</v>
      </c>
      <c r="I218" s="16" t="s">
        <v>118</v>
      </c>
      <c r="J218" s="21">
        <v>0.7772</v>
      </c>
      <c r="K218" s="16">
        <v>1.069759E7</v>
      </c>
      <c r="L218" s="19">
        <v>0.35</v>
      </c>
      <c r="M218" s="19">
        <v>24.2349</v>
      </c>
      <c r="N218" s="16" t="s">
        <v>603</v>
      </c>
      <c r="O218" s="19">
        <v>1.5075</v>
      </c>
      <c r="P218" s="20">
        <v>5134843.0</v>
      </c>
      <c r="Q218" s="21">
        <v>2.26</v>
      </c>
      <c r="R218" s="21">
        <v>1.78</v>
      </c>
      <c r="S218" s="21">
        <v>2.01</v>
      </c>
      <c r="T218" s="21">
        <v>0.439</v>
      </c>
      <c r="U218" s="21">
        <v>2.5446</v>
      </c>
      <c r="V218" s="21">
        <v>781090.7</v>
      </c>
      <c r="W218" s="21">
        <v>18.4679</v>
      </c>
      <c r="X218" s="20">
        <v>1431237.0</v>
      </c>
      <c r="Y218" s="21">
        <v>3.0794</v>
      </c>
      <c r="Z218" s="21">
        <v>65.5259</v>
      </c>
      <c r="AA218" s="19">
        <v>31.219</v>
      </c>
      <c r="AB218" s="21">
        <v>40.8</v>
      </c>
      <c r="AC218" s="21">
        <v>-126.1955</v>
      </c>
      <c r="AD218" s="24"/>
      <c r="AE218" s="24"/>
      <c r="AF218" s="21">
        <v>0.0415</v>
      </c>
      <c r="AG218" s="21">
        <v>2.8302</v>
      </c>
      <c r="AH218" s="16" t="b">
        <v>0</v>
      </c>
      <c r="AI218" s="16" t="b">
        <v>1</v>
      </c>
      <c r="AJ218" s="16" t="b">
        <v>0</v>
      </c>
      <c r="AK218" s="22">
        <f>IFERROR(__xludf.DUMMYFUNCTION("IFERROR(GOOGLEFINANCE(B218,""price""),"""")"),1.78)</f>
        <v>1.78</v>
      </c>
    </row>
    <row r="219">
      <c r="A219" s="7">
        <v>46073.77983257588</v>
      </c>
      <c r="B219" s="8" t="s">
        <v>513</v>
      </c>
      <c r="C219" s="8" t="s">
        <v>514</v>
      </c>
      <c r="D219" s="9">
        <v>46075.0</v>
      </c>
      <c r="E219" s="10">
        <v>4.26</v>
      </c>
      <c r="F219" s="8" t="s">
        <v>93</v>
      </c>
      <c r="G219" s="13">
        <v>40.1887</v>
      </c>
      <c r="H219" s="13">
        <v>0.106</v>
      </c>
      <c r="I219" s="8" t="s">
        <v>620</v>
      </c>
      <c r="J219" s="13">
        <v>0.7771</v>
      </c>
      <c r="K219" s="8">
        <v>4582541.0</v>
      </c>
      <c r="L219" s="11">
        <v>0.87</v>
      </c>
      <c r="M219" s="11">
        <v>17.8443</v>
      </c>
      <c r="N219" s="8" t="s">
        <v>516</v>
      </c>
      <c r="O219" s="11">
        <v>0.9479</v>
      </c>
      <c r="P219" s="12">
        <v>389516.0</v>
      </c>
      <c r="Q219" s="13">
        <v>4.27</v>
      </c>
      <c r="R219" s="13">
        <v>4.185</v>
      </c>
      <c r="S219" s="13">
        <v>4.2</v>
      </c>
      <c r="T219" s="13">
        <v>0.1008</v>
      </c>
      <c r="U219" s="13">
        <v>0.2304</v>
      </c>
      <c r="V219" s="13">
        <v>276240.8</v>
      </c>
      <c r="W219" s="13">
        <v>1.5506</v>
      </c>
      <c r="X219" s="12">
        <v>3.89741683E8</v>
      </c>
      <c r="Y219" s="13">
        <v>4.343</v>
      </c>
      <c r="Z219" s="13">
        <v>4.0612</v>
      </c>
      <c r="AA219" s="11">
        <v>46.0793</v>
      </c>
      <c r="AB219" s="13">
        <v>4.785</v>
      </c>
      <c r="AC219" s="13">
        <v>3.2876</v>
      </c>
      <c r="AD219" s="13">
        <v>8.5594</v>
      </c>
      <c r="AE219" s="13">
        <v>-12.8087</v>
      </c>
      <c r="AF219" s="13">
        <v>0.5312</v>
      </c>
      <c r="AG219" s="13">
        <v>0.1272</v>
      </c>
      <c r="AH219" s="8" t="b">
        <v>0</v>
      </c>
      <c r="AI219" s="8" t="b">
        <v>0</v>
      </c>
      <c r="AJ219" s="8" t="b">
        <v>1</v>
      </c>
      <c r="AK219" s="14">
        <f>IFERROR(__xludf.DUMMYFUNCTION("IFERROR(GOOGLEFINANCE(B219,""price""),"""")"),4.18)</f>
        <v>4.18</v>
      </c>
    </row>
    <row r="220">
      <c r="A220" s="15">
        <v>46073.77983257588</v>
      </c>
      <c r="B220" s="16" t="s">
        <v>621</v>
      </c>
      <c r="C220" s="16" t="s">
        <v>622</v>
      </c>
      <c r="D220" s="17">
        <v>46075.0</v>
      </c>
      <c r="E220" s="18">
        <v>1.84</v>
      </c>
      <c r="F220" s="16" t="s">
        <v>117</v>
      </c>
      <c r="G220" s="24"/>
      <c r="H220" s="21">
        <v>-2.3541</v>
      </c>
      <c r="I220" s="16" t="s">
        <v>175</v>
      </c>
      <c r="J220" s="21">
        <v>0.3675</v>
      </c>
      <c r="K220" s="16">
        <v>9344224.0</v>
      </c>
      <c r="L220" s="19">
        <v>0.73</v>
      </c>
      <c r="M220" s="19">
        <v>21.6085</v>
      </c>
      <c r="N220" s="16" t="s">
        <v>623</v>
      </c>
      <c r="O220" s="19">
        <v>0.0</v>
      </c>
      <c r="P220" s="20">
        <v>794259.0</v>
      </c>
      <c r="Q220" s="21">
        <v>1.85</v>
      </c>
      <c r="R220" s="21">
        <v>1.765</v>
      </c>
      <c r="S220" s="21">
        <v>1.82</v>
      </c>
      <c r="T220" s="21">
        <v>0.1409</v>
      </c>
      <c r="U220" s="21">
        <v>0.3835</v>
      </c>
      <c r="V220" s="21">
        <v>460095.3</v>
      </c>
      <c r="W220" s="21">
        <v>1.6977</v>
      </c>
      <c r="X220" s="20">
        <v>5.8645105E7</v>
      </c>
      <c r="Y220" s="21">
        <v>2.1711</v>
      </c>
      <c r="Z220" s="21">
        <v>2.4886</v>
      </c>
      <c r="AA220" s="19">
        <v>42.4171</v>
      </c>
      <c r="AB220" s="21">
        <v>3.84</v>
      </c>
      <c r="AC220" s="24"/>
      <c r="AD220" s="21">
        <v>-6292.9752</v>
      </c>
      <c r="AE220" s="24"/>
      <c r="AF220" s="24"/>
      <c r="AG220" s="21">
        <v>0.2943</v>
      </c>
      <c r="AH220" s="16" t="b">
        <v>1</v>
      </c>
      <c r="AI220" s="16" t="b">
        <v>0</v>
      </c>
      <c r="AJ220" s="16" t="b">
        <v>0</v>
      </c>
      <c r="AK220" s="22">
        <f>IFERROR(__xludf.DUMMYFUNCTION("IFERROR(GOOGLEFINANCE(B220,""price""),"""")"),2.22)</f>
        <v>2.22</v>
      </c>
    </row>
    <row r="221">
      <c r="A221" s="7">
        <v>46073.77983257588</v>
      </c>
      <c r="B221" s="8" t="s">
        <v>624</v>
      </c>
      <c r="C221" s="8" t="s">
        <v>625</v>
      </c>
      <c r="D221" s="9">
        <v>46075.0</v>
      </c>
      <c r="E221" s="10">
        <v>1.17</v>
      </c>
      <c r="F221" s="8" t="s">
        <v>107</v>
      </c>
      <c r="G221" s="23"/>
      <c r="H221" s="13">
        <v>-0.7514</v>
      </c>
      <c r="I221" s="8" t="s">
        <v>118</v>
      </c>
      <c r="J221" s="13">
        <v>0.3551</v>
      </c>
      <c r="K221" s="8">
        <v>3.503918E7</v>
      </c>
      <c r="L221" s="11">
        <v>0.69</v>
      </c>
      <c r="M221" s="11">
        <v>21.225</v>
      </c>
      <c r="N221" s="8" t="s">
        <v>626</v>
      </c>
      <c r="O221" s="11">
        <v>-0.8475</v>
      </c>
      <c r="P221" s="12">
        <v>1751959.0</v>
      </c>
      <c r="Q221" s="13">
        <v>1.19</v>
      </c>
      <c r="R221" s="13">
        <v>1.14</v>
      </c>
      <c r="S221" s="13">
        <v>1.17</v>
      </c>
      <c r="T221" s="13">
        <v>0.0997</v>
      </c>
      <c r="U221" s="13">
        <v>0.2911</v>
      </c>
      <c r="V221" s="8">
        <v>1162816.0</v>
      </c>
      <c r="W221" s="13">
        <v>1.5176</v>
      </c>
      <c r="X221" s="12">
        <v>1.05679527E8</v>
      </c>
      <c r="Y221" s="13">
        <v>1.5323</v>
      </c>
      <c r="Z221" s="13">
        <v>2.167</v>
      </c>
      <c r="AA221" s="11">
        <v>35.175</v>
      </c>
      <c r="AB221" s="13">
        <v>4.3</v>
      </c>
      <c r="AC221" s="13">
        <v>-114.2553</v>
      </c>
      <c r="AD221" s="13">
        <v>-112.6691</v>
      </c>
      <c r="AE221" s="13">
        <v>-17.8661</v>
      </c>
      <c r="AF221" s="13">
        <v>1.7803</v>
      </c>
      <c r="AG221" s="13">
        <v>4.1241</v>
      </c>
      <c r="AH221" s="8" t="b">
        <v>0</v>
      </c>
      <c r="AI221" s="8" t="b">
        <v>1</v>
      </c>
      <c r="AJ221" s="8" t="b">
        <v>0</v>
      </c>
      <c r="AK221" s="14">
        <f>IFERROR(__xludf.DUMMYFUNCTION("IFERROR(GOOGLEFINANCE(B221,""price""),"""")"),2.24)</f>
        <v>2.24</v>
      </c>
    </row>
    <row r="222">
      <c r="A222" s="15">
        <v>46073.77983257588</v>
      </c>
      <c r="B222" s="16" t="s">
        <v>627</v>
      </c>
      <c r="C222" s="16" t="s">
        <v>628</v>
      </c>
      <c r="D222" s="17">
        <v>46075.0</v>
      </c>
      <c r="E222" s="18">
        <v>1.6</v>
      </c>
      <c r="F222" s="16" t="s">
        <v>117</v>
      </c>
      <c r="G222" s="24"/>
      <c r="H222" s="21">
        <v>-0.2167</v>
      </c>
      <c r="I222" s="16" t="s">
        <v>138</v>
      </c>
      <c r="J222" s="21">
        <v>0.3258</v>
      </c>
      <c r="K222" s="16">
        <v>6.2182482E7</v>
      </c>
      <c r="L222" s="19">
        <v>0.94</v>
      </c>
      <c r="M222" s="19">
        <v>14.2585</v>
      </c>
      <c r="N222" s="16" t="s">
        <v>629</v>
      </c>
      <c r="O222" s="19">
        <v>0.6289</v>
      </c>
      <c r="P222" s="20">
        <v>6162284.0</v>
      </c>
      <c r="Q222" s="21">
        <v>1.6591</v>
      </c>
      <c r="R222" s="21">
        <v>1.56</v>
      </c>
      <c r="S222" s="21">
        <v>1.6</v>
      </c>
      <c r="T222" s="21">
        <v>0.1067</v>
      </c>
      <c r="U222" s="21">
        <v>0.2283</v>
      </c>
      <c r="V222" s="16">
        <v>3224263.0</v>
      </c>
      <c r="W222" s="21">
        <v>2.0181</v>
      </c>
      <c r="X222" s="20">
        <v>5.24621398E8</v>
      </c>
      <c r="Y222" s="21">
        <v>1.4856</v>
      </c>
      <c r="Z222" s="21">
        <v>1.286</v>
      </c>
      <c r="AA222" s="19">
        <v>58.7548</v>
      </c>
      <c r="AB222" s="21">
        <v>1.96</v>
      </c>
      <c r="AC222" s="21">
        <v>-289.926</v>
      </c>
      <c r="AD222" s="21">
        <v>-1112.8678</v>
      </c>
      <c r="AE222" s="21">
        <v>14.2553</v>
      </c>
      <c r="AF222" s="21">
        <v>9.3303</v>
      </c>
      <c r="AG222" s="21">
        <v>1.8486</v>
      </c>
      <c r="AH222" s="16" t="b">
        <v>0</v>
      </c>
      <c r="AI222" s="16" t="b">
        <v>1</v>
      </c>
      <c r="AJ222" s="16" t="b">
        <v>0</v>
      </c>
      <c r="AK222" s="22">
        <f>IFERROR(__xludf.DUMMYFUNCTION("IFERROR(GOOGLEFINANCE(B222,""price""),"""")"),1.76)</f>
        <v>1.76</v>
      </c>
    </row>
    <row r="223">
      <c r="A223" s="7">
        <v>46073.77983257588</v>
      </c>
      <c r="B223" s="8" t="s">
        <v>607</v>
      </c>
      <c r="C223" s="8" t="s">
        <v>608</v>
      </c>
      <c r="D223" s="9">
        <v>46075.0</v>
      </c>
      <c r="E223" s="10">
        <v>2.33</v>
      </c>
      <c r="F223" s="8" t="s">
        <v>186</v>
      </c>
      <c r="G223" s="13">
        <v>3.6063</v>
      </c>
      <c r="H223" s="13">
        <v>0.6461</v>
      </c>
      <c r="I223" s="8" t="s">
        <v>118</v>
      </c>
      <c r="J223" s="13">
        <v>0.1898</v>
      </c>
      <c r="K223" s="13">
        <v>367069.7802</v>
      </c>
      <c r="L223" s="11">
        <v>0.23</v>
      </c>
      <c r="M223" s="11">
        <v>26.8583</v>
      </c>
      <c r="N223" s="8" t="s">
        <v>609</v>
      </c>
      <c r="O223" s="11">
        <v>-6.8</v>
      </c>
      <c r="P223" s="12">
        <v>668067.0</v>
      </c>
      <c r="Q223" s="13">
        <v>3.82</v>
      </c>
      <c r="R223" s="13">
        <v>2.0</v>
      </c>
      <c r="S223" s="13">
        <v>2.5</v>
      </c>
      <c r="T223" s="13">
        <v>0.5722</v>
      </c>
      <c r="U223" s="13">
        <v>4.92</v>
      </c>
      <c r="V223" s="13">
        <v>109967.6583</v>
      </c>
      <c r="W223" s="13">
        <v>14.8283</v>
      </c>
      <c r="X223" s="12">
        <v>4692524.0</v>
      </c>
      <c r="Y223" s="13">
        <v>3.552</v>
      </c>
      <c r="Z223" s="23"/>
      <c r="AA223" s="11">
        <v>30.0606</v>
      </c>
      <c r="AB223" s="13">
        <v>102.18</v>
      </c>
      <c r="AC223" s="13">
        <v>72.5168</v>
      </c>
      <c r="AD223" s="13">
        <v>11.1587</v>
      </c>
      <c r="AE223" s="13">
        <v>-0.8198</v>
      </c>
      <c r="AF223" s="13">
        <v>1.8407</v>
      </c>
      <c r="AG223" s="13">
        <v>0.9005</v>
      </c>
      <c r="AH223" s="8" t="b">
        <v>0</v>
      </c>
      <c r="AI223" s="8" t="b">
        <v>1</v>
      </c>
      <c r="AJ223" s="8" t="b">
        <v>0</v>
      </c>
      <c r="AK223" s="14">
        <f>IFERROR(__xludf.DUMMYFUNCTION("IFERROR(GOOGLEFINANCE(B223,""price""),"""")"),2.3)</f>
        <v>2.3</v>
      </c>
    </row>
    <row r="224">
      <c r="A224" s="15">
        <v>46073.77983257588</v>
      </c>
      <c r="B224" s="16" t="s">
        <v>630</v>
      </c>
      <c r="C224" s="16" t="s">
        <v>631</v>
      </c>
      <c r="D224" s="17">
        <v>46075.0</v>
      </c>
      <c r="E224" s="18">
        <v>0.9078</v>
      </c>
      <c r="F224" s="16" t="s">
        <v>88</v>
      </c>
      <c r="G224" s="24"/>
      <c r="H224" s="21">
        <v>-2.0963</v>
      </c>
      <c r="I224" s="16" t="s">
        <v>118</v>
      </c>
      <c r="J224" s="21">
        <v>0.1121</v>
      </c>
      <c r="K224" s="16">
        <v>7094808.0</v>
      </c>
      <c r="L224" s="19">
        <v>0.64</v>
      </c>
      <c r="M224" s="19">
        <v>23.1996</v>
      </c>
      <c r="N224" s="16" t="s">
        <v>632</v>
      </c>
      <c r="O224" s="19">
        <v>2.4258</v>
      </c>
      <c r="P224" s="20">
        <v>1254362.0</v>
      </c>
      <c r="Q224" s="21">
        <v>1.05</v>
      </c>
      <c r="R224" s="21">
        <v>0.8732</v>
      </c>
      <c r="S224" s="21">
        <v>0.903</v>
      </c>
      <c r="T224" s="21">
        <v>0.1086</v>
      </c>
      <c r="U224" s="21">
        <v>0.3416</v>
      </c>
      <c r="V224" s="21">
        <v>645565.5</v>
      </c>
      <c r="W224" s="21">
        <v>2.1834</v>
      </c>
      <c r="X224" s="20">
        <v>4.9072534E7</v>
      </c>
      <c r="Y224" s="21">
        <v>1.0936</v>
      </c>
      <c r="Z224" s="21">
        <v>1.7368</v>
      </c>
      <c r="AA224" s="19">
        <v>41.7598</v>
      </c>
      <c r="AB224" s="21">
        <v>3.28</v>
      </c>
      <c r="AC224" s="21">
        <v>-341.0429</v>
      </c>
      <c r="AD224" s="21">
        <v>-19.8356</v>
      </c>
      <c r="AE224" s="21">
        <v>-14.4115</v>
      </c>
      <c r="AF224" s="24"/>
      <c r="AG224" s="21">
        <v>1.1375</v>
      </c>
      <c r="AH224" s="16" t="b">
        <v>0</v>
      </c>
      <c r="AI224" s="16" t="b">
        <v>1</v>
      </c>
      <c r="AJ224" s="16" t="b">
        <v>0</v>
      </c>
      <c r="AK224" s="22">
        <f>IFERROR(__xludf.DUMMYFUNCTION("IFERROR(GOOGLEFINANCE(B224,""price""),"""")"),0.9)</f>
        <v>0.9</v>
      </c>
    </row>
    <row r="225">
      <c r="A225" s="7">
        <v>46076.49618012382</v>
      </c>
      <c r="B225" s="8" t="s">
        <v>633</v>
      </c>
      <c r="C225" s="8" t="s">
        <v>634</v>
      </c>
      <c r="D225" s="9">
        <v>46082.0</v>
      </c>
      <c r="E225" s="10">
        <v>0.6869</v>
      </c>
      <c r="F225" s="8" t="s">
        <v>102</v>
      </c>
      <c r="G225" s="23"/>
      <c r="H225" s="13">
        <v>-0.2596</v>
      </c>
      <c r="I225" s="8" t="s">
        <v>635</v>
      </c>
      <c r="J225" s="13">
        <v>57.1003</v>
      </c>
      <c r="K225" s="8">
        <v>1.5509375E8</v>
      </c>
      <c r="L225" s="11">
        <v>0.9</v>
      </c>
      <c r="M225" s="11">
        <v>14.0787</v>
      </c>
      <c r="N225" s="8" t="s">
        <v>636</v>
      </c>
      <c r="O225" s="11">
        <v>-2.0114</v>
      </c>
      <c r="P225" s="12">
        <v>1.5509375E7</v>
      </c>
      <c r="Q225" s="13">
        <v>0.75</v>
      </c>
      <c r="R225" s="13">
        <v>0.65</v>
      </c>
      <c r="S225" s="13">
        <v>0.6801</v>
      </c>
      <c r="T225" s="13">
        <v>0.0403</v>
      </c>
      <c r="U225" s="13">
        <v>0.0895</v>
      </c>
      <c r="V225" s="8">
        <v>1567778.0</v>
      </c>
      <c r="W225" s="13">
        <v>831.275</v>
      </c>
      <c r="X225" s="12">
        <v>1.3892693E7</v>
      </c>
      <c r="Y225" s="13">
        <v>0.753</v>
      </c>
      <c r="Z225" s="13">
        <v>0.839</v>
      </c>
      <c r="AA225" s="11">
        <v>37.6662</v>
      </c>
      <c r="AB225" s="13">
        <v>1.2</v>
      </c>
      <c r="AC225" s="13">
        <v>-108.7565</v>
      </c>
      <c r="AD225" s="13">
        <v>-94.1886</v>
      </c>
      <c r="AE225" s="13">
        <v>-30.608</v>
      </c>
      <c r="AF225" s="13">
        <v>1.5598</v>
      </c>
      <c r="AG225" s="13">
        <v>1.9829</v>
      </c>
      <c r="AH225" s="8" t="b">
        <v>0</v>
      </c>
      <c r="AI225" s="8" t="b">
        <v>1</v>
      </c>
      <c r="AJ225" s="8" t="b">
        <v>0</v>
      </c>
      <c r="AK225" s="14">
        <f>IFERROR(__xludf.DUMMYFUNCTION("IFERROR(GOOGLEFINANCE(B225,""price""),"""")"),0.58)</f>
        <v>0.58</v>
      </c>
    </row>
    <row r="226">
      <c r="A226" s="15">
        <v>46076.49618012382</v>
      </c>
      <c r="B226" s="16" t="s">
        <v>637</v>
      </c>
      <c r="C226" s="16" t="s">
        <v>638</v>
      </c>
      <c r="D226" s="17">
        <v>46082.0</v>
      </c>
      <c r="E226" s="18">
        <v>0.5796</v>
      </c>
      <c r="F226" s="16" t="s">
        <v>102</v>
      </c>
      <c r="G226" s="21">
        <v>15.6649</v>
      </c>
      <c r="H226" s="21">
        <v>0.037</v>
      </c>
      <c r="I226" s="16" t="s">
        <v>639</v>
      </c>
      <c r="J226" s="21">
        <v>48.9513</v>
      </c>
      <c r="K226" s="16">
        <v>1.90566142E8</v>
      </c>
      <c r="L226" s="19">
        <v>0.38</v>
      </c>
      <c r="M226" s="19">
        <v>25.5119</v>
      </c>
      <c r="N226" s="16" t="s">
        <v>640</v>
      </c>
      <c r="O226" s="19">
        <v>55.4721</v>
      </c>
      <c r="P226" s="20">
        <v>6.4754375E7</v>
      </c>
      <c r="Q226" s="21">
        <v>0.7182</v>
      </c>
      <c r="R226" s="21">
        <v>0.3784</v>
      </c>
      <c r="S226" s="21">
        <v>0.42</v>
      </c>
      <c r="T226" s="21">
        <v>0.0702</v>
      </c>
      <c r="U226" s="21">
        <v>0.3649</v>
      </c>
      <c r="V226" s="16">
        <v>6496654.0</v>
      </c>
      <c r="W226" s="21">
        <v>2869.8474</v>
      </c>
      <c r="X226" s="20">
        <v>9969344.0</v>
      </c>
      <c r="Y226" s="21">
        <v>0.5241</v>
      </c>
      <c r="Z226" s="24"/>
      <c r="AA226" s="19">
        <v>62.9196</v>
      </c>
      <c r="AB226" s="21">
        <v>6.45</v>
      </c>
      <c r="AC226" s="21">
        <v>4.9708</v>
      </c>
      <c r="AD226" s="21">
        <v>3.2048</v>
      </c>
      <c r="AE226" s="21">
        <v>11.7884</v>
      </c>
      <c r="AF226" s="21">
        <v>1.1503</v>
      </c>
      <c r="AG226" s="21">
        <v>1.0301</v>
      </c>
      <c r="AH226" s="16" t="b">
        <v>0</v>
      </c>
      <c r="AI226" s="16" t="b">
        <v>0</v>
      </c>
      <c r="AJ226" s="16" t="b">
        <v>0</v>
      </c>
      <c r="AK226" s="22">
        <f>IFERROR(__xludf.DUMMYFUNCTION("IFERROR(GOOGLEFINANCE(B226,""price""),"""")"),0.31)</f>
        <v>0.31</v>
      </c>
    </row>
    <row r="227">
      <c r="A227" s="7">
        <v>46076.49618012382</v>
      </c>
      <c r="B227" s="8" t="s">
        <v>272</v>
      </c>
      <c r="C227" s="8" t="s">
        <v>273</v>
      </c>
      <c r="D227" s="9">
        <v>46082.0</v>
      </c>
      <c r="E227" s="10">
        <v>1.995</v>
      </c>
      <c r="F227" s="8" t="s">
        <v>117</v>
      </c>
      <c r="G227" s="23"/>
      <c r="H227" s="13">
        <v>-0.5703</v>
      </c>
      <c r="I227" s="8" t="s">
        <v>641</v>
      </c>
      <c r="J227" s="13">
        <v>4.4987</v>
      </c>
      <c r="K227" s="8">
        <v>1.50152195E8</v>
      </c>
      <c r="L227" s="11">
        <v>0.91</v>
      </c>
      <c r="M227" s="11">
        <v>24.1643</v>
      </c>
      <c r="N227" s="8" t="s">
        <v>274</v>
      </c>
      <c r="O227" s="11">
        <v>13.3523</v>
      </c>
      <c r="P227" s="12">
        <v>3.3033483E7</v>
      </c>
      <c r="Q227" s="13">
        <v>2.11</v>
      </c>
      <c r="R227" s="13">
        <v>1.89</v>
      </c>
      <c r="S227" s="13">
        <v>1.98</v>
      </c>
      <c r="T227" s="13">
        <v>0.1202</v>
      </c>
      <c r="U227" s="13">
        <v>0.2643</v>
      </c>
      <c r="V227" s="8">
        <v>3818046.0</v>
      </c>
      <c r="W227" s="13">
        <v>49.6096</v>
      </c>
      <c r="X227" s="12">
        <v>2.41927751E8</v>
      </c>
      <c r="Y227" s="13">
        <v>1.7091</v>
      </c>
      <c r="Z227" s="13">
        <v>1.7536</v>
      </c>
      <c r="AA227" s="11">
        <v>66.0948</v>
      </c>
      <c r="AB227" s="13">
        <v>2.58</v>
      </c>
      <c r="AC227" s="13">
        <v>-131.7082</v>
      </c>
      <c r="AD227" s="23"/>
      <c r="AE227" s="13">
        <v>-100.0</v>
      </c>
      <c r="AF227" s="13">
        <v>0.0</v>
      </c>
      <c r="AG227" s="13">
        <v>11.671</v>
      </c>
      <c r="AH227" s="8" t="b">
        <v>0</v>
      </c>
      <c r="AI227" s="8" t="b">
        <v>1</v>
      </c>
      <c r="AJ227" s="8" t="b">
        <v>0</v>
      </c>
      <c r="AK227" s="14">
        <f>IFERROR(__xludf.DUMMYFUNCTION("IFERROR(GOOGLEFINANCE(B227,""price""),"""")"),1.7)</f>
        <v>1.7</v>
      </c>
    </row>
    <row r="228">
      <c r="A228" s="15">
        <v>46076.49618012382</v>
      </c>
      <c r="B228" s="16" t="s">
        <v>642</v>
      </c>
      <c r="C228" s="16" t="s">
        <v>643</v>
      </c>
      <c r="D228" s="17">
        <v>46082.0</v>
      </c>
      <c r="E228" s="18">
        <v>1.88</v>
      </c>
      <c r="F228" s="16" t="s">
        <v>186</v>
      </c>
      <c r="G228" s="21">
        <v>53.2578</v>
      </c>
      <c r="H228" s="21">
        <v>0.0353</v>
      </c>
      <c r="I228" s="16" t="s">
        <v>222</v>
      </c>
      <c r="J228" s="21">
        <v>1.5793</v>
      </c>
      <c r="K228" s="16">
        <v>1382428.0</v>
      </c>
      <c r="L228" s="19">
        <v>0.72</v>
      </c>
      <c r="M228" s="19">
        <v>15.8046</v>
      </c>
      <c r="N228" s="16" t="s">
        <v>644</v>
      </c>
      <c r="O228" s="19">
        <v>-8.7379</v>
      </c>
      <c r="P228" s="20">
        <v>442377.0</v>
      </c>
      <c r="Q228" s="21">
        <v>2.12</v>
      </c>
      <c r="R228" s="21">
        <v>1.8</v>
      </c>
      <c r="S228" s="21">
        <v>1.99</v>
      </c>
      <c r="T228" s="21">
        <v>0.174</v>
      </c>
      <c r="U228" s="21">
        <v>0.4808</v>
      </c>
      <c r="V228" s="21">
        <v>59660.3</v>
      </c>
      <c r="W228" s="21">
        <v>26.8824</v>
      </c>
      <c r="X228" s="20">
        <v>3.0549999E7</v>
      </c>
      <c r="Y228" s="21">
        <v>1.8434</v>
      </c>
      <c r="Z228" s="24"/>
      <c r="AA228" s="19">
        <v>48.3587</v>
      </c>
      <c r="AB228" s="21">
        <v>4.0568</v>
      </c>
      <c r="AC228" s="21">
        <v>12.6228</v>
      </c>
      <c r="AD228" s="21">
        <v>12.1143</v>
      </c>
      <c r="AE228" s="21">
        <v>-57.3221</v>
      </c>
      <c r="AF228" s="21">
        <v>0.013</v>
      </c>
      <c r="AG228" s="21">
        <v>1.5185</v>
      </c>
      <c r="AH228" s="16" t="b">
        <v>0</v>
      </c>
      <c r="AI228" s="16" t="b">
        <v>0</v>
      </c>
      <c r="AJ228" s="16" t="b">
        <v>0</v>
      </c>
      <c r="AK228" s="22">
        <f>IFERROR(__xludf.DUMMYFUNCTION("IFERROR(GOOGLEFINANCE(B228,""price""),"""")"),0.24)</f>
        <v>0.24</v>
      </c>
    </row>
    <row r="229">
      <c r="A229" s="7">
        <v>46076.49618012382</v>
      </c>
      <c r="B229" s="8" t="s">
        <v>645</v>
      </c>
      <c r="C229" s="8" t="s">
        <v>646</v>
      </c>
      <c r="D229" s="9">
        <v>46082.0</v>
      </c>
      <c r="E229" s="10">
        <v>0.686</v>
      </c>
      <c r="F229" s="8" t="s">
        <v>186</v>
      </c>
      <c r="G229" s="23"/>
      <c r="H229" s="23"/>
      <c r="I229" s="8" t="s">
        <v>647</v>
      </c>
      <c r="J229" s="13">
        <v>1.52</v>
      </c>
      <c r="K229" s="8">
        <v>4813713.0</v>
      </c>
      <c r="L229" s="11">
        <v>0.98</v>
      </c>
      <c r="M229" s="11">
        <v>20.3517</v>
      </c>
      <c r="N229" s="8" t="s">
        <v>648</v>
      </c>
      <c r="O229" s="11">
        <v>-3.4483</v>
      </c>
      <c r="P229" s="12">
        <v>2503131.0</v>
      </c>
      <c r="Q229" s="13">
        <v>1.12</v>
      </c>
      <c r="R229" s="13">
        <v>0.6</v>
      </c>
      <c r="S229" s="13">
        <v>0.75</v>
      </c>
      <c r="T229" s="13">
        <v>0.1114</v>
      </c>
      <c r="U229" s="13">
        <v>0.2282</v>
      </c>
      <c r="V229" s="13">
        <v>270635.4</v>
      </c>
      <c r="W229" s="13">
        <v>115.2184</v>
      </c>
      <c r="X229" s="12">
        <v>2.6354739E7</v>
      </c>
      <c r="Y229" s="13">
        <v>0.9397</v>
      </c>
      <c r="Z229" s="13">
        <v>1.1723</v>
      </c>
      <c r="AA229" s="11">
        <v>32.2921</v>
      </c>
      <c r="AB229" s="13">
        <v>2.44</v>
      </c>
      <c r="AC229" s="23"/>
      <c r="AD229" s="23"/>
      <c r="AE229" s="23"/>
      <c r="AF229" s="23"/>
      <c r="AG229" s="23"/>
      <c r="AH229" s="8" t="b">
        <v>0</v>
      </c>
      <c r="AI229" s="8" t="b">
        <v>0</v>
      </c>
      <c r="AJ229" s="8" t="b">
        <v>0</v>
      </c>
      <c r="AK229" s="14">
        <f>IFERROR(__xludf.DUMMYFUNCTION("IFERROR(GOOGLEFINANCE(B229,""price""),"""")"),0.69)</f>
        <v>0.69</v>
      </c>
    </row>
    <row r="230">
      <c r="A230" s="15">
        <v>46076.49618012382</v>
      </c>
      <c r="B230" s="16" t="s">
        <v>649</v>
      </c>
      <c r="C230" s="16" t="s">
        <v>650</v>
      </c>
      <c r="D230" s="17">
        <v>46082.0</v>
      </c>
      <c r="E230" s="18">
        <v>2.2826</v>
      </c>
      <c r="F230" s="16" t="s">
        <v>117</v>
      </c>
      <c r="G230" s="24"/>
      <c r="H230" s="21">
        <v>-47.6645</v>
      </c>
      <c r="I230" s="16" t="s">
        <v>113</v>
      </c>
      <c r="J230" s="21">
        <v>1.4357</v>
      </c>
      <c r="K230" s="16">
        <v>1.3182728E7</v>
      </c>
      <c r="L230" s="19">
        <v>0.21</v>
      </c>
      <c r="M230" s="19">
        <v>13.1841</v>
      </c>
      <c r="N230" s="16" t="s">
        <v>651</v>
      </c>
      <c r="O230" s="19">
        <v>28.236</v>
      </c>
      <c r="P230" s="20">
        <v>6049554.0</v>
      </c>
      <c r="Q230" s="21">
        <v>2.3</v>
      </c>
      <c r="R230" s="21">
        <v>1.8411</v>
      </c>
      <c r="S230" s="21">
        <v>1.92</v>
      </c>
      <c r="T230" s="21">
        <v>0.2963</v>
      </c>
      <c r="U230" s="21">
        <v>2.854</v>
      </c>
      <c r="V230" s="21">
        <v>786231.3</v>
      </c>
      <c r="W230" s="21">
        <v>28.8646</v>
      </c>
      <c r="X230" s="20">
        <v>5293108.0</v>
      </c>
      <c r="Y230" s="21">
        <v>2.2923</v>
      </c>
      <c r="Z230" s="21">
        <v>16.8179</v>
      </c>
      <c r="AA230" s="19">
        <v>50.9355</v>
      </c>
      <c r="AB230" s="21">
        <v>55.0</v>
      </c>
      <c r="AC230" s="21">
        <v>-1378.6054</v>
      </c>
      <c r="AD230" s="24"/>
      <c r="AE230" s="24"/>
      <c r="AF230" s="21">
        <v>0.0</v>
      </c>
      <c r="AG230" s="21">
        <v>0.6721</v>
      </c>
      <c r="AH230" s="16" t="b">
        <v>0</v>
      </c>
      <c r="AI230" s="16" t="b">
        <v>0</v>
      </c>
      <c r="AJ230" s="16" t="b">
        <v>0</v>
      </c>
      <c r="AK230" s="22">
        <f>IFERROR(__xludf.DUMMYFUNCTION("IFERROR(GOOGLEFINANCE(B230,""price""),"""")"),1.15)</f>
        <v>1.15</v>
      </c>
    </row>
    <row r="231">
      <c r="A231" s="7">
        <v>46076.49618012382</v>
      </c>
      <c r="B231" s="8" t="s">
        <v>652</v>
      </c>
      <c r="C231" s="8" t="s">
        <v>653</v>
      </c>
      <c r="D231" s="9">
        <v>46082.0</v>
      </c>
      <c r="E231" s="10">
        <v>0.8476</v>
      </c>
      <c r="F231" s="8" t="s">
        <v>117</v>
      </c>
      <c r="G231" s="23"/>
      <c r="H231" s="13">
        <v>-0.378</v>
      </c>
      <c r="I231" s="8" t="s">
        <v>138</v>
      </c>
      <c r="J231" s="13">
        <v>0.6833</v>
      </c>
      <c r="K231" s="8">
        <v>8421856.0</v>
      </c>
      <c r="L231" s="11">
        <v>0.88</v>
      </c>
      <c r="M231" s="11">
        <v>26.1115</v>
      </c>
      <c r="N231" s="8" t="s">
        <v>654</v>
      </c>
      <c r="O231" s="11">
        <v>9.136</v>
      </c>
      <c r="P231" s="12">
        <v>1206852.0</v>
      </c>
      <c r="Q231" s="13">
        <v>0.986</v>
      </c>
      <c r="R231" s="13">
        <v>0.8427</v>
      </c>
      <c r="S231" s="13">
        <v>0.86</v>
      </c>
      <c r="T231" s="13">
        <v>0.073</v>
      </c>
      <c r="U231" s="13">
        <v>0.1654</v>
      </c>
      <c r="V231" s="13">
        <v>215387.1</v>
      </c>
      <c r="W231" s="13">
        <v>11.5528</v>
      </c>
      <c r="X231" s="12">
        <v>3.9503979E7</v>
      </c>
      <c r="Y231" s="13">
        <v>1.0068</v>
      </c>
      <c r="Z231" s="13">
        <v>0.9117</v>
      </c>
      <c r="AA231" s="11">
        <v>42.5921</v>
      </c>
      <c r="AB231" s="13">
        <v>1.57</v>
      </c>
      <c r="AC231" s="13">
        <v>-86.4807</v>
      </c>
      <c r="AD231" s="13">
        <v>-46525.0</v>
      </c>
      <c r="AE231" s="13">
        <v>-90.0356</v>
      </c>
      <c r="AF231" s="13">
        <v>0.3389</v>
      </c>
      <c r="AG231" s="13">
        <v>6.8253</v>
      </c>
      <c r="AH231" s="8" t="b">
        <v>0</v>
      </c>
      <c r="AI231" s="8" t="b">
        <v>1</v>
      </c>
      <c r="AJ231" s="8" t="b">
        <v>0</v>
      </c>
      <c r="AK231" s="14">
        <f>IFERROR(__xludf.DUMMYFUNCTION("IFERROR(GOOGLEFINANCE(B231,""price""),"""")"),0.76)</f>
        <v>0.76</v>
      </c>
    </row>
    <row r="232">
      <c r="A232" s="15">
        <v>46076.49618012382</v>
      </c>
      <c r="B232" s="16" t="s">
        <v>655</v>
      </c>
      <c r="C232" s="16" t="s">
        <v>656</v>
      </c>
      <c r="D232" s="17">
        <v>46082.0</v>
      </c>
      <c r="E232" s="18">
        <v>1.0219</v>
      </c>
      <c r="F232" s="16" t="s">
        <v>117</v>
      </c>
      <c r="G232" s="24"/>
      <c r="H232" s="21">
        <v>-0.5341</v>
      </c>
      <c r="I232" s="16" t="s">
        <v>118</v>
      </c>
      <c r="J232" s="21">
        <v>0.2497</v>
      </c>
      <c r="K232" s="16">
        <v>5331486.0</v>
      </c>
      <c r="L232" s="19">
        <v>0.76</v>
      </c>
      <c r="M232" s="19">
        <v>24.34</v>
      </c>
      <c r="N232" s="16" t="s">
        <v>657</v>
      </c>
      <c r="O232" s="19">
        <v>1.1782</v>
      </c>
      <c r="P232" s="20">
        <v>373204.0</v>
      </c>
      <c r="Q232" s="21">
        <v>1.07</v>
      </c>
      <c r="R232" s="21">
        <v>1.0</v>
      </c>
      <c r="S232" s="21">
        <v>1.02</v>
      </c>
      <c r="T232" s="21">
        <v>0.0746</v>
      </c>
      <c r="U232" s="21">
        <v>0.1965</v>
      </c>
      <c r="V232" s="21">
        <v>224051.8</v>
      </c>
      <c r="W232" s="21">
        <v>1.7103</v>
      </c>
      <c r="X232" s="20">
        <v>2.42580153E8</v>
      </c>
      <c r="Y232" s="21">
        <v>0.9621</v>
      </c>
      <c r="Z232" s="21">
        <v>1.0716</v>
      </c>
      <c r="AA232" s="19">
        <v>46.0851</v>
      </c>
      <c r="AB232" s="21">
        <v>2.1</v>
      </c>
      <c r="AC232" s="21">
        <v>-57.6427</v>
      </c>
      <c r="AD232" s="24"/>
      <c r="AE232" s="24"/>
      <c r="AF232" s="21">
        <v>0.0401</v>
      </c>
      <c r="AG232" s="21">
        <v>6.4329</v>
      </c>
      <c r="AH232" s="16" t="b">
        <v>0</v>
      </c>
      <c r="AI232" s="16" t="b">
        <v>1</v>
      </c>
      <c r="AJ232" s="16" t="b">
        <v>0</v>
      </c>
      <c r="AK232" s="22">
        <f>IFERROR(__xludf.DUMMYFUNCTION("IFERROR(GOOGLEFINANCE(B232,""price""),"""")"),0.96)</f>
        <v>0.96</v>
      </c>
    </row>
    <row r="233">
      <c r="A233" s="7">
        <v>46076.62765344139</v>
      </c>
      <c r="B233" s="8" t="s">
        <v>633</v>
      </c>
      <c r="C233" s="8" t="s">
        <v>634</v>
      </c>
      <c r="D233" s="9">
        <v>46082.0</v>
      </c>
      <c r="E233" s="10">
        <v>0.7104</v>
      </c>
      <c r="F233" s="8" t="s">
        <v>102</v>
      </c>
      <c r="G233" s="23"/>
      <c r="H233" s="13">
        <v>-0.2596</v>
      </c>
      <c r="I233" s="8" t="s">
        <v>658</v>
      </c>
      <c r="J233" s="13">
        <v>53.7648</v>
      </c>
      <c r="K233" s="8">
        <v>1.41199888E8</v>
      </c>
      <c r="L233" s="11">
        <v>0.92</v>
      </c>
      <c r="M233" s="11">
        <v>14.0787</v>
      </c>
      <c r="N233" s="8" t="s">
        <v>636</v>
      </c>
      <c r="O233" s="11">
        <v>1.3409</v>
      </c>
      <c r="P233" s="12">
        <v>1.6365067E7</v>
      </c>
      <c r="Q233" s="13">
        <v>0.7659</v>
      </c>
      <c r="R233" s="13">
        <v>0.65</v>
      </c>
      <c r="S233" s="13">
        <v>0.6801</v>
      </c>
      <c r="T233" s="13">
        <v>0.0415</v>
      </c>
      <c r="U233" s="13">
        <v>0.0906</v>
      </c>
      <c r="V233" s="8">
        <v>1653383.0</v>
      </c>
      <c r="W233" s="13">
        <v>877.159</v>
      </c>
      <c r="X233" s="12">
        <v>1.4367985E7</v>
      </c>
      <c r="Y233" s="13">
        <v>0.7535</v>
      </c>
      <c r="Z233" s="13">
        <v>0.8393</v>
      </c>
      <c r="AA233" s="11">
        <v>44.1126</v>
      </c>
      <c r="AB233" s="13">
        <v>1.2</v>
      </c>
      <c r="AC233" s="13">
        <v>-108.7565</v>
      </c>
      <c r="AD233" s="13">
        <v>-94.1886</v>
      </c>
      <c r="AE233" s="13">
        <v>-30.608</v>
      </c>
      <c r="AF233" s="13">
        <v>1.5598</v>
      </c>
      <c r="AG233" s="13">
        <v>1.9829</v>
      </c>
      <c r="AH233" s="8" t="b">
        <v>0</v>
      </c>
      <c r="AI233" s="8" t="b">
        <v>0</v>
      </c>
      <c r="AJ233" s="8" t="b">
        <v>0</v>
      </c>
      <c r="AK233" s="14">
        <f>IFERROR(__xludf.DUMMYFUNCTION("IFERROR(GOOGLEFINANCE(B233,""price""),"""")"),0.58)</f>
        <v>0.58</v>
      </c>
    </row>
    <row r="234">
      <c r="A234" s="15">
        <v>46076.62765344139</v>
      </c>
      <c r="B234" s="16" t="s">
        <v>637</v>
      </c>
      <c r="C234" s="16" t="s">
        <v>638</v>
      </c>
      <c r="D234" s="17">
        <v>46082.0</v>
      </c>
      <c r="E234" s="18">
        <v>0.568</v>
      </c>
      <c r="F234" s="16" t="s">
        <v>102</v>
      </c>
      <c r="G234" s="21">
        <v>15.3514</v>
      </c>
      <c r="H234" s="21">
        <v>0.037</v>
      </c>
      <c r="I234" s="16" t="s">
        <v>659</v>
      </c>
      <c r="J234" s="21">
        <v>51.9866</v>
      </c>
      <c r="K234" s="16">
        <v>2.06515909E8</v>
      </c>
      <c r="L234" s="19">
        <v>0.38</v>
      </c>
      <c r="M234" s="19">
        <v>25.5119</v>
      </c>
      <c r="N234" s="16" t="s">
        <v>640</v>
      </c>
      <c r="O234" s="19">
        <v>52.3605</v>
      </c>
      <c r="P234" s="20">
        <v>7.0174106E7</v>
      </c>
      <c r="Q234" s="21">
        <v>0.7182</v>
      </c>
      <c r="R234" s="21">
        <v>0.3784</v>
      </c>
      <c r="S234" s="21">
        <v>0.42</v>
      </c>
      <c r="T234" s="21">
        <v>0.0702</v>
      </c>
      <c r="U234" s="21">
        <v>0.3649</v>
      </c>
      <c r="V234" s="16">
        <v>7038627.0</v>
      </c>
      <c r="W234" s="21">
        <v>3110.0443</v>
      </c>
      <c r="X234" s="20">
        <v>9769819.0</v>
      </c>
      <c r="Y234" s="21">
        <v>0.5239</v>
      </c>
      <c r="Z234" s="24"/>
      <c r="AA234" s="19">
        <v>62.0096</v>
      </c>
      <c r="AB234" s="21">
        <v>6.45</v>
      </c>
      <c r="AC234" s="21">
        <v>4.9708</v>
      </c>
      <c r="AD234" s="21">
        <v>3.2048</v>
      </c>
      <c r="AE234" s="21">
        <v>11.7884</v>
      </c>
      <c r="AF234" s="21">
        <v>1.1503</v>
      </c>
      <c r="AG234" s="21">
        <v>1.0301</v>
      </c>
      <c r="AH234" s="16" t="b">
        <v>0</v>
      </c>
      <c r="AI234" s="16" t="b">
        <v>0</v>
      </c>
      <c r="AJ234" s="16" t="b">
        <v>0</v>
      </c>
      <c r="AK234" s="22">
        <f>IFERROR(__xludf.DUMMYFUNCTION("IFERROR(GOOGLEFINANCE(B234,""price""),"""")"),0.31)</f>
        <v>0.31</v>
      </c>
    </row>
    <row r="235">
      <c r="A235" s="7">
        <v>46076.62765344139</v>
      </c>
      <c r="B235" s="8" t="s">
        <v>272</v>
      </c>
      <c r="C235" s="8" t="s">
        <v>273</v>
      </c>
      <c r="D235" s="9">
        <v>46082.0</v>
      </c>
      <c r="E235" s="10">
        <v>1.87</v>
      </c>
      <c r="F235" s="8" t="s">
        <v>117</v>
      </c>
      <c r="G235" s="23"/>
      <c r="H235" s="13">
        <v>-0.5703</v>
      </c>
      <c r="I235" s="8" t="s">
        <v>660</v>
      </c>
      <c r="J235" s="13">
        <v>3.1612</v>
      </c>
      <c r="K235" s="8">
        <v>1.12565447E8</v>
      </c>
      <c r="L235" s="11">
        <v>0.91</v>
      </c>
      <c r="M235" s="11">
        <v>24.1643</v>
      </c>
      <c r="N235" s="8" t="s">
        <v>274</v>
      </c>
      <c r="O235" s="11">
        <v>6.25</v>
      </c>
      <c r="P235" s="12">
        <v>4.0523561E7</v>
      </c>
      <c r="Q235" s="13">
        <v>2.11</v>
      </c>
      <c r="R235" s="13">
        <v>1.75</v>
      </c>
      <c r="S235" s="13">
        <v>1.98</v>
      </c>
      <c r="T235" s="13">
        <v>0.1209</v>
      </c>
      <c r="U235" s="13">
        <v>0.265</v>
      </c>
      <c r="V235" s="8">
        <v>4567054.0</v>
      </c>
      <c r="W235" s="13">
        <v>60.8582</v>
      </c>
      <c r="X235" s="12">
        <v>2.26769371E8</v>
      </c>
      <c r="Y235" s="13">
        <v>1.7066</v>
      </c>
      <c r="Z235" s="13">
        <v>1.7523</v>
      </c>
      <c r="AA235" s="11">
        <v>61.0951</v>
      </c>
      <c r="AB235" s="13">
        <v>2.58</v>
      </c>
      <c r="AC235" s="13">
        <v>-131.7082</v>
      </c>
      <c r="AD235" s="23"/>
      <c r="AE235" s="13">
        <v>-100.0</v>
      </c>
      <c r="AF235" s="13">
        <v>0.0</v>
      </c>
      <c r="AG235" s="13">
        <v>11.671</v>
      </c>
      <c r="AH235" s="8" t="b">
        <v>0</v>
      </c>
      <c r="AI235" s="8" t="b">
        <v>0</v>
      </c>
      <c r="AJ235" s="8" t="b">
        <v>0</v>
      </c>
      <c r="AK235" s="14">
        <f>IFERROR(__xludf.DUMMYFUNCTION("IFERROR(GOOGLEFINANCE(B235,""price""),"""")"),1.7)</f>
        <v>1.7</v>
      </c>
    </row>
    <row r="236">
      <c r="A236" s="15">
        <v>46076.62765344139</v>
      </c>
      <c r="B236" s="16" t="s">
        <v>642</v>
      </c>
      <c r="C236" s="16" t="s">
        <v>643</v>
      </c>
      <c r="D236" s="17">
        <v>46082.0</v>
      </c>
      <c r="E236" s="18">
        <v>1.95</v>
      </c>
      <c r="F236" s="16" t="s">
        <v>186</v>
      </c>
      <c r="G236" s="21">
        <v>55.2408</v>
      </c>
      <c r="H236" s="21">
        <v>0.0353</v>
      </c>
      <c r="I236" s="16" t="s">
        <v>453</v>
      </c>
      <c r="J236" s="21">
        <v>1.9449</v>
      </c>
      <c r="K236" s="16">
        <v>1641262.0</v>
      </c>
      <c r="L236" s="19">
        <v>0.72</v>
      </c>
      <c r="M236" s="19">
        <v>15.8046</v>
      </c>
      <c r="N236" s="16" t="s">
        <v>644</v>
      </c>
      <c r="O236" s="19">
        <v>-5.3398</v>
      </c>
      <c r="P236" s="20">
        <v>525204.0</v>
      </c>
      <c r="Q236" s="21">
        <v>2.12</v>
      </c>
      <c r="R236" s="21">
        <v>1.8</v>
      </c>
      <c r="S236" s="21">
        <v>1.99</v>
      </c>
      <c r="T236" s="21">
        <v>0.174</v>
      </c>
      <c r="U236" s="21">
        <v>0.4808</v>
      </c>
      <c r="V236" s="21">
        <v>67943.0</v>
      </c>
      <c r="W236" s="21">
        <v>31.9157</v>
      </c>
      <c r="X236" s="20">
        <v>3.1687499E7</v>
      </c>
      <c r="Y236" s="21">
        <v>1.8448</v>
      </c>
      <c r="Z236" s="24"/>
      <c r="AA236" s="19">
        <v>52.283</v>
      </c>
      <c r="AB236" s="21">
        <v>4.0568</v>
      </c>
      <c r="AC236" s="21">
        <v>12.6228</v>
      </c>
      <c r="AD236" s="21">
        <v>12.1143</v>
      </c>
      <c r="AE236" s="21">
        <v>-57.3221</v>
      </c>
      <c r="AF236" s="21">
        <v>0.013</v>
      </c>
      <c r="AG236" s="21">
        <v>1.5185</v>
      </c>
      <c r="AH236" s="16" t="b">
        <v>0</v>
      </c>
      <c r="AI236" s="16" t="b">
        <v>0</v>
      </c>
      <c r="AJ236" s="16" t="b">
        <v>0</v>
      </c>
      <c r="AK236" s="22">
        <f>IFERROR(__xludf.DUMMYFUNCTION("IFERROR(GOOGLEFINANCE(B236,""price""),"""")"),0.24)</f>
        <v>0.24</v>
      </c>
    </row>
    <row r="237">
      <c r="A237" s="7">
        <v>46076.62765344139</v>
      </c>
      <c r="B237" s="8" t="s">
        <v>649</v>
      </c>
      <c r="C237" s="8" t="s">
        <v>650</v>
      </c>
      <c r="D237" s="9">
        <v>46082.0</v>
      </c>
      <c r="E237" s="10">
        <v>2.285</v>
      </c>
      <c r="F237" s="8" t="s">
        <v>117</v>
      </c>
      <c r="G237" s="23"/>
      <c r="H237" s="13">
        <v>-47.6645</v>
      </c>
      <c r="I237" s="8" t="s">
        <v>171</v>
      </c>
      <c r="J237" s="13">
        <v>1.6539</v>
      </c>
      <c r="K237" s="8">
        <v>1.5169684E7</v>
      </c>
      <c r="L237" s="11">
        <v>0.21</v>
      </c>
      <c r="M237" s="11">
        <v>13.559</v>
      </c>
      <c r="N237" s="8" t="s">
        <v>651</v>
      </c>
      <c r="O237" s="11">
        <v>28.3708</v>
      </c>
      <c r="P237" s="12">
        <v>8781730.0</v>
      </c>
      <c r="Q237" s="13">
        <v>2.42</v>
      </c>
      <c r="R237" s="13">
        <v>1.8411</v>
      </c>
      <c r="S237" s="13">
        <v>1.92</v>
      </c>
      <c r="T237" s="13">
        <v>0.3048</v>
      </c>
      <c r="U237" s="13">
        <v>2.8625</v>
      </c>
      <c r="V237" s="8">
        <v>1059449.0</v>
      </c>
      <c r="W237" s="13">
        <v>41.9008</v>
      </c>
      <c r="X237" s="12">
        <v>5298674.0</v>
      </c>
      <c r="Y237" s="13">
        <v>2.2923</v>
      </c>
      <c r="Z237" s="13">
        <v>16.8179</v>
      </c>
      <c r="AA237" s="11">
        <v>50.9868</v>
      </c>
      <c r="AB237" s="13">
        <v>55.0</v>
      </c>
      <c r="AC237" s="13">
        <v>-1378.6054</v>
      </c>
      <c r="AD237" s="23"/>
      <c r="AE237" s="23"/>
      <c r="AF237" s="13">
        <v>0.0</v>
      </c>
      <c r="AG237" s="13">
        <v>0.6721</v>
      </c>
      <c r="AH237" s="8" t="b">
        <v>0</v>
      </c>
      <c r="AI237" s="8" t="b">
        <v>0</v>
      </c>
      <c r="AJ237" s="8" t="b">
        <v>0</v>
      </c>
      <c r="AK237" s="14">
        <f>IFERROR(__xludf.DUMMYFUNCTION("IFERROR(GOOGLEFINANCE(B237,""price""),"""")"),1.15)</f>
        <v>1.15</v>
      </c>
    </row>
    <row r="238">
      <c r="A238" s="15">
        <v>46076.62765344139</v>
      </c>
      <c r="B238" s="16" t="s">
        <v>645</v>
      </c>
      <c r="C238" s="16" t="s">
        <v>646</v>
      </c>
      <c r="D238" s="17">
        <v>46082.0</v>
      </c>
      <c r="E238" s="18">
        <v>0.6962</v>
      </c>
      <c r="F238" s="16" t="s">
        <v>186</v>
      </c>
      <c r="G238" s="24"/>
      <c r="H238" s="24"/>
      <c r="I238" s="16" t="s">
        <v>515</v>
      </c>
      <c r="J238" s="21">
        <v>1.5951</v>
      </c>
      <c r="K238" s="16">
        <v>4977613.0</v>
      </c>
      <c r="L238" s="19">
        <v>0.98</v>
      </c>
      <c r="M238" s="19">
        <v>20.3517</v>
      </c>
      <c r="N238" s="16" t="s">
        <v>648</v>
      </c>
      <c r="O238" s="19">
        <v>-2.0127</v>
      </c>
      <c r="P238" s="20">
        <v>2588359.0</v>
      </c>
      <c r="Q238" s="21">
        <v>1.12</v>
      </c>
      <c r="R238" s="21">
        <v>0.6</v>
      </c>
      <c r="S238" s="21">
        <v>0.75</v>
      </c>
      <c r="T238" s="21">
        <v>0.1114</v>
      </c>
      <c r="U238" s="21">
        <v>0.2282</v>
      </c>
      <c r="V238" s="21">
        <v>279158.2</v>
      </c>
      <c r="W238" s="21">
        <v>119.1414</v>
      </c>
      <c r="X238" s="20">
        <v>2.6746603E7</v>
      </c>
      <c r="Y238" s="21">
        <v>0.9399</v>
      </c>
      <c r="Z238" s="21">
        <v>1.1724</v>
      </c>
      <c r="AA238" s="19">
        <v>33.0467</v>
      </c>
      <c r="AB238" s="21">
        <v>2.44</v>
      </c>
      <c r="AC238" s="24"/>
      <c r="AD238" s="24"/>
      <c r="AE238" s="24"/>
      <c r="AF238" s="24"/>
      <c r="AG238" s="24"/>
      <c r="AH238" s="16" t="b">
        <v>0</v>
      </c>
      <c r="AI238" s="16" t="b">
        <v>0</v>
      </c>
      <c r="AJ238" s="16" t="b">
        <v>0</v>
      </c>
      <c r="AK238" s="22">
        <f>IFERROR(__xludf.DUMMYFUNCTION("IFERROR(GOOGLEFINANCE(B238,""price""),"""")"),0.69)</f>
        <v>0.69</v>
      </c>
    </row>
    <row r="239">
      <c r="A239" s="7">
        <v>46076.62765344139</v>
      </c>
      <c r="B239" s="8" t="s">
        <v>661</v>
      </c>
      <c r="C239" s="8" t="s">
        <v>662</v>
      </c>
      <c r="D239" s="9">
        <v>46082.0</v>
      </c>
      <c r="E239" s="10">
        <v>3.35</v>
      </c>
      <c r="F239" s="8" t="s">
        <v>186</v>
      </c>
      <c r="G239" s="23"/>
      <c r="H239" s="13">
        <v>-0.1641</v>
      </c>
      <c r="I239" s="8" t="s">
        <v>179</v>
      </c>
      <c r="J239" s="13">
        <v>0.7501</v>
      </c>
      <c r="K239" s="8">
        <v>7109325.0</v>
      </c>
      <c r="L239" s="11">
        <v>0.9</v>
      </c>
      <c r="M239" s="11">
        <v>28.349</v>
      </c>
      <c r="N239" s="8" t="s">
        <v>663</v>
      </c>
      <c r="O239" s="11">
        <v>-1.4706</v>
      </c>
      <c r="P239" s="12">
        <v>853119.0</v>
      </c>
      <c r="Q239" s="13">
        <v>3.38</v>
      </c>
      <c r="R239" s="13">
        <v>3.26</v>
      </c>
      <c r="S239" s="13">
        <v>3.38</v>
      </c>
      <c r="T239" s="13">
        <v>0.1455</v>
      </c>
      <c r="U239" s="13">
        <v>0.3248</v>
      </c>
      <c r="V239" s="13">
        <v>346140.5</v>
      </c>
      <c r="W239" s="13">
        <v>2.6869</v>
      </c>
      <c r="X239" s="12">
        <v>3.143344E8</v>
      </c>
      <c r="Y239" s="13">
        <v>3.732</v>
      </c>
      <c r="Z239" s="13">
        <v>4.3961</v>
      </c>
      <c r="AA239" s="11">
        <v>40.4773</v>
      </c>
      <c r="AB239" s="13">
        <v>6.895</v>
      </c>
      <c r="AC239" s="13">
        <v>-4.1033</v>
      </c>
      <c r="AD239" s="13">
        <v>-7.4873</v>
      </c>
      <c r="AE239" s="13">
        <v>-3.6675</v>
      </c>
      <c r="AF239" s="13">
        <v>0.0371</v>
      </c>
      <c r="AG239" s="13">
        <v>1.895</v>
      </c>
      <c r="AH239" s="8" t="b">
        <v>1</v>
      </c>
      <c r="AI239" s="8" t="b">
        <v>0</v>
      </c>
      <c r="AJ239" s="8" t="b">
        <v>0</v>
      </c>
      <c r="AK239" s="14">
        <f>IFERROR(__xludf.DUMMYFUNCTION("IFERROR(GOOGLEFINANCE(B239,""price""),"""")"),3.28)</f>
        <v>3.28</v>
      </c>
    </row>
    <row r="240">
      <c r="A240" s="15">
        <v>46076.62765344139</v>
      </c>
      <c r="B240" s="16" t="s">
        <v>664</v>
      </c>
      <c r="C240" s="16" t="s">
        <v>665</v>
      </c>
      <c r="D240" s="17">
        <v>46082.0</v>
      </c>
      <c r="E240" s="18">
        <v>2.09</v>
      </c>
      <c r="F240" s="16" t="s">
        <v>107</v>
      </c>
      <c r="G240" s="21">
        <v>99.5238</v>
      </c>
      <c r="H240" s="21">
        <v>0.021</v>
      </c>
      <c r="I240" s="16" t="s">
        <v>179</v>
      </c>
      <c r="J240" s="21">
        <v>0.4703</v>
      </c>
      <c r="K240" s="16">
        <v>3772437.0</v>
      </c>
      <c r="L240" s="19">
        <v>0.9</v>
      </c>
      <c r="M240" s="19">
        <v>11.7097</v>
      </c>
      <c r="N240" s="16" t="s">
        <v>666</v>
      </c>
      <c r="O240" s="19">
        <v>-0.4762</v>
      </c>
      <c r="P240" s="20">
        <v>301795.0</v>
      </c>
      <c r="Q240" s="21">
        <v>2.09</v>
      </c>
      <c r="R240" s="21">
        <v>2.01</v>
      </c>
      <c r="S240" s="21">
        <v>2.07</v>
      </c>
      <c r="T240" s="21">
        <v>0.1594</v>
      </c>
      <c r="U240" s="21">
        <v>0.3527</v>
      </c>
      <c r="V240" s="21">
        <v>179592.5</v>
      </c>
      <c r="W240" s="21">
        <v>1.8001</v>
      </c>
      <c r="X240" s="20">
        <v>3.62395982E8</v>
      </c>
      <c r="Y240" s="21">
        <v>2.3876</v>
      </c>
      <c r="Z240" s="21">
        <v>2.4947</v>
      </c>
      <c r="AA240" s="19">
        <v>39.283</v>
      </c>
      <c r="AB240" s="21">
        <v>4.08</v>
      </c>
      <c r="AC240" s="24"/>
      <c r="AD240" s="21">
        <v>-0.6597</v>
      </c>
      <c r="AE240" s="21">
        <v>7.0277</v>
      </c>
      <c r="AF240" s="21">
        <v>47.2654</v>
      </c>
      <c r="AG240" s="21">
        <v>1.4712</v>
      </c>
      <c r="AH240" s="16" t="b">
        <v>1</v>
      </c>
      <c r="AI240" s="16" t="b">
        <v>0</v>
      </c>
      <c r="AJ240" s="16" t="b">
        <v>0</v>
      </c>
      <c r="AK240" s="22">
        <f>IFERROR(__xludf.DUMMYFUNCTION("IFERROR(GOOGLEFINANCE(B240,""price""),"""")"),2.44)</f>
        <v>2.44</v>
      </c>
    </row>
    <row r="241">
      <c r="A241" s="7">
        <v>46076.62765344139</v>
      </c>
      <c r="B241" s="8" t="s">
        <v>523</v>
      </c>
      <c r="C241" s="8" t="s">
        <v>524</v>
      </c>
      <c r="D241" s="9">
        <v>46082.0</v>
      </c>
      <c r="E241" s="10">
        <v>2.51</v>
      </c>
      <c r="F241" s="8" t="s">
        <v>117</v>
      </c>
      <c r="G241" s="23"/>
      <c r="H241" s="13">
        <v>-0.8421</v>
      </c>
      <c r="I241" s="8" t="s">
        <v>138</v>
      </c>
      <c r="J241" s="13">
        <v>0.4331</v>
      </c>
      <c r="K241" s="8">
        <v>5296258.0</v>
      </c>
      <c r="L241" s="11">
        <v>0.92</v>
      </c>
      <c r="M241" s="11">
        <v>27.7959</v>
      </c>
      <c r="N241" s="8" t="s">
        <v>525</v>
      </c>
      <c r="O241" s="11">
        <v>-0.3968</v>
      </c>
      <c r="P241" s="12">
        <v>635551.0</v>
      </c>
      <c r="Q241" s="13">
        <v>2.57</v>
      </c>
      <c r="R241" s="13">
        <v>2.45</v>
      </c>
      <c r="S241" s="13">
        <v>2.52</v>
      </c>
      <c r="T241" s="13">
        <v>0.2109</v>
      </c>
      <c r="U241" s="13">
        <v>0.4583</v>
      </c>
      <c r="V241" s="13">
        <v>338910.7</v>
      </c>
      <c r="W241" s="13">
        <v>2.0705</v>
      </c>
      <c r="X241" s="12">
        <v>2.48347256E8</v>
      </c>
      <c r="Y241" s="13">
        <v>3.2144</v>
      </c>
      <c r="Z241" s="13">
        <v>2.8653</v>
      </c>
      <c r="AA241" s="11">
        <v>30.2088</v>
      </c>
      <c r="AB241" s="13">
        <v>4.0</v>
      </c>
      <c r="AC241" s="13">
        <v>-72.6965</v>
      </c>
      <c r="AD241" s="13">
        <v>-1667.5867</v>
      </c>
      <c r="AE241" s="13">
        <v>-89.0068</v>
      </c>
      <c r="AF241" s="13">
        <v>0.0746</v>
      </c>
      <c r="AG241" s="13">
        <v>1.1573</v>
      </c>
      <c r="AH241" s="8" t="b">
        <v>0</v>
      </c>
      <c r="AI241" s="8" t="b">
        <v>1</v>
      </c>
      <c r="AJ241" s="8" t="b">
        <v>0</v>
      </c>
      <c r="AK241" s="14">
        <f>IFERROR(__xludf.DUMMYFUNCTION("IFERROR(GOOGLEFINANCE(B241,""price""),"""")"),3.28)</f>
        <v>3.28</v>
      </c>
    </row>
    <row r="242">
      <c r="A242" s="15">
        <v>46076.62765344139</v>
      </c>
      <c r="B242" s="16" t="s">
        <v>667</v>
      </c>
      <c r="C242" s="16" t="s">
        <v>668</v>
      </c>
      <c r="D242" s="17">
        <v>46082.0</v>
      </c>
      <c r="E242" s="18">
        <v>0.81</v>
      </c>
      <c r="F242" s="16" t="s">
        <v>335</v>
      </c>
      <c r="G242" s="24"/>
      <c r="H242" s="21">
        <v>-1.3063</v>
      </c>
      <c r="I242" s="16" t="s">
        <v>118</v>
      </c>
      <c r="J242" s="21">
        <v>0.2754</v>
      </c>
      <c r="K242" s="16">
        <v>1.7601643E7</v>
      </c>
      <c r="L242" s="19">
        <v>0.4</v>
      </c>
      <c r="M242" s="19">
        <v>12.1697</v>
      </c>
      <c r="N242" s="16" t="s">
        <v>669</v>
      </c>
      <c r="O242" s="19">
        <v>-3.3413</v>
      </c>
      <c r="P242" s="20">
        <v>878322.0</v>
      </c>
      <c r="Q242" s="21">
        <v>0.8399</v>
      </c>
      <c r="R242" s="21">
        <v>0.79</v>
      </c>
      <c r="S242" s="21">
        <v>0.808</v>
      </c>
      <c r="T242" s="21">
        <v>0.0655</v>
      </c>
      <c r="U242" s="21">
        <v>0.3281</v>
      </c>
      <c r="V242" s="21">
        <v>506786.7</v>
      </c>
      <c r="W242" s="21">
        <v>1.6963</v>
      </c>
      <c r="X242" s="20">
        <v>7.8148807E7</v>
      </c>
      <c r="Y242" s="21">
        <v>0.9175</v>
      </c>
      <c r="Z242" s="21">
        <v>1.1661</v>
      </c>
      <c r="AA242" s="19">
        <v>39.0498</v>
      </c>
      <c r="AB242" s="21">
        <v>8.7</v>
      </c>
      <c r="AC242" s="21">
        <v>-49.4807</v>
      </c>
      <c r="AD242" s="24"/>
      <c r="AE242" s="24"/>
      <c r="AF242" s="21">
        <v>1.5609</v>
      </c>
      <c r="AG242" s="21">
        <v>0.0533</v>
      </c>
      <c r="AH242" s="16" t="b">
        <v>0</v>
      </c>
      <c r="AI242" s="16" t="b">
        <v>1</v>
      </c>
      <c r="AJ242" s="16" t="b">
        <v>0</v>
      </c>
      <c r="AK242" s="22">
        <f>IFERROR(__xludf.DUMMYFUNCTION("IFERROR(GOOGLEFINANCE(B242,""price""),"""")"),0.59)</f>
        <v>0.59</v>
      </c>
    </row>
    <row r="243">
      <c r="A243" s="7">
        <v>46076.62765344139</v>
      </c>
      <c r="B243" s="8" t="s">
        <v>670</v>
      </c>
      <c r="C243" s="8" t="s">
        <v>671</v>
      </c>
      <c r="D243" s="9">
        <v>46082.0</v>
      </c>
      <c r="E243" s="10">
        <v>1.775</v>
      </c>
      <c r="F243" s="8" t="s">
        <v>88</v>
      </c>
      <c r="G243" s="23"/>
      <c r="H243" s="13">
        <v>-1.4445</v>
      </c>
      <c r="I243" s="8" t="s">
        <v>175</v>
      </c>
      <c r="J243" s="13">
        <v>0.2499</v>
      </c>
      <c r="K243" s="8">
        <v>2041000.0</v>
      </c>
      <c r="L243" s="11">
        <v>0.51</v>
      </c>
      <c r="M243" s="11">
        <v>29.3934</v>
      </c>
      <c r="N243" s="8" t="s">
        <v>672</v>
      </c>
      <c r="O243" s="11">
        <v>-1.3889</v>
      </c>
      <c r="P243" s="12">
        <v>367380.0</v>
      </c>
      <c r="Q243" s="13">
        <v>1.83</v>
      </c>
      <c r="R243" s="13">
        <v>1.65</v>
      </c>
      <c r="S243" s="13">
        <v>1.8</v>
      </c>
      <c r="T243" s="13">
        <v>0.2797</v>
      </c>
      <c r="U243" s="13">
        <v>1.0962</v>
      </c>
      <c r="V243" s="13">
        <v>166502.4</v>
      </c>
      <c r="W243" s="13">
        <v>2.5344</v>
      </c>
      <c r="X243" s="12">
        <v>5.7224146E7</v>
      </c>
      <c r="Y243" s="13">
        <v>2.56</v>
      </c>
      <c r="Z243" s="13">
        <v>4.5241</v>
      </c>
      <c r="AA243" s="11">
        <v>38.1339</v>
      </c>
      <c r="AB243" s="13">
        <v>16.49</v>
      </c>
      <c r="AC243" s="13">
        <v>-64.6855</v>
      </c>
      <c r="AD243" s="8">
        <v>-2353039.0</v>
      </c>
      <c r="AE243" s="13">
        <v>-92.1182</v>
      </c>
      <c r="AF243" s="13">
        <v>0.0098</v>
      </c>
      <c r="AG243" s="13">
        <v>50.7901</v>
      </c>
      <c r="AH243" s="8" t="b">
        <v>1</v>
      </c>
      <c r="AI243" s="8" t="b">
        <v>0</v>
      </c>
      <c r="AJ243" s="8" t="b">
        <v>0</v>
      </c>
      <c r="AK243" s="14">
        <f>IFERROR(__xludf.DUMMYFUNCTION("IFERROR(GOOGLEFINANCE(B243,""price""),"""")"),2.45)</f>
        <v>2.45</v>
      </c>
    </row>
    <row r="244">
      <c r="A244" s="15">
        <v>46076.62765344139</v>
      </c>
      <c r="B244" s="16" t="s">
        <v>673</v>
      </c>
      <c r="C244" s="16" t="s">
        <v>674</v>
      </c>
      <c r="D244" s="17">
        <v>46082.0</v>
      </c>
      <c r="E244" s="18">
        <v>3.69</v>
      </c>
      <c r="F244" s="16" t="s">
        <v>186</v>
      </c>
      <c r="G244" s="24"/>
      <c r="H244" s="21">
        <v>-1.6057</v>
      </c>
      <c r="I244" s="16" t="s">
        <v>138</v>
      </c>
      <c r="J244" s="21">
        <v>0.2052</v>
      </c>
      <c r="K244" s="16">
        <v>1439552.0</v>
      </c>
      <c r="L244" s="19">
        <v>0.95</v>
      </c>
      <c r="M244" s="19">
        <v>25.2952</v>
      </c>
      <c r="N244" s="16" t="s">
        <v>675</v>
      </c>
      <c r="O244" s="19">
        <v>-0.5391</v>
      </c>
      <c r="P244" s="20">
        <v>475052.0</v>
      </c>
      <c r="Q244" s="21">
        <v>3.84</v>
      </c>
      <c r="R244" s="21">
        <v>3.51</v>
      </c>
      <c r="S244" s="21">
        <v>3.69</v>
      </c>
      <c r="T244" s="21">
        <v>0.3088</v>
      </c>
      <c r="U244" s="21">
        <v>0.6478</v>
      </c>
      <c r="V244" s="21">
        <v>292831.8</v>
      </c>
      <c r="W244" s="21">
        <v>1.8351</v>
      </c>
      <c r="X244" s="20">
        <v>1.10931147E8</v>
      </c>
      <c r="Y244" s="21">
        <v>4.859</v>
      </c>
      <c r="Z244" s="21">
        <v>5.5965</v>
      </c>
      <c r="AA244" s="19">
        <v>24.939</v>
      </c>
      <c r="AB244" s="21">
        <v>7.78</v>
      </c>
      <c r="AC244" s="21">
        <v>-16.2599</v>
      </c>
      <c r="AD244" s="21">
        <v>-1.9925</v>
      </c>
      <c r="AE244" s="21">
        <v>3.1009</v>
      </c>
      <c r="AF244" s="21">
        <v>0.4509</v>
      </c>
      <c r="AG244" s="21">
        <v>2.1483</v>
      </c>
      <c r="AH244" s="16" t="b">
        <v>0</v>
      </c>
      <c r="AI244" s="16" t="b">
        <v>1</v>
      </c>
      <c r="AJ244" s="16" t="b">
        <v>0</v>
      </c>
      <c r="AK244" s="22">
        <f>IFERROR(__xludf.DUMMYFUNCTION("IFERROR(GOOGLEFINANCE(B244,""price""),"""")"),3.33)</f>
        <v>3.33</v>
      </c>
    </row>
    <row r="245">
      <c r="A245" s="7">
        <v>46076.62765344139</v>
      </c>
      <c r="B245" s="8" t="s">
        <v>676</v>
      </c>
      <c r="C245" s="8" t="s">
        <v>677</v>
      </c>
      <c r="D245" s="9">
        <v>46082.0</v>
      </c>
      <c r="E245" s="10">
        <v>0.7272</v>
      </c>
      <c r="F245" s="8" t="s">
        <v>93</v>
      </c>
      <c r="G245" s="23"/>
      <c r="H245" s="23"/>
      <c r="I245" s="8" t="s">
        <v>175</v>
      </c>
      <c r="J245" s="13">
        <v>0.1906</v>
      </c>
      <c r="K245" s="8">
        <v>3668823.0</v>
      </c>
      <c r="L245" s="11">
        <v>0.25</v>
      </c>
      <c r="M245" s="11">
        <v>19.2994</v>
      </c>
      <c r="N245" s="8" t="s">
        <v>678</v>
      </c>
      <c r="O245" s="11">
        <v>-2.7027</v>
      </c>
      <c r="P245" s="12">
        <v>302311.0</v>
      </c>
      <c r="Q245" s="13">
        <v>0.7533</v>
      </c>
      <c r="R245" s="13">
        <v>0.6709</v>
      </c>
      <c r="S245" s="13">
        <v>0.7399</v>
      </c>
      <c r="T245" s="13">
        <v>0.0693</v>
      </c>
      <c r="U245" s="13">
        <v>0.5522</v>
      </c>
      <c r="V245" s="13">
        <v>163025.8</v>
      </c>
      <c r="W245" s="13">
        <v>2.1601</v>
      </c>
      <c r="X245" s="12">
        <v>4.59927E7</v>
      </c>
      <c r="Y245" s="13">
        <v>0.6268</v>
      </c>
      <c r="Z245" s="13">
        <v>2.7076</v>
      </c>
      <c r="AA245" s="11">
        <v>47.5093</v>
      </c>
      <c r="AB245" s="13">
        <v>12.0</v>
      </c>
      <c r="AC245" s="23"/>
      <c r="AD245" s="23"/>
      <c r="AE245" s="23"/>
      <c r="AF245" s="23"/>
      <c r="AG245" s="23"/>
      <c r="AH245" s="8" t="b">
        <v>1</v>
      </c>
      <c r="AI245" s="8" t="b">
        <v>0</v>
      </c>
      <c r="AJ245" s="8" t="b">
        <v>0</v>
      </c>
      <c r="AK245" s="14">
        <f>IFERROR(__xludf.DUMMYFUNCTION("IFERROR(GOOGLEFINANCE(B245,""price""),"""")"),0.45)</f>
        <v>0.45</v>
      </c>
    </row>
    <row r="246">
      <c r="A246" s="15">
        <v>46076.62765344139</v>
      </c>
      <c r="B246" s="16" t="s">
        <v>679</v>
      </c>
      <c r="C246" s="16" t="s">
        <v>680</v>
      </c>
      <c r="D246" s="17">
        <v>46082.0</v>
      </c>
      <c r="E246" s="18">
        <v>0.6035</v>
      </c>
      <c r="F246" s="16" t="s">
        <v>162</v>
      </c>
      <c r="G246" s="24"/>
      <c r="H246" s="21">
        <v>-0.4189</v>
      </c>
      <c r="I246" s="16" t="s">
        <v>175</v>
      </c>
      <c r="J246" s="21">
        <v>0.1599</v>
      </c>
      <c r="K246" s="16">
        <v>6.106884E7</v>
      </c>
      <c r="L246" s="19">
        <v>0.63</v>
      </c>
      <c r="M246" s="19">
        <v>13.415</v>
      </c>
      <c r="N246" s="16" t="s">
        <v>681</v>
      </c>
      <c r="O246" s="19">
        <v>-1.6542</v>
      </c>
      <c r="P246" s="20">
        <v>4262605.0</v>
      </c>
      <c r="Q246" s="21">
        <v>0.6198</v>
      </c>
      <c r="R246" s="21">
        <v>0.55</v>
      </c>
      <c r="S246" s="21">
        <v>0.6158</v>
      </c>
      <c r="T246" s="21">
        <v>0.0852</v>
      </c>
      <c r="U246" s="21">
        <v>0.2683</v>
      </c>
      <c r="V246" s="16">
        <v>2508718.0</v>
      </c>
      <c r="W246" s="21">
        <v>1.8493</v>
      </c>
      <c r="X246" s="20">
        <v>4.35514635E8</v>
      </c>
      <c r="Y246" s="21">
        <v>0.7136</v>
      </c>
      <c r="Z246" s="21">
        <v>1.2195</v>
      </c>
      <c r="AA246" s="19">
        <v>40.8541</v>
      </c>
      <c r="AB246" s="21">
        <v>3.5</v>
      </c>
      <c r="AC246" s="24"/>
      <c r="AD246" s="21">
        <v>-33.9978</v>
      </c>
      <c r="AE246" s="21">
        <v>-7.0204</v>
      </c>
      <c r="AF246" s="24"/>
      <c r="AG246" s="21">
        <v>0.2748</v>
      </c>
      <c r="AH246" s="16" t="b">
        <v>1</v>
      </c>
      <c r="AI246" s="16" t="b">
        <v>0</v>
      </c>
      <c r="AJ246" s="16" t="b">
        <v>0</v>
      </c>
      <c r="AK246" s="22">
        <f>IFERROR(__xludf.DUMMYFUNCTION("IFERROR(GOOGLEFINANCE(B246,""price""),"""")"),0.49)</f>
        <v>0.49</v>
      </c>
    </row>
    <row r="247">
      <c r="A247" s="7">
        <v>46076.62765344139</v>
      </c>
      <c r="B247" s="8" t="s">
        <v>682</v>
      </c>
      <c r="C247" s="8" t="s">
        <v>683</v>
      </c>
      <c r="D247" s="9">
        <v>46082.0</v>
      </c>
      <c r="E247" s="10">
        <v>1.38</v>
      </c>
      <c r="F247" s="8" t="s">
        <v>308</v>
      </c>
      <c r="G247" s="23"/>
      <c r="H247" s="13">
        <v>-1.6</v>
      </c>
      <c r="I247" s="8" t="s">
        <v>145</v>
      </c>
      <c r="J247" s="13">
        <v>0.0977</v>
      </c>
      <c r="K247" s="8">
        <v>2237909.0</v>
      </c>
      <c r="L247" s="11">
        <v>0.66</v>
      </c>
      <c r="M247" s="11">
        <v>23.9225</v>
      </c>
      <c r="N247" s="8" t="s">
        <v>684</v>
      </c>
      <c r="O247" s="11">
        <v>0.0</v>
      </c>
      <c r="P247" s="12">
        <v>492340.0</v>
      </c>
      <c r="Q247" s="13">
        <v>1.45</v>
      </c>
      <c r="R247" s="13">
        <v>1.23</v>
      </c>
      <c r="S247" s="13">
        <v>1.39</v>
      </c>
      <c r="T247" s="13">
        <v>0.1975</v>
      </c>
      <c r="U247" s="13">
        <v>0.5949</v>
      </c>
      <c r="V247" s="13">
        <v>314628.8</v>
      </c>
      <c r="W247" s="13">
        <v>1.557</v>
      </c>
      <c r="X247" s="12">
        <v>2.079685E7</v>
      </c>
      <c r="Y247" s="13">
        <v>1.325</v>
      </c>
      <c r="Z247" s="13">
        <v>2.931</v>
      </c>
      <c r="AA247" s="11">
        <v>42.1901</v>
      </c>
      <c r="AB247" s="13">
        <v>9.5836</v>
      </c>
      <c r="AC247" s="13">
        <v>-150.9079</v>
      </c>
      <c r="AD247" s="13">
        <v>-1023.4891</v>
      </c>
      <c r="AE247" s="13">
        <v>141.8094</v>
      </c>
      <c r="AF247" s="13">
        <v>0.0</v>
      </c>
      <c r="AG247" s="13">
        <v>3.4012</v>
      </c>
      <c r="AH247" s="8" t="b">
        <v>1</v>
      </c>
      <c r="AI247" s="8" t="b">
        <v>1</v>
      </c>
      <c r="AJ247" s="8" t="b">
        <v>0</v>
      </c>
      <c r="AK247" s="14">
        <f>IFERROR(__xludf.DUMMYFUNCTION("IFERROR(GOOGLEFINANCE(B247,""price""),"""")"),1.03)</f>
        <v>1.03</v>
      </c>
    </row>
    <row r="248">
      <c r="A248" s="7">
        <v>46077.62722350053</v>
      </c>
      <c r="B248" s="8" t="s">
        <v>685</v>
      </c>
      <c r="C248" s="8" t="s">
        <v>686</v>
      </c>
      <c r="D248" s="9">
        <v>46082.0</v>
      </c>
      <c r="E248" s="10">
        <v>0.9619</v>
      </c>
      <c r="F248" s="8" t="s">
        <v>308</v>
      </c>
      <c r="G248" s="23"/>
      <c r="H248" s="23"/>
      <c r="I248" s="8" t="s">
        <v>687</v>
      </c>
      <c r="J248" s="13">
        <v>8.6761</v>
      </c>
      <c r="K248" s="8">
        <v>9752341.0</v>
      </c>
      <c r="L248" s="11">
        <v>0.39</v>
      </c>
      <c r="M248" s="11">
        <v>12.8165</v>
      </c>
      <c r="N248" s="8" t="s">
        <v>688</v>
      </c>
      <c r="O248" s="11">
        <v>13.0375</v>
      </c>
      <c r="P248" s="12">
        <v>3291425.0</v>
      </c>
      <c r="Q248" s="13">
        <v>1.18</v>
      </c>
      <c r="R248" s="13">
        <v>0.8425</v>
      </c>
      <c r="S248" s="13">
        <v>0.9023</v>
      </c>
      <c r="T248" s="13">
        <v>0.127</v>
      </c>
      <c r="U248" s="13">
        <v>0.6498</v>
      </c>
      <c r="V248" s="13">
        <v>337935.5</v>
      </c>
      <c r="W248" s="13">
        <v>304.4008</v>
      </c>
      <c r="X248" s="12">
        <v>1.471782E7</v>
      </c>
      <c r="Y248" s="13">
        <v>0.9978</v>
      </c>
      <c r="Z248" s="13">
        <v>2.567</v>
      </c>
      <c r="AA248" s="11">
        <v>49.1588</v>
      </c>
      <c r="AB248" s="13">
        <v>54.91</v>
      </c>
      <c r="AC248" s="23"/>
      <c r="AD248" s="23"/>
      <c r="AE248" s="23"/>
      <c r="AF248" s="23"/>
      <c r="AG248" s="23"/>
      <c r="AH248" s="8" t="b">
        <v>0</v>
      </c>
      <c r="AI248" s="8" t="b">
        <v>0</v>
      </c>
      <c r="AJ248" s="8" t="b">
        <v>0</v>
      </c>
      <c r="AK248" s="14">
        <f>IFERROR(__xludf.DUMMYFUNCTION("IFERROR(GOOGLEFINANCE(B248,""price""),"""")"),0.94)</f>
        <v>0.94</v>
      </c>
    </row>
    <row r="249">
      <c r="A249" s="15">
        <v>46077.62722350053</v>
      </c>
      <c r="B249" s="16" t="s">
        <v>689</v>
      </c>
      <c r="C249" s="16" t="s">
        <v>690</v>
      </c>
      <c r="D249" s="17">
        <v>46082.0</v>
      </c>
      <c r="E249" s="18">
        <v>3.695</v>
      </c>
      <c r="F249" s="16" t="s">
        <v>117</v>
      </c>
      <c r="G249" s="24"/>
      <c r="H249" s="21">
        <v>-1.9276</v>
      </c>
      <c r="I249" s="16" t="s">
        <v>691</v>
      </c>
      <c r="J249" s="21">
        <v>7.3009</v>
      </c>
      <c r="K249" s="16">
        <v>1.47937578E8</v>
      </c>
      <c r="L249" s="19">
        <v>0.95</v>
      </c>
      <c r="M249" s="19">
        <v>20.4947</v>
      </c>
      <c r="N249" s="16" t="s">
        <v>692</v>
      </c>
      <c r="O249" s="19">
        <v>31.4947</v>
      </c>
      <c r="P249" s="20">
        <v>6.8051286E7</v>
      </c>
      <c r="Q249" s="21">
        <v>4.01</v>
      </c>
      <c r="R249" s="21">
        <v>3.55</v>
      </c>
      <c r="S249" s="21">
        <v>3.59</v>
      </c>
      <c r="T249" s="21">
        <v>0.2926</v>
      </c>
      <c r="U249" s="21">
        <v>0.6136</v>
      </c>
      <c r="V249" s="16">
        <v>7487191.0</v>
      </c>
      <c r="W249" s="21">
        <v>90.8912</v>
      </c>
      <c r="X249" s="20">
        <v>3.16256496E8</v>
      </c>
      <c r="Y249" s="21">
        <v>3.4767</v>
      </c>
      <c r="Z249" s="21">
        <v>3.6884</v>
      </c>
      <c r="AA249" s="19">
        <v>59.0274</v>
      </c>
      <c r="AB249" s="21">
        <v>5.37</v>
      </c>
      <c r="AC249" s="21">
        <v>-78.236</v>
      </c>
      <c r="AD249" s="24"/>
      <c r="AE249" s="24"/>
      <c r="AF249" s="21">
        <v>0.0313</v>
      </c>
      <c r="AG249" s="21">
        <v>4.0612</v>
      </c>
      <c r="AH249" s="16" t="b">
        <v>0</v>
      </c>
      <c r="AI249" s="16" t="b">
        <v>0</v>
      </c>
      <c r="AJ249" s="16" t="b">
        <v>0</v>
      </c>
      <c r="AK249" s="22">
        <f>IFERROR(__xludf.DUMMYFUNCTION("IFERROR(GOOGLEFINANCE(B249,""price""),"""")"),4.85)</f>
        <v>4.85</v>
      </c>
    </row>
    <row r="250">
      <c r="A250" s="7">
        <v>46077.62722350053</v>
      </c>
      <c r="B250" s="8" t="s">
        <v>693</v>
      </c>
      <c r="C250" s="8" t="s">
        <v>694</v>
      </c>
      <c r="D250" s="9">
        <v>46082.0</v>
      </c>
      <c r="E250" s="10">
        <v>2.99</v>
      </c>
      <c r="F250" s="8" t="s">
        <v>149</v>
      </c>
      <c r="G250" s="23"/>
      <c r="H250" s="13">
        <v>-1.2942</v>
      </c>
      <c r="I250" s="8" t="s">
        <v>620</v>
      </c>
      <c r="J250" s="13">
        <v>1.4425</v>
      </c>
      <c r="K250" s="8">
        <v>9200582.0</v>
      </c>
      <c r="L250" s="11">
        <v>0.81</v>
      </c>
      <c r="M250" s="11">
        <v>13.2568</v>
      </c>
      <c r="N250" s="8" t="s">
        <v>695</v>
      </c>
      <c r="O250" s="11">
        <v>1.0135</v>
      </c>
      <c r="P250" s="12">
        <v>506032.0</v>
      </c>
      <c r="Q250" s="13">
        <v>3.0</v>
      </c>
      <c r="R250" s="13">
        <v>2.945</v>
      </c>
      <c r="S250" s="13">
        <v>2.97</v>
      </c>
      <c r="T250" s="13">
        <v>0.1021</v>
      </c>
      <c r="U250" s="13">
        <v>0.2509</v>
      </c>
      <c r="V250" s="13">
        <v>220011.2</v>
      </c>
      <c r="W250" s="13">
        <v>2.6534</v>
      </c>
      <c r="X250" s="12">
        <v>2.72019125E8</v>
      </c>
      <c r="Y250" s="13">
        <v>3.0722</v>
      </c>
      <c r="Z250" s="13">
        <v>2.6533</v>
      </c>
      <c r="AA250" s="11">
        <v>48.7292</v>
      </c>
      <c r="AB250" s="13">
        <v>3.435</v>
      </c>
      <c r="AC250" s="13">
        <v>-81.6768</v>
      </c>
      <c r="AD250" s="13">
        <v>1.9953</v>
      </c>
      <c r="AE250" s="13">
        <v>-45.9452</v>
      </c>
      <c r="AF250" s="13">
        <v>2.7951</v>
      </c>
      <c r="AG250" s="13">
        <v>1.7382</v>
      </c>
      <c r="AH250" s="8" t="b">
        <v>0</v>
      </c>
      <c r="AI250" s="8" t="b">
        <v>0</v>
      </c>
      <c r="AJ250" s="8" t="b">
        <v>1</v>
      </c>
      <c r="AK250" s="14">
        <f>IFERROR(__xludf.DUMMYFUNCTION("IFERROR(GOOGLEFINANCE(B250,""price""),"""")"),3.21)</f>
        <v>3.21</v>
      </c>
    </row>
    <row r="251">
      <c r="A251" s="15">
        <v>46077.62722350053</v>
      </c>
      <c r="B251" s="16" t="s">
        <v>696</v>
      </c>
      <c r="C251" s="16" t="s">
        <v>697</v>
      </c>
      <c r="D251" s="17">
        <v>46082.0</v>
      </c>
      <c r="E251" s="18">
        <v>0.551</v>
      </c>
      <c r="F251" s="16" t="s">
        <v>88</v>
      </c>
      <c r="G251" s="24"/>
      <c r="H251" s="21">
        <v>-1.0205</v>
      </c>
      <c r="I251" s="16" t="s">
        <v>113</v>
      </c>
      <c r="J251" s="21">
        <v>1.2808</v>
      </c>
      <c r="K251" s="16">
        <v>4.5214337E7</v>
      </c>
      <c r="L251" s="19">
        <v>0.76</v>
      </c>
      <c r="M251" s="19">
        <v>18.237</v>
      </c>
      <c r="N251" s="16" t="s">
        <v>698</v>
      </c>
      <c r="O251" s="19">
        <v>1.9049</v>
      </c>
      <c r="P251" s="20">
        <v>3137875.0</v>
      </c>
      <c r="Q251" s="21">
        <v>0.595</v>
      </c>
      <c r="R251" s="21">
        <v>0.5256</v>
      </c>
      <c r="S251" s="21">
        <v>0.5599</v>
      </c>
      <c r="T251" s="21">
        <v>0.0624</v>
      </c>
      <c r="U251" s="21">
        <v>0.1648</v>
      </c>
      <c r="V251" s="21">
        <v>492650.3</v>
      </c>
      <c r="W251" s="21">
        <v>16.1323</v>
      </c>
      <c r="X251" s="20">
        <v>5970977.0</v>
      </c>
      <c r="Y251" s="21">
        <v>0.6173</v>
      </c>
      <c r="Z251" s="21">
        <v>0.8115</v>
      </c>
      <c r="AA251" s="19">
        <v>41.5826</v>
      </c>
      <c r="AB251" s="21">
        <v>1.97</v>
      </c>
      <c r="AC251" s="21">
        <v>-143.6029</v>
      </c>
      <c r="AD251" s="21">
        <v>-64.0272</v>
      </c>
      <c r="AE251" s="21">
        <v>-1.1943</v>
      </c>
      <c r="AF251" s="21">
        <v>0.2421</v>
      </c>
      <c r="AG251" s="21">
        <v>1.2637</v>
      </c>
      <c r="AH251" s="16" t="b">
        <v>0</v>
      </c>
      <c r="AI251" s="16" t="b">
        <v>0</v>
      </c>
      <c r="AJ251" s="16" t="b">
        <v>0</v>
      </c>
      <c r="AK251" s="22">
        <f>IFERROR(__xludf.DUMMYFUNCTION("IFERROR(GOOGLEFINANCE(B251,""price""),"""")"),0.57)</f>
        <v>0.57</v>
      </c>
    </row>
    <row r="252">
      <c r="A252" s="7">
        <v>46077.62722350053</v>
      </c>
      <c r="B252" s="8" t="s">
        <v>139</v>
      </c>
      <c r="C252" s="8" t="s">
        <v>140</v>
      </c>
      <c r="D252" s="9">
        <v>46082.0</v>
      </c>
      <c r="E252" s="10">
        <v>1.41</v>
      </c>
      <c r="F252" s="8" t="s">
        <v>88</v>
      </c>
      <c r="G252" s="23"/>
      <c r="H252" s="13">
        <v>-1.2606</v>
      </c>
      <c r="I252" s="8" t="s">
        <v>138</v>
      </c>
      <c r="J252" s="13">
        <v>0.351</v>
      </c>
      <c r="K252" s="8">
        <v>1.018756E7</v>
      </c>
      <c r="L252" s="11">
        <v>0.83</v>
      </c>
      <c r="M252" s="11">
        <v>26.4425</v>
      </c>
      <c r="N252" s="8" t="s">
        <v>141</v>
      </c>
      <c r="O252" s="11">
        <v>0.7143</v>
      </c>
      <c r="P252" s="12">
        <v>1181757.0</v>
      </c>
      <c r="Q252" s="13">
        <v>1.49</v>
      </c>
      <c r="R252" s="13">
        <v>1.374</v>
      </c>
      <c r="S252" s="13">
        <v>1.42</v>
      </c>
      <c r="T252" s="13">
        <v>0.1195</v>
      </c>
      <c r="U252" s="13">
        <v>0.2879</v>
      </c>
      <c r="V252" s="13">
        <v>493518.0</v>
      </c>
      <c r="W252" s="13">
        <v>2.8875</v>
      </c>
      <c r="X252" s="12">
        <v>1.66647115E8</v>
      </c>
      <c r="Y252" s="13">
        <v>1.7189</v>
      </c>
      <c r="Z252" s="13">
        <v>2.2234</v>
      </c>
      <c r="AA252" s="11">
        <v>35.0476</v>
      </c>
      <c r="AB252" s="13">
        <v>5.25</v>
      </c>
      <c r="AC252" s="13">
        <v>-102.5299</v>
      </c>
      <c r="AD252" s="13">
        <v>-497.5218</v>
      </c>
      <c r="AE252" s="13">
        <v>-82.325</v>
      </c>
      <c r="AF252" s="13">
        <v>1.8807</v>
      </c>
      <c r="AG252" s="13">
        <v>5.5901</v>
      </c>
      <c r="AH252" s="8" t="b">
        <v>0</v>
      </c>
      <c r="AI252" s="8" t="b">
        <v>1</v>
      </c>
      <c r="AJ252" s="8" t="b">
        <v>0</v>
      </c>
      <c r="AK252" s="14">
        <f>IFERROR(__xludf.DUMMYFUNCTION("IFERROR(GOOGLEFINANCE(B252,""price""),"""")"),1.45)</f>
        <v>1.45</v>
      </c>
    </row>
    <row r="253">
      <c r="A253" s="15">
        <v>46077.62722350053</v>
      </c>
      <c r="B253" s="16" t="s">
        <v>699</v>
      </c>
      <c r="C253" s="16" t="s">
        <v>700</v>
      </c>
      <c r="D253" s="17">
        <v>46082.0</v>
      </c>
      <c r="E253" s="18">
        <v>2.455</v>
      </c>
      <c r="F253" s="16" t="s">
        <v>117</v>
      </c>
      <c r="G253" s="24"/>
      <c r="H253" s="21">
        <v>-1.0059</v>
      </c>
      <c r="I253" s="16" t="s">
        <v>138</v>
      </c>
      <c r="J253" s="21">
        <v>0.1227</v>
      </c>
      <c r="K253" s="16">
        <v>4485929.0</v>
      </c>
      <c r="L253" s="19">
        <v>0.81</v>
      </c>
      <c r="M253" s="19">
        <v>26.242</v>
      </c>
      <c r="N253" s="16" t="s">
        <v>701</v>
      </c>
      <c r="O253" s="19">
        <v>0.2041</v>
      </c>
      <c r="P253" s="20">
        <v>1390638.0</v>
      </c>
      <c r="Q253" s="21">
        <v>2.72</v>
      </c>
      <c r="R253" s="21">
        <v>2.41</v>
      </c>
      <c r="S253" s="21">
        <v>2.43</v>
      </c>
      <c r="T253" s="21">
        <v>0.2148</v>
      </c>
      <c r="U253" s="21">
        <v>0.5313</v>
      </c>
      <c r="V253" s="21">
        <v>944734.1</v>
      </c>
      <c r="W253" s="21">
        <v>1.5497</v>
      </c>
      <c r="X253" s="20">
        <v>8.4804451E7</v>
      </c>
      <c r="Y253" s="21">
        <v>2.1875</v>
      </c>
      <c r="Z253" s="21">
        <v>24.4187</v>
      </c>
      <c r="AA253" s="19">
        <v>57.9346</v>
      </c>
      <c r="AB253" s="21">
        <v>6.8908</v>
      </c>
      <c r="AC253" s="21">
        <v>-70.2207</v>
      </c>
      <c r="AD253" s="21">
        <v>-7657.6667</v>
      </c>
      <c r="AE253" s="21">
        <v>-20.0</v>
      </c>
      <c r="AF253" s="21">
        <v>0.0433</v>
      </c>
      <c r="AG253" s="21">
        <v>9.0439</v>
      </c>
      <c r="AH253" s="16" t="b">
        <v>0</v>
      </c>
      <c r="AI253" s="16" t="b">
        <v>1</v>
      </c>
      <c r="AJ253" s="16" t="b">
        <v>0</v>
      </c>
      <c r="AK253" s="22">
        <f>IFERROR(__xludf.DUMMYFUNCTION("IFERROR(GOOGLEFINANCE(B253,""price""),"""")"),2.16)</f>
        <v>2.16</v>
      </c>
    </row>
    <row r="254">
      <c r="A254" s="7">
        <v>46077.62722350053</v>
      </c>
      <c r="B254" s="8" t="s">
        <v>702</v>
      </c>
      <c r="C254" s="8" t="s">
        <v>703</v>
      </c>
      <c r="D254" s="9">
        <v>46082.0</v>
      </c>
      <c r="E254" s="10">
        <v>0.505</v>
      </c>
      <c r="F254" s="8" t="s">
        <v>93</v>
      </c>
      <c r="G254" s="23"/>
      <c r="H254" s="13">
        <v>-1.8875</v>
      </c>
      <c r="I254" s="8" t="s">
        <v>175</v>
      </c>
      <c r="J254" s="13">
        <v>0.0941</v>
      </c>
      <c r="K254" s="8">
        <v>1.173513E7</v>
      </c>
      <c r="L254" s="11">
        <v>0.58</v>
      </c>
      <c r="M254" s="11">
        <v>22.9667</v>
      </c>
      <c r="N254" s="8" t="s">
        <v>704</v>
      </c>
      <c r="O254" s="11">
        <v>-6.4815</v>
      </c>
      <c r="P254" s="12">
        <v>1425830.0</v>
      </c>
      <c r="Q254" s="13">
        <v>0.5175</v>
      </c>
      <c r="R254" s="13">
        <v>0.396</v>
      </c>
      <c r="S254" s="13">
        <v>0.48</v>
      </c>
      <c r="T254" s="13">
        <v>0.0628</v>
      </c>
      <c r="U254" s="13">
        <v>0.2177</v>
      </c>
      <c r="V254" s="13">
        <v>767180.6</v>
      </c>
      <c r="W254" s="13">
        <v>2.2636</v>
      </c>
      <c r="X254" s="12">
        <v>2751125.0</v>
      </c>
      <c r="Y254" s="13">
        <v>0.7116</v>
      </c>
      <c r="Z254" s="13">
        <v>1.1153</v>
      </c>
      <c r="AA254" s="11">
        <v>32.2002</v>
      </c>
      <c r="AB254" s="13">
        <v>1.99</v>
      </c>
      <c r="AC254" s="13">
        <v>-904.2711</v>
      </c>
      <c r="AD254" s="13">
        <v>-8.1856</v>
      </c>
      <c r="AE254" s="13">
        <v>-4.7682</v>
      </c>
      <c r="AF254" s="23"/>
      <c r="AG254" s="13">
        <v>0.1637</v>
      </c>
      <c r="AH254" s="8" t="b">
        <v>1</v>
      </c>
      <c r="AI254" s="8" t="b">
        <v>0</v>
      </c>
      <c r="AJ254" s="8" t="b">
        <v>0</v>
      </c>
      <c r="AK254" s="14">
        <f>IFERROR(__xludf.DUMMYFUNCTION("IFERROR(GOOGLEFINANCE(B254,""price""),"""")"),0.26)</f>
        <v>0.26</v>
      </c>
    </row>
    <row r="255">
      <c r="A255" s="7">
        <v>46078.62890821529</v>
      </c>
      <c r="B255" s="8" t="s">
        <v>705</v>
      </c>
      <c r="C255" s="8" t="s">
        <v>706</v>
      </c>
      <c r="D255" s="9">
        <v>46082.0</v>
      </c>
      <c r="E255" s="10">
        <v>1.78</v>
      </c>
      <c r="F255" s="8" t="s">
        <v>186</v>
      </c>
      <c r="G255" s="23"/>
      <c r="H255" s="13">
        <v>-1.5007</v>
      </c>
      <c r="I255" s="8" t="s">
        <v>707</v>
      </c>
      <c r="J255" s="13">
        <v>5.232</v>
      </c>
      <c r="K255" s="8">
        <v>2.3004014E7</v>
      </c>
      <c r="L255" s="11">
        <v>0.16</v>
      </c>
      <c r="M255" s="11">
        <v>11.7451</v>
      </c>
      <c r="N255" s="8" t="s">
        <v>708</v>
      </c>
      <c r="O255" s="11">
        <v>47.1074</v>
      </c>
      <c r="P255" s="12">
        <v>1.7943131E7</v>
      </c>
      <c r="Q255" s="13">
        <v>1.98</v>
      </c>
      <c r="R255" s="13">
        <v>1.2</v>
      </c>
      <c r="S255" s="13">
        <v>1.265</v>
      </c>
      <c r="T255" s="13">
        <v>0.296</v>
      </c>
      <c r="U255" s="13">
        <v>3.7627</v>
      </c>
      <c r="V255" s="8">
        <v>1825810.0</v>
      </c>
      <c r="W255" s="13">
        <v>229.2653</v>
      </c>
      <c r="X255" s="12">
        <v>4896220.0</v>
      </c>
      <c r="Y255" s="13">
        <v>1.6232</v>
      </c>
      <c r="Z255" s="13">
        <v>15.4516</v>
      </c>
      <c r="AA255" s="11">
        <v>53.3883</v>
      </c>
      <c r="AB255" s="13">
        <v>64.2</v>
      </c>
      <c r="AC255" s="13">
        <v>-194.7202</v>
      </c>
      <c r="AD255" s="13">
        <v>-105.6567</v>
      </c>
      <c r="AE255" s="13">
        <v>-11.5051</v>
      </c>
      <c r="AF255" s="13">
        <v>0.3726</v>
      </c>
      <c r="AG255" s="13">
        <v>1.6929</v>
      </c>
      <c r="AH255" s="8" t="b">
        <v>0</v>
      </c>
      <c r="AI255" s="8" t="b">
        <v>0</v>
      </c>
      <c r="AJ255" s="8" t="b">
        <v>0</v>
      </c>
      <c r="AK255" s="14">
        <f>IFERROR(__xludf.DUMMYFUNCTION("IFERROR(GOOGLEFINANCE(B255,""price""),"""")"),0.93)</f>
        <v>0.93</v>
      </c>
    </row>
    <row r="256">
      <c r="A256" s="15">
        <v>46078.62890821529</v>
      </c>
      <c r="B256" s="16" t="s">
        <v>709</v>
      </c>
      <c r="C256" s="16" t="s">
        <v>710</v>
      </c>
      <c r="D256" s="17">
        <v>46082.0</v>
      </c>
      <c r="E256" s="18">
        <v>0.8022</v>
      </c>
      <c r="F256" s="16" t="s">
        <v>117</v>
      </c>
      <c r="G256" s="24"/>
      <c r="H256" s="21">
        <v>-16.7135</v>
      </c>
      <c r="I256" s="16" t="s">
        <v>711</v>
      </c>
      <c r="J256" s="21">
        <v>3.2478</v>
      </c>
      <c r="K256" s="16">
        <v>1.9699682E7</v>
      </c>
      <c r="L256" s="19">
        <v>0.47</v>
      </c>
      <c r="M256" s="19">
        <v>22.4584</v>
      </c>
      <c r="N256" s="16" t="s">
        <v>712</v>
      </c>
      <c r="O256" s="19">
        <v>13.6905</v>
      </c>
      <c r="P256" s="20">
        <v>6321628.0</v>
      </c>
      <c r="Q256" s="21">
        <v>1.011</v>
      </c>
      <c r="R256" s="21">
        <v>0.6901</v>
      </c>
      <c r="S256" s="21">
        <v>0.74</v>
      </c>
      <c r="T256" s="21">
        <v>0.0847</v>
      </c>
      <c r="U256" s="21">
        <v>0.3633</v>
      </c>
      <c r="V256" s="21">
        <v>673510.7</v>
      </c>
      <c r="W256" s="21">
        <v>129.9204</v>
      </c>
      <c r="X256" s="20">
        <v>3343749.0</v>
      </c>
      <c r="Y256" s="21">
        <v>0.8077</v>
      </c>
      <c r="Z256" s="21">
        <v>3.6526</v>
      </c>
      <c r="AA256" s="19">
        <v>54.7386</v>
      </c>
      <c r="AB256" s="21">
        <v>9.6</v>
      </c>
      <c r="AC256" s="21">
        <v>-168.9476</v>
      </c>
      <c r="AD256" s="24"/>
      <c r="AE256" s="24"/>
      <c r="AF256" s="21">
        <v>0.0402</v>
      </c>
      <c r="AG256" s="21">
        <v>4.4207</v>
      </c>
      <c r="AH256" s="16" t="b">
        <v>0</v>
      </c>
      <c r="AI256" s="16" t="b">
        <v>0</v>
      </c>
      <c r="AJ256" s="16" t="b">
        <v>0</v>
      </c>
      <c r="AK256" s="22">
        <f>IFERROR(__xludf.DUMMYFUNCTION("IFERROR(GOOGLEFINANCE(B256,""price""),"""")"),0.6)</f>
        <v>0.6</v>
      </c>
    </row>
    <row r="257">
      <c r="A257" s="7">
        <v>46078.62890821529</v>
      </c>
      <c r="B257" s="8" t="s">
        <v>713</v>
      </c>
      <c r="C257" s="8" t="s">
        <v>714</v>
      </c>
      <c r="D257" s="9">
        <v>46082.0</v>
      </c>
      <c r="E257" s="10">
        <v>0.5535</v>
      </c>
      <c r="F257" s="8" t="s">
        <v>117</v>
      </c>
      <c r="G257" s="23"/>
      <c r="H257" s="13">
        <v>-1.3371</v>
      </c>
      <c r="I257" s="8" t="s">
        <v>715</v>
      </c>
      <c r="J257" s="13">
        <v>1.7874</v>
      </c>
      <c r="K257" s="8">
        <v>2.4926548E7</v>
      </c>
      <c r="L257" s="11">
        <v>0.74</v>
      </c>
      <c r="M257" s="11">
        <v>15.061</v>
      </c>
      <c r="N257" s="8" t="s">
        <v>716</v>
      </c>
      <c r="O257" s="11">
        <v>-4.7824</v>
      </c>
      <c r="P257" s="12">
        <v>4967861.0</v>
      </c>
      <c r="Q257" s="13">
        <v>0.7</v>
      </c>
      <c r="R257" s="13">
        <v>0.5007</v>
      </c>
      <c r="S257" s="13">
        <v>0.571</v>
      </c>
      <c r="T257" s="13">
        <v>0.048</v>
      </c>
      <c r="U257" s="13">
        <v>0.1291</v>
      </c>
      <c r="V257" s="13">
        <v>567176.7</v>
      </c>
      <c r="W257" s="13">
        <v>64.3595</v>
      </c>
      <c r="X257" s="12">
        <v>1.1807751E7</v>
      </c>
      <c r="Y257" s="13">
        <v>0.5589</v>
      </c>
      <c r="Z257" s="13">
        <v>1.0205</v>
      </c>
      <c r="AA257" s="11">
        <v>48.5546</v>
      </c>
      <c r="AB257" s="13">
        <v>1.9198</v>
      </c>
      <c r="AC257" s="13">
        <v>-119.9168</v>
      </c>
      <c r="AD257" s="13">
        <v>-1542.7279</v>
      </c>
      <c r="AE257" s="13">
        <v>-22.4082</v>
      </c>
      <c r="AF257" s="13">
        <v>0.0986</v>
      </c>
      <c r="AG257" s="13">
        <v>2.0931</v>
      </c>
      <c r="AH257" s="8" t="b">
        <v>0</v>
      </c>
      <c r="AI257" s="8" t="b">
        <v>1</v>
      </c>
      <c r="AJ257" s="8" t="b">
        <v>0</v>
      </c>
      <c r="AK257" s="14">
        <f>IFERROR(__xludf.DUMMYFUNCTION("IFERROR(GOOGLEFINANCE(B257,""price""),"""")"),1.16)</f>
        <v>1.16</v>
      </c>
    </row>
    <row r="258">
      <c r="A258" s="15">
        <v>46078.62890821529</v>
      </c>
      <c r="B258" s="16" t="s">
        <v>717</v>
      </c>
      <c r="C258" s="16" t="s">
        <v>718</v>
      </c>
      <c r="D258" s="17">
        <v>46082.0</v>
      </c>
      <c r="E258" s="18">
        <v>4.0499</v>
      </c>
      <c r="F258" s="16" t="s">
        <v>190</v>
      </c>
      <c r="G258" s="24"/>
      <c r="H258" s="21">
        <v>-14.9325</v>
      </c>
      <c r="I258" s="16" t="s">
        <v>113</v>
      </c>
      <c r="J258" s="21">
        <v>1.3032</v>
      </c>
      <c r="K258" s="16">
        <v>1864959.0</v>
      </c>
      <c r="L258" s="19">
        <v>0.61</v>
      </c>
      <c r="M258" s="19">
        <v>20.8587</v>
      </c>
      <c r="N258" s="16" t="s">
        <v>719</v>
      </c>
      <c r="O258" s="19">
        <v>-2.1763</v>
      </c>
      <c r="P258" s="20">
        <v>1061721.0</v>
      </c>
      <c r="Q258" s="21">
        <v>4.43</v>
      </c>
      <c r="R258" s="21">
        <v>3.8607</v>
      </c>
      <c r="S258" s="21">
        <v>4.39</v>
      </c>
      <c r="T258" s="21">
        <v>1.0004</v>
      </c>
      <c r="U258" s="21">
        <v>3.295</v>
      </c>
      <c r="V258" s="21">
        <v>157942.4</v>
      </c>
      <c r="W258" s="21">
        <v>18.3186</v>
      </c>
      <c r="X258" s="20">
        <v>6495160.0</v>
      </c>
      <c r="Y258" s="21">
        <v>8.097</v>
      </c>
      <c r="Z258" s="21">
        <v>12.5938</v>
      </c>
      <c r="AA258" s="19">
        <v>28.0656</v>
      </c>
      <c r="AB258" s="21">
        <v>25.0</v>
      </c>
      <c r="AC258" s="21">
        <v>-146.1168</v>
      </c>
      <c r="AD258" s="21">
        <v>-324.0235</v>
      </c>
      <c r="AE258" s="21">
        <v>18.1407</v>
      </c>
      <c r="AF258" s="21">
        <v>0.1735</v>
      </c>
      <c r="AG258" s="21">
        <v>2.3745</v>
      </c>
      <c r="AH258" s="16" t="b">
        <v>0</v>
      </c>
      <c r="AI258" s="16" t="b">
        <v>0</v>
      </c>
      <c r="AJ258" s="16" t="b">
        <v>0</v>
      </c>
      <c r="AK258" s="22">
        <f>IFERROR(__xludf.DUMMYFUNCTION("IFERROR(GOOGLEFINANCE(B258,""price""),"""")"),2.46)</f>
        <v>2.46</v>
      </c>
    </row>
    <row r="259">
      <c r="A259" s="7">
        <v>46078.62890821529</v>
      </c>
      <c r="B259" s="8" t="s">
        <v>462</v>
      </c>
      <c r="C259" s="8" t="s">
        <v>463</v>
      </c>
      <c r="D259" s="9">
        <v>46082.0</v>
      </c>
      <c r="E259" s="10">
        <v>2.4</v>
      </c>
      <c r="F259" s="8" t="s">
        <v>149</v>
      </c>
      <c r="G259" s="23"/>
      <c r="H259" s="13">
        <v>-0.1131</v>
      </c>
      <c r="I259" s="8" t="s">
        <v>179</v>
      </c>
      <c r="J259" s="13">
        <v>0.4373</v>
      </c>
      <c r="K259" s="8">
        <v>6342190.0</v>
      </c>
      <c r="L259" s="11">
        <v>0.86</v>
      </c>
      <c r="M259" s="11">
        <v>28.3614</v>
      </c>
      <c r="N259" s="8" t="s">
        <v>464</v>
      </c>
      <c r="O259" s="11">
        <v>2.1277</v>
      </c>
      <c r="P259" s="12">
        <v>634219.0</v>
      </c>
      <c r="Q259" s="13">
        <v>2.4</v>
      </c>
      <c r="R259" s="13">
        <v>2.3</v>
      </c>
      <c r="S259" s="13">
        <v>2.37</v>
      </c>
      <c r="T259" s="13">
        <v>0.1232</v>
      </c>
      <c r="U259" s="13">
        <v>0.2859</v>
      </c>
      <c r="V259" s="13">
        <v>389858.0</v>
      </c>
      <c r="W259" s="13">
        <v>1.8219</v>
      </c>
      <c r="X259" s="12">
        <v>2.44822451E8</v>
      </c>
      <c r="Y259" s="13">
        <v>2.0504</v>
      </c>
      <c r="Z259" s="13">
        <v>2.7867</v>
      </c>
      <c r="AA259" s="11">
        <v>76.3712</v>
      </c>
      <c r="AB259" s="13">
        <v>5.17</v>
      </c>
      <c r="AC259" s="13">
        <v>-48.663</v>
      </c>
      <c r="AD259" s="13">
        <v>0.366</v>
      </c>
      <c r="AE259" s="13">
        <v>28.4611</v>
      </c>
      <c r="AF259" s="13">
        <v>3.0107</v>
      </c>
      <c r="AG259" s="13">
        <v>1.2763</v>
      </c>
      <c r="AH259" s="8" t="b">
        <v>1</v>
      </c>
      <c r="AI259" s="8" t="b">
        <v>0</v>
      </c>
      <c r="AJ259" s="8" t="b">
        <v>0</v>
      </c>
      <c r="AK259" s="14">
        <f>IFERROR(__xludf.DUMMYFUNCTION("IFERROR(GOOGLEFINANCE(B259,""price""),"""")"),1.7)</f>
        <v>1.7</v>
      </c>
    </row>
    <row r="260">
      <c r="A260" s="15">
        <v>46078.62890821529</v>
      </c>
      <c r="B260" s="16" t="s">
        <v>720</v>
      </c>
      <c r="C260" s="16" t="s">
        <v>721</v>
      </c>
      <c r="D260" s="17">
        <v>46082.0</v>
      </c>
      <c r="E260" s="18">
        <v>0.8901</v>
      </c>
      <c r="F260" s="16" t="s">
        <v>102</v>
      </c>
      <c r="G260" s="24"/>
      <c r="H260" s="21">
        <v>-0.3464</v>
      </c>
      <c r="I260" s="16" t="s">
        <v>145</v>
      </c>
      <c r="J260" s="21">
        <v>0.3521</v>
      </c>
      <c r="K260" s="16">
        <v>5.891898E7</v>
      </c>
      <c r="L260" s="19">
        <v>0.61</v>
      </c>
      <c r="M260" s="19">
        <v>12.1559</v>
      </c>
      <c r="N260" s="16" t="s">
        <v>722</v>
      </c>
      <c r="O260" s="19">
        <v>-2.5564</v>
      </c>
      <c r="P260" s="20">
        <v>5891898.0</v>
      </c>
      <c r="Q260" s="21">
        <v>0.92</v>
      </c>
      <c r="R260" s="21">
        <v>0.82</v>
      </c>
      <c r="S260" s="21">
        <v>0.8852</v>
      </c>
      <c r="T260" s="21">
        <v>0.073</v>
      </c>
      <c r="U260" s="21">
        <v>0.2379</v>
      </c>
      <c r="V260" s="16">
        <v>1931740.0</v>
      </c>
      <c r="W260" s="21">
        <v>3.9563</v>
      </c>
      <c r="X260" s="20">
        <v>1.85612949E8</v>
      </c>
      <c r="Y260" s="21">
        <v>1.033</v>
      </c>
      <c r="Z260" s="21">
        <v>1.293</v>
      </c>
      <c r="AA260" s="19">
        <v>35.3211</v>
      </c>
      <c r="AB260" s="21">
        <v>2.54</v>
      </c>
      <c r="AC260" s="21">
        <v>-71.4622</v>
      </c>
      <c r="AD260" s="21">
        <v>-136.3589</v>
      </c>
      <c r="AE260" s="21">
        <v>46.0945</v>
      </c>
      <c r="AF260" s="21">
        <v>0.3903</v>
      </c>
      <c r="AG260" s="21">
        <v>3.1835</v>
      </c>
      <c r="AH260" s="16" t="b">
        <v>1</v>
      </c>
      <c r="AI260" s="16" t="b">
        <v>1</v>
      </c>
      <c r="AJ260" s="16" t="b">
        <v>0</v>
      </c>
      <c r="AK260" s="22">
        <f>IFERROR(__xludf.DUMMYFUNCTION("IFERROR(GOOGLEFINANCE(B260,""price""),"""")"),0.68)</f>
        <v>0.68</v>
      </c>
    </row>
    <row r="261">
      <c r="A261" s="7">
        <v>46078.62890821529</v>
      </c>
      <c r="B261" s="8" t="s">
        <v>723</v>
      </c>
      <c r="C261" s="8" t="s">
        <v>724</v>
      </c>
      <c r="D261" s="9">
        <v>46082.0</v>
      </c>
      <c r="E261" s="10">
        <v>1.21</v>
      </c>
      <c r="F261" s="8" t="s">
        <v>88</v>
      </c>
      <c r="G261" s="23"/>
      <c r="H261" s="13">
        <v>-2.8089</v>
      </c>
      <c r="I261" s="8" t="s">
        <v>118</v>
      </c>
      <c r="J261" s="13">
        <v>0.3402</v>
      </c>
      <c r="K261" s="8">
        <v>3.8468842E7</v>
      </c>
      <c r="L261" s="11">
        <v>0.15</v>
      </c>
      <c r="M261" s="11">
        <v>17.2305</v>
      </c>
      <c r="N261" s="8" t="s">
        <v>725</v>
      </c>
      <c r="O261" s="11">
        <v>0.0</v>
      </c>
      <c r="P261" s="12">
        <v>4616261.0</v>
      </c>
      <c r="Q261" s="13">
        <v>1.33</v>
      </c>
      <c r="R261" s="13">
        <v>1.21</v>
      </c>
      <c r="S261" s="13">
        <v>1.22</v>
      </c>
      <c r="T261" s="13">
        <v>0.136</v>
      </c>
      <c r="U261" s="13">
        <v>1.8008</v>
      </c>
      <c r="V261" s="8">
        <v>1641641.0</v>
      </c>
      <c r="W261" s="13">
        <v>3.3737</v>
      </c>
      <c r="X261" s="12">
        <v>2.39376248E8</v>
      </c>
      <c r="Y261" s="13">
        <v>1.6295</v>
      </c>
      <c r="Z261" s="13">
        <v>3.4121</v>
      </c>
      <c r="AA261" s="11">
        <v>36.7705</v>
      </c>
      <c r="AB261" s="13">
        <v>83.12</v>
      </c>
      <c r="AC261" s="13">
        <v>-18.506</v>
      </c>
      <c r="AD261" s="13">
        <v>-27.9819</v>
      </c>
      <c r="AE261" s="13">
        <v>-4.343</v>
      </c>
      <c r="AF261" s="13">
        <v>0.0308</v>
      </c>
      <c r="AG261" s="13">
        <v>18.8711</v>
      </c>
      <c r="AH261" s="8" t="b">
        <v>0</v>
      </c>
      <c r="AI261" s="8" t="b">
        <v>1</v>
      </c>
      <c r="AJ261" s="8" t="b">
        <v>0</v>
      </c>
      <c r="AK261" s="14">
        <f>IFERROR(__xludf.DUMMYFUNCTION("IFERROR(GOOGLEFINANCE(B261,""price""),"""")"),0.84)</f>
        <v>0.84</v>
      </c>
    </row>
    <row r="262">
      <c r="A262" s="15">
        <v>46078.62890821529</v>
      </c>
      <c r="B262" s="16" t="s">
        <v>726</v>
      </c>
      <c r="C262" s="16" t="s">
        <v>727</v>
      </c>
      <c r="D262" s="17">
        <v>46082.0</v>
      </c>
      <c r="E262" s="18">
        <v>1.93</v>
      </c>
      <c r="F262" s="16" t="s">
        <v>102</v>
      </c>
      <c r="G262" s="24"/>
      <c r="H262" s="21">
        <v>-0.3262</v>
      </c>
      <c r="I262" s="16" t="s">
        <v>179</v>
      </c>
      <c r="J262" s="21">
        <v>0.2974</v>
      </c>
      <c r="K262" s="16">
        <v>1.2925067E7</v>
      </c>
      <c r="L262" s="19">
        <v>0.96</v>
      </c>
      <c r="M262" s="19">
        <v>11.1242</v>
      </c>
      <c r="N262" s="16" t="s">
        <v>728</v>
      </c>
      <c r="O262" s="19">
        <v>-3.0151</v>
      </c>
      <c r="P262" s="20">
        <v>1551008.0</v>
      </c>
      <c r="Q262" s="21">
        <v>1.95</v>
      </c>
      <c r="R262" s="21">
        <v>1.83</v>
      </c>
      <c r="S262" s="21">
        <v>1.95</v>
      </c>
      <c r="T262" s="21">
        <v>0.1349</v>
      </c>
      <c r="U262" s="21">
        <v>0.2804</v>
      </c>
      <c r="V262" s="21">
        <v>928881.1</v>
      </c>
      <c r="W262" s="21">
        <v>1.849</v>
      </c>
      <c r="X262" s="20">
        <v>3.39630261E8</v>
      </c>
      <c r="Y262" s="21">
        <v>2.012</v>
      </c>
      <c r="Z262" s="21">
        <v>1.922</v>
      </c>
      <c r="AA262" s="19">
        <v>43.5627</v>
      </c>
      <c r="AB262" s="21">
        <v>2.5599</v>
      </c>
      <c r="AC262" s="21">
        <v>-26.2091</v>
      </c>
      <c r="AD262" s="21">
        <v>-1872.0576</v>
      </c>
      <c r="AE262" s="21">
        <v>130.285</v>
      </c>
      <c r="AF262" s="21">
        <v>0.0228</v>
      </c>
      <c r="AG262" s="21">
        <v>10.0002</v>
      </c>
      <c r="AH262" s="16" t="b">
        <v>1</v>
      </c>
      <c r="AI262" s="16" t="b">
        <v>0</v>
      </c>
      <c r="AJ262" s="16" t="b">
        <v>0</v>
      </c>
      <c r="AK262" s="22">
        <f>IFERROR(__xludf.DUMMYFUNCTION("IFERROR(GOOGLEFINANCE(B262,""price""),"""")"),1.84)</f>
        <v>1.84</v>
      </c>
    </row>
    <row r="263">
      <c r="A263" s="7">
        <v>46078.62890821529</v>
      </c>
      <c r="B263" s="8" t="s">
        <v>729</v>
      </c>
      <c r="C263" s="8" t="s">
        <v>730</v>
      </c>
      <c r="D263" s="9">
        <v>46082.0</v>
      </c>
      <c r="E263" s="10">
        <v>2.55</v>
      </c>
      <c r="F263" s="8" t="s">
        <v>107</v>
      </c>
      <c r="G263" s="23"/>
      <c r="H263" s="13">
        <v>-3.721</v>
      </c>
      <c r="I263" s="8" t="s">
        <v>118</v>
      </c>
      <c r="J263" s="13">
        <v>0.2739</v>
      </c>
      <c r="K263" s="8">
        <v>1.2904341E7</v>
      </c>
      <c r="L263" s="11">
        <v>0.74</v>
      </c>
      <c r="M263" s="11">
        <v>14.3625</v>
      </c>
      <c r="N263" s="8" t="s">
        <v>731</v>
      </c>
      <c r="O263" s="11">
        <v>-28.3708</v>
      </c>
      <c r="P263" s="12">
        <v>7226431.0</v>
      </c>
      <c r="Q263" s="13">
        <v>2.86</v>
      </c>
      <c r="R263" s="13">
        <v>2.3</v>
      </c>
      <c r="S263" s="13">
        <v>2.58</v>
      </c>
      <c r="T263" s="13">
        <v>0.2899</v>
      </c>
      <c r="U263" s="13">
        <v>0.7848</v>
      </c>
      <c r="V263" s="8">
        <v>1828397.0</v>
      </c>
      <c r="W263" s="13">
        <v>6.016</v>
      </c>
      <c r="X263" s="12">
        <v>2.10750049E8</v>
      </c>
      <c r="Y263" s="13">
        <v>3.3042</v>
      </c>
      <c r="Z263" s="13">
        <v>5.8524</v>
      </c>
      <c r="AA263" s="11">
        <v>29.819</v>
      </c>
      <c r="AB263" s="13">
        <v>9.78</v>
      </c>
      <c r="AC263" s="13">
        <v>-75.0635</v>
      </c>
      <c r="AD263" s="13">
        <v>3.2705</v>
      </c>
      <c r="AE263" s="13">
        <v>-14.735</v>
      </c>
      <c r="AF263" s="13">
        <v>0.4911</v>
      </c>
      <c r="AG263" s="13">
        <v>3.9429</v>
      </c>
      <c r="AH263" s="8" t="b">
        <v>0</v>
      </c>
      <c r="AI263" s="8" t="b">
        <v>1</v>
      </c>
      <c r="AJ263" s="8" t="b">
        <v>0</v>
      </c>
      <c r="AK263" s="14">
        <f>IFERROR(__xludf.DUMMYFUNCTION("IFERROR(GOOGLEFINANCE(B263,""price""),"""")"),3.34)</f>
        <v>3.34</v>
      </c>
    </row>
    <row r="264">
      <c r="A264" s="15">
        <v>46078.62890821529</v>
      </c>
      <c r="B264" s="16" t="s">
        <v>247</v>
      </c>
      <c r="C264" s="16" t="s">
        <v>248</v>
      </c>
      <c r="D264" s="17">
        <v>46082.0</v>
      </c>
      <c r="E264" s="18">
        <v>2.255</v>
      </c>
      <c r="F264" s="16" t="s">
        <v>117</v>
      </c>
      <c r="G264" s="24"/>
      <c r="H264" s="21">
        <v>-0.5445</v>
      </c>
      <c r="I264" s="16" t="s">
        <v>145</v>
      </c>
      <c r="J264" s="21">
        <v>0.2331</v>
      </c>
      <c r="K264" s="16">
        <v>5643800.0</v>
      </c>
      <c r="L264" s="19">
        <v>0.7</v>
      </c>
      <c r="M264" s="19">
        <v>15.8449</v>
      </c>
      <c r="N264" s="16" t="s">
        <v>249</v>
      </c>
      <c r="O264" s="19">
        <v>0.6696</v>
      </c>
      <c r="P264" s="20">
        <v>846570.0</v>
      </c>
      <c r="Q264" s="21">
        <v>2.3</v>
      </c>
      <c r="R264" s="21">
        <v>2.15</v>
      </c>
      <c r="S264" s="21">
        <v>2.26</v>
      </c>
      <c r="T264" s="21">
        <v>0.1491</v>
      </c>
      <c r="U264" s="21">
        <v>0.4245</v>
      </c>
      <c r="V264" s="21">
        <v>543169.9</v>
      </c>
      <c r="W264" s="21">
        <v>1.5507</v>
      </c>
      <c r="X264" s="20">
        <v>6.78381546E8</v>
      </c>
      <c r="Y264" s="21">
        <v>2.1857</v>
      </c>
      <c r="Z264" s="21">
        <v>2.2177</v>
      </c>
      <c r="AA264" s="19">
        <v>57.9677</v>
      </c>
      <c r="AB264" s="21">
        <v>7.13</v>
      </c>
      <c r="AC264" s="24"/>
      <c r="AD264" s="21">
        <v>-22296.1022</v>
      </c>
      <c r="AE264" s="24"/>
      <c r="AF264" s="24"/>
      <c r="AG264" s="21">
        <v>10.322</v>
      </c>
      <c r="AH264" s="16" t="b">
        <v>1</v>
      </c>
      <c r="AI264" s="16" t="b">
        <v>1</v>
      </c>
      <c r="AJ264" s="16" t="b">
        <v>0</v>
      </c>
      <c r="AK264" s="22">
        <f>IFERROR(__xludf.DUMMYFUNCTION("IFERROR(GOOGLEFINANCE(B264,""price""),"""")"),1.95)</f>
        <v>1.95</v>
      </c>
    </row>
    <row r="265">
      <c r="A265" s="7">
        <v>46078.62890821529</v>
      </c>
      <c r="B265" s="8" t="s">
        <v>181</v>
      </c>
      <c r="C265" s="8" t="s">
        <v>182</v>
      </c>
      <c r="D265" s="9">
        <v>46082.0</v>
      </c>
      <c r="E265" s="10">
        <v>1.38</v>
      </c>
      <c r="F265" s="8" t="s">
        <v>117</v>
      </c>
      <c r="G265" s="23"/>
      <c r="H265" s="13">
        <v>-2.1399</v>
      </c>
      <c r="I265" s="8" t="s">
        <v>118</v>
      </c>
      <c r="J265" s="13">
        <v>0.1857</v>
      </c>
      <c r="K265" s="8">
        <v>5608903.0</v>
      </c>
      <c r="L265" s="11">
        <v>0.63</v>
      </c>
      <c r="M265" s="11">
        <v>12.8181</v>
      </c>
      <c r="N265" s="8" t="s">
        <v>183</v>
      </c>
      <c r="O265" s="11">
        <v>2.9851</v>
      </c>
      <c r="P265" s="12">
        <v>925469.0</v>
      </c>
      <c r="Q265" s="13">
        <v>1.495</v>
      </c>
      <c r="R265" s="13">
        <v>1.33</v>
      </c>
      <c r="S265" s="13">
        <v>1.37</v>
      </c>
      <c r="T265" s="13">
        <v>0.1227</v>
      </c>
      <c r="U265" s="13">
        <v>0.3901</v>
      </c>
      <c r="V265" s="13">
        <v>471500.4</v>
      </c>
      <c r="W265" s="13">
        <v>2.22</v>
      </c>
      <c r="X265" s="12">
        <v>3.6687657E7</v>
      </c>
      <c r="Y265" s="13">
        <v>1.5936</v>
      </c>
      <c r="Z265" s="13">
        <v>2.8488</v>
      </c>
      <c r="AA265" s="11">
        <v>42.6096</v>
      </c>
      <c r="AB265" s="13">
        <v>11.64</v>
      </c>
      <c r="AC265" s="13">
        <v>-155.7679</v>
      </c>
      <c r="AD265" s="13">
        <v>-69724.0</v>
      </c>
      <c r="AE265" s="13">
        <v>19.0476</v>
      </c>
      <c r="AF265" s="13">
        <v>0.0426</v>
      </c>
      <c r="AG265" s="13">
        <v>4.1688</v>
      </c>
      <c r="AH265" s="8" t="b">
        <v>0</v>
      </c>
      <c r="AI265" s="8" t="b">
        <v>1</v>
      </c>
      <c r="AJ265" s="8" t="b">
        <v>0</v>
      </c>
      <c r="AK265" s="14">
        <f>IFERROR(__xludf.DUMMYFUNCTION("IFERROR(GOOGLEFINANCE(B265,""price""),"""")"),1.18)</f>
        <v>1.18</v>
      </c>
    </row>
    <row r="266">
      <c r="A266" s="15">
        <v>46078.62890821529</v>
      </c>
      <c r="B266" s="16" t="s">
        <v>732</v>
      </c>
      <c r="C266" s="16" t="s">
        <v>733</v>
      </c>
      <c r="D266" s="17">
        <v>46082.0</v>
      </c>
      <c r="E266" s="18">
        <v>0.539</v>
      </c>
      <c r="F266" s="16" t="s">
        <v>270</v>
      </c>
      <c r="G266" s="24"/>
      <c r="H266" s="24"/>
      <c r="I266" s="16" t="s">
        <v>145</v>
      </c>
      <c r="J266" s="21">
        <v>0.1214</v>
      </c>
      <c r="K266" s="16">
        <v>2568284.0</v>
      </c>
      <c r="L266" s="19">
        <v>0.33</v>
      </c>
      <c r="M266" s="19">
        <v>27.6321</v>
      </c>
      <c r="N266" s="16" t="s">
        <v>734</v>
      </c>
      <c r="O266" s="19">
        <v>0.1486</v>
      </c>
      <c r="P266" s="20">
        <v>423510.0</v>
      </c>
      <c r="Q266" s="21">
        <v>0.5649</v>
      </c>
      <c r="R266" s="21">
        <v>0.4</v>
      </c>
      <c r="S266" s="21">
        <v>0.55</v>
      </c>
      <c r="T266" s="21">
        <v>0.2925</v>
      </c>
      <c r="U266" s="21">
        <v>1.7545</v>
      </c>
      <c r="V266" s="21">
        <v>142302.2</v>
      </c>
      <c r="W266" s="21">
        <v>3.714</v>
      </c>
      <c r="X266" s="20">
        <v>7667276.0</v>
      </c>
      <c r="Y266" s="21">
        <v>2.3056</v>
      </c>
      <c r="Z266" s="24"/>
      <c r="AA266" s="19">
        <v>30.2229</v>
      </c>
      <c r="AB266" s="21">
        <v>22.2</v>
      </c>
      <c r="AC266" s="24"/>
      <c r="AD266" s="24"/>
      <c r="AE266" s="24"/>
      <c r="AF266" s="24"/>
      <c r="AG266" s="21">
        <v>1.9655</v>
      </c>
      <c r="AH266" s="16" t="b">
        <v>1</v>
      </c>
      <c r="AI266" s="16" t="b">
        <v>1</v>
      </c>
      <c r="AJ266" s="16" t="b">
        <v>0</v>
      </c>
      <c r="AK266" s="22">
        <f>IFERROR(__xludf.DUMMYFUNCTION("IFERROR(GOOGLEFINANCE(B266,""price""),"""")"),0.51)</f>
        <v>0.51</v>
      </c>
    </row>
    <row r="267">
      <c r="A267" s="7">
        <v>46079.62826875842</v>
      </c>
      <c r="B267" s="8" t="s">
        <v>735</v>
      </c>
      <c r="C267" s="8" t="s">
        <v>736</v>
      </c>
      <c r="D267" s="9">
        <v>46082.0</v>
      </c>
      <c r="E267" s="10">
        <v>0.6284</v>
      </c>
      <c r="F267" s="8" t="s">
        <v>117</v>
      </c>
      <c r="G267" s="23"/>
      <c r="H267" s="13">
        <v>-0.3026</v>
      </c>
      <c r="I267" s="8" t="s">
        <v>737</v>
      </c>
      <c r="J267" s="13">
        <v>9.6211</v>
      </c>
      <c r="K267" s="8">
        <v>1.23765849E8</v>
      </c>
      <c r="L267" s="11">
        <v>0.61</v>
      </c>
      <c r="M267" s="11">
        <v>26.0043</v>
      </c>
      <c r="N267" s="8" t="s">
        <v>738</v>
      </c>
      <c r="O267" s="11">
        <v>-0.0477</v>
      </c>
      <c r="P267" s="12">
        <v>2.2154087E7</v>
      </c>
      <c r="Q267" s="13">
        <v>0.75</v>
      </c>
      <c r="R267" s="13">
        <v>0.571</v>
      </c>
      <c r="S267" s="13">
        <v>0.7265</v>
      </c>
      <c r="T267" s="13">
        <v>0.0597</v>
      </c>
      <c r="U267" s="13">
        <v>0.195</v>
      </c>
      <c r="V267" s="8">
        <v>2292776.0</v>
      </c>
      <c r="W267" s="13">
        <v>274.0584</v>
      </c>
      <c r="X267" s="12">
        <v>1.308414E7</v>
      </c>
      <c r="Y267" s="13">
        <v>0.7181</v>
      </c>
      <c r="Z267" s="13">
        <v>0.9509</v>
      </c>
      <c r="AA267" s="11">
        <v>46.2401</v>
      </c>
      <c r="AB267" s="13">
        <v>2.11</v>
      </c>
      <c r="AC267" s="13">
        <v>-92.0698</v>
      </c>
      <c r="AD267" s="23"/>
      <c r="AE267" s="23"/>
      <c r="AF267" s="13">
        <v>0.0</v>
      </c>
      <c r="AG267" s="13">
        <v>16.5572</v>
      </c>
      <c r="AH267" s="8" t="b">
        <v>0</v>
      </c>
      <c r="AI267" s="8" t="b">
        <v>0</v>
      </c>
      <c r="AJ267" s="8" t="b">
        <v>0</v>
      </c>
      <c r="AK267" s="14">
        <f>IFERROR(__xludf.DUMMYFUNCTION("IFERROR(GOOGLEFINANCE(B267,""price""),"""")"),0.58)</f>
        <v>0.58</v>
      </c>
    </row>
    <row r="268">
      <c r="A268" s="15">
        <v>46079.62826875842</v>
      </c>
      <c r="B268" s="16" t="s">
        <v>408</v>
      </c>
      <c r="C268" s="16" t="s">
        <v>409</v>
      </c>
      <c r="D268" s="17">
        <v>46082.0</v>
      </c>
      <c r="E268" s="18">
        <v>1.01</v>
      </c>
      <c r="F268" s="16" t="s">
        <v>102</v>
      </c>
      <c r="G268" s="24"/>
      <c r="H268" s="21">
        <v>-5.1706</v>
      </c>
      <c r="I268" s="16" t="s">
        <v>98</v>
      </c>
      <c r="J268" s="21">
        <v>5.1366</v>
      </c>
      <c r="K268" s="16">
        <v>2.03169225E8</v>
      </c>
      <c r="L268" s="19">
        <v>0.44</v>
      </c>
      <c r="M268" s="19">
        <v>27.0442</v>
      </c>
      <c r="N268" s="16" t="s">
        <v>410</v>
      </c>
      <c r="O268" s="19">
        <v>95.3578</v>
      </c>
      <c r="P268" s="20">
        <v>2.24115972E8</v>
      </c>
      <c r="Q268" s="21">
        <v>1.74</v>
      </c>
      <c r="R268" s="21">
        <v>0.6369</v>
      </c>
      <c r="S268" s="21">
        <v>0.7361</v>
      </c>
      <c r="T268" s="21">
        <v>0.2252</v>
      </c>
      <c r="U268" s="21">
        <v>1.032</v>
      </c>
      <c r="V268" s="16">
        <v>2.2714238E7</v>
      </c>
      <c r="W268" s="21">
        <v>561.0108</v>
      </c>
      <c r="X268" s="20">
        <v>4781670.0</v>
      </c>
      <c r="Y268" s="21">
        <v>1.1891</v>
      </c>
      <c r="Z268" s="21">
        <v>5.6343</v>
      </c>
      <c r="AA268" s="19">
        <v>55.7673</v>
      </c>
      <c r="AB268" s="21">
        <v>8.4207</v>
      </c>
      <c r="AC268" s="21">
        <v>-54.9523</v>
      </c>
      <c r="AD268" s="21">
        <v>-9.1852</v>
      </c>
      <c r="AE268" s="21">
        <v>35.0935</v>
      </c>
      <c r="AF268" s="21">
        <v>0.1344</v>
      </c>
      <c r="AG268" s="21">
        <v>2.8931</v>
      </c>
      <c r="AH268" s="16" t="b">
        <v>0</v>
      </c>
      <c r="AI268" s="16" t="b">
        <v>0</v>
      </c>
      <c r="AJ268" s="16" t="b">
        <v>0</v>
      </c>
      <c r="AK268" s="22">
        <f>IFERROR(__xludf.DUMMYFUNCTION("IFERROR(GOOGLEFINANCE(B268,""price""),"""")"),1.08)</f>
        <v>1.08</v>
      </c>
    </row>
    <row r="269">
      <c r="A269" s="7">
        <v>46079.62826875842</v>
      </c>
      <c r="B269" s="8" t="s">
        <v>739</v>
      </c>
      <c r="C269" s="8" t="s">
        <v>740</v>
      </c>
      <c r="D269" s="9">
        <v>46082.0</v>
      </c>
      <c r="E269" s="10">
        <v>0.5152</v>
      </c>
      <c r="F269" s="8" t="s">
        <v>190</v>
      </c>
      <c r="G269" s="23"/>
      <c r="H269" s="13">
        <v>-17.2421</v>
      </c>
      <c r="I269" s="8" t="s">
        <v>171</v>
      </c>
      <c r="J269" s="13">
        <v>1.6924</v>
      </c>
      <c r="K269" s="8">
        <v>1.17887122E8</v>
      </c>
      <c r="L269" s="11">
        <v>0.42</v>
      </c>
      <c r="M269" s="11">
        <v>14.5864</v>
      </c>
      <c r="N269" s="8" t="s">
        <v>741</v>
      </c>
      <c r="O269" s="11">
        <v>9.6637</v>
      </c>
      <c r="P269" s="12">
        <v>3.2690099E7</v>
      </c>
      <c r="Q269" s="13">
        <v>0.7599</v>
      </c>
      <c r="R269" s="13">
        <v>0.4826</v>
      </c>
      <c r="S269" s="13">
        <v>0.4826</v>
      </c>
      <c r="T269" s="13">
        <v>0.1098</v>
      </c>
      <c r="U269" s="13">
        <v>0.526</v>
      </c>
      <c r="V269" s="8">
        <v>3615239.0</v>
      </c>
      <c r="W269" s="13">
        <v>91.0903</v>
      </c>
      <c r="X269" s="12">
        <v>1572094.0</v>
      </c>
      <c r="Y269" s="13">
        <v>0.7259</v>
      </c>
      <c r="Z269" s="13">
        <v>2.4214</v>
      </c>
      <c r="AA269" s="11">
        <v>45.152</v>
      </c>
      <c r="AB269" s="13">
        <v>9.79</v>
      </c>
      <c r="AC269" s="23"/>
      <c r="AD269" s="13">
        <v>-1463.7528</v>
      </c>
      <c r="AE269" s="13">
        <v>-83.6337</v>
      </c>
      <c r="AF269" s="13">
        <v>0.9459</v>
      </c>
      <c r="AG269" s="13">
        <v>0.126</v>
      </c>
      <c r="AH269" s="8" t="b">
        <v>0</v>
      </c>
      <c r="AI269" s="8" t="b">
        <v>0</v>
      </c>
      <c r="AJ269" s="8" t="b">
        <v>0</v>
      </c>
      <c r="AK269" s="14">
        <f>IFERROR(__xludf.DUMMYFUNCTION("IFERROR(GOOGLEFINANCE(B269,""price""),"""")"),0.39)</f>
        <v>0.39</v>
      </c>
    </row>
    <row r="270">
      <c r="A270" s="15">
        <v>46079.62826875842</v>
      </c>
      <c r="B270" s="16" t="s">
        <v>742</v>
      </c>
      <c r="C270" s="16" t="s">
        <v>743</v>
      </c>
      <c r="D270" s="17">
        <v>46082.0</v>
      </c>
      <c r="E270" s="18">
        <v>1.375</v>
      </c>
      <c r="F270" s="16" t="s">
        <v>117</v>
      </c>
      <c r="G270" s="24"/>
      <c r="H270" s="21">
        <v>-1.5837</v>
      </c>
      <c r="I270" s="16" t="s">
        <v>515</v>
      </c>
      <c r="J270" s="21">
        <v>1.5616</v>
      </c>
      <c r="K270" s="16">
        <v>1.4867214E7</v>
      </c>
      <c r="L270" s="19">
        <v>0.92</v>
      </c>
      <c r="M270" s="19">
        <v>19.7111</v>
      </c>
      <c r="N270" s="16" t="s">
        <v>744</v>
      </c>
      <c r="O270" s="19">
        <v>22.7679</v>
      </c>
      <c r="P270" s="20">
        <v>3196451.0</v>
      </c>
      <c r="Q270" s="21">
        <v>1.4</v>
      </c>
      <c r="R270" s="21">
        <v>1.185</v>
      </c>
      <c r="S270" s="21">
        <v>1.23</v>
      </c>
      <c r="T270" s="21">
        <v>0.0767</v>
      </c>
      <c r="U270" s="21">
        <v>0.1676</v>
      </c>
      <c r="V270" s="21">
        <v>430360.5</v>
      </c>
      <c r="W270" s="21">
        <v>24.4178</v>
      </c>
      <c r="X270" s="20">
        <v>7.3165826E7</v>
      </c>
      <c r="Y270" s="21">
        <v>1.1497</v>
      </c>
      <c r="Z270" s="21">
        <v>1.2764</v>
      </c>
      <c r="AA270" s="19">
        <v>70.2389</v>
      </c>
      <c r="AB270" s="21">
        <v>1.84</v>
      </c>
      <c r="AC270" s="21">
        <v>-51.8678</v>
      </c>
      <c r="AD270" s="24"/>
      <c r="AE270" s="24"/>
      <c r="AF270" s="21">
        <v>0.0077</v>
      </c>
      <c r="AG270" s="21">
        <v>10.7647</v>
      </c>
      <c r="AH270" s="16" t="b">
        <v>0</v>
      </c>
      <c r="AI270" s="16" t="b">
        <v>0</v>
      </c>
      <c r="AJ270" s="16" t="b">
        <v>0</v>
      </c>
      <c r="AK270" s="22">
        <f>IFERROR(__xludf.DUMMYFUNCTION("IFERROR(GOOGLEFINANCE(B270,""price""),"""")"),1.32)</f>
        <v>1.32</v>
      </c>
    </row>
    <row r="271">
      <c r="A271" s="7">
        <v>46079.62826875842</v>
      </c>
      <c r="B271" s="8" t="s">
        <v>745</v>
      </c>
      <c r="C271" s="8" t="s">
        <v>746</v>
      </c>
      <c r="D271" s="9">
        <v>46082.0</v>
      </c>
      <c r="E271" s="10">
        <v>2.41</v>
      </c>
      <c r="F271" s="8" t="s">
        <v>112</v>
      </c>
      <c r="G271" s="23"/>
      <c r="H271" s="13">
        <v>-7446.6203</v>
      </c>
      <c r="I271" s="8" t="s">
        <v>113</v>
      </c>
      <c r="J271" s="13">
        <v>1.2786</v>
      </c>
      <c r="K271" s="8">
        <v>2957032.0</v>
      </c>
      <c r="L271" s="11">
        <v>0.03</v>
      </c>
      <c r="M271" s="11">
        <v>25.6204</v>
      </c>
      <c r="N271" s="8" t="s">
        <v>747</v>
      </c>
      <c r="O271" s="11">
        <v>-7.6628</v>
      </c>
      <c r="P271" s="12">
        <v>916680.0</v>
      </c>
      <c r="Q271" s="13">
        <v>2.62</v>
      </c>
      <c r="R271" s="13">
        <v>2.31</v>
      </c>
      <c r="S271" s="13">
        <v>2.37</v>
      </c>
      <c r="T271" s="13">
        <v>0.6184</v>
      </c>
      <c r="U271" s="13">
        <v>45.7329</v>
      </c>
      <c r="V271" s="13">
        <v>139834.3</v>
      </c>
      <c r="W271" s="13">
        <v>16.4462</v>
      </c>
      <c r="X271" s="12">
        <v>2402035.0</v>
      </c>
      <c r="Y271" s="13">
        <v>6.4855</v>
      </c>
      <c r="Z271" s="13">
        <v>1423.1503</v>
      </c>
      <c r="AA271" s="11">
        <v>26.9645</v>
      </c>
      <c r="AB271" s="13">
        <v>381.2</v>
      </c>
      <c r="AC271" s="23"/>
      <c r="AD271" s="13">
        <v>-884.7078</v>
      </c>
      <c r="AE271" s="13">
        <v>-66.1478</v>
      </c>
      <c r="AF271" s="13">
        <v>4.1057</v>
      </c>
      <c r="AG271" s="13">
        <v>1.114</v>
      </c>
      <c r="AH271" s="8" t="b">
        <v>0</v>
      </c>
      <c r="AI271" s="8" t="b">
        <v>0</v>
      </c>
      <c r="AJ271" s="8" t="b">
        <v>0</v>
      </c>
      <c r="AK271" s="14">
        <f>IFERROR(__xludf.DUMMYFUNCTION("IFERROR(GOOGLEFINANCE(B271,""price""),"""")"),2.09)</f>
        <v>2.09</v>
      </c>
    </row>
    <row r="272">
      <c r="A272" s="15">
        <v>46079.62826875842</v>
      </c>
      <c r="B272" s="16" t="s">
        <v>748</v>
      </c>
      <c r="C272" s="16" t="s">
        <v>749</v>
      </c>
      <c r="D272" s="17">
        <v>46082.0</v>
      </c>
      <c r="E272" s="18">
        <v>2.8</v>
      </c>
      <c r="F272" s="16" t="s">
        <v>137</v>
      </c>
      <c r="G272" s="24"/>
      <c r="H272" s="21">
        <v>-21.3921</v>
      </c>
      <c r="I272" s="16" t="s">
        <v>175</v>
      </c>
      <c r="J272" s="21">
        <v>0.522</v>
      </c>
      <c r="K272" s="16">
        <v>4702375.0</v>
      </c>
      <c r="L272" s="19">
        <v>0.49</v>
      </c>
      <c r="M272" s="19">
        <v>25.3579</v>
      </c>
      <c r="N272" s="16" t="s">
        <v>750</v>
      </c>
      <c r="O272" s="19">
        <v>-2.439</v>
      </c>
      <c r="P272" s="20">
        <v>1692855.0</v>
      </c>
      <c r="Q272" s="21">
        <v>2.91</v>
      </c>
      <c r="R272" s="21">
        <v>2.55</v>
      </c>
      <c r="S272" s="21">
        <v>2.85</v>
      </c>
      <c r="T272" s="21">
        <v>0.1609</v>
      </c>
      <c r="U272" s="21">
        <v>0.66</v>
      </c>
      <c r="V272" s="21">
        <v>398051.8</v>
      </c>
      <c r="W272" s="21">
        <v>6.7112</v>
      </c>
      <c r="X272" s="20">
        <v>8.404458E7</v>
      </c>
      <c r="Y272" s="21">
        <v>3.0863</v>
      </c>
      <c r="Z272" s="21">
        <v>5.7271</v>
      </c>
      <c r="AA272" s="19">
        <v>40.7913</v>
      </c>
      <c r="AB272" s="21">
        <v>21.4</v>
      </c>
      <c r="AC272" s="21">
        <v>-1.6641</v>
      </c>
      <c r="AD272" s="21">
        <v>-32.1021</v>
      </c>
      <c r="AE272" s="24"/>
      <c r="AF272" s="21">
        <v>9.0E-4</v>
      </c>
      <c r="AG272" s="21">
        <v>9.0589</v>
      </c>
      <c r="AH272" s="16" t="b">
        <v>1</v>
      </c>
      <c r="AI272" s="16" t="b">
        <v>0</v>
      </c>
      <c r="AJ272" s="16" t="b">
        <v>0</v>
      </c>
      <c r="AK272" s="22">
        <f>IFERROR(__xludf.DUMMYFUNCTION("IFERROR(GOOGLEFINANCE(B272,""price""),"""")"),2.9)</f>
        <v>2.9</v>
      </c>
    </row>
    <row r="273">
      <c r="A273" s="7">
        <v>46079.62826875842</v>
      </c>
      <c r="B273" s="8" t="s">
        <v>751</v>
      </c>
      <c r="C273" s="8" t="s">
        <v>752</v>
      </c>
      <c r="D273" s="9">
        <v>46082.0</v>
      </c>
      <c r="E273" s="10">
        <v>2.67</v>
      </c>
      <c r="F273" s="8" t="s">
        <v>117</v>
      </c>
      <c r="G273" s="13">
        <v>28.3867</v>
      </c>
      <c r="H273" s="13">
        <v>0.0941</v>
      </c>
      <c r="I273" s="8" t="s">
        <v>226</v>
      </c>
      <c r="J273" s="13">
        <v>0.3926</v>
      </c>
      <c r="K273" s="8">
        <v>1.4291453E7</v>
      </c>
      <c r="L273" s="11">
        <v>0.82</v>
      </c>
      <c r="M273" s="11">
        <v>16.8189</v>
      </c>
      <c r="N273" s="8" t="s">
        <v>753</v>
      </c>
      <c r="O273" s="11">
        <v>-3.6101</v>
      </c>
      <c r="P273" s="12">
        <v>2429547.0</v>
      </c>
      <c r="Q273" s="13">
        <v>2.71</v>
      </c>
      <c r="R273" s="13">
        <v>2.54</v>
      </c>
      <c r="S273" s="13">
        <v>2.67</v>
      </c>
      <c r="T273" s="13">
        <v>0.102</v>
      </c>
      <c r="U273" s="13">
        <v>0.2479</v>
      </c>
      <c r="V273" s="8">
        <v>1134228.0</v>
      </c>
      <c r="W273" s="13">
        <v>2.4998</v>
      </c>
      <c r="X273" s="12">
        <v>1.022325045E9</v>
      </c>
      <c r="Y273" s="13">
        <v>2.6894</v>
      </c>
      <c r="Z273" s="13">
        <v>2.4654</v>
      </c>
      <c r="AA273" s="11">
        <v>51.0754</v>
      </c>
      <c r="AB273" s="13">
        <v>3.43</v>
      </c>
      <c r="AC273" s="13">
        <v>3.4168</v>
      </c>
      <c r="AD273" s="13">
        <v>-18.4668</v>
      </c>
      <c r="AE273" s="13">
        <v>18.7454</v>
      </c>
      <c r="AF273" s="13">
        <v>0.0016</v>
      </c>
      <c r="AG273" s="13">
        <v>22.4548</v>
      </c>
      <c r="AH273" s="8" t="b">
        <v>1</v>
      </c>
      <c r="AI273" s="8" t="b">
        <v>1</v>
      </c>
      <c r="AJ273" s="8" t="b">
        <v>0</v>
      </c>
      <c r="AK273" s="14">
        <f>IFERROR(__xludf.DUMMYFUNCTION("IFERROR(GOOGLEFINANCE(B273,""price""),"""")"),2.58)</f>
        <v>2.58</v>
      </c>
    </row>
    <row r="274">
      <c r="A274" s="15">
        <v>46079.62826875842</v>
      </c>
      <c r="B274" s="16" t="s">
        <v>754</v>
      </c>
      <c r="C274" s="16" t="s">
        <v>755</v>
      </c>
      <c r="D274" s="17">
        <v>46082.0</v>
      </c>
      <c r="E274" s="18">
        <v>0.9351</v>
      </c>
      <c r="F274" s="16" t="s">
        <v>102</v>
      </c>
      <c r="G274" s="24"/>
      <c r="H274" s="21">
        <v>-0.4657</v>
      </c>
      <c r="I274" s="16" t="s">
        <v>175</v>
      </c>
      <c r="J274" s="21">
        <v>0.2415</v>
      </c>
      <c r="K274" s="16">
        <v>5.4207732E7</v>
      </c>
      <c r="L274" s="19">
        <v>0.73</v>
      </c>
      <c r="M274" s="19">
        <v>10.6734</v>
      </c>
      <c r="N274" s="16" t="s">
        <v>756</v>
      </c>
      <c r="O274" s="19">
        <v>-9.2136</v>
      </c>
      <c r="P274" s="20">
        <v>4564291.0</v>
      </c>
      <c r="Q274" s="21">
        <v>0.9642</v>
      </c>
      <c r="R274" s="21">
        <v>0.88</v>
      </c>
      <c r="S274" s="21">
        <v>0.9552</v>
      </c>
      <c r="T274" s="21">
        <v>0.1162</v>
      </c>
      <c r="U274" s="21">
        <v>0.3188</v>
      </c>
      <c r="V274" s="16">
        <v>2413941.0</v>
      </c>
      <c r="W274" s="21">
        <v>2.1741</v>
      </c>
      <c r="X274" s="20">
        <v>1.01794513E8</v>
      </c>
      <c r="Y274" s="21">
        <v>1.2006</v>
      </c>
      <c r="Z274" s="21">
        <v>1.4769</v>
      </c>
      <c r="AA274" s="19">
        <v>36.4402</v>
      </c>
      <c r="AB274" s="21">
        <v>2.88</v>
      </c>
      <c r="AC274" s="21">
        <v>-142.3613</v>
      </c>
      <c r="AD274" s="21">
        <v>-7374.3628</v>
      </c>
      <c r="AE274" s="21">
        <v>-34.3504</v>
      </c>
      <c r="AF274" s="21">
        <v>0.2327</v>
      </c>
      <c r="AG274" s="21">
        <v>4.1806</v>
      </c>
      <c r="AH274" s="16" t="b">
        <v>1</v>
      </c>
      <c r="AI274" s="16" t="b">
        <v>0</v>
      </c>
      <c r="AJ274" s="16" t="b">
        <v>0</v>
      </c>
      <c r="AK274" s="22">
        <f>IFERROR(__xludf.DUMMYFUNCTION("IFERROR(GOOGLEFINANCE(B274,""price""),"""")"),0.65)</f>
        <v>0.65</v>
      </c>
    </row>
    <row r="275">
      <c r="A275" s="7">
        <v>46079.62826875842</v>
      </c>
      <c r="B275" s="8" t="s">
        <v>444</v>
      </c>
      <c r="C275" s="8" t="s">
        <v>445</v>
      </c>
      <c r="D275" s="9">
        <v>46082.0</v>
      </c>
      <c r="E275" s="10">
        <v>3.03</v>
      </c>
      <c r="F275" s="8" t="s">
        <v>335</v>
      </c>
      <c r="G275" s="23"/>
      <c r="H275" s="13">
        <v>-2.3972</v>
      </c>
      <c r="I275" s="8" t="s">
        <v>138</v>
      </c>
      <c r="J275" s="13">
        <v>0.2312</v>
      </c>
      <c r="K275" s="8">
        <v>4803351.0</v>
      </c>
      <c r="L275" s="11">
        <v>0.97</v>
      </c>
      <c r="M275" s="11">
        <v>29.0361</v>
      </c>
      <c r="N275" s="8" t="s">
        <v>446</v>
      </c>
      <c r="O275" s="11">
        <v>-1.9417</v>
      </c>
      <c r="P275" s="12">
        <v>1681173.0</v>
      </c>
      <c r="Q275" s="13">
        <v>3.34</v>
      </c>
      <c r="R275" s="13">
        <v>2.99</v>
      </c>
      <c r="S275" s="13">
        <v>3.04</v>
      </c>
      <c r="T275" s="13">
        <v>0.2392</v>
      </c>
      <c r="U275" s="13">
        <v>0.4957</v>
      </c>
      <c r="V275" s="13">
        <v>755415.4</v>
      </c>
      <c r="W275" s="13">
        <v>2.6708</v>
      </c>
      <c r="X275" s="12">
        <v>1.61702273E8</v>
      </c>
      <c r="Y275" s="13">
        <v>2.4179</v>
      </c>
      <c r="Z275" s="13">
        <v>2.3975</v>
      </c>
      <c r="AA275" s="11">
        <v>61.4237</v>
      </c>
      <c r="AB275" s="13">
        <v>3.8799</v>
      </c>
      <c r="AC275" s="13">
        <v>-51.11</v>
      </c>
      <c r="AD275" s="23"/>
      <c r="AE275" s="23"/>
      <c r="AF275" s="13">
        <v>0.0045</v>
      </c>
      <c r="AG275" s="13">
        <v>5.8735</v>
      </c>
      <c r="AH275" s="8" t="b">
        <v>0</v>
      </c>
      <c r="AI275" s="8" t="b">
        <v>1</v>
      </c>
      <c r="AJ275" s="8" t="b">
        <v>0</v>
      </c>
      <c r="AK275" s="14">
        <f>IFERROR(__xludf.DUMMYFUNCTION("IFERROR(GOOGLEFINANCE(B275,""price""),"""")"),3.07)</f>
        <v>3.07</v>
      </c>
    </row>
    <row r="276">
      <c r="A276" s="15">
        <v>46079.62826875842</v>
      </c>
      <c r="B276" s="16" t="s">
        <v>757</v>
      </c>
      <c r="C276" s="16" t="s">
        <v>758</v>
      </c>
      <c r="D276" s="17">
        <v>46082.0</v>
      </c>
      <c r="E276" s="18">
        <v>0.7267</v>
      </c>
      <c r="F276" s="16" t="s">
        <v>190</v>
      </c>
      <c r="G276" s="24"/>
      <c r="H276" s="21">
        <v>-0.5213</v>
      </c>
      <c r="I276" s="16" t="s">
        <v>226</v>
      </c>
      <c r="J276" s="21">
        <v>0.1093</v>
      </c>
      <c r="K276" s="16">
        <v>7925620.0</v>
      </c>
      <c r="L276" s="19">
        <v>0.82</v>
      </c>
      <c r="M276" s="19">
        <v>13.4623</v>
      </c>
      <c r="N276" s="16" t="s">
        <v>759</v>
      </c>
      <c r="O276" s="19">
        <v>0.9446</v>
      </c>
      <c r="P276" s="20">
        <v>825057.0</v>
      </c>
      <c r="Q276" s="21">
        <v>0.76</v>
      </c>
      <c r="R276" s="21">
        <v>0.6559</v>
      </c>
      <c r="S276" s="21">
        <v>0.72</v>
      </c>
      <c r="T276" s="21">
        <v>0.0647</v>
      </c>
      <c r="U276" s="21">
        <v>0.1585</v>
      </c>
      <c r="V276" s="21">
        <v>529423.0</v>
      </c>
      <c r="W276" s="21">
        <v>1.5661</v>
      </c>
      <c r="X276" s="20">
        <v>7.1080983E7</v>
      </c>
      <c r="Y276" s="21">
        <v>0.831</v>
      </c>
      <c r="Z276" s="21">
        <v>1.4099</v>
      </c>
      <c r="AA276" s="19">
        <v>41.9701</v>
      </c>
      <c r="AB276" s="21">
        <v>3.18</v>
      </c>
      <c r="AC276" s="21">
        <v>-17.3201</v>
      </c>
      <c r="AD276" s="21">
        <v>-17.4381</v>
      </c>
      <c r="AE276" s="21">
        <v>-47.0345</v>
      </c>
      <c r="AF276" s="21">
        <v>0.1089</v>
      </c>
      <c r="AG276" s="21">
        <v>2.5851</v>
      </c>
      <c r="AH276" s="16" t="b">
        <v>1</v>
      </c>
      <c r="AI276" s="16" t="b">
        <v>1</v>
      </c>
      <c r="AJ276" s="16" t="b">
        <v>0</v>
      </c>
      <c r="AK276" s="22">
        <f>IFERROR(__xludf.DUMMYFUNCTION("IFERROR(GOOGLEFINANCE(B276,""price""),"""")"),0.52)</f>
        <v>0.52</v>
      </c>
    </row>
    <row r="277">
      <c r="A277" s="7">
        <v>46080.6273987328</v>
      </c>
      <c r="B277" s="8" t="s">
        <v>760</v>
      </c>
      <c r="C277" s="8" t="s">
        <v>761</v>
      </c>
      <c r="D277" s="9">
        <v>46082.0</v>
      </c>
      <c r="E277" s="10">
        <v>0.548</v>
      </c>
      <c r="F277" s="8" t="s">
        <v>88</v>
      </c>
      <c r="G277" s="23"/>
      <c r="H277" s="13">
        <v>-0.0689</v>
      </c>
      <c r="I277" s="8" t="s">
        <v>762</v>
      </c>
      <c r="J277" s="13">
        <v>8.4942</v>
      </c>
      <c r="K277" s="8">
        <v>5.40785517E8</v>
      </c>
      <c r="L277" s="11">
        <v>0.65</v>
      </c>
      <c r="M277" s="11">
        <v>18.9434</v>
      </c>
      <c r="N277" s="8" t="s">
        <v>763</v>
      </c>
      <c r="O277" s="11">
        <v>26.7932</v>
      </c>
      <c r="P277" s="12">
        <v>7.0085803E7</v>
      </c>
      <c r="Q277" s="13">
        <v>0.632</v>
      </c>
      <c r="R277" s="13">
        <v>0.5024</v>
      </c>
      <c r="S277" s="13">
        <v>0.5391</v>
      </c>
      <c r="T277" s="13">
        <v>0.065</v>
      </c>
      <c r="U277" s="13">
        <v>0.1984</v>
      </c>
      <c r="V277" s="8">
        <v>7349329.0</v>
      </c>
      <c r="W277" s="13">
        <v>200.8837</v>
      </c>
      <c r="X277" s="12">
        <v>2.7623347E7</v>
      </c>
      <c r="Y277" s="13">
        <v>0.5628</v>
      </c>
      <c r="Z277" s="13">
        <v>1.2046</v>
      </c>
      <c r="AA277" s="11">
        <v>56.1336</v>
      </c>
      <c r="AB277" s="13">
        <v>2.6</v>
      </c>
      <c r="AC277" s="23"/>
      <c r="AD277" s="13">
        <v>-11105.2566</v>
      </c>
      <c r="AE277" s="13">
        <v>424.0633</v>
      </c>
      <c r="AF277" s="23"/>
      <c r="AG277" s="13">
        <v>0.5749</v>
      </c>
      <c r="AH277" s="8" t="b">
        <v>0</v>
      </c>
      <c r="AI277" s="8" t="b">
        <v>1</v>
      </c>
      <c r="AJ277" s="8" t="b">
        <v>0</v>
      </c>
      <c r="AK277" s="14">
        <f>IFERROR(__xludf.DUMMYFUNCTION("IFERROR(GOOGLEFINANCE(B277,""price""),"""")"),0.58)</f>
        <v>0.58</v>
      </c>
    </row>
    <row r="278">
      <c r="A278" s="15">
        <v>46080.6273987328</v>
      </c>
      <c r="B278" s="16" t="s">
        <v>764</v>
      </c>
      <c r="C278" s="16" t="s">
        <v>765</v>
      </c>
      <c r="D278" s="17">
        <v>46082.0</v>
      </c>
      <c r="E278" s="18">
        <v>1.6599</v>
      </c>
      <c r="F278" s="16" t="s">
        <v>102</v>
      </c>
      <c r="G278" s="24"/>
      <c r="H278" s="21">
        <v>-0.2753</v>
      </c>
      <c r="I278" s="16" t="s">
        <v>175</v>
      </c>
      <c r="J278" s="21">
        <v>0.6143</v>
      </c>
      <c r="K278" s="16">
        <v>1.83695354E8</v>
      </c>
      <c r="L278" s="19">
        <v>0.76</v>
      </c>
      <c r="M278" s="19">
        <v>19.9042</v>
      </c>
      <c r="N278" s="16" t="s">
        <v>766</v>
      </c>
      <c r="O278" s="19">
        <v>-3.4942</v>
      </c>
      <c r="P278" s="20">
        <v>1.1940198E7</v>
      </c>
      <c r="Q278" s="21">
        <v>1.665</v>
      </c>
      <c r="R278" s="21">
        <v>1.6</v>
      </c>
      <c r="S278" s="21">
        <v>1.65</v>
      </c>
      <c r="T278" s="21">
        <v>0.1469</v>
      </c>
      <c r="U278" s="21">
        <v>0.3874</v>
      </c>
      <c r="V278" s="16">
        <v>5492114.0</v>
      </c>
      <c r="W278" s="21">
        <v>2.4057</v>
      </c>
      <c r="X278" s="20">
        <v>6.05982594E8</v>
      </c>
      <c r="Y278" s="21">
        <v>1.9758</v>
      </c>
      <c r="Z278" s="21">
        <v>1.7159</v>
      </c>
      <c r="AA278" s="19">
        <v>41.943</v>
      </c>
      <c r="AB278" s="21">
        <v>3.73</v>
      </c>
      <c r="AC278" s="21">
        <v>-33.6932</v>
      </c>
      <c r="AD278" s="21">
        <v>-509.0486</v>
      </c>
      <c r="AE278" s="24"/>
      <c r="AF278" s="21">
        <v>0.0455</v>
      </c>
      <c r="AG278" s="21">
        <v>8.2255</v>
      </c>
      <c r="AH278" s="16" t="b">
        <v>1</v>
      </c>
      <c r="AI278" s="16" t="b">
        <v>0</v>
      </c>
      <c r="AJ278" s="16" t="b">
        <v>0</v>
      </c>
      <c r="AK278" s="22">
        <f>IFERROR(__xludf.DUMMYFUNCTION("IFERROR(GOOGLEFINANCE(B278,""price""),"""")"),1.0)</f>
        <v>1</v>
      </c>
    </row>
    <row r="279">
      <c r="A279" s="7">
        <v>46080.6273987328</v>
      </c>
      <c r="B279" s="8" t="s">
        <v>767</v>
      </c>
      <c r="C279" s="8" t="s">
        <v>768</v>
      </c>
      <c r="D279" s="9">
        <v>46082.0</v>
      </c>
      <c r="E279" s="10">
        <v>0.945</v>
      </c>
      <c r="F279" s="8" t="s">
        <v>88</v>
      </c>
      <c r="G279" s="23"/>
      <c r="H279" s="13">
        <v>-0.3428</v>
      </c>
      <c r="I279" s="8" t="s">
        <v>118</v>
      </c>
      <c r="J279" s="13">
        <v>0.5873</v>
      </c>
      <c r="K279" s="8">
        <v>3.4536938E7</v>
      </c>
      <c r="L279" s="11">
        <v>0.73</v>
      </c>
      <c r="M279" s="11">
        <v>9.692</v>
      </c>
      <c r="N279" s="8" t="s">
        <v>769</v>
      </c>
      <c r="O279" s="11">
        <v>1.799</v>
      </c>
      <c r="P279" s="12">
        <v>2414132.0</v>
      </c>
      <c r="Q279" s="13">
        <v>1.0</v>
      </c>
      <c r="R279" s="13">
        <v>0.9301</v>
      </c>
      <c r="S279" s="13">
        <v>0.95</v>
      </c>
      <c r="T279" s="13">
        <v>0.061</v>
      </c>
      <c r="U279" s="13">
        <v>0.1669</v>
      </c>
      <c r="V279" s="13">
        <v>712163.2</v>
      </c>
      <c r="W279" s="13">
        <v>4.3443</v>
      </c>
      <c r="X279" s="12">
        <v>1.77030284E8</v>
      </c>
      <c r="Y279" s="13">
        <v>1.0397</v>
      </c>
      <c r="Z279" s="13">
        <v>1.2338</v>
      </c>
      <c r="AA279" s="11">
        <v>44.0243</v>
      </c>
      <c r="AB279" s="13">
        <v>1.9</v>
      </c>
      <c r="AC279" s="13">
        <v>-120.787</v>
      </c>
      <c r="AD279" s="13">
        <v>-36.1264</v>
      </c>
      <c r="AE279" s="13">
        <v>-9.8609</v>
      </c>
      <c r="AF279" s="13">
        <v>0.0</v>
      </c>
      <c r="AG279" s="13">
        <v>1.4344</v>
      </c>
      <c r="AH279" s="8" t="b">
        <v>0</v>
      </c>
      <c r="AI279" s="8" t="b">
        <v>1</v>
      </c>
      <c r="AJ279" s="8" t="b">
        <v>0</v>
      </c>
      <c r="AK279" s="14">
        <f>IFERROR(__xludf.DUMMYFUNCTION("IFERROR(GOOGLEFINANCE(B279,""price""),"""")"),0.87)</f>
        <v>0.87</v>
      </c>
    </row>
    <row r="280">
      <c r="A280" s="15">
        <v>46080.6273987328</v>
      </c>
      <c r="B280" s="16" t="s">
        <v>770</v>
      </c>
      <c r="C280" s="16" t="s">
        <v>771</v>
      </c>
      <c r="D280" s="17">
        <v>46082.0</v>
      </c>
      <c r="E280" s="18">
        <v>0.7624</v>
      </c>
      <c r="F280" s="16" t="s">
        <v>88</v>
      </c>
      <c r="G280" s="21">
        <v>41.2109</v>
      </c>
      <c r="H280" s="21">
        <v>0.0185</v>
      </c>
      <c r="I280" s="16" t="s">
        <v>118</v>
      </c>
      <c r="J280" s="21">
        <v>0.4064</v>
      </c>
      <c r="K280" s="16">
        <v>9775183.0</v>
      </c>
      <c r="L280" s="19">
        <v>0.54</v>
      </c>
      <c r="M280" s="19">
        <v>20.0683</v>
      </c>
      <c r="N280" s="16" t="s">
        <v>772</v>
      </c>
      <c r="O280" s="19">
        <v>-1.3073</v>
      </c>
      <c r="P280" s="20">
        <v>426198.0</v>
      </c>
      <c r="Q280" s="21">
        <v>0.7992</v>
      </c>
      <c r="R280" s="21">
        <v>0.7556</v>
      </c>
      <c r="S280" s="21">
        <v>0.76</v>
      </c>
      <c r="T280" s="21">
        <v>0.0498</v>
      </c>
      <c r="U280" s="21">
        <v>0.1835</v>
      </c>
      <c r="V280" s="21">
        <v>208202.8</v>
      </c>
      <c r="W280" s="21">
        <v>2.3239</v>
      </c>
      <c r="X280" s="20">
        <v>2.8367319E7</v>
      </c>
      <c r="Y280" s="21">
        <v>0.8891</v>
      </c>
      <c r="Z280" s="21">
        <v>1.4412</v>
      </c>
      <c r="AA280" s="19">
        <v>32.1791</v>
      </c>
      <c r="AB280" s="21">
        <v>2.68</v>
      </c>
      <c r="AC280" s="21">
        <v>-45.8799</v>
      </c>
      <c r="AD280" s="21">
        <v>-15.5468</v>
      </c>
      <c r="AE280" s="21">
        <v>-25.4439</v>
      </c>
      <c r="AF280" s="21">
        <v>1.0882</v>
      </c>
      <c r="AG280" s="21">
        <v>0.8901</v>
      </c>
      <c r="AH280" s="16" t="b">
        <v>0</v>
      </c>
      <c r="AI280" s="16" t="b">
        <v>1</v>
      </c>
      <c r="AJ280" s="16" t="b">
        <v>0</v>
      </c>
      <c r="AK280" s="22">
        <f>IFERROR(__xludf.DUMMYFUNCTION("IFERROR(GOOGLEFINANCE(B280,""price""),"""")"),0.61)</f>
        <v>0.61</v>
      </c>
    </row>
    <row r="281">
      <c r="A281" s="7">
        <v>46080.6273987328</v>
      </c>
      <c r="B281" s="8" t="s">
        <v>773</v>
      </c>
      <c r="C281" s="8" t="s">
        <v>774</v>
      </c>
      <c r="D281" s="9">
        <v>46082.0</v>
      </c>
      <c r="E281" s="10">
        <v>0.8532</v>
      </c>
      <c r="F281" s="8" t="s">
        <v>117</v>
      </c>
      <c r="G281" s="23"/>
      <c r="H281" s="13">
        <v>-33.9843</v>
      </c>
      <c r="I281" s="8" t="s">
        <v>118</v>
      </c>
      <c r="J281" s="13">
        <v>0.1717</v>
      </c>
      <c r="K281" s="8">
        <v>7781499.0</v>
      </c>
      <c r="L281" s="11">
        <v>0.27</v>
      </c>
      <c r="M281" s="11">
        <v>23.9889</v>
      </c>
      <c r="N281" s="8" t="s">
        <v>775</v>
      </c>
      <c r="O281" s="11">
        <v>-0.0586</v>
      </c>
      <c r="P281" s="12">
        <v>872306.0</v>
      </c>
      <c r="Q281" s="13">
        <v>0.9221</v>
      </c>
      <c r="R281" s="13">
        <v>0.81</v>
      </c>
      <c r="S281" s="13">
        <v>0.858</v>
      </c>
      <c r="T281" s="13">
        <v>0.1024</v>
      </c>
      <c r="U281" s="13">
        <v>0.745</v>
      </c>
      <c r="V281" s="13">
        <v>438604.1</v>
      </c>
      <c r="W281" s="13">
        <v>2.2559</v>
      </c>
      <c r="X281" s="12">
        <v>3187424.0</v>
      </c>
      <c r="Y281" s="13">
        <v>0.8464</v>
      </c>
      <c r="Z281" s="13">
        <v>28.5207</v>
      </c>
      <c r="AA281" s="11">
        <v>58.012</v>
      </c>
      <c r="AB281" s="13">
        <v>15.75</v>
      </c>
      <c r="AC281" s="13">
        <v>-370.9538</v>
      </c>
      <c r="AD281" s="13">
        <v>-278.5151</v>
      </c>
      <c r="AE281" s="13">
        <v>12.4523</v>
      </c>
      <c r="AF281" s="13">
        <v>5.6691</v>
      </c>
      <c r="AG281" s="13">
        <v>0.814</v>
      </c>
      <c r="AH281" s="8" t="b">
        <v>0</v>
      </c>
      <c r="AI281" s="8" t="b">
        <v>1</v>
      </c>
      <c r="AJ281" s="8" t="b">
        <v>0</v>
      </c>
      <c r="AK281" s="14">
        <f>IFERROR(__xludf.DUMMYFUNCTION("IFERROR(GOOGLEFINANCE(B281,""price""),"""")"),0.37)</f>
        <v>0.37</v>
      </c>
    </row>
    <row r="282">
      <c r="A282" s="15">
        <v>46080.6273987328</v>
      </c>
      <c r="B282" s="16" t="s">
        <v>776</v>
      </c>
      <c r="C282" s="16" t="s">
        <v>777</v>
      </c>
      <c r="D282" s="17">
        <v>46082.0</v>
      </c>
      <c r="E282" s="18">
        <v>2.075</v>
      </c>
      <c r="F282" s="16" t="s">
        <v>93</v>
      </c>
      <c r="G282" s="24"/>
      <c r="H282" s="21">
        <v>-0.1158</v>
      </c>
      <c r="I282" s="16" t="s">
        <v>118</v>
      </c>
      <c r="J282" s="21">
        <v>0.1362</v>
      </c>
      <c r="K282" s="16">
        <v>3.2696987E7</v>
      </c>
      <c r="L282" s="19">
        <v>0.64</v>
      </c>
      <c r="M282" s="19">
        <v>19.5834</v>
      </c>
      <c r="N282" s="16" t="s">
        <v>778</v>
      </c>
      <c r="O282" s="19">
        <v>-3.4884</v>
      </c>
      <c r="P282" s="20">
        <v>7847277.0</v>
      </c>
      <c r="Q282" s="21">
        <v>2.25</v>
      </c>
      <c r="R282" s="21">
        <v>2.01</v>
      </c>
      <c r="S282" s="21">
        <v>2.06</v>
      </c>
      <c r="T282" s="21">
        <v>0.109</v>
      </c>
      <c r="U282" s="21">
        <v>0.3416</v>
      </c>
      <c r="V282" s="16">
        <v>5205476.0</v>
      </c>
      <c r="W282" s="21">
        <v>1.5751</v>
      </c>
      <c r="X282" s="20">
        <v>1.072110848E9</v>
      </c>
      <c r="Y282" s="21">
        <v>2.3553</v>
      </c>
      <c r="Z282" s="21">
        <v>2.6915</v>
      </c>
      <c r="AA282" s="19">
        <v>42.9335</v>
      </c>
      <c r="AB282" s="21">
        <v>4.04</v>
      </c>
      <c r="AC282" s="21">
        <v>-16.8966</v>
      </c>
      <c r="AD282" s="21">
        <v>-3.254</v>
      </c>
      <c r="AE282" s="21">
        <v>15.2287</v>
      </c>
      <c r="AF282" s="21">
        <v>0.0</v>
      </c>
      <c r="AG282" s="21">
        <v>1.7106</v>
      </c>
      <c r="AH282" s="16" t="b">
        <v>0</v>
      </c>
      <c r="AI282" s="16" t="b">
        <v>1</v>
      </c>
      <c r="AJ282" s="16" t="b">
        <v>0</v>
      </c>
      <c r="AK282" s="22">
        <f>IFERROR(__xludf.DUMMYFUNCTION("IFERROR(GOOGLEFINANCE(B282,""price""),"""")"),1.93)</f>
        <v>1.93</v>
      </c>
    </row>
    <row r="283">
      <c r="A283" s="7">
        <v>46083.62883937461</v>
      </c>
      <c r="B283" s="8" t="s">
        <v>779</v>
      </c>
      <c r="C283" s="8" t="s">
        <v>780</v>
      </c>
      <c r="D283" s="9">
        <v>46089.0</v>
      </c>
      <c r="E283" s="10">
        <v>1.0899</v>
      </c>
      <c r="F283" s="8" t="s">
        <v>270</v>
      </c>
      <c r="G283" s="23"/>
      <c r="H283" s="23"/>
      <c r="I283" s="8" t="s">
        <v>781</v>
      </c>
      <c r="J283" s="13">
        <v>77.6187</v>
      </c>
      <c r="K283" s="8">
        <v>2.51299673E8</v>
      </c>
      <c r="L283" s="11">
        <v>0.75</v>
      </c>
      <c r="M283" s="11">
        <v>25.7669</v>
      </c>
      <c r="N283" s="8" t="s">
        <v>782</v>
      </c>
      <c r="O283" s="11">
        <v>156.4471</v>
      </c>
      <c r="P283" s="12">
        <v>1.73145475E8</v>
      </c>
      <c r="Q283" s="13">
        <v>1.15</v>
      </c>
      <c r="R283" s="13">
        <v>0.461</v>
      </c>
      <c r="S283" s="13">
        <v>0.5039</v>
      </c>
      <c r="T283" s="13">
        <v>0.0903</v>
      </c>
      <c r="U283" s="13">
        <v>0.2395</v>
      </c>
      <c r="V283" s="8">
        <v>1.7349147E7</v>
      </c>
      <c r="W283" s="13">
        <v>4906.8058</v>
      </c>
      <c r="X283" s="12">
        <v>4254398.0</v>
      </c>
      <c r="Y283" s="13">
        <v>0.3899</v>
      </c>
      <c r="Z283" s="13">
        <v>1.1539</v>
      </c>
      <c r="AA283" s="11">
        <v>89.5476</v>
      </c>
      <c r="AB283" s="13">
        <v>4.39</v>
      </c>
      <c r="AC283" s="23"/>
      <c r="AD283" s="23"/>
      <c r="AE283" s="23"/>
      <c r="AF283" s="23"/>
      <c r="AG283" s="23"/>
      <c r="AH283" s="8" t="b">
        <v>0</v>
      </c>
      <c r="AI283" s="8" t="b">
        <v>0</v>
      </c>
      <c r="AJ283" s="8" t="b">
        <v>0</v>
      </c>
      <c r="AK283" s="14">
        <f>IFERROR(__xludf.DUMMYFUNCTION("IFERROR(GOOGLEFINANCE(B283,""price""),"""")"),1.11)</f>
        <v>1.11</v>
      </c>
    </row>
    <row r="284">
      <c r="A284" s="15">
        <v>46083.62883937461</v>
      </c>
      <c r="B284" s="16" t="s">
        <v>783</v>
      </c>
      <c r="C284" s="16" t="s">
        <v>784</v>
      </c>
      <c r="D284" s="17">
        <v>46089.0</v>
      </c>
      <c r="E284" s="18">
        <v>0.5126</v>
      </c>
      <c r="F284" s="16" t="s">
        <v>245</v>
      </c>
      <c r="G284" s="24"/>
      <c r="H284" s="21">
        <v>-0.0606</v>
      </c>
      <c r="I284" s="16" t="s">
        <v>785</v>
      </c>
      <c r="J284" s="21">
        <v>3.3861</v>
      </c>
      <c r="K284" s="16">
        <v>7.78721382E8</v>
      </c>
      <c r="L284" s="19">
        <v>0.85</v>
      </c>
      <c r="M284" s="19">
        <v>21.5791</v>
      </c>
      <c r="N284" s="16" t="s">
        <v>786</v>
      </c>
      <c r="O284" s="19">
        <v>18.6574</v>
      </c>
      <c r="P284" s="20">
        <v>9.3672395E7</v>
      </c>
      <c r="Q284" s="21">
        <v>0.5855</v>
      </c>
      <c r="R284" s="21">
        <v>0.4652</v>
      </c>
      <c r="S284" s="21">
        <v>0.57</v>
      </c>
      <c r="T284" s="21">
        <v>0.0406</v>
      </c>
      <c r="U284" s="21">
        <v>0.096</v>
      </c>
      <c r="V284" s="16">
        <v>1.0507624E7</v>
      </c>
      <c r="W284" s="21">
        <v>79.4613</v>
      </c>
      <c r="X284" s="20">
        <v>2.5613775E7</v>
      </c>
      <c r="Y284" s="21">
        <v>0.3969</v>
      </c>
      <c r="Z284" s="21">
        <v>0.5211</v>
      </c>
      <c r="AA284" s="19">
        <v>68.9291</v>
      </c>
      <c r="AB284" s="21">
        <v>0.83</v>
      </c>
      <c r="AC284" s="21">
        <v>9.7824</v>
      </c>
      <c r="AD284" s="21">
        <v>-31.13</v>
      </c>
      <c r="AE284" s="24"/>
      <c r="AF284" s="21">
        <v>0.0885</v>
      </c>
      <c r="AG284" s="21">
        <v>0.3485</v>
      </c>
      <c r="AH284" s="16" t="b">
        <v>0</v>
      </c>
      <c r="AI284" s="16" t="b">
        <v>0</v>
      </c>
      <c r="AJ284" s="16" t="b">
        <v>0</v>
      </c>
      <c r="AK284" s="22">
        <f>IFERROR(__xludf.DUMMYFUNCTION("IFERROR(GOOGLEFINANCE(B284,""price""),"""")"),0.73)</f>
        <v>0.73</v>
      </c>
    </row>
    <row r="285">
      <c r="A285" s="7">
        <v>46083.62883937461</v>
      </c>
      <c r="B285" s="8" t="s">
        <v>787</v>
      </c>
      <c r="C285" s="8" t="s">
        <v>788</v>
      </c>
      <c r="D285" s="9">
        <v>46089.0</v>
      </c>
      <c r="E285" s="10">
        <v>1.92</v>
      </c>
      <c r="F285" s="8" t="s">
        <v>186</v>
      </c>
      <c r="G285" s="13">
        <v>0.1021</v>
      </c>
      <c r="H285" s="13">
        <v>18.798</v>
      </c>
      <c r="I285" s="8" t="s">
        <v>118</v>
      </c>
      <c r="J285" s="13">
        <v>0.4967</v>
      </c>
      <c r="K285" s="8">
        <v>2.0444514E7</v>
      </c>
      <c r="L285" s="11">
        <v>0.38</v>
      </c>
      <c r="M285" s="11">
        <v>21.4</v>
      </c>
      <c r="N285" s="8" t="s">
        <v>789</v>
      </c>
      <c r="O285" s="11">
        <v>9.0909</v>
      </c>
      <c r="P285" s="12">
        <v>1.7377837E7</v>
      </c>
      <c r="Q285" s="13">
        <v>2.68</v>
      </c>
      <c r="R285" s="13">
        <v>1.83</v>
      </c>
      <c r="S285" s="13">
        <v>2.0</v>
      </c>
      <c r="T285" s="13">
        <v>0.3293</v>
      </c>
      <c r="U285" s="13">
        <v>1.7463</v>
      </c>
      <c r="V285" s="8">
        <v>2472388.0</v>
      </c>
      <c r="W285" s="13">
        <v>21.9906</v>
      </c>
      <c r="X285" s="12">
        <v>5.6002855E7</v>
      </c>
      <c r="Y285" s="13">
        <v>3.0318</v>
      </c>
      <c r="Z285" s="13">
        <v>10.1032</v>
      </c>
      <c r="AA285" s="11">
        <v>37.9887</v>
      </c>
      <c r="AB285" s="13">
        <v>26.21</v>
      </c>
      <c r="AC285" s="23"/>
      <c r="AD285" s="13">
        <v>-3538.7909</v>
      </c>
      <c r="AE285" s="13">
        <v>-97.8043</v>
      </c>
      <c r="AF285" s="23"/>
      <c r="AG285" s="13">
        <v>0.3007</v>
      </c>
      <c r="AH285" s="8" t="b">
        <v>0</v>
      </c>
      <c r="AI285" s="8" t="b">
        <v>1</v>
      </c>
      <c r="AJ285" s="8" t="b">
        <v>0</v>
      </c>
      <c r="AK285" s="14">
        <f>IFERROR(__xludf.DUMMYFUNCTION("IFERROR(GOOGLEFINANCE(B285,""price""),"""")"),0.5)</f>
        <v>0.5</v>
      </c>
    </row>
    <row r="286">
      <c r="A286" s="15">
        <v>46083.62883937461</v>
      </c>
      <c r="B286" s="16" t="s">
        <v>770</v>
      </c>
      <c r="C286" s="16" t="s">
        <v>771</v>
      </c>
      <c r="D286" s="17">
        <v>46089.0</v>
      </c>
      <c r="E286" s="18">
        <v>0.7617</v>
      </c>
      <c r="F286" s="16" t="s">
        <v>88</v>
      </c>
      <c r="G286" s="21">
        <v>41.173</v>
      </c>
      <c r="H286" s="21">
        <v>0.0185</v>
      </c>
      <c r="I286" s="16" t="s">
        <v>145</v>
      </c>
      <c r="J286" s="21">
        <v>0.4007</v>
      </c>
      <c r="K286" s="16">
        <v>1.0995121E7</v>
      </c>
      <c r="L286" s="19">
        <v>0.56</v>
      </c>
      <c r="M286" s="19">
        <v>20.6577</v>
      </c>
      <c r="N286" s="16" t="s">
        <v>772</v>
      </c>
      <c r="O286" s="19">
        <v>-0.4184</v>
      </c>
      <c r="P286" s="20">
        <v>317759.0</v>
      </c>
      <c r="Q286" s="21">
        <v>0.769</v>
      </c>
      <c r="R286" s="21">
        <v>0.7401</v>
      </c>
      <c r="S286" s="21">
        <v>0.76</v>
      </c>
      <c r="T286" s="21">
        <v>0.0483</v>
      </c>
      <c r="U286" s="21">
        <v>0.1725</v>
      </c>
      <c r="V286" s="21">
        <v>222788.4</v>
      </c>
      <c r="W286" s="21">
        <v>1.5204</v>
      </c>
      <c r="X286" s="20">
        <v>2.8341238E7</v>
      </c>
      <c r="Y286" s="21">
        <v>0.8849</v>
      </c>
      <c r="Z286" s="21">
        <v>1.4345</v>
      </c>
      <c r="AA286" s="19">
        <v>32.0499</v>
      </c>
      <c r="AB286" s="21">
        <v>2.68</v>
      </c>
      <c r="AC286" s="21">
        <v>-45.8799</v>
      </c>
      <c r="AD286" s="21">
        <v>-15.5468</v>
      </c>
      <c r="AE286" s="21">
        <v>-25.4439</v>
      </c>
      <c r="AF286" s="21">
        <v>1.0882</v>
      </c>
      <c r="AG286" s="21">
        <v>0.8901</v>
      </c>
      <c r="AH286" s="16" t="b">
        <v>1</v>
      </c>
      <c r="AI286" s="16" t="b">
        <v>1</v>
      </c>
      <c r="AJ286" s="16" t="b">
        <v>0</v>
      </c>
      <c r="AK286" s="22">
        <f>IFERROR(__xludf.DUMMYFUNCTION("IFERROR(GOOGLEFINANCE(B286,""price""),"""")"),0.61)</f>
        <v>0.61</v>
      </c>
    </row>
    <row r="287">
      <c r="A287" s="7">
        <v>46083.62883937461</v>
      </c>
      <c r="B287" s="8" t="s">
        <v>790</v>
      </c>
      <c r="C287" s="8" t="s">
        <v>791</v>
      </c>
      <c r="D287" s="9">
        <v>46089.0</v>
      </c>
      <c r="E287" s="10">
        <v>1.905</v>
      </c>
      <c r="F287" s="8" t="s">
        <v>245</v>
      </c>
      <c r="G287" s="23"/>
      <c r="H287" s="13">
        <v>-4.271</v>
      </c>
      <c r="I287" s="8" t="s">
        <v>118</v>
      </c>
      <c r="J287" s="13">
        <v>0.322</v>
      </c>
      <c r="K287" s="8">
        <v>1.8841488E7</v>
      </c>
      <c r="L287" s="11">
        <v>0.74</v>
      </c>
      <c r="M287" s="11">
        <v>14.737</v>
      </c>
      <c r="N287" s="8" t="s">
        <v>792</v>
      </c>
      <c r="O287" s="11">
        <v>7.6271</v>
      </c>
      <c r="P287" s="12">
        <v>2607662.0</v>
      </c>
      <c r="Q287" s="13">
        <v>1.9784</v>
      </c>
      <c r="R287" s="13">
        <v>1.84</v>
      </c>
      <c r="S287" s="13">
        <v>1.9</v>
      </c>
      <c r="T287" s="13">
        <v>0.1265</v>
      </c>
      <c r="U287" s="13">
        <v>0.344</v>
      </c>
      <c r="V287" s="8">
        <v>1293609.0</v>
      </c>
      <c r="W287" s="13">
        <v>2.3394</v>
      </c>
      <c r="X287" s="12">
        <v>1.13626791E8</v>
      </c>
      <c r="Y287" s="13">
        <v>1.7959</v>
      </c>
      <c r="Z287" s="13">
        <v>2.7998</v>
      </c>
      <c r="AA287" s="11">
        <v>56.6014</v>
      </c>
      <c r="AB287" s="13">
        <v>7.32</v>
      </c>
      <c r="AC287" s="13">
        <v>24.2703</v>
      </c>
      <c r="AD287" s="13">
        <v>27.878</v>
      </c>
      <c r="AE287" s="13">
        <v>18320.007</v>
      </c>
      <c r="AF287" s="13">
        <v>5.6874</v>
      </c>
      <c r="AG287" s="13">
        <v>0.8343</v>
      </c>
      <c r="AH287" s="8" t="b">
        <v>0</v>
      </c>
      <c r="AI287" s="8" t="b">
        <v>1</v>
      </c>
      <c r="AJ287" s="8" t="b">
        <v>0</v>
      </c>
      <c r="AK287" s="14">
        <f>IFERROR(__xludf.DUMMYFUNCTION("IFERROR(GOOGLEFINANCE(B287,""price""),"""")"),1.44)</f>
        <v>1.44</v>
      </c>
    </row>
    <row r="288">
      <c r="A288" s="15">
        <v>46083.62883937461</v>
      </c>
      <c r="B288" s="16" t="s">
        <v>793</v>
      </c>
      <c r="C288" s="16" t="s">
        <v>794</v>
      </c>
      <c r="D288" s="17">
        <v>46089.0</v>
      </c>
      <c r="E288" s="18">
        <v>1.07</v>
      </c>
      <c r="F288" s="16" t="s">
        <v>117</v>
      </c>
      <c r="G288" s="24"/>
      <c r="H288" s="21">
        <v>-0.5241</v>
      </c>
      <c r="I288" s="16" t="s">
        <v>226</v>
      </c>
      <c r="J288" s="21">
        <v>0.2646</v>
      </c>
      <c r="K288" s="16">
        <v>6812693.0</v>
      </c>
      <c r="L288" s="19">
        <v>0.8</v>
      </c>
      <c r="M288" s="19">
        <v>12.3683</v>
      </c>
      <c r="N288" s="16" t="s">
        <v>795</v>
      </c>
      <c r="O288" s="19">
        <v>0.0</v>
      </c>
      <c r="P288" s="20">
        <v>510952.0</v>
      </c>
      <c r="Q288" s="21">
        <v>1.09</v>
      </c>
      <c r="R288" s="21">
        <v>1.015</v>
      </c>
      <c r="S288" s="21">
        <v>1.07</v>
      </c>
      <c r="T288" s="21">
        <v>0.0766</v>
      </c>
      <c r="U288" s="21">
        <v>0.1913</v>
      </c>
      <c r="V288" s="21">
        <v>290547.7</v>
      </c>
      <c r="W288" s="21">
        <v>1.855</v>
      </c>
      <c r="X288" s="20">
        <v>1.03970464E8</v>
      </c>
      <c r="Y288" s="21">
        <v>1.1058</v>
      </c>
      <c r="Z288" s="21">
        <v>1.106</v>
      </c>
      <c r="AA288" s="19">
        <v>44.4389</v>
      </c>
      <c r="AB288" s="21">
        <v>2.22</v>
      </c>
      <c r="AC288" s="21">
        <v>-94.0254</v>
      </c>
      <c r="AD288" s="21">
        <v>-375.6208</v>
      </c>
      <c r="AE288" s="21">
        <v>-20.0981</v>
      </c>
      <c r="AF288" s="21">
        <v>0.0068</v>
      </c>
      <c r="AG288" s="21">
        <v>3.6293</v>
      </c>
      <c r="AH288" s="16" t="b">
        <v>1</v>
      </c>
      <c r="AI288" s="16" t="b">
        <v>1</v>
      </c>
      <c r="AJ288" s="16" t="b">
        <v>0</v>
      </c>
      <c r="AK288" s="22">
        <f>IFERROR(__xludf.DUMMYFUNCTION("IFERROR(GOOGLEFINANCE(B288,""price""),"""")"),1.21)</f>
        <v>1.21</v>
      </c>
    </row>
    <row r="289">
      <c r="A289" s="7">
        <v>46083.62883937461</v>
      </c>
      <c r="B289" s="8" t="s">
        <v>796</v>
      </c>
      <c r="C289" s="8" t="s">
        <v>797</v>
      </c>
      <c r="D289" s="9">
        <v>46089.0</v>
      </c>
      <c r="E289" s="10">
        <v>1.09</v>
      </c>
      <c r="F289" s="8" t="s">
        <v>129</v>
      </c>
      <c r="G289" s="23"/>
      <c r="H289" s="23"/>
      <c r="I289" s="8" t="s">
        <v>118</v>
      </c>
      <c r="J289" s="13">
        <v>0.1889</v>
      </c>
      <c r="K289" s="8">
        <v>4460783.0</v>
      </c>
      <c r="L289" s="11">
        <v>0.4</v>
      </c>
      <c r="M289" s="11">
        <v>21.5238</v>
      </c>
      <c r="N289" s="8" t="s">
        <v>798</v>
      </c>
      <c r="O289" s="11">
        <v>9.0</v>
      </c>
      <c r="P289" s="12">
        <v>802941.0</v>
      </c>
      <c r="Q289" s="13">
        <v>1.19</v>
      </c>
      <c r="R289" s="13">
        <v>1.01</v>
      </c>
      <c r="S289" s="13">
        <v>1.1</v>
      </c>
      <c r="T289" s="13">
        <v>0.119</v>
      </c>
      <c r="U289" s="13">
        <v>0.5998</v>
      </c>
      <c r="V289" s="13">
        <v>314623.2</v>
      </c>
      <c r="W289" s="13">
        <v>3.1189</v>
      </c>
      <c r="X289" s="12">
        <v>3.533235E7</v>
      </c>
      <c r="Y289" s="13">
        <v>1.0737</v>
      </c>
      <c r="Z289" s="13">
        <v>2.3437</v>
      </c>
      <c r="AA289" s="11">
        <v>50.538</v>
      </c>
      <c r="AB289" s="13">
        <v>11.0</v>
      </c>
      <c r="AC289" s="23"/>
      <c r="AD289" s="23"/>
      <c r="AE289" s="23"/>
      <c r="AF289" s="13">
        <v>0.0752</v>
      </c>
      <c r="AG289" s="13">
        <v>1.6415</v>
      </c>
      <c r="AH289" s="8" t="b">
        <v>0</v>
      </c>
      <c r="AI289" s="8" t="b">
        <v>1</v>
      </c>
      <c r="AJ289" s="8" t="b">
        <v>0</v>
      </c>
      <c r="AK289" s="14">
        <f>IFERROR(__xludf.DUMMYFUNCTION("IFERROR(GOOGLEFINANCE(B289,""price""),"""")"),0.83)</f>
        <v>0.83</v>
      </c>
    </row>
    <row r="290">
      <c r="A290" s="15">
        <v>46083.62883937461</v>
      </c>
      <c r="B290" s="16" t="s">
        <v>799</v>
      </c>
      <c r="C290" s="16" t="s">
        <v>800</v>
      </c>
      <c r="D290" s="17">
        <v>46089.0</v>
      </c>
      <c r="E290" s="18">
        <v>0.714</v>
      </c>
      <c r="F290" s="16" t="s">
        <v>270</v>
      </c>
      <c r="G290" s="24"/>
      <c r="H290" s="21">
        <v>-0.1997</v>
      </c>
      <c r="I290" s="16" t="s">
        <v>138</v>
      </c>
      <c r="J290" s="21">
        <v>0.1757</v>
      </c>
      <c r="K290" s="16">
        <v>4245738.0</v>
      </c>
      <c r="L290" s="19">
        <v>0.8</v>
      </c>
      <c r="M290" s="19">
        <v>14.739</v>
      </c>
      <c r="N290" s="16" t="s">
        <v>801</v>
      </c>
      <c r="O290" s="19">
        <v>0.3796</v>
      </c>
      <c r="P290" s="20">
        <v>333715.0</v>
      </c>
      <c r="Q290" s="21">
        <v>0.76</v>
      </c>
      <c r="R290" s="21">
        <v>0.6814</v>
      </c>
      <c r="S290" s="21">
        <v>0.71</v>
      </c>
      <c r="T290" s="21">
        <v>0.0773</v>
      </c>
      <c r="U290" s="21">
        <v>0.1932</v>
      </c>
      <c r="V290" s="21">
        <v>176394.5</v>
      </c>
      <c r="W290" s="21">
        <v>1.9343</v>
      </c>
      <c r="X290" s="20">
        <v>3.8772306E7</v>
      </c>
      <c r="Y290" s="21">
        <v>0.8065</v>
      </c>
      <c r="Z290" s="21">
        <v>1.1443</v>
      </c>
      <c r="AA290" s="19">
        <v>44.7658</v>
      </c>
      <c r="AB290" s="21">
        <v>2.5</v>
      </c>
      <c r="AC290" s="24"/>
      <c r="AD290" s="21">
        <v>-14.9124</v>
      </c>
      <c r="AE290" s="21">
        <v>76.6006</v>
      </c>
      <c r="AF290" s="24"/>
      <c r="AG290" s="21">
        <v>0.6915</v>
      </c>
      <c r="AH290" s="16" t="b">
        <v>0</v>
      </c>
      <c r="AI290" s="16" t="b">
        <v>1</v>
      </c>
      <c r="AJ290" s="16" t="b">
        <v>0</v>
      </c>
      <c r="AK290" s="22">
        <f>IFERROR(__xludf.DUMMYFUNCTION("IFERROR(GOOGLEFINANCE(B290,""price""),"""")"),0.56)</f>
        <v>0.56</v>
      </c>
    </row>
    <row r="291">
      <c r="A291" s="7">
        <v>46083.62883937461</v>
      </c>
      <c r="B291" s="8" t="s">
        <v>802</v>
      </c>
      <c r="C291" s="8" t="s">
        <v>803</v>
      </c>
      <c r="D291" s="9">
        <v>46089.0</v>
      </c>
      <c r="E291" s="10">
        <v>1.5201</v>
      </c>
      <c r="F291" s="8" t="s">
        <v>117</v>
      </c>
      <c r="G291" s="23"/>
      <c r="H291" s="13">
        <v>-1.4107</v>
      </c>
      <c r="I291" s="8" t="s">
        <v>118</v>
      </c>
      <c r="J291" s="13">
        <v>0.117</v>
      </c>
      <c r="K291" s="8">
        <v>2748133.0</v>
      </c>
      <c r="L291" s="11">
        <v>0.63</v>
      </c>
      <c r="M291" s="11">
        <v>26.2813</v>
      </c>
      <c r="N291" s="8" t="s">
        <v>804</v>
      </c>
      <c r="O291" s="11">
        <v>-3.7911</v>
      </c>
      <c r="P291" s="12">
        <v>659552.0</v>
      </c>
      <c r="Q291" s="13">
        <v>1.65</v>
      </c>
      <c r="R291" s="13">
        <v>1.41</v>
      </c>
      <c r="S291" s="13">
        <v>1.54</v>
      </c>
      <c r="T291" s="13">
        <v>0.1155</v>
      </c>
      <c r="U291" s="13">
        <v>0.3689</v>
      </c>
      <c r="V291" s="13">
        <v>397893.5</v>
      </c>
      <c r="W291" s="13">
        <v>1.8475</v>
      </c>
      <c r="X291" s="12">
        <v>6.2699621E7</v>
      </c>
      <c r="Y291" s="13">
        <v>1.8489</v>
      </c>
      <c r="Z291" s="13">
        <v>2.5706</v>
      </c>
      <c r="AA291" s="11">
        <v>43.2478</v>
      </c>
      <c r="AB291" s="13">
        <v>8.72</v>
      </c>
      <c r="AC291" s="13">
        <v>-73.7253</v>
      </c>
      <c r="AD291" s="13">
        <v>-62.3767</v>
      </c>
      <c r="AE291" s="13">
        <v>15.5885</v>
      </c>
      <c r="AF291" s="13">
        <v>0.9422</v>
      </c>
      <c r="AG291" s="13">
        <v>4.8621</v>
      </c>
      <c r="AH291" s="8" t="b">
        <v>0</v>
      </c>
      <c r="AI291" s="8" t="b">
        <v>1</v>
      </c>
      <c r="AJ291" s="8" t="b">
        <v>0</v>
      </c>
      <c r="AK291" s="14">
        <f>IFERROR(__xludf.DUMMYFUNCTION("IFERROR(GOOGLEFINANCE(B291,""price""),"""")"),1.37)</f>
        <v>1.37</v>
      </c>
    </row>
    <row r="292">
      <c r="A292" s="7">
        <v>46084.6281993154</v>
      </c>
      <c r="B292" s="8" t="s">
        <v>805</v>
      </c>
      <c r="C292" s="8" t="s">
        <v>806</v>
      </c>
      <c r="D292" s="9">
        <v>46089.0</v>
      </c>
      <c r="E292" s="10">
        <v>1.0703</v>
      </c>
      <c r="F292" s="8" t="s">
        <v>308</v>
      </c>
      <c r="G292" s="23"/>
      <c r="H292" s="13">
        <v>-0.6456</v>
      </c>
      <c r="I292" s="8" t="s">
        <v>807</v>
      </c>
      <c r="J292" s="13">
        <v>5.4053</v>
      </c>
      <c r="K292" s="8">
        <v>1.455830489E9</v>
      </c>
      <c r="L292" s="11">
        <v>0.99</v>
      </c>
      <c r="M292" s="11">
        <v>18.4538</v>
      </c>
      <c r="N292" s="8" t="s">
        <v>808</v>
      </c>
      <c r="O292" s="11">
        <v>504.6893</v>
      </c>
      <c r="P292" s="12">
        <v>1.244007153E9</v>
      </c>
      <c r="Q292" s="13">
        <v>1.2395</v>
      </c>
      <c r="R292" s="13">
        <v>0.385</v>
      </c>
      <c r="S292" s="13">
        <v>0.4578</v>
      </c>
      <c r="T292" s="13">
        <v>0.1037</v>
      </c>
      <c r="U292" s="13">
        <v>0.2091</v>
      </c>
      <c r="V292" s="8">
        <v>1.2657397E8</v>
      </c>
      <c r="W292" s="13">
        <v>431.5471</v>
      </c>
      <c r="X292" s="12">
        <v>1.8244652E7</v>
      </c>
      <c r="Y292" s="13">
        <v>0.2549</v>
      </c>
      <c r="Z292" s="13">
        <v>0.6451</v>
      </c>
      <c r="AA292" s="11">
        <v>90.5406</v>
      </c>
      <c r="AB292" s="13">
        <v>1.44</v>
      </c>
      <c r="AC292" s="13">
        <v>-4473.8329</v>
      </c>
      <c r="AD292" s="13">
        <v>-445.0917</v>
      </c>
      <c r="AE292" s="13">
        <v>-7.5917</v>
      </c>
      <c r="AF292" s="13">
        <v>1.4024</v>
      </c>
      <c r="AG292" s="13">
        <v>0.1138</v>
      </c>
      <c r="AH292" s="8" t="b">
        <v>0</v>
      </c>
      <c r="AI292" s="8" t="b">
        <v>0</v>
      </c>
      <c r="AJ292" s="8" t="b">
        <v>0</v>
      </c>
      <c r="AK292" s="14">
        <f>IFERROR(__xludf.DUMMYFUNCTION("IFERROR(GOOGLEFINANCE(B292,""price""),"""")"),2.41)</f>
        <v>2.41</v>
      </c>
    </row>
    <row r="293">
      <c r="A293" s="15">
        <v>46084.6281993154</v>
      </c>
      <c r="B293" s="16" t="s">
        <v>809</v>
      </c>
      <c r="C293" s="16" t="s">
        <v>810</v>
      </c>
      <c r="D293" s="17">
        <v>46089.0</v>
      </c>
      <c r="E293" s="18">
        <v>2.61</v>
      </c>
      <c r="F293" s="16" t="s">
        <v>190</v>
      </c>
      <c r="G293" s="21">
        <v>3262.5</v>
      </c>
      <c r="H293" s="21">
        <v>8.0E-4</v>
      </c>
      <c r="I293" s="16" t="s">
        <v>811</v>
      </c>
      <c r="J293" s="21">
        <v>4.3743</v>
      </c>
      <c r="K293" s="21">
        <v>230665.7609</v>
      </c>
      <c r="L293" s="19">
        <v>0.66</v>
      </c>
      <c r="M293" s="19">
        <v>15.0578</v>
      </c>
      <c r="N293" s="16" t="s">
        <v>812</v>
      </c>
      <c r="O293" s="19">
        <v>1.1628</v>
      </c>
      <c r="P293" s="20">
        <v>424425.0</v>
      </c>
      <c r="Q293" s="21">
        <v>4.34</v>
      </c>
      <c r="R293" s="21">
        <v>2.5</v>
      </c>
      <c r="S293" s="21">
        <v>2.57</v>
      </c>
      <c r="T293" s="21">
        <v>0.3076</v>
      </c>
      <c r="U293" s="21">
        <v>0.9281</v>
      </c>
      <c r="V293" s="21">
        <v>43757.6</v>
      </c>
      <c r="W293" s="21">
        <v>308.3812</v>
      </c>
      <c r="X293" s="20">
        <v>2.9362499E7</v>
      </c>
      <c r="Y293" s="21">
        <v>3.0164</v>
      </c>
      <c r="Z293" s="24"/>
      <c r="AA293" s="19">
        <v>41.5744</v>
      </c>
      <c r="AB293" s="21">
        <v>11.43</v>
      </c>
      <c r="AC293" s="21">
        <v>57.1756</v>
      </c>
      <c r="AD293" s="21">
        <v>16.5959</v>
      </c>
      <c r="AE293" s="21">
        <v>12.494</v>
      </c>
      <c r="AF293" s="21">
        <v>3.2444</v>
      </c>
      <c r="AG293" s="21">
        <v>1.4682</v>
      </c>
      <c r="AH293" s="16" t="b">
        <v>0</v>
      </c>
      <c r="AI293" s="16" t="b">
        <v>1</v>
      </c>
      <c r="AJ293" s="16" t="b">
        <v>0</v>
      </c>
      <c r="AK293" s="22">
        <f>IFERROR(__xludf.DUMMYFUNCTION("IFERROR(GOOGLEFINANCE(B293,""price""),"""")"),2.19)</f>
        <v>2.19</v>
      </c>
    </row>
    <row r="294">
      <c r="A294" s="7">
        <v>46084.6281993154</v>
      </c>
      <c r="B294" s="8" t="s">
        <v>813</v>
      </c>
      <c r="C294" s="8" t="s">
        <v>814</v>
      </c>
      <c r="D294" s="9">
        <v>46089.0</v>
      </c>
      <c r="E294" s="10">
        <v>1.4716</v>
      </c>
      <c r="F294" s="8" t="s">
        <v>102</v>
      </c>
      <c r="G294" s="23"/>
      <c r="H294" s="13">
        <v>-5.1006</v>
      </c>
      <c r="I294" s="8" t="s">
        <v>113</v>
      </c>
      <c r="J294" s="13">
        <v>1.3521</v>
      </c>
      <c r="K294" s="8">
        <v>3.5519717E7</v>
      </c>
      <c r="L294" s="11">
        <v>0.44</v>
      </c>
      <c r="M294" s="11">
        <v>15.5943</v>
      </c>
      <c r="N294" s="8" t="s">
        <v>815</v>
      </c>
      <c r="O294" s="11">
        <v>-8.5963</v>
      </c>
      <c r="P294" s="12">
        <v>6393549.0</v>
      </c>
      <c r="Q294" s="13">
        <v>1.59</v>
      </c>
      <c r="R294" s="13">
        <v>1.41</v>
      </c>
      <c r="S294" s="13">
        <v>1.51</v>
      </c>
      <c r="T294" s="13">
        <v>0.1499</v>
      </c>
      <c r="U294" s="13">
        <v>0.6757</v>
      </c>
      <c r="V294" s="8">
        <v>1007911.0</v>
      </c>
      <c r="W294" s="13">
        <v>16.5387</v>
      </c>
      <c r="X294" s="12">
        <v>3.9510154E7</v>
      </c>
      <c r="Y294" s="13">
        <v>1.718</v>
      </c>
      <c r="Z294" s="13">
        <v>2.6502</v>
      </c>
      <c r="AA294" s="11">
        <v>42.4542</v>
      </c>
      <c r="AB294" s="13">
        <v>13.87</v>
      </c>
      <c r="AC294" s="13">
        <v>-265.3624</v>
      </c>
      <c r="AD294" s="13">
        <v>-1046.5205</v>
      </c>
      <c r="AE294" s="13">
        <v>-3.5251</v>
      </c>
      <c r="AF294" s="23"/>
      <c r="AG294" s="13">
        <v>0.4855</v>
      </c>
      <c r="AH294" s="8" t="b">
        <v>0</v>
      </c>
      <c r="AI294" s="8" t="b">
        <v>0</v>
      </c>
      <c r="AJ294" s="8" t="b">
        <v>0</v>
      </c>
      <c r="AK294" s="14">
        <f>IFERROR(__xludf.DUMMYFUNCTION("IFERROR(GOOGLEFINANCE(B294,""price""),"""")"),1.15)</f>
        <v>1.15</v>
      </c>
    </row>
    <row r="295">
      <c r="A295" s="15">
        <v>46084.6281993154</v>
      </c>
      <c r="B295" s="16" t="s">
        <v>816</v>
      </c>
      <c r="C295" s="16" t="s">
        <v>817</v>
      </c>
      <c r="D295" s="17">
        <v>46089.0</v>
      </c>
      <c r="E295" s="18">
        <v>0.958</v>
      </c>
      <c r="F295" s="16" t="s">
        <v>102</v>
      </c>
      <c r="G295" s="24"/>
      <c r="H295" s="21">
        <v>-0.118</v>
      </c>
      <c r="I295" s="16" t="s">
        <v>113</v>
      </c>
      <c r="J295" s="21">
        <v>1.1653</v>
      </c>
      <c r="K295" s="16">
        <v>2289898.0</v>
      </c>
      <c r="L295" s="19">
        <v>0.72</v>
      </c>
      <c r="M295" s="19">
        <v>9.9684</v>
      </c>
      <c r="N295" s="16" t="s">
        <v>818</v>
      </c>
      <c r="O295" s="19">
        <v>12.6396</v>
      </c>
      <c r="P295" s="20">
        <v>426837.0</v>
      </c>
      <c r="Q295" s="21">
        <v>1.04</v>
      </c>
      <c r="R295" s="21">
        <v>0.8536</v>
      </c>
      <c r="S295" s="21">
        <v>0.8725</v>
      </c>
      <c r="T295" s="21">
        <v>0.0773</v>
      </c>
      <c r="U295" s="21">
        <v>0.214</v>
      </c>
      <c r="V295" s="21">
        <v>59876.9</v>
      </c>
      <c r="W295" s="21">
        <v>22.6731</v>
      </c>
      <c r="X295" s="20">
        <v>4408548.0</v>
      </c>
      <c r="Y295" s="21">
        <v>1.0749</v>
      </c>
      <c r="Z295" s="21">
        <v>1.3852</v>
      </c>
      <c r="AA295" s="19">
        <v>49.1635</v>
      </c>
      <c r="AB295" s="21">
        <v>2.21</v>
      </c>
      <c r="AC295" s="21">
        <v>-8.3849</v>
      </c>
      <c r="AD295" s="21">
        <v>-21.6181</v>
      </c>
      <c r="AE295" s="21">
        <v>-19.6783</v>
      </c>
      <c r="AF295" s="21">
        <v>0.0819</v>
      </c>
      <c r="AG295" s="21">
        <v>3.4831</v>
      </c>
      <c r="AH295" s="16" t="b">
        <v>0</v>
      </c>
      <c r="AI295" s="16" t="b">
        <v>0</v>
      </c>
      <c r="AJ295" s="16" t="b">
        <v>0</v>
      </c>
      <c r="AK295" s="22">
        <f>IFERROR(__xludf.DUMMYFUNCTION("IFERROR(GOOGLEFINANCE(B295,""price""),"""")"),0.81)</f>
        <v>0.81</v>
      </c>
    </row>
    <row r="296">
      <c r="A296" s="7">
        <v>46084.6281993154</v>
      </c>
      <c r="B296" s="8" t="s">
        <v>819</v>
      </c>
      <c r="C296" s="8" t="s">
        <v>820</v>
      </c>
      <c r="D296" s="9">
        <v>46089.0</v>
      </c>
      <c r="E296" s="10">
        <v>1.665</v>
      </c>
      <c r="F296" s="8" t="s">
        <v>88</v>
      </c>
      <c r="G296" s="23"/>
      <c r="H296" s="13">
        <v>-0.1408</v>
      </c>
      <c r="I296" s="8" t="s">
        <v>118</v>
      </c>
      <c r="J296" s="13">
        <v>1.0955</v>
      </c>
      <c r="K296" s="8">
        <v>2.236279E8</v>
      </c>
      <c r="L296" s="11">
        <v>0.74</v>
      </c>
      <c r="M296" s="11">
        <v>13.6309</v>
      </c>
      <c r="N296" s="8" t="s">
        <v>821</v>
      </c>
      <c r="O296" s="11">
        <v>-2.0588</v>
      </c>
      <c r="P296" s="12">
        <v>1.7890232E7</v>
      </c>
      <c r="Q296" s="13">
        <v>1.72</v>
      </c>
      <c r="R296" s="13">
        <v>1.64</v>
      </c>
      <c r="S296" s="13">
        <v>1.66</v>
      </c>
      <c r="T296" s="13">
        <v>0.0977</v>
      </c>
      <c r="U296" s="13">
        <v>0.2653</v>
      </c>
      <c r="V296" s="8">
        <v>4759839.0</v>
      </c>
      <c r="W296" s="13">
        <v>5.2638</v>
      </c>
      <c r="X296" s="12">
        <v>6.45562825E8</v>
      </c>
      <c r="Y296" s="13">
        <v>1.9077</v>
      </c>
      <c r="Z296" s="13">
        <v>1.9198</v>
      </c>
      <c r="AA296" s="11">
        <v>40.3468</v>
      </c>
      <c r="AB296" s="13">
        <v>3.72</v>
      </c>
      <c r="AC296" s="13">
        <v>-12.2527</v>
      </c>
      <c r="AD296" s="13">
        <v>-27.9228</v>
      </c>
      <c r="AE296" s="13">
        <v>4.1937</v>
      </c>
      <c r="AF296" s="13">
        <v>0.0748</v>
      </c>
      <c r="AG296" s="13">
        <v>14.0303</v>
      </c>
      <c r="AH296" s="8" t="b">
        <v>0</v>
      </c>
      <c r="AI296" s="8" t="b">
        <v>1</v>
      </c>
      <c r="AJ296" s="8" t="b">
        <v>0</v>
      </c>
      <c r="AK296" s="14">
        <f>IFERROR(__xludf.DUMMYFUNCTION("IFERROR(GOOGLEFINANCE(B296,""price""),"""")"),1.37)</f>
        <v>1.37</v>
      </c>
    </row>
    <row r="297">
      <c r="A297" s="15">
        <v>46084.6281993154</v>
      </c>
      <c r="B297" s="16" t="s">
        <v>822</v>
      </c>
      <c r="C297" s="16" t="s">
        <v>823</v>
      </c>
      <c r="D297" s="17">
        <v>46089.0</v>
      </c>
      <c r="E297" s="18">
        <v>1.1599</v>
      </c>
      <c r="F297" s="16" t="s">
        <v>308</v>
      </c>
      <c r="G297" s="24"/>
      <c r="H297" s="21">
        <v>-0.5859</v>
      </c>
      <c r="I297" s="16" t="s">
        <v>145</v>
      </c>
      <c r="J297" s="21">
        <v>0.697</v>
      </c>
      <c r="K297" s="16">
        <v>2658118.0</v>
      </c>
      <c r="L297" s="19">
        <v>0.79</v>
      </c>
      <c r="M297" s="19">
        <v>18.7051</v>
      </c>
      <c r="N297" s="16" t="s">
        <v>824</v>
      </c>
      <c r="O297" s="19">
        <v>4.4955</v>
      </c>
      <c r="P297" s="20">
        <v>451880.0</v>
      </c>
      <c r="Q297" s="21">
        <v>1.19</v>
      </c>
      <c r="R297" s="21">
        <v>1.02</v>
      </c>
      <c r="S297" s="21">
        <v>1.15</v>
      </c>
      <c r="T297" s="21">
        <v>0.0883</v>
      </c>
      <c r="U297" s="21">
        <v>0.2241</v>
      </c>
      <c r="V297" s="21">
        <v>87655.5</v>
      </c>
      <c r="W297" s="21">
        <v>10.2149</v>
      </c>
      <c r="X297" s="20">
        <v>7695241.0</v>
      </c>
      <c r="Y297" s="21">
        <v>1.0434</v>
      </c>
      <c r="Z297" s="21">
        <v>1.5351</v>
      </c>
      <c r="AA297" s="19">
        <v>64.553</v>
      </c>
      <c r="AB297" s="21">
        <v>4.55</v>
      </c>
      <c r="AC297" s="21">
        <v>-49.7277</v>
      </c>
      <c r="AD297" s="21">
        <v>-55.6555</v>
      </c>
      <c r="AE297" s="21">
        <v>-39.3207</v>
      </c>
      <c r="AF297" s="21">
        <v>0.1626</v>
      </c>
      <c r="AG297" s="21">
        <v>4.3099</v>
      </c>
      <c r="AH297" s="16" t="b">
        <v>1</v>
      </c>
      <c r="AI297" s="16" t="b">
        <v>1</v>
      </c>
      <c r="AJ297" s="16" t="b">
        <v>0</v>
      </c>
      <c r="AK297" s="22">
        <f>IFERROR(__xludf.DUMMYFUNCTION("IFERROR(GOOGLEFINANCE(B297,""price""),"""")"),0.97)</f>
        <v>0.97</v>
      </c>
    </row>
    <row r="298">
      <c r="A298" s="7">
        <v>46084.6281993154</v>
      </c>
      <c r="B298" s="8" t="s">
        <v>767</v>
      </c>
      <c r="C298" s="8" t="s">
        <v>768</v>
      </c>
      <c r="D298" s="9">
        <v>46089.0</v>
      </c>
      <c r="E298" s="10">
        <v>0.909</v>
      </c>
      <c r="F298" s="8" t="s">
        <v>88</v>
      </c>
      <c r="G298" s="23"/>
      <c r="H298" s="13">
        <v>-0.3304</v>
      </c>
      <c r="I298" s="8" t="s">
        <v>118</v>
      </c>
      <c r="J298" s="13">
        <v>0.3409</v>
      </c>
      <c r="K298" s="8">
        <v>3.0124463E7</v>
      </c>
      <c r="L298" s="11">
        <v>0.77</v>
      </c>
      <c r="M298" s="11">
        <v>9.2845</v>
      </c>
      <c r="N298" s="8" t="s">
        <v>769</v>
      </c>
      <c r="O298" s="11">
        <v>-3.2979</v>
      </c>
      <c r="P298" s="12">
        <v>1613165.0</v>
      </c>
      <c r="Q298" s="13">
        <v>0.9536</v>
      </c>
      <c r="R298" s="13">
        <v>0.9</v>
      </c>
      <c r="S298" s="13">
        <v>0.914</v>
      </c>
      <c r="T298" s="13">
        <v>0.0613</v>
      </c>
      <c r="U298" s="13">
        <v>0.1603</v>
      </c>
      <c r="V298" s="13">
        <v>915635.5</v>
      </c>
      <c r="W298" s="13">
        <v>2.008</v>
      </c>
      <c r="X298" s="12">
        <v>1.70286269E8</v>
      </c>
      <c r="Y298" s="13">
        <v>1.0302</v>
      </c>
      <c r="Z298" s="13">
        <v>1.2279</v>
      </c>
      <c r="AA298" s="11">
        <v>40.5893</v>
      </c>
      <c r="AB298" s="13">
        <v>1.9</v>
      </c>
      <c r="AC298" s="13">
        <v>-136.5066</v>
      </c>
      <c r="AD298" s="13">
        <v>-19.3896</v>
      </c>
      <c r="AE298" s="13">
        <v>-5.9102</v>
      </c>
      <c r="AF298" s="13">
        <v>1.1429</v>
      </c>
      <c r="AG298" s="13">
        <v>2.2702</v>
      </c>
      <c r="AH298" s="8" t="b">
        <v>0</v>
      </c>
      <c r="AI298" s="8" t="b">
        <v>1</v>
      </c>
      <c r="AJ298" s="8" t="b">
        <v>0</v>
      </c>
      <c r="AK298" s="14">
        <f>IFERROR(__xludf.DUMMYFUNCTION("IFERROR(GOOGLEFINANCE(B298,""price""),"""")"),0.87)</f>
        <v>0.87</v>
      </c>
    </row>
    <row r="299">
      <c r="A299" s="15">
        <v>46084.6281993154</v>
      </c>
      <c r="B299" s="16" t="s">
        <v>825</v>
      </c>
      <c r="C299" s="16" t="s">
        <v>826</v>
      </c>
      <c r="D299" s="17">
        <v>46089.0</v>
      </c>
      <c r="E299" s="18">
        <v>0.5295</v>
      </c>
      <c r="F299" s="16" t="s">
        <v>308</v>
      </c>
      <c r="G299" s="24"/>
      <c r="H299" s="21">
        <v>-0.7203</v>
      </c>
      <c r="I299" s="16" t="s">
        <v>175</v>
      </c>
      <c r="J299" s="21">
        <v>0.1813</v>
      </c>
      <c r="K299" s="16">
        <v>1.3887255E7</v>
      </c>
      <c r="L299" s="19">
        <v>0.58</v>
      </c>
      <c r="M299" s="19">
        <v>13.0755</v>
      </c>
      <c r="N299" s="16" t="s">
        <v>827</v>
      </c>
      <c r="O299" s="19">
        <v>-1.5799</v>
      </c>
      <c r="P299" s="20">
        <v>849900.0</v>
      </c>
      <c r="Q299" s="21">
        <v>0.545</v>
      </c>
      <c r="R299" s="21">
        <v>0.4838</v>
      </c>
      <c r="S299" s="21">
        <v>0.545</v>
      </c>
      <c r="T299" s="21">
        <v>0.0421</v>
      </c>
      <c r="U299" s="21">
        <v>0.1448</v>
      </c>
      <c r="V299" s="21">
        <v>461270.1</v>
      </c>
      <c r="W299" s="21">
        <v>2.095</v>
      </c>
      <c r="X299" s="20">
        <v>3.1506231E7</v>
      </c>
      <c r="Y299" s="21">
        <v>0.5955</v>
      </c>
      <c r="Z299" s="21">
        <v>0.7436</v>
      </c>
      <c r="AA299" s="19">
        <v>44.2895</v>
      </c>
      <c r="AB299" s="21">
        <v>1.7599</v>
      </c>
      <c r="AC299" s="21">
        <v>-376.234</v>
      </c>
      <c r="AD299" s="21">
        <v>-858.0401</v>
      </c>
      <c r="AE299" s="21">
        <v>63.5278</v>
      </c>
      <c r="AF299" s="21">
        <v>1.8496</v>
      </c>
      <c r="AG299" s="21">
        <v>1.1618</v>
      </c>
      <c r="AH299" s="16" t="b">
        <v>1</v>
      </c>
      <c r="AI299" s="16" t="b">
        <v>0</v>
      </c>
      <c r="AJ299" s="16" t="b">
        <v>0</v>
      </c>
      <c r="AK299" s="22">
        <f>IFERROR(__xludf.DUMMYFUNCTION("IFERROR(GOOGLEFINANCE(B299,""price""),"""")"),0.4)</f>
        <v>0.4</v>
      </c>
    </row>
    <row r="300">
      <c r="A300" s="7">
        <v>46084.6281993154</v>
      </c>
      <c r="B300" s="8" t="s">
        <v>630</v>
      </c>
      <c r="C300" s="8" t="s">
        <v>631</v>
      </c>
      <c r="D300" s="9">
        <v>46089.0</v>
      </c>
      <c r="E300" s="10">
        <v>0.8343</v>
      </c>
      <c r="F300" s="8" t="s">
        <v>88</v>
      </c>
      <c r="G300" s="23"/>
      <c r="H300" s="13">
        <v>-2.0963</v>
      </c>
      <c r="I300" s="8" t="s">
        <v>175</v>
      </c>
      <c r="J300" s="13">
        <v>0.151</v>
      </c>
      <c r="K300" s="8">
        <v>1.1965152E7</v>
      </c>
      <c r="L300" s="11">
        <v>0.61</v>
      </c>
      <c r="M300" s="11">
        <v>17.7885</v>
      </c>
      <c r="N300" s="8" t="s">
        <v>632</v>
      </c>
      <c r="O300" s="11">
        <v>0.7365</v>
      </c>
      <c r="P300" s="12">
        <v>1137886.0</v>
      </c>
      <c r="Q300" s="13">
        <v>0.8457</v>
      </c>
      <c r="R300" s="13">
        <v>0.7506</v>
      </c>
      <c r="S300" s="13">
        <v>0.82</v>
      </c>
      <c r="T300" s="13">
        <v>0.0944</v>
      </c>
      <c r="U300" s="13">
        <v>0.3102</v>
      </c>
      <c r="V300" s="13">
        <v>708652.6</v>
      </c>
      <c r="W300" s="13">
        <v>1.7216</v>
      </c>
      <c r="X300" s="12">
        <v>4.5099375E7</v>
      </c>
      <c r="Y300" s="13">
        <v>1.0602</v>
      </c>
      <c r="Z300" s="13">
        <v>1.6774</v>
      </c>
      <c r="AA300" s="11">
        <v>37.7527</v>
      </c>
      <c r="AB300" s="13">
        <v>3.28</v>
      </c>
      <c r="AC300" s="13">
        <v>-341.0429</v>
      </c>
      <c r="AD300" s="13">
        <v>-19.8356</v>
      </c>
      <c r="AE300" s="13">
        <v>-14.4115</v>
      </c>
      <c r="AF300" s="23"/>
      <c r="AG300" s="13">
        <v>1.1375</v>
      </c>
      <c r="AH300" s="8" t="b">
        <v>1</v>
      </c>
      <c r="AI300" s="8" t="b">
        <v>0</v>
      </c>
      <c r="AJ300" s="8" t="b">
        <v>0</v>
      </c>
      <c r="AK300" s="14">
        <f>IFERROR(__xludf.DUMMYFUNCTION("IFERROR(GOOGLEFINANCE(B300,""price""),"""")"),0.9)</f>
        <v>0.9</v>
      </c>
    </row>
    <row r="301">
      <c r="A301" s="15">
        <v>46084.6281993154</v>
      </c>
      <c r="B301" s="16" t="s">
        <v>787</v>
      </c>
      <c r="C301" s="16" t="s">
        <v>788</v>
      </c>
      <c r="D301" s="17">
        <v>46089.0</v>
      </c>
      <c r="E301" s="18">
        <v>1.84</v>
      </c>
      <c r="F301" s="16" t="s">
        <v>186</v>
      </c>
      <c r="G301" s="21">
        <v>0.0979</v>
      </c>
      <c r="H301" s="21">
        <v>18.798</v>
      </c>
      <c r="I301" s="16" t="s">
        <v>175</v>
      </c>
      <c r="J301" s="21">
        <v>0.1062</v>
      </c>
      <c r="K301" s="16">
        <v>1.4630061E7</v>
      </c>
      <c r="L301" s="19">
        <v>0.37</v>
      </c>
      <c r="M301" s="19">
        <v>20.2941</v>
      </c>
      <c r="N301" s="16" t="s">
        <v>789</v>
      </c>
      <c r="O301" s="19">
        <v>-4.6632</v>
      </c>
      <c r="P301" s="20">
        <v>4096417.0</v>
      </c>
      <c r="Q301" s="21">
        <v>1.89</v>
      </c>
      <c r="R301" s="21">
        <v>1.61</v>
      </c>
      <c r="S301" s="21">
        <v>1.88</v>
      </c>
      <c r="T301" s="21">
        <v>0.3286</v>
      </c>
      <c r="U301" s="21">
        <v>1.757</v>
      </c>
      <c r="V301" s="16">
        <v>2869412.0</v>
      </c>
      <c r="W301" s="21">
        <v>1.6163</v>
      </c>
      <c r="X301" s="20">
        <v>5.3669401E7</v>
      </c>
      <c r="Y301" s="21">
        <v>2.9686</v>
      </c>
      <c r="Z301" s="21">
        <v>10.021</v>
      </c>
      <c r="AA301" s="19">
        <v>36.6063</v>
      </c>
      <c r="AB301" s="21">
        <v>26.21</v>
      </c>
      <c r="AC301" s="24"/>
      <c r="AD301" s="21">
        <v>-3538.7909</v>
      </c>
      <c r="AE301" s="21">
        <v>-97.8043</v>
      </c>
      <c r="AF301" s="24"/>
      <c r="AG301" s="21">
        <v>0.3007</v>
      </c>
      <c r="AH301" s="16" t="b">
        <v>1</v>
      </c>
      <c r="AI301" s="16" t="b">
        <v>0</v>
      </c>
      <c r="AJ301" s="16" t="b">
        <v>0</v>
      </c>
      <c r="AK301" s="22">
        <f>IFERROR(__xludf.DUMMYFUNCTION("IFERROR(GOOGLEFINANCE(B301,""price""),"""")"),0.5)</f>
        <v>0.5</v>
      </c>
    </row>
    <row r="302">
      <c r="A302" s="7">
        <v>46085.62778128309</v>
      </c>
      <c r="B302" s="8" t="s">
        <v>418</v>
      </c>
      <c r="C302" s="8" t="s">
        <v>419</v>
      </c>
      <c r="D302" s="9">
        <v>46089.0</v>
      </c>
      <c r="E302" s="10">
        <v>2.34</v>
      </c>
      <c r="F302" s="8" t="s">
        <v>186</v>
      </c>
      <c r="G302" s="23"/>
      <c r="H302" s="13">
        <v>-10.149</v>
      </c>
      <c r="I302" s="8" t="s">
        <v>828</v>
      </c>
      <c r="J302" s="13">
        <v>7.2785</v>
      </c>
      <c r="K302" s="8">
        <v>8042082.0</v>
      </c>
      <c r="L302" s="11">
        <v>0.43</v>
      </c>
      <c r="M302" s="11">
        <v>20.0775</v>
      </c>
      <c r="N302" s="8" t="s">
        <v>420</v>
      </c>
      <c r="O302" s="11">
        <v>9.3509</v>
      </c>
      <c r="P302" s="12">
        <v>5138086.0</v>
      </c>
      <c r="Q302" s="13">
        <v>2.4789</v>
      </c>
      <c r="R302" s="13">
        <v>1.84</v>
      </c>
      <c r="S302" s="13">
        <v>2.2</v>
      </c>
      <c r="T302" s="13">
        <v>0.2085</v>
      </c>
      <c r="U302" s="13">
        <v>0.9753</v>
      </c>
      <c r="V302" s="13">
        <v>536090.9</v>
      </c>
      <c r="W302" s="13">
        <v>198.727</v>
      </c>
      <c r="X302" s="12">
        <v>4665084.0</v>
      </c>
      <c r="Y302" s="13">
        <v>1.9435</v>
      </c>
      <c r="Z302" s="13">
        <v>9.3241</v>
      </c>
      <c r="AA302" s="11">
        <v>65.5564</v>
      </c>
      <c r="AB302" s="13">
        <v>15.37</v>
      </c>
      <c r="AC302" s="13">
        <v>-134.54</v>
      </c>
      <c r="AD302" s="13">
        <v>-155.0857</v>
      </c>
      <c r="AE302" s="13">
        <v>148.3381</v>
      </c>
      <c r="AF302" s="13">
        <v>0.1789</v>
      </c>
      <c r="AG302" s="13">
        <v>4.2176</v>
      </c>
      <c r="AH302" s="8" t="b">
        <v>0</v>
      </c>
      <c r="AI302" s="8" t="b">
        <v>0</v>
      </c>
      <c r="AJ302" s="8" t="b">
        <v>0</v>
      </c>
      <c r="AK302" s="14">
        <f>IFERROR(__xludf.DUMMYFUNCTION("IFERROR(GOOGLEFINANCE(B302,""price""),"""")"),1.95)</f>
        <v>1.95</v>
      </c>
    </row>
    <row r="303">
      <c r="A303" s="15">
        <v>46085.62778128309</v>
      </c>
      <c r="B303" s="16" t="s">
        <v>829</v>
      </c>
      <c r="C303" s="16" t="s">
        <v>830</v>
      </c>
      <c r="D303" s="17">
        <v>46089.0</v>
      </c>
      <c r="E303" s="18">
        <v>2.385</v>
      </c>
      <c r="F303" s="16" t="s">
        <v>186</v>
      </c>
      <c r="G303" s="24"/>
      <c r="H303" s="21">
        <v>-0.2128</v>
      </c>
      <c r="I303" s="16" t="s">
        <v>133</v>
      </c>
      <c r="J303" s="21">
        <v>1.3066</v>
      </c>
      <c r="K303" s="16">
        <v>4.62402174E8</v>
      </c>
      <c r="L303" s="19">
        <v>0.66</v>
      </c>
      <c r="M303" s="19">
        <v>20.9892</v>
      </c>
      <c r="N303" s="16" t="s">
        <v>831</v>
      </c>
      <c r="O303" s="19">
        <v>-0.2092</v>
      </c>
      <c r="P303" s="20">
        <v>1.3825825E7</v>
      </c>
      <c r="Q303" s="21">
        <v>2.4099</v>
      </c>
      <c r="R303" s="21">
        <v>2.38</v>
      </c>
      <c r="S303" s="21">
        <v>2.4</v>
      </c>
      <c r="T303" s="21">
        <v>0.0566</v>
      </c>
      <c r="U303" s="21">
        <v>0.1707</v>
      </c>
      <c r="V303" s="16">
        <v>8168401.0</v>
      </c>
      <c r="W303" s="21">
        <v>1.638</v>
      </c>
      <c r="X303" s="20">
        <v>1.188894021E9</v>
      </c>
      <c r="Y303" s="21">
        <v>2.2087</v>
      </c>
      <c r="Z303" s="21">
        <v>1.7917</v>
      </c>
      <c r="AA303" s="19">
        <v>60.49</v>
      </c>
      <c r="AB303" s="21">
        <v>2.43</v>
      </c>
      <c r="AC303" s="24"/>
      <c r="AD303" s="21">
        <v>18.9737</v>
      </c>
      <c r="AE303" s="21">
        <v>-20.8223</v>
      </c>
      <c r="AF303" s="24"/>
      <c r="AG303" s="21">
        <v>1.2833</v>
      </c>
      <c r="AH303" s="16" t="b">
        <v>0</v>
      </c>
      <c r="AI303" s="16" t="b">
        <v>0</v>
      </c>
      <c r="AJ303" s="16" t="b">
        <v>1</v>
      </c>
      <c r="AK303" s="22">
        <f>IFERROR(__xludf.DUMMYFUNCTION("IFERROR(GOOGLEFINANCE(B303,""price""),"""")"),2.37)</f>
        <v>2.37</v>
      </c>
    </row>
    <row r="304">
      <c r="A304" s="7">
        <v>46085.62778128309</v>
      </c>
      <c r="B304" s="8" t="s">
        <v>281</v>
      </c>
      <c r="C304" s="8" t="s">
        <v>282</v>
      </c>
      <c r="D304" s="9">
        <v>46089.0</v>
      </c>
      <c r="E304" s="10">
        <v>1.085</v>
      </c>
      <c r="F304" s="8" t="s">
        <v>117</v>
      </c>
      <c r="G304" s="23"/>
      <c r="H304" s="13">
        <v>-0.3082</v>
      </c>
      <c r="I304" s="8" t="s">
        <v>145</v>
      </c>
      <c r="J304" s="13">
        <v>1.2456</v>
      </c>
      <c r="K304" s="8">
        <v>1.348535E7</v>
      </c>
      <c r="L304" s="11">
        <v>0.45</v>
      </c>
      <c r="M304" s="11">
        <v>18.5366</v>
      </c>
      <c r="N304" s="8" t="s">
        <v>283</v>
      </c>
      <c r="O304" s="11">
        <v>2.3585</v>
      </c>
      <c r="P304" s="12">
        <v>809121.0</v>
      </c>
      <c r="Q304" s="13">
        <v>1.1</v>
      </c>
      <c r="R304" s="13">
        <v>1.04</v>
      </c>
      <c r="S304" s="13">
        <v>1.08</v>
      </c>
      <c r="T304" s="13">
        <v>0.0725</v>
      </c>
      <c r="U304" s="13">
        <v>0.3225</v>
      </c>
      <c r="V304" s="13">
        <v>184902.5</v>
      </c>
      <c r="W304" s="13">
        <v>6.8883</v>
      </c>
      <c r="X304" s="12">
        <v>9.5778587E7</v>
      </c>
      <c r="Y304" s="13">
        <v>1.1244</v>
      </c>
      <c r="Z304" s="13">
        <v>1.5893</v>
      </c>
      <c r="AA304" s="11">
        <v>45.0014</v>
      </c>
      <c r="AB304" s="13">
        <v>6.19</v>
      </c>
      <c r="AC304" s="13">
        <v>-47.4131</v>
      </c>
      <c r="AD304" s="13">
        <v>-567.4298</v>
      </c>
      <c r="AE304" s="23"/>
      <c r="AF304" s="13">
        <v>0.0651</v>
      </c>
      <c r="AG304" s="13">
        <v>0.8308</v>
      </c>
      <c r="AH304" s="8" t="b">
        <v>1</v>
      </c>
      <c r="AI304" s="8" t="b">
        <v>1</v>
      </c>
      <c r="AJ304" s="8" t="b">
        <v>0</v>
      </c>
      <c r="AK304" s="14">
        <f>IFERROR(__xludf.DUMMYFUNCTION("IFERROR(GOOGLEFINANCE(B304,""price""),"""")"),0.68)</f>
        <v>0.68</v>
      </c>
    </row>
    <row r="305">
      <c r="A305" s="15">
        <v>46085.62778128309</v>
      </c>
      <c r="B305" s="16" t="s">
        <v>832</v>
      </c>
      <c r="C305" s="16" t="s">
        <v>833</v>
      </c>
      <c r="D305" s="17">
        <v>46089.0</v>
      </c>
      <c r="E305" s="18">
        <v>2.595</v>
      </c>
      <c r="F305" s="16" t="s">
        <v>308</v>
      </c>
      <c r="G305" s="24"/>
      <c r="H305" s="21">
        <v>-0.7304</v>
      </c>
      <c r="I305" s="16" t="s">
        <v>179</v>
      </c>
      <c r="J305" s="21">
        <v>0.7072</v>
      </c>
      <c r="K305" s="16">
        <v>1.18185738E8</v>
      </c>
      <c r="L305" s="19">
        <v>0.9</v>
      </c>
      <c r="M305" s="19">
        <v>23.7796</v>
      </c>
      <c r="N305" s="16" t="s">
        <v>834</v>
      </c>
      <c r="O305" s="19">
        <v>-17.8797</v>
      </c>
      <c r="P305" s="20">
        <v>4.3728723E7</v>
      </c>
      <c r="Q305" s="21">
        <v>2.69</v>
      </c>
      <c r="R305" s="21">
        <v>2.32</v>
      </c>
      <c r="S305" s="21">
        <v>2.64</v>
      </c>
      <c r="T305" s="21">
        <v>0.3121</v>
      </c>
      <c r="U305" s="21">
        <v>0.697</v>
      </c>
      <c r="V305" s="16">
        <v>8256473.0</v>
      </c>
      <c r="W305" s="21">
        <v>10.0835</v>
      </c>
      <c r="X305" s="20">
        <v>5.6864886E8</v>
      </c>
      <c r="Y305" s="21">
        <v>3.8555</v>
      </c>
      <c r="Z305" s="21">
        <v>3.9729</v>
      </c>
      <c r="AA305" s="19">
        <v>25.5442</v>
      </c>
      <c r="AB305" s="21">
        <v>6.05</v>
      </c>
      <c r="AC305" s="21">
        <v>-37.1102</v>
      </c>
      <c r="AD305" s="21">
        <v>-66.7456</v>
      </c>
      <c r="AE305" s="21">
        <v>0.3286</v>
      </c>
      <c r="AF305" s="21">
        <v>1.0325</v>
      </c>
      <c r="AG305" s="21">
        <v>3.7333</v>
      </c>
      <c r="AH305" s="16" t="b">
        <v>1</v>
      </c>
      <c r="AI305" s="16" t="b">
        <v>0</v>
      </c>
      <c r="AJ305" s="16" t="b">
        <v>0</v>
      </c>
      <c r="AK305" s="22">
        <f>IFERROR(__xludf.DUMMYFUNCTION("IFERROR(GOOGLEFINANCE(B305,""price""),"""")"),2.91)</f>
        <v>2.91</v>
      </c>
    </row>
    <row r="306">
      <c r="A306" s="7">
        <v>46085.62778128309</v>
      </c>
      <c r="B306" s="8" t="s">
        <v>819</v>
      </c>
      <c r="C306" s="8" t="s">
        <v>820</v>
      </c>
      <c r="D306" s="9">
        <v>46089.0</v>
      </c>
      <c r="E306" s="10">
        <v>1.645</v>
      </c>
      <c r="F306" s="8" t="s">
        <v>88</v>
      </c>
      <c r="G306" s="23"/>
      <c r="H306" s="13">
        <v>-0.1408</v>
      </c>
      <c r="I306" s="8" t="s">
        <v>175</v>
      </c>
      <c r="J306" s="13">
        <v>0.4703</v>
      </c>
      <c r="K306" s="8">
        <v>1.407554E8</v>
      </c>
      <c r="L306" s="11">
        <v>0.73</v>
      </c>
      <c r="M306" s="11">
        <v>14.069</v>
      </c>
      <c r="N306" s="8" t="s">
        <v>821</v>
      </c>
      <c r="O306" s="11">
        <v>-0.303</v>
      </c>
      <c r="P306" s="12">
        <v>1.6890648E7</v>
      </c>
      <c r="Q306" s="13">
        <v>1.67</v>
      </c>
      <c r="R306" s="13">
        <v>1.55</v>
      </c>
      <c r="S306" s="13">
        <v>1.67</v>
      </c>
      <c r="T306" s="13">
        <v>0.0996</v>
      </c>
      <c r="U306" s="13">
        <v>0.2717</v>
      </c>
      <c r="V306" s="8">
        <v>6293277.0</v>
      </c>
      <c r="W306" s="13">
        <v>3.431</v>
      </c>
      <c r="X306" s="12">
        <v>6.37808289E8</v>
      </c>
      <c r="Y306" s="13">
        <v>1.8983</v>
      </c>
      <c r="Z306" s="13">
        <v>1.917</v>
      </c>
      <c r="AA306" s="11">
        <v>38.9948</v>
      </c>
      <c r="AB306" s="13">
        <v>3.72</v>
      </c>
      <c r="AC306" s="13">
        <v>-12.2527</v>
      </c>
      <c r="AD306" s="13">
        <v>-27.9228</v>
      </c>
      <c r="AE306" s="13">
        <v>4.1937</v>
      </c>
      <c r="AF306" s="13">
        <v>0.0748</v>
      </c>
      <c r="AG306" s="13">
        <v>14.0303</v>
      </c>
      <c r="AH306" s="8" t="b">
        <v>1</v>
      </c>
      <c r="AI306" s="8" t="b">
        <v>0</v>
      </c>
      <c r="AJ306" s="8" t="b">
        <v>0</v>
      </c>
      <c r="AK306" s="14">
        <f>IFERROR(__xludf.DUMMYFUNCTION("IFERROR(GOOGLEFINANCE(B306,""price""),"""")"),1.37)</f>
        <v>1.37</v>
      </c>
    </row>
    <row r="307">
      <c r="A307" s="15">
        <v>46085.62778128309</v>
      </c>
      <c r="B307" s="16" t="s">
        <v>435</v>
      </c>
      <c r="C307" s="16" t="s">
        <v>436</v>
      </c>
      <c r="D307" s="17">
        <v>46089.0</v>
      </c>
      <c r="E307" s="18">
        <v>0.795</v>
      </c>
      <c r="F307" s="16" t="s">
        <v>93</v>
      </c>
      <c r="G307" s="24"/>
      <c r="H307" s="21">
        <v>-2.1909</v>
      </c>
      <c r="I307" s="16" t="s">
        <v>118</v>
      </c>
      <c r="J307" s="21">
        <v>0.3625</v>
      </c>
      <c r="K307" s="16">
        <v>9140862.0</v>
      </c>
      <c r="L307" s="19">
        <v>0.7</v>
      </c>
      <c r="M307" s="19">
        <v>18.4936</v>
      </c>
      <c r="N307" s="16" t="s">
        <v>437</v>
      </c>
      <c r="O307" s="19">
        <v>18.6567</v>
      </c>
      <c r="P307" s="20">
        <v>1368387.0</v>
      </c>
      <c r="Q307" s="21">
        <v>0.8997</v>
      </c>
      <c r="R307" s="21">
        <v>0.75</v>
      </c>
      <c r="S307" s="21">
        <v>0.7989</v>
      </c>
      <c r="T307" s="21">
        <v>0.0787</v>
      </c>
      <c r="U307" s="21">
        <v>0.2246</v>
      </c>
      <c r="V307" s="21">
        <v>334850.1</v>
      </c>
      <c r="W307" s="21">
        <v>6.8268</v>
      </c>
      <c r="X307" s="20">
        <v>9717191.0</v>
      </c>
      <c r="Y307" s="21">
        <v>0.7167</v>
      </c>
      <c r="Z307" s="21">
        <v>0.9085</v>
      </c>
      <c r="AA307" s="19">
        <v>58.8699</v>
      </c>
      <c r="AB307" s="21">
        <v>2.83</v>
      </c>
      <c r="AC307" s="21">
        <v>-71.5308</v>
      </c>
      <c r="AD307" s="21">
        <v>-45.647</v>
      </c>
      <c r="AE307" s="21">
        <v>-39.4049</v>
      </c>
      <c r="AF307" s="21">
        <v>0.7213</v>
      </c>
      <c r="AG307" s="21">
        <v>1.0715</v>
      </c>
      <c r="AH307" s="16" t="b">
        <v>0</v>
      </c>
      <c r="AI307" s="16" t="b">
        <v>1</v>
      </c>
      <c r="AJ307" s="16" t="b">
        <v>0</v>
      </c>
      <c r="AK307" s="22">
        <f>IFERROR(__xludf.DUMMYFUNCTION("IFERROR(GOOGLEFINANCE(B307,""price""),"""")"),0.66)</f>
        <v>0.66</v>
      </c>
    </row>
    <row r="308">
      <c r="A308" s="7">
        <v>46085.62778128309</v>
      </c>
      <c r="B308" s="8" t="s">
        <v>835</v>
      </c>
      <c r="C308" s="8" t="s">
        <v>836</v>
      </c>
      <c r="D308" s="9">
        <v>46089.0</v>
      </c>
      <c r="E308" s="10">
        <v>1.2</v>
      </c>
      <c r="F308" s="8" t="s">
        <v>117</v>
      </c>
      <c r="G308" s="23"/>
      <c r="H308" s="13">
        <v>-1.5218</v>
      </c>
      <c r="I308" s="8" t="s">
        <v>179</v>
      </c>
      <c r="J308" s="13">
        <v>0.3506</v>
      </c>
      <c r="K308" s="8">
        <v>3756965.0</v>
      </c>
      <c r="L308" s="11">
        <v>0.92</v>
      </c>
      <c r="M308" s="11">
        <v>22.7609</v>
      </c>
      <c r="N308" s="8" t="s">
        <v>837</v>
      </c>
      <c r="O308" s="11">
        <v>-3.2258</v>
      </c>
      <c r="P308" s="12">
        <v>361420.0</v>
      </c>
      <c r="Q308" s="13">
        <v>1.2162</v>
      </c>
      <c r="R308" s="13">
        <v>1.12</v>
      </c>
      <c r="S308" s="13">
        <v>1.21</v>
      </c>
      <c r="T308" s="13">
        <v>0.0874</v>
      </c>
      <c r="U308" s="13">
        <v>0.191</v>
      </c>
      <c r="V308" s="13">
        <v>158848.6</v>
      </c>
      <c r="W308" s="13">
        <v>2.8106</v>
      </c>
      <c r="X308" s="12">
        <v>5.0251305E7</v>
      </c>
      <c r="Y308" s="13">
        <v>1.3519</v>
      </c>
      <c r="Z308" s="13">
        <v>1.3761</v>
      </c>
      <c r="AA308" s="11">
        <v>42.4804</v>
      </c>
      <c r="AB308" s="13">
        <v>2.45</v>
      </c>
      <c r="AC308" s="13">
        <v>-510.9313</v>
      </c>
      <c r="AD308" s="23"/>
      <c r="AE308" s="23"/>
      <c r="AF308" s="13">
        <v>0.0</v>
      </c>
      <c r="AG308" s="13">
        <v>90.5302</v>
      </c>
      <c r="AH308" s="8" t="b">
        <v>1</v>
      </c>
      <c r="AI308" s="8" t="b">
        <v>0</v>
      </c>
      <c r="AJ308" s="8" t="b">
        <v>0</v>
      </c>
      <c r="AK308" s="14">
        <f>IFERROR(__xludf.DUMMYFUNCTION("IFERROR(GOOGLEFINANCE(B308,""price""),"""")"),1.0)</f>
        <v>1</v>
      </c>
    </row>
    <row r="309">
      <c r="A309" s="15">
        <v>46085.62778128309</v>
      </c>
      <c r="B309" s="16" t="s">
        <v>838</v>
      </c>
      <c r="C309" s="16" t="s">
        <v>839</v>
      </c>
      <c r="D309" s="17">
        <v>46089.0</v>
      </c>
      <c r="E309" s="18">
        <v>3.71</v>
      </c>
      <c r="F309" s="16" t="s">
        <v>117</v>
      </c>
      <c r="G309" s="24"/>
      <c r="H309" s="21">
        <v>-149.6253</v>
      </c>
      <c r="I309" s="16" t="s">
        <v>175</v>
      </c>
      <c r="J309" s="21">
        <v>0.168</v>
      </c>
      <c r="K309" s="16">
        <v>1277020.0</v>
      </c>
      <c r="L309" s="19">
        <v>0.31</v>
      </c>
      <c r="M309" s="19">
        <v>10.5778</v>
      </c>
      <c r="N309" s="16" t="s">
        <v>840</v>
      </c>
      <c r="O309" s="19">
        <v>3.3426</v>
      </c>
      <c r="P309" s="20">
        <v>523578.0</v>
      </c>
      <c r="Q309" s="21">
        <v>3.79</v>
      </c>
      <c r="R309" s="21">
        <v>3.38</v>
      </c>
      <c r="S309" s="21">
        <v>3.65</v>
      </c>
      <c r="T309" s="21">
        <v>0.3926</v>
      </c>
      <c r="U309" s="21">
        <v>2.5394</v>
      </c>
      <c r="V309" s="21">
        <v>310587.4</v>
      </c>
      <c r="W309" s="21">
        <v>1.8572</v>
      </c>
      <c r="X309" s="20">
        <v>2.9136223E7</v>
      </c>
      <c r="Y309" s="21">
        <v>4.2621</v>
      </c>
      <c r="Z309" s="21">
        <v>30.3737</v>
      </c>
      <c r="AA309" s="19">
        <v>44.8673</v>
      </c>
      <c r="AB309" s="21">
        <v>44.4</v>
      </c>
      <c r="AC309" s="21">
        <v>-40.6354</v>
      </c>
      <c r="AD309" s="24"/>
      <c r="AE309" s="24"/>
      <c r="AF309" s="21">
        <v>0.0</v>
      </c>
      <c r="AG309" s="21">
        <v>1.706</v>
      </c>
      <c r="AH309" s="16" t="b">
        <v>1</v>
      </c>
      <c r="AI309" s="16" t="b">
        <v>0</v>
      </c>
      <c r="AJ309" s="16" t="b">
        <v>0</v>
      </c>
      <c r="AK309" s="22">
        <f>IFERROR(__xludf.DUMMYFUNCTION("IFERROR(GOOGLEFINANCE(B309,""price""),"""")"),3.57)</f>
        <v>3.57</v>
      </c>
    </row>
    <row r="310">
      <c r="A310" s="7">
        <v>46086.62696877789</v>
      </c>
      <c r="B310" s="8" t="s">
        <v>841</v>
      </c>
      <c r="C310" s="8" t="s">
        <v>842</v>
      </c>
      <c r="D310" s="9">
        <v>46089.0</v>
      </c>
      <c r="E310" s="10">
        <v>3.46</v>
      </c>
      <c r="F310" s="8" t="s">
        <v>107</v>
      </c>
      <c r="G310" s="23"/>
      <c r="H310" s="13">
        <v>-14.2153</v>
      </c>
      <c r="I310" s="8" t="s">
        <v>843</v>
      </c>
      <c r="J310" s="13">
        <v>66.0334</v>
      </c>
      <c r="K310" s="8">
        <v>2.231546E7</v>
      </c>
      <c r="L310" s="11">
        <v>0.59</v>
      </c>
      <c r="M310" s="11">
        <v>24.9566</v>
      </c>
      <c r="N310" s="8" t="s">
        <v>844</v>
      </c>
      <c r="O310" s="11">
        <v>6.135</v>
      </c>
      <c r="P310" s="12">
        <v>9595648.0</v>
      </c>
      <c r="Q310" s="13">
        <v>3.53</v>
      </c>
      <c r="R310" s="13">
        <v>3.1</v>
      </c>
      <c r="S310" s="13">
        <v>3.31</v>
      </c>
      <c r="T310" s="13">
        <v>0.2572</v>
      </c>
      <c r="U310" s="13">
        <v>0.8744</v>
      </c>
      <c r="V310" s="13">
        <v>968371.4</v>
      </c>
      <c r="W310" s="13">
        <v>820.6459</v>
      </c>
      <c r="X310" s="12">
        <v>8116184.0</v>
      </c>
      <c r="Y310" s="13">
        <v>3.7309</v>
      </c>
      <c r="Z310" s="13">
        <v>6.2779</v>
      </c>
      <c r="AA310" s="11">
        <v>48.8466</v>
      </c>
      <c r="AB310" s="13">
        <v>13.65</v>
      </c>
      <c r="AC310" s="13">
        <v>-125.9773</v>
      </c>
      <c r="AD310" s="13">
        <v>-147.0526</v>
      </c>
      <c r="AE310" s="13">
        <v>177.6809</v>
      </c>
      <c r="AF310" s="13">
        <v>0.2158</v>
      </c>
      <c r="AG310" s="13">
        <v>0.4109</v>
      </c>
      <c r="AH310" s="8" t="b">
        <v>0</v>
      </c>
      <c r="AI310" s="8" t="b">
        <v>0</v>
      </c>
      <c r="AJ310" s="8" t="b">
        <v>0</v>
      </c>
      <c r="AK310" s="14">
        <f>IFERROR(__xludf.DUMMYFUNCTION("IFERROR(GOOGLEFINANCE(B310,""price""),"""")"),2.95)</f>
        <v>2.95</v>
      </c>
    </row>
    <row r="311">
      <c r="A311" s="15">
        <v>46086.62696877789</v>
      </c>
      <c r="B311" s="16" t="s">
        <v>845</v>
      </c>
      <c r="C311" s="16" t="s">
        <v>846</v>
      </c>
      <c r="D311" s="17">
        <v>46089.0</v>
      </c>
      <c r="E311" s="18">
        <v>1.62</v>
      </c>
      <c r="F311" s="16" t="s">
        <v>117</v>
      </c>
      <c r="G311" s="24"/>
      <c r="H311" s="21">
        <v>-9.6977</v>
      </c>
      <c r="I311" s="16" t="s">
        <v>847</v>
      </c>
      <c r="J311" s="21">
        <v>11.1098</v>
      </c>
      <c r="K311" s="16">
        <v>1.8515708E8</v>
      </c>
      <c r="L311" s="19">
        <v>0.52</v>
      </c>
      <c r="M311" s="19">
        <v>16.1606</v>
      </c>
      <c r="N311" s="16" t="s">
        <v>848</v>
      </c>
      <c r="O311" s="19">
        <v>-1.8182</v>
      </c>
      <c r="P311" s="20">
        <v>4.628927E7</v>
      </c>
      <c r="Q311" s="21">
        <v>1.83</v>
      </c>
      <c r="R311" s="21">
        <v>1.58</v>
      </c>
      <c r="S311" s="21">
        <v>1.815</v>
      </c>
      <c r="T311" s="21">
        <v>0.1222</v>
      </c>
      <c r="U311" s="21">
        <v>0.4678</v>
      </c>
      <c r="V311" s="16">
        <v>4876821.0</v>
      </c>
      <c r="W311" s="21">
        <v>171.4469</v>
      </c>
      <c r="X311" s="20">
        <v>3.5428572E7</v>
      </c>
      <c r="Y311" s="21">
        <v>1.702</v>
      </c>
      <c r="Z311" s="21">
        <v>3.4131</v>
      </c>
      <c r="AA311" s="19">
        <v>47.5583</v>
      </c>
      <c r="AB311" s="21">
        <v>8.08</v>
      </c>
      <c r="AC311" s="24"/>
      <c r="AD311" s="21">
        <v>-6599.3351</v>
      </c>
      <c r="AE311" s="21">
        <v>-66.9596</v>
      </c>
      <c r="AF311" s="24"/>
      <c r="AG311" s="21">
        <v>1.1746</v>
      </c>
      <c r="AH311" s="16" t="b">
        <v>0</v>
      </c>
      <c r="AI311" s="16" t="b">
        <v>0</v>
      </c>
      <c r="AJ311" s="16" t="b">
        <v>0</v>
      </c>
      <c r="AK311" s="22">
        <f>IFERROR(__xludf.DUMMYFUNCTION("IFERROR(GOOGLEFINANCE(B311,""price""),"""")"),1.06)</f>
        <v>1.06</v>
      </c>
    </row>
    <row r="312">
      <c r="A312" s="7">
        <v>46086.62696877789</v>
      </c>
      <c r="B312" s="8" t="s">
        <v>849</v>
      </c>
      <c r="C312" s="8" t="s">
        <v>850</v>
      </c>
      <c r="D312" s="9">
        <v>46089.0</v>
      </c>
      <c r="E312" s="10">
        <v>1.61</v>
      </c>
      <c r="F312" s="8" t="s">
        <v>308</v>
      </c>
      <c r="G312" s="23"/>
      <c r="H312" s="13">
        <v>-3.2325</v>
      </c>
      <c r="I312" s="8" t="s">
        <v>851</v>
      </c>
      <c r="J312" s="13">
        <v>6.3554</v>
      </c>
      <c r="K312" s="8">
        <v>3803527.0</v>
      </c>
      <c r="L312" s="11">
        <v>0.46</v>
      </c>
      <c r="M312" s="11">
        <v>24.2634</v>
      </c>
      <c r="N312" s="8" t="s">
        <v>852</v>
      </c>
      <c r="O312" s="11">
        <v>-4.7337</v>
      </c>
      <c r="P312" s="12">
        <v>1255164.0</v>
      </c>
      <c r="Q312" s="13">
        <v>1.72</v>
      </c>
      <c r="R312" s="13">
        <v>1.39</v>
      </c>
      <c r="S312" s="13">
        <v>1.7</v>
      </c>
      <c r="T312" s="13">
        <v>0.1515</v>
      </c>
      <c r="U312" s="13">
        <v>0.6642</v>
      </c>
      <c r="V312" s="13">
        <v>134844.3</v>
      </c>
      <c r="W312" s="13">
        <v>130.2659</v>
      </c>
      <c r="X312" s="12">
        <v>1.7179332E7</v>
      </c>
      <c r="Y312" s="13">
        <v>1.6975</v>
      </c>
      <c r="Z312" s="13">
        <v>11.947</v>
      </c>
      <c r="AA312" s="11">
        <v>42.0041</v>
      </c>
      <c r="AB312" s="13">
        <v>22.88</v>
      </c>
      <c r="AC312" s="13">
        <v>-301.514</v>
      </c>
      <c r="AD312" s="13">
        <v>41.6968</v>
      </c>
      <c r="AE312" s="13">
        <v>-72.0087</v>
      </c>
      <c r="AF312" s="13">
        <v>0.6754</v>
      </c>
      <c r="AG312" s="13">
        <v>0.4798</v>
      </c>
      <c r="AH312" s="8" t="b">
        <v>1</v>
      </c>
      <c r="AI312" s="8" t="b">
        <v>0</v>
      </c>
      <c r="AJ312" s="8" t="b">
        <v>0</v>
      </c>
      <c r="AK312" s="14">
        <f>IFERROR(__xludf.DUMMYFUNCTION("IFERROR(GOOGLEFINANCE(B312,""price""),"""")"),1.91)</f>
        <v>1.91</v>
      </c>
    </row>
    <row r="313">
      <c r="A313" s="15">
        <v>46086.62696877789</v>
      </c>
      <c r="B313" s="16" t="s">
        <v>853</v>
      </c>
      <c r="C313" s="16" t="s">
        <v>854</v>
      </c>
      <c r="D313" s="17">
        <v>46089.0</v>
      </c>
      <c r="E313" s="18">
        <v>1.235</v>
      </c>
      <c r="F313" s="16" t="s">
        <v>286</v>
      </c>
      <c r="G313" s="24"/>
      <c r="H313" s="21">
        <v>-0.8632</v>
      </c>
      <c r="I313" s="16" t="s">
        <v>620</v>
      </c>
      <c r="J313" s="21">
        <v>1.1019</v>
      </c>
      <c r="K313" s="16">
        <v>2.886726E7</v>
      </c>
      <c r="L313" s="19">
        <v>0.97</v>
      </c>
      <c r="M313" s="19">
        <v>19.5308</v>
      </c>
      <c r="N313" s="16" t="s">
        <v>855</v>
      </c>
      <c r="O313" s="19">
        <v>-0.4032</v>
      </c>
      <c r="P313" s="20">
        <v>811170.0</v>
      </c>
      <c r="Q313" s="21">
        <v>1.2581</v>
      </c>
      <c r="R313" s="21">
        <v>1.23</v>
      </c>
      <c r="S313" s="21">
        <v>1.25</v>
      </c>
      <c r="T313" s="21">
        <v>0.0927</v>
      </c>
      <c r="U313" s="21">
        <v>0.1906</v>
      </c>
      <c r="V313" s="21">
        <v>400587.1</v>
      </c>
      <c r="W313" s="21">
        <v>2.5071</v>
      </c>
      <c r="X313" s="20">
        <v>2.6833037E7</v>
      </c>
      <c r="Y313" s="21">
        <v>1.5409</v>
      </c>
      <c r="Z313" s="21">
        <v>1.6774</v>
      </c>
      <c r="AA313" s="19">
        <v>26.2007</v>
      </c>
      <c r="AB313" s="21">
        <v>2.82</v>
      </c>
      <c r="AC313" s="21">
        <v>-48.2553</v>
      </c>
      <c r="AD313" s="21">
        <v>-1.1125</v>
      </c>
      <c r="AE313" s="21">
        <v>-2.0653</v>
      </c>
      <c r="AF313" s="21">
        <v>1.5655</v>
      </c>
      <c r="AG313" s="21">
        <v>1.2682</v>
      </c>
      <c r="AH313" s="16" t="b">
        <v>0</v>
      </c>
      <c r="AI313" s="16" t="b">
        <v>0</v>
      </c>
      <c r="AJ313" s="16" t="b">
        <v>1</v>
      </c>
      <c r="AK313" s="22">
        <f>IFERROR(__xludf.DUMMYFUNCTION("IFERROR(GOOGLEFINANCE(B313,""price""),"""")"),1.25)</f>
        <v>1.25</v>
      </c>
    </row>
    <row r="314">
      <c r="A314" s="7">
        <v>46086.62696877789</v>
      </c>
      <c r="B314" s="8" t="s">
        <v>856</v>
      </c>
      <c r="C314" s="8" t="s">
        <v>857</v>
      </c>
      <c r="D314" s="9">
        <v>46089.0</v>
      </c>
      <c r="E314" s="10">
        <v>0.7935</v>
      </c>
      <c r="F314" s="8" t="s">
        <v>335</v>
      </c>
      <c r="G314" s="23"/>
      <c r="H314" s="13">
        <v>-0.0578</v>
      </c>
      <c r="I314" s="8" t="s">
        <v>179</v>
      </c>
      <c r="J314" s="13">
        <v>0.4453</v>
      </c>
      <c r="K314" s="8">
        <v>1.8843939E7</v>
      </c>
      <c r="L314" s="11">
        <v>0.94</v>
      </c>
      <c r="M314" s="11">
        <v>24.8948</v>
      </c>
      <c r="N314" s="8" t="s">
        <v>858</v>
      </c>
      <c r="O314" s="11">
        <v>0.5703</v>
      </c>
      <c r="P314" s="12">
        <v>731126.0</v>
      </c>
      <c r="Q314" s="13">
        <v>0.8088</v>
      </c>
      <c r="R314" s="13">
        <v>0.77</v>
      </c>
      <c r="S314" s="13">
        <v>0.8</v>
      </c>
      <c r="T314" s="13">
        <v>0.0408</v>
      </c>
      <c r="U314" s="13">
        <v>0.0866</v>
      </c>
      <c r="V314" s="13">
        <v>391313.4</v>
      </c>
      <c r="W314" s="13">
        <v>2.1774</v>
      </c>
      <c r="X314" s="12">
        <v>7.2130196E7</v>
      </c>
      <c r="Y314" s="13">
        <v>0.7318</v>
      </c>
      <c r="Z314" s="13">
        <v>0.6988</v>
      </c>
      <c r="AA314" s="11">
        <v>58.9598</v>
      </c>
      <c r="AB314" s="13">
        <v>0.9</v>
      </c>
      <c r="AC314" s="13">
        <v>-20.2068</v>
      </c>
      <c r="AD314" s="23"/>
      <c r="AE314" s="23"/>
      <c r="AF314" s="13">
        <v>7.0E-4</v>
      </c>
      <c r="AG314" s="13">
        <v>17.2577</v>
      </c>
      <c r="AH314" s="8" t="b">
        <v>1</v>
      </c>
      <c r="AI314" s="8" t="b">
        <v>0</v>
      </c>
      <c r="AJ314" s="8" t="b">
        <v>0</v>
      </c>
      <c r="AK314" s="14">
        <f>IFERROR(__xludf.DUMMYFUNCTION("IFERROR(GOOGLEFINANCE(B314,""price""),"""")"),0.86)</f>
        <v>0.86</v>
      </c>
    </row>
    <row r="315">
      <c r="A315" s="15">
        <v>46086.62696877789</v>
      </c>
      <c r="B315" s="16" t="s">
        <v>859</v>
      </c>
      <c r="C315" s="16" t="s">
        <v>860</v>
      </c>
      <c r="D315" s="17">
        <v>46089.0</v>
      </c>
      <c r="E315" s="18">
        <v>2.845</v>
      </c>
      <c r="F315" s="16" t="s">
        <v>308</v>
      </c>
      <c r="G315" s="24"/>
      <c r="H315" s="21">
        <v>-0.8207</v>
      </c>
      <c r="I315" s="16" t="s">
        <v>138</v>
      </c>
      <c r="J315" s="21">
        <v>0.2021</v>
      </c>
      <c r="K315" s="16">
        <v>3541935.0</v>
      </c>
      <c r="L315" s="19">
        <v>0.95</v>
      </c>
      <c r="M315" s="19">
        <v>18.4568</v>
      </c>
      <c r="N315" s="16" t="s">
        <v>861</v>
      </c>
      <c r="O315" s="19">
        <v>6.1567</v>
      </c>
      <c r="P315" s="20">
        <v>761516.0</v>
      </c>
      <c r="Q315" s="21">
        <v>3.005</v>
      </c>
      <c r="R315" s="21">
        <v>2.79</v>
      </c>
      <c r="S315" s="21">
        <v>2.85</v>
      </c>
      <c r="T315" s="21">
        <v>0.1637</v>
      </c>
      <c r="U315" s="21">
        <v>0.344</v>
      </c>
      <c r="V315" s="21">
        <v>524057.1</v>
      </c>
      <c r="W315" s="21">
        <v>1.5275</v>
      </c>
      <c r="X315" s="20">
        <v>1.02368289E8</v>
      </c>
      <c r="Y315" s="21">
        <v>2.8393</v>
      </c>
      <c r="Z315" s="21">
        <v>3.1323</v>
      </c>
      <c r="AA315" s="19">
        <v>51.7532</v>
      </c>
      <c r="AB315" s="21">
        <v>4.57</v>
      </c>
      <c r="AC315" s="21">
        <v>-6.0935</v>
      </c>
      <c r="AD315" s="21">
        <v>-20.175</v>
      </c>
      <c r="AE315" s="21">
        <v>-23.4895</v>
      </c>
      <c r="AF315" s="21">
        <v>0.1882</v>
      </c>
      <c r="AG315" s="21">
        <v>4.0741</v>
      </c>
      <c r="AH315" s="16" t="b">
        <v>0</v>
      </c>
      <c r="AI315" s="16" t="b">
        <v>1</v>
      </c>
      <c r="AJ315" s="16" t="b">
        <v>0</v>
      </c>
      <c r="AK315" s="22">
        <f>IFERROR(__xludf.DUMMYFUNCTION("IFERROR(GOOGLEFINANCE(B315,""price""),"""")"),2.99)</f>
        <v>2.99</v>
      </c>
    </row>
    <row r="316">
      <c r="A316" s="7">
        <v>46086.62696877789</v>
      </c>
      <c r="B316" s="8" t="s">
        <v>862</v>
      </c>
      <c r="C316" s="8" t="s">
        <v>863</v>
      </c>
      <c r="D316" s="9">
        <v>46089.0</v>
      </c>
      <c r="E316" s="10">
        <v>1.4493</v>
      </c>
      <c r="F316" s="8" t="s">
        <v>102</v>
      </c>
      <c r="G316" s="23"/>
      <c r="H316" s="13">
        <v>-1.2289</v>
      </c>
      <c r="I316" s="8" t="s">
        <v>138</v>
      </c>
      <c r="J316" s="13">
        <v>0.1966</v>
      </c>
      <c r="K316" s="8">
        <v>2582340.0</v>
      </c>
      <c r="L316" s="11">
        <v>0.89</v>
      </c>
      <c r="M316" s="11">
        <v>21.954</v>
      </c>
      <c r="N316" s="8" t="s">
        <v>864</v>
      </c>
      <c r="O316" s="11">
        <v>-5.2745</v>
      </c>
      <c r="P316" s="12">
        <v>516468.0</v>
      </c>
      <c r="Q316" s="13">
        <v>1.63</v>
      </c>
      <c r="R316" s="13">
        <v>1.43</v>
      </c>
      <c r="S316" s="13">
        <v>1.45</v>
      </c>
      <c r="T316" s="13">
        <v>0.1064</v>
      </c>
      <c r="U316" s="13">
        <v>0.2381</v>
      </c>
      <c r="V316" s="13">
        <v>228863.1</v>
      </c>
      <c r="W316" s="13">
        <v>2.7134</v>
      </c>
      <c r="X316" s="12">
        <v>7.2748783E7</v>
      </c>
      <c r="Y316" s="13">
        <v>1.4868</v>
      </c>
      <c r="Z316" s="13">
        <v>1.8434</v>
      </c>
      <c r="AA316" s="11">
        <v>39.7327</v>
      </c>
      <c r="AB316" s="13">
        <v>2.74</v>
      </c>
      <c r="AC316" s="13">
        <v>-21.6293</v>
      </c>
      <c r="AD316" s="13">
        <v>-5.983</v>
      </c>
      <c r="AE316" s="13">
        <v>-9.8458</v>
      </c>
      <c r="AF316" s="13">
        <v>1.4435</v>
      </c>
      <c r="AG316" s="13">
        <v>1.8265</v>
      </c>
      <c r="AH316" s="8" t="b">
        <v>0</v>
      </c>
      <c r="AI316" s="8" t="b">
        <v>1</v>
      </c>
      <c r="AJ316" s="8" t="b">
        <v>0</v>
      </c>
      <c r="AK316" s="14">
        <f>IFERROR(__xludf.DUMMYFUNCTION("IFERROR(GOOGLEFINANCE(B316,""price""),"""")"),1.52)</f>
        <v>1.52</v>
      </c>
    </row>
    <row r="317">
      <c r="A317" s="15">
        <v>46086.62696877789</v>
      </c>
      <c r="B317" s="16" t="s">
        <v>295</v>
      </c>
      <c r="C317" s="16" t="s">
        <v>296</v>
      </c>
      <c r="D317" s="17">
        <v>46089.0</v>
      </c>
      <c r="E317" s="18">
        <v>0.8799</v>
      </c>
      <c r="F317" s="16" t="s">
        <v>88</v>
      </c>
      <c r="G317" s="24"/>
      <c r="H317" s="21">
        <v>-1.0654</v>
      </c>
      <c r="I317" s="16" t="s">
        <v>175</v>
      </c>
      <c r="J317" s="21">
        <v>0.1308</v>
      </c>
      <c r="K317" s="16">
        <v>6688059.0</v>
      </c>
      <c r="L317" s="19">
        <v>0.69</v>
      </c>
      <c r="M317" s="19">
        <v>22.6772</v>
      </c>
      <c r="N317" s="16" t="s">
        <v>298</v>
      </c>
      <c r="O317" s="19">
        <v>0.1936</v>
      </c>
      <c r="P317" s="20">
        <v>912920.0</v>
      </c>
      <c r="Q317" s="21">
        <v>0.91</v>
      </c>
      <c r="R317" s="21">
        <v>0.7735</v>
      </c>
      <c r="S317" s="21">
        <v>0.91</v>
      </c>
      <c r="T317" s="21">
        <v>0.0851</v>
      </c>
      <c r="U317" s="21">
        <v>0.2469</v>
      </c>
      <c r="V317" s="21">
        <v>492264.7</v>
      </c>
      <c r="W317" s="21">
        <v>2.0298</v>
      </c>
      <c r="X317" s="20">
        <v>8.4004778E7</v>
      </c>
      <c r="Y317" s="21">
        <v>0.7232</v>
      </c>
      <c r="Z317" s="21">
        <v>1.6475</v>
      </c>
      <c r="AA317" s="19">
        <v>63.313</v>
      </c>
      <c r="AB317" s="21">
        <v>4.49</v>
      </c>
      <c r="AC317" s="21">
        <v>-23.8484</v>
      </c>
      <c r="AD317" s="21">
        <v>0.0276</v>
      </c>
      <c r="AE317" s="21">
        <v>30.9117</v>
      </c>
      <c r="AF317" s="21">
        <v>1.2485</v>
      </c>
      <c r="AG317" s="21">
        <v>1.084</v>
      </c>
      <c r="AH317" s="16" t="b">
        <v>1</v>
      </c>
      <c r="AI317" s="16" t="b">
        <v>0</v>
      </c>
      <c r="AJ317" s="16" t="b">
        <v>0</v>
      </c>
      <c r="AK317" s="22">
        <f>IFERROR(__xludf.DUMMYFUNCTION("IFERROR(GOOGLEFINANCE(B317,""price""),"""")"),0.64)</f>
        <v>0.64</v>
      </c>
    </row>
    <row r="318">
      <c r="A318" s="7">
        <v>46087.62607687221</v>
      </c>
      <c r="B318" s="8" t="s">
        <v>607</v>
      </c>
      <c r="C318" s="8" t="s">
        <v>608</v>
      </c>
      <c r="D318" s="9">
        <v>46089.0</v>
      </c>
      <c r="E318" s="10">
        <v>4.35</v>
      </c>
      <c r="F318" s="8" t="s">
        <v>186</v>
      </c>
      <c r="G318" s="13">
        <v>6.7327</v>
      </c>
      <c r="H318" s="13">
        <v>0.6461</v>
      </c>
      <c r="I318" s="8" t="s">
        <v>865</v>
      </c>
      <c r="J318" s="13">
        <v>8.2111</v>
      </c>
      <c r="K318" s="8">
        <v>1.5930494E7</v>
      </c>
      <c r="L318" s="11">
        <v>0.25</v>
      </c>
      <c r="M318" s="11">
        <v>25.4195</v>
      </c>
      <c r="N318" s="8" t="s">
        <v>609</v>
      </c>
      <c r="O318" s="11">
        <v>66.0305</v>
      </c>
      <c r="P318" s="12">
        <v>2.3577131E7</v>
      </c>
      <c r="Q318" s="13">
        <v>4.92</v>
      </c>
      <c r="R318" s="13">
        <v>3.44</v>
      </c>
      <c r="S318" s="13">
        <v>3.75</v>
      </c>
      <c r="T318" s="13">
        <v>0.5654</v>
      </c>
      <c r="U318" s="13">
        <v>4.4639</v>
      </c>
      <c r="V318" s="8">
        <v>2375216.0</v>
      </c>
      <c r="W318" s="13">
        <v>279.3668</v>
      </c>
      <c r="X318" s="12">
        <v>8760721.0</v>
      </c>
      <c r="Y318" s="13">
        <v>3.2317</v>
      </c>
      <c r="Z318" s="23"/>
      <c r="AA318" s="11">
        <v>71.023</v>
      </c>
      <c r="AB318" s="13">
        <v>102.18</v>
      </c>
      <c r="AC318" s="13">
        <v>72.5168</v>
      </c>
      <c r="AD318" s="13">
        <v>11.1587</v>
      </c>
      <c r="AE318" s="13">
        <v>-0.8198</v>
      </c>
      <c r="AF318" s="13">
        <v>1.8407</v>
      </c>
      <c r="AG318" s="13">
        <v>0.9005</v>
      </c>
      <c r="AH318" s="8" t="b">
        <v>0</v>
      </c>
      <c r="AI318" s="8" t="b">
        <v>0</v>
      </c>
      <c r="AJ318" s="8" t="b">
        <v>0</v>
      </c>
      <c r="AK318" s="14">
        <f>IFERROR(__xludf.DUMMYFUNCTION("IFERROR(GOOGLEFINANCE(B318,""price""),"""")"),2.3)</f>
        <v>2.3</v>
      </c>
    </row>
    <row r="319">
      <c r="A319" s="15">
        <v>46087.62607687221</v>
      </c>
      <c r="B319" s="16" t="s">
        <v>351</v>
      </c>
      <c r="C319" s="16" t="s">
        <v>352</v>
      </c>
      <c r="D319" s="17">
        <v>46089.0</v>
      </c>
      <c r="E319" s="18">
        <v>0.8093</v>
      </c>
      <c r="F319" s="16" t="s">
        <v>93</v>
      </c>
      <c r="G319" s="24"/>
      <c r="H319" s="24"/>
      <c r="I319" s="16" t="s">
        <v>866</v>
      </c>
      <c r="J319" s="21">
        <v>3.3985</v>
      </c>
      <c r="K319" s="16">
        <v>1.24265233E8</v>
      </c>
      <c r="L319" s="19">
        <v>0.37</v>
      </c>
      <c r="M319" s="19">
        <v>14.5994</v>
      </c>
      <c r="N319" s="16" t="s">
        <v>354</v>
      </c>
      <c r="O319" s="19">
        <v>25.8044</v>
      </c>
      <c r="P319" s="20">
        <v>2.1584871E7</v>
      </c>
      <c r="Q319" s="21">
        <v>0.8878</v>
      </c>
      <c r="R319" s="21">
        <v>0.7141</v>
      </c>
      <c r="S319" s="21">
        <v>0.8129</v>
      </c>
      <c r="T319" s="21">
        <v>0.1105</v>
      </c>
      <c r="U319" s="21">
        <v>0.5938</v>
      </c>
      <c r="V319" s="16">
        <v>2439987.0</v>
      </c>
      <c r="W319" s="21">
        <v>72.9413</v>
      </c>
      <c r="X319" s="20">
        <v>5.0535728E7</v>
      </c>
      <c r="Y319" s="21">
        <v>0.962</v>
      </c>
      <c r="Z319" s="21">
        <v>2.3189</v>
      </c>
      <c r="AA319" s="19">
        <v>49.8337</v>
      </c>
      <c r="AB319" s="21">
        <v>8.37</v>
      </c>
      <c r="AC319" s="24"/>
      <c r="AD319" s="24"/>
      <c r="AE319" s="24"/>
      <c r="AF319" s="24"/>
      <c r="AG319" s="24"/>
      <c r="AH319" s="16" t="b">
        <v>0</v>
      </c>
      <c r="AI319" s="16" t="b">
        <v>1</v>
      </c>
      <c r="AJ319" s="16" t="b">
        <v>0</v>
      </c>
      <c r="AK319" s="22">
        <f>IFERROR(__xludf.DUMMYFUNCTION("IFERROR(GOOGLEFINANCE(B319,""price""),"""")"),0.54)</f>
        <v>0.54</v>
      </c>
    </row>
    <row r="320">
      <c r="A320" s="7">
        <v>46087.62607687221</v>
      </c>
      <c r="B320" s="8" t="s">
        <v>867</v>
      </c>
      <c r="C320" s="8" t="s">
        <v>868</v>
      </c>
      <c r="D320" s="9">
        <v>46089.0</v>
      </c>
      <c r="E320" s="10">
        <v>2.95</v>
      </c>
      <c r="F320" s="8" t="s">
        <v>308</v>
      </c>
      <c r="G320" s="23"/>
      <c r="H320" s="13">
        <v>-0.8954</v>
      </c>
      <c r="I320" s="8" t="s">
        <v>869</v>
      </c>
      <c r="J320" s="13">
        <v>2.1327</v>
      </c>
      <c r="K320" s="8">
        <v>2978047.0</v>
      </c>
      <c r="L320" s="11">
        <v>0.47</v>
      </c>
      <c r="M320" s="11">
        <v>15.1858</v>
      </c>
      <c r="N320" s="8" t="s">
        <v>870</v>
      </c>
      <c r="O320" s="11">
        <v>0.0</v>
      </c>
      <c r="P320" s="12">
        <v>565829.0</v>
      </c>
      <c r="Q320" s="13">
        <v>3.09</v>
      </c>
      <c r="R320" s="13">
        <v>2.9</v>
      </c>
      <c r="S320" s="13">
        <v>2.95</v>
      </c>
      <c r="T320" s="13">
        <v>0.1948</v>
      </c>
      <c r="U320" s="13">
        <v>0.8262</v>
      </c>
      <c r="V320" s="13">
        <v>96151.6</v>
      </c>
      <c r="W320" s="13">
        <v>13.7362</v>
      </c>
      <c r="X320" s="12">
        <v>6.9536903E7</v>
      </c>
      <c r="Y320" s="13">
        <v>3.2523</v>
      </c>
      <c r="Z320" s="13">
        <v>4.5592</v>
      </c>
      <c r="AA320" s="11">
        <v>41.4107</v>
      </c>
      <c r="AB320" s="13">
        <v>31.48</v>
      </c>
      <c r="AC320" s="13">
        <v>-21.4436</v>
      </c>
      <c r="AD320" s="13">
        <v>-322.0152</v>
      </c>
      <c r="AE320" s="23"/>
      <c r="AF320" s="13">
        <v>1.1047</v>
      </c>
      <c r="AG320" s="13">
        <v>1.8124</v>
      </c>
      <c r="AH320" s="8" t="b">
        <v>0</v>
      </c>
      <c r="AI320" s="8" t="b">
        <v>1</v>
      </c>
      <c r="AJ320" s="8" t="b">
        <v>0</v>
      </c>
      <c r="AK320" s="14">
        <f>IFERROR(__xludf.DUMMYFUNCTION("IFERROR(GOOGLEFINANCE(B320,""price""),"""")"),3.07)</f>
        <v>3.07</v>
      </c>
    </row>
    <row r="321">
      <c r="A321" s="15">
        <v>46087.62607687221</v>
      </c>
      <c r="B321" s="16" t="s">
        <v>871</v>
      </c>
      <c r="C321" s="16" t="s">
        <v>872</v>
      </c>
      <c r="D321" s="17">
        <v>46089.0</v>
      </c>
      <c r="E321" s="18">
        <v>1.265</v>
      </c>
      <c r="F321" s="16" t="s">
        <v>873</v>
      </c>
      <c r="G321" s="24"/>
      <c r="H321" s="21">
        <v>-2.415</v>
      </c>
      <c r="I321" s="16" t="s">
        <v>301</v>
      </c>
      <c r="J321" s="21">
        <v>2.0603</v>
      </c>
      <c r="K321" s="16">
        <v>1766338.0</v>
      </c>
      <c r="L321" s="19">
        <v>0.62</v>
      </c>
      <c r="M321" s="19">
        <v>21.6775</v>
      </c>
      <c r="N321" s="16" t="s">
        <v>874</v>
      </c>
      <c r="O321" s="19">
        <v>-31.9892</v>
      </c>
      <c r="P321" s="20">
        <v>423921.0</v>
      </c>
      <c r="Q321" s="21">
        <v>1.36</v>
      </c>
      <c r="R321" s="21">
        <v>1.12</v>
      </c>
      <c r="S321" s="21">
        <v>1.2</v>
      </c>
      <c r="T321" s="21">
        <v>0.252</v>
      </c>
      <c r="U321" s="21">
        <v>0.8116</v>
      </c>
      <c r="V321" s="21">
        <v>52031.0</v>
      </c>
      <c r="W321" s="21">
        <v>39.0887</v>
      </c>
      <c r="X321" s="20">
        <v>3661439.0</v>
      </c>
      <c r="Y321" s="21">
        <v>2.302</v>
      </c>
      <c r="Z321" s="21">
        <v>4.2188</v>
      </c>
      <c r="AA321" s="19">
        <v>21.3521</v>
      </c>
      <c r="AB321" s="21">
        <v>8.96</v>
      </c>
      <c r="AC321" s="21">
        <v>-344.7274</v>
      </c>
      <c r="AD321" s="21">
        <v>-108.7993</v>
      </c>
      <c r="AE321" s="21">
        <v>-18.8916</v>
      </c>
      <c r="AF321" s="21">
        <v>0.2566</v>
      </c>
      <c r="AG321" s="21">
        <v>1.2699</v>
      </c>
      <c r="AH321" s="16" t="b">
        <v>0</v>
      </c>
      <c r="AI321" s="16" t="b">
        <v>0</v>
      </c>
      <c r="AJ321" s="16" t="b">
        <v>0</v>
      </c>
      <c r="AK321" s="22">
        <f>IFERROR(__xludf.DUMMYFUNCTION("IFERROR(GOOGLEFINANCE(B321,""price""),"""")"),0.35)</f>
        <v>0.35</v>
      </c>
    </row>
    <row r="322">
      <c r="A322" s="7">
        <v>46087.62607687221</v>
      </c>
      <c r="B322" s="8" t="s">
        <v>767</v>
      </c>
      <c r="C322" s="8" t="s">
        <v>768</v>
      </c>
      <c r="D322" s="9">
        <v>46089.0</v>
      </c>
      <c r="E322" s="10">
        <v>0.871</v>
      </c>
      <c r="F322" s="8" t="s">
        <v>88</v>
      </c>
      <c r="G322" s="23"/>
      <c r="H322" s="13">
        <v>-0.3304</v>
      </c>
      <c r="I322" s="8" t="s">
        <v>118</v>
      </c>
      <c r="J322" s="13">
        <v>0.4427</v>
      </c>
      <c r="K322" s="8">
        <v>5.3138353E7</v>
      </c>
      <c r="L322" s="11">
        <v>0.74</v>
      </c>
      <c r="M322" s="11">
        <v>10.6752</v>
      </c>
      <c r="N322" s="8" t="s">
        <v>769</v>
      </c>
      <c r="O322" s="11">
        <v>-4.3328</v>
      </c>
      <c r="P322" s="12">
        <v>2258380.0</v>
      </c>
      <c r="Q322" s="13">
        <v>0.8925</v>
      </c>
      <c r="R322" s="13">
        <v>0.85</v>
      </c>
      <c r="S322" s="13">
        <v>0.87</v>
      </c>
      <c r="T322" s="13">
        <v>0.0605</v>
      </c>
      <c r="U322" s="13">
        <v>0.1632</v>
      </c>
      <c r="V322" s="8">
        <v>1211619.0</v>
      </c>
      <c r="W322" s="13">
        <v>2.1601</v>
      </c>
      <c r="X322" s="12">
        <v>1.64292936E8</v>
      </c>
      <c r="Y322" s="13">
        <v>1.0113</v>
      </c>
      <c r="Z322" s="13">
        <v>1.2183</v>
      </c>
      <c r="AA322" s="11">
        <v>37.3504</v>
      </c>
      <c r="AB322" s="13">
        <v>1.9</v>
      </c>
      <c r="AC322" s="13">
        <v>-136.5066</v>
      </c>
      <c r="AD322" s="13">
        <v>-19.3896</v>
      </c>
      <c r="AE322" s="13">
        <v>-5.9102</v>
      </c>
      <c r="AF322" s="13">
        <v>1.1429</v>
      </c>
      <c r="AG322" s="13">
        <v>2.2702</v>
      </c>
      <c r="AH322" s="8" t="b">
        <v>0</v>
      </c>
      <c r="AI322" s="8" t="b">
        <v>1</v>
      </c>
      <c r="AJ322" s="8" t="b">
        <v>0</v>
      </c>
      <c r="AK322" s="14">
        <f>IFERROR(__xludf.DUMMYFUNCTION("IFERROR(GOOGLEFINANCE(B322,""price""),"""")"),0.87)</f>
        <v>0.87</v>
      </c>
    </row>
    <row r="323">
      <c r="A323" s="15">
        <v>46087.62607687221</v>
      </c>
      <c r="B323" s="16" t="s">
        <v>856</v>
      </c>
      <c r="C323" s="16" t="s">
        <v>857</v>
      </c>
      <c r="D323" s="17">
        <v>46089.0</v>
      </c>
      <c r="E323" s="18">
        <v>0.8151</v>
      </c>
      <c r="F323" s="16" t="s">
        <v>335</v>
      </c>
      <c r="G323" s="24"/>
      <c r="H323" s="21">
        <v>-0.0438</v>
      </c>
      <c r="I323" s="16" t="s">
        <v>226</v>
      </c>
      <c r="J323" s="21">
        <v>0.3717</v>
      </c>
      <c r="K323" s="16">
        <v>1.7898418E7</v>
      </c>
      <c r="L323" s="19">
        <v>0.95</v>
      </c>
      <c r="M323" s="19">
        <v>25.0358</v>
      </c>
      <c r="N323" s="16" t="s">
        <v>858</v>
      </c>
      <c r="O323" s="19">
        <v>2.5283</v>
      </c>
      <c r="P323" s="20">
        <v>984413.0</v>
      </c>
      <c r="Q323" s="21">
        <v>0.825</v>
      </c>
      <c r="R323" s="21">
        <v>0.77</v>
      </c>
      <c r="S323" s="21">
        <v>0.81</v>
      </c>
      <c r="T323" s="21">
        <v>0.0418</v>
      </c>
      <c r="U323" s="21">
        <v>0.0878</v>
      </c>
      <c r="V323" s="21">
        <v>469779.0</v>
      </c>
      <c r="W323" s="21">
        <v>2.5078</v>
      </c>
      <c r="X323" s="20">
        <v>7.4093669E7</v>
      </c>
      <c r="Y323" s="21">
        <v>0.7352</v>
      </c>
      <c r="Z323" s="21">
        <v>0.7</v>
      </c>
      <c r="AA323" s="19">
        <v>62.6561</v>
      </c>
      <c r="AB323" s="21">
        <v>0.9</v>
      </c>
      <c r="AC323" s="21">
        <v>-16.245</v>
      </c>
      <c r="AD323" s="24"/>
      <c r="AE323" s="24"/>
      <c r="AF323" s="21">
        <v>3.0E-4</v>
      </c>
      <c r="AG323" s="21">
        <v>37.2558</v>
      </c>
      <c r="AH323" s="16" t="b">
        <v>1</v>
      </c>
      <c r="AI323" s="16" t="b">
        <v>1</v>
      </c>
      <c r="AJ323" s="16" t="b">
        <v>0</v>
      </c>
      <c r="AK323" s="22">
        <f>IFERROR(__xludf.DUMMYFUNCTION("IFERROR(GOOGLEFINANCE(B323,""price""),"""")"),0.86)</f>
        <v>0.86</v>
      </c>
    </row>
    <row r="324">
      <c r="A324" s="7">
        <v>46087.62607687221</v>
      </c>
      <c r="B324" s="8" t="s">
        <v>875</v>
      </c>
      <c r="C324" s="8" t="s">
        <v>876</v>
      </c>
      <c r="D324" s="9">
        <v>46089.0</v>
      </c>
      <c r="E324" s="10">
        <v>1.535</v>
      </c>
      <c r="F324" s="8" t="s">
        <v>137</v>
      </c>
      <c r="G324" s="23"/>
      <c r="H324" s="13">
        <v>-8.068</v>
      </c>
      <c r="I324" s="8" t="s">
        <v>118</v>
      </c>
      <c r="J324" s="13">
        <v>0.2483</v>
      </c>
      <c r="K324" s="8">
        <v>7.405985E7</v>
      </c>
      <c r="L324" s="11">
        <v>0.1</v>
      </c>
      <c r="M324" s="11">
        <v>12.657</v>
      </c>
      <c r="N324" s="8" t="s">
        <v>877</v>
      </c>
      <c r="O324" s="11">
        <v>17.1756</v>
      </c>
      <c r="P324" s="12">
        <v>1.7774364E7</v>
      </c>
      <c r="Q324" s="13">
        <v>1.64</v>
      </c>
      <c r="R324" s="13">
        <v>1.4</v>
      </c>
      <c r="S324" s="13">
        <v>1.55</v>
      </c>
      <c r="T324" s="13">
        <v>0.3981</v>
      </c>
      <c r="U324" s="13">
        <v>7.6752</v>
      </c>
      <c r="V324" s="8">
        <v>6298800.0</v>
      </c>
      <c r="W324" s="13">
        <v>3.8829</v>
      </c>
      <c r="X324" s="12">
        <v>2137944.0</v>
      </c>
      <c r="Y324" s="13">
        <v>1.615</v>
      </c>
      <c r="Z324" s="13">
        <v>38.2708</v>
      </c>
      <c r="AA324" s="11">
        <v>49.6984</v>
      </c>
      <c r="AB324" s="13">
        <v>312.8</v>
      </c>
      <c r="AC324" s="13">
        <v>-90.702</v>
      </c>
      <c r="AD324" s="13">
        <v>-46.1969</v>
      </c>
      <c r="AE324" s="13">
        <v>-51.3954</v>
      </c>
      <c r="AF324" s="13">
        <v>0.0418</v>
      </c>
      <c r="AG324" s="13">
        <v>5.7918</v>
      </c>
      <c r="AH324" s="8" t="b">
        <v>0</v>
      </c>
      <c r="AI324" s="8" t="b">
        <v>1</v>
      </c>
      <c r="AJ324" s="8" t="b">
        <v>0</v>
      </c>
      <c r="AK324" s="14">
        <f>IFERROR(__xludf.DUMMYFUNCTION("IFERROR(GOOGLEFINANCE(B324,""price""),"""")"),0.93)</f>
        <v>0.93</v>
      </c>
    </row>
    <row r="325">
      <c r="A325" s="15">
        <v>46087.62607687221</v>
      </c>
      <c r="B325" s="16" t="s">
        <v>878</v>
      </c>
      <c r="C325" s="16" t="s">
        <v>879</v>
      </c>
      <c r="D325" s="17">
        <v>46089.0</v>
      </c>
      <c r="E325" s="18">
        <v>2.74</v>
      </c>
      <c r="F325" s="16" t="s">
        <v>186</v>
      </c>
      <c r="G325" s="24"/>
      <c r="H325" s="24"/>
      <c r="I325" s="16" t="s">
        <v>145</v>
      </c>
      <c r="J325" s="21">
        <v>0.2199</v>
      </c>
      <c r="K325" s="16">
        <v>4339591.0</v>
      </c>
      <c r="L325" s="19">
        <v>0.79</v>
      </c>
      <c r="M325" s="19">
        <v>14.5811</v>
      </c>
      <c r="N325" s="16" t="s">
        <v>880</v>
      </c>
      <c r="O325" s="19">
        <v>-1.083</v>
      </c>
      <c r="P325" s="20">
        <v>945163.0</v>
      </c>
      <c r="Q325" s="21">
        <v>2.76</v>
      </c>
      <c r="R325" s="21">
        <v>2.5422</v>
      </c>
      <c r="S325" s="21">
        <v>2.72</v>
      </c>
      <c r="T325" s="21">
        <v>0.2732</v>
      </c>
      <c r="U325" s="21">
        <v>0.6881</v>
      </c>
      <c r="V325" s="21">
        <v>580722.6</v>
      </c>
      <c r="W325" s="21">
        <v>1.7476</v>
      </c>
      <c r="X325" s="20">
        <v>7.6048807E7</v>
      </c>
      <c r="Y325" s="21">
        <v>2.7245</v>
      </c>
      <c r="Z325" s="21">
        <v>2.9132</v>
      </c>
      <c r="AA325" s="19">
        <v>46.298</v>
      </c>
      <c r="AB325" s="21">
        <v>7.474</v>
      </c>
      <c r="AC325" s="24"/>
      <c r="AD325" s="24"/>
      <c r="AE325" s="24"/>
      <c r="AF325" s="21">
        <v>0.1844</v>
      </c>
      <c r="AG325" s="21">
        <v>1.0474</v>
      </c>
      <c r="AH325" s="16" t="b">
        <v>1</v>
      </c>
      <c r="AI325" s="16" t="b">
        <v>1</v>
      </c>
      <c r="AJ325" s="16" t="b">
        <v>0</v>
      </c>
      <c r="AK325" s="22">
        <f>IFERROR(__xludf.DUMMYFUNCTION("IFERROR(GOOGLEFINANCE(B325,""price""),"""")"),2.24)</f>
        <v>2.24</v>
      </c>
    </row>
    <row r="326">
      <c r="A326" s="7">
        <v>46087.62607687221</v>
      </c>
      <c r="B326" s="8" t="s">
        <v>881</v>
      </c>
      <c r="C326" s="8" t="s">
        <v>882</v>
      </c>
      <c r="D326" s="9">
        <v>46089.0</v>
      </c>
      <c r="E326" s="10">
        <v>0.5786</v>
      </c>
      <c r="F326" s="8" t="s">
        <v>308</v>
      </c>
      <c r="G326" s="23"/>
      <c r="H326" s="13">
        <v>-0.3496</v>
      </c>
      <c r="I326" s="8" t="s">
        <v>138</v>
      </c>
      <c r="J326" s="13">
        <v>0.2033</v>
      </c>
      <c r="K326" s="8">
        <v>2.76896866E8</v>
      </c>
      <c r="L326" s="11">
        <v>0.9</v>
      </c>
      <c r="M326" s="11">
        <v>17.0428</v>
      </c>
      <c r="N326" s="8" t="s">
        <v>883</v>
      </c>
      <c r="O326" s="11">
        <v>4.7141</v>
      </c>
      <c r="P326" s="12">
        <v>2.0407299E7</v>
      </c>
      <c r="Q326" s="13">
        <v>0.6199</v>
      </c>
      <c r="R326" s="13">
        <v>0.5462</v>
      </c>
      <c r="S326" s="13">
        <v>0.5751</v>
      </c>
      <c r="T326" s="13">
        <v>0.0755</v>
      </c>
      <c r="U326" s="13">
        <v>0.167</v>
      </c>
      <c r="V326" s="8">
        <v>9361243.0</v>
      </c>
      <c r="W326" s="13">
        <v>2.5892</v>
      </c>
      <c r="X326" s="12">
        <v>1.77402429E8</v>
      </c>
      <c r="Y326" s="13">
        <v>0.8283</v>
      </c>
      <c r="Z326" s="13">
        <v>1.0189</v>
      </c>
      <c r="AA326" s="11">
        <v>32.4243</v>
      </c>
      <c r="AB326" s="13">
        <v>1.73</v>
      </c>
      <c r="AC326" s="13">
        <v>-182.1007</v>
      </c>
      <c r="AD326" s="13">
        <v>-5743.7914</v>
      </c>
      <c r="AE326" s="13">
        <v>-74.276</v>
      </c>
      <c r="AF326" s="13">
        <v>0.6619</v>
      </c>
      <c r="AG326" s="13">
        <v>2.6904</v>
      </c>
      <c r="AH326" s="8" t="b">
        <v>0</v>
      </c>
      <c r="AI326" s="8" t="b">
        <v>1</v>
      </c>
      <c r="AJ326" s="8" t="b">
        <v>0</v>
      </c>
      <c r="AK326" s="14">
        <f>IFERROR(__xludf.DUMMYFUNCTION("IFERROR(GOOGLEFINANCE(B326,""price""),"""")"),0.61)</f>
        <v>0.61</v>
      </c>
    </row>
    <row r="327">
      <c r="A327" s="15">
        <v>46087.62607687221</v>
      </c>
      <c r="B327" s="16" t="s">
        <v>884</v>
      </c>
      <c r="C327" s="16" t="s">
        <v>885</v>
      </c>
      <c r="D327" s="17">
        <v>46089.0</v>
      </c>
      <c r="E327" s="18">
        <v>1.765</v>
      </c>
      <c r="F327" s="16" t="s">
        <v>88</v>
      </c>
      <c r="G327" s="24"/>
      <c r="H327" s="21">
        <v>-0.1949</v>
      </c>
      <c r="I327" s="16" t="s">
        <v>138</v>
      </c>
      <c r="J327" s="21">
        <v>0.1745</v>
      </c>
      <c r="K327" s="16">
        <v>4.6574377E7</v>
      </c>
      <c r="L327" s="19">
        <v>0.95</v>
      </c>
      <c r="M327" s="19">
        <v>12.2762</v>
      </c>
      <c r="N327" s="16" t="s">
        <v>886</v>
      </c>
      <c r="O327" s="19">
        <v>-1.3966</v>
      </c>
      <c r="P327" s="20">
        <v>1.3408763E7</v>
      </c>
      <c r="Q327" s="21">
        <v>1.8729</v>
      </c>
      <c r="R327" s="21">
        <v>1.585</v>
      </c>
      <c r="S327" s="21">
        <v>1.75</v>
      </c>
      <c r="T327" s="21">
        <v>0.1687</v>
      </c>
      <c r="U327" s="21">
        <v>0.3557</v>
      </c>
      <c r="V327" s="16">
        <v>5898033.0</v>
      </c>
      <c r="W327" s="21">
        <v>2.8461</v>
      </c>
      <c r="X327" s="20">
        <v>6.29656912E8</v>
      </c>
      <c r="Y327" s="21">
        <v>1.7616</v>
      </c>
      <c r="Z327" s="21">
        <v>1.8448</v>
      </c>
      <c r="AA327" s="19">
        <v>52.7162</v>
      </c>
      <c r="AB327" s="21">
        <v>3.25</v>
      </c>
      <c r="AC327" s="24"/>
      <c r="AD327" s="21">
        <v>-6.4355</v>
      </c>
      <c r="AE327" s="21">
        <v>9.5075</v>
      </c>
      <c r="AF327" s="24"/>
      <c r="AG327" s="21">
        <v>0.5871</v>
      </c>
      <c r="AH327" s="16" t="b">
        <v>0</v>
      </c>
      <c r="AI327" s="16" t="b">
        <v>1</v>
      </c>
      <c r="AJ327" s="16" t="b">
        <v>0</v>
      </c>
      <c r="AK327" s="22">
        <f>IFERROR(__xludf.DUMMYFUNCTION("IFERROR(GOOGLEFINANCE(B327,""price""),"""")"),1.12)</f>
        <v>1.12</v>
      </c>
    </row>
    <row r="328">
      <c r="A328" s="7">
        <v>46090.668370332416</v>
      </c>
      <c r="B328" s="8" t="s">
        <v>887</v>
      </c>
      <c r="C328" s="8" t="s">
        <v>888</v>
      </c>
      <c r="D328" s="9">
        <v>46096.0</v>
      </c>
      <c r="E328" s="10">
        <v>0.65</v>
      </c>
      <c r="F328" s="8" t="s">
        <v>137</v>
      </c>
      <c r="G328" s="23"/>
      <c r="H328" s="13">
        <v>-7.4835</v>
      </c>
      <c r="I328" s="8" t="s">
        <v>889</v>
      </c>
      <c r="J328" s="13">
        <v>20.0601</v>
      </c>
      <c r="K328" s="8">
        <v>1.385519712E9</v>
      </c>
      <c r="L328" s="11">
        <v>0.19</v>
      </c>
      <c r="M328" s="11">
        <v>26.545</v>
      </c>
      <c r="N328" s="8" t="s">
        <v>890</v>
      </c>
      <c r="O328" s="11">
        <v>146.3988</v>
      </c>
      <c r="P328" s="12">
        <v>5.29684186E8</v>
      </c>
      <c r="Q328" s="13">
        <v>0.89</v>
      </c>
      <c r="R328" s="13">
        <v>0.5077</v>
      </c>
      <c r="S328" s="13">
        <v>0.5499</v>
      </c>
      <c r="T328" s="13">
        <v>0.2158</v>
      </c>
      <c r="U328" s="13">
        <v>2.2202</v>
      </c>
      <c r="V328" s="8">
        <v>5.3347261E7</v>
      </c>
      <c r="W328" s="13">
        <v>1179.8431</v>
      </c>
      <c r="X328" s="12">
        <v>1.2004041E7</v>
      </c>
      <c r="Y328" s="13">
        <v>1.869</v>
      </c>
      <c r="Z328" s="13">
        <v>12.0202</v>
      </c>
      <c r="AA328" s="11">
        <v>42.0052</v>
      </c>
      <c r="AB328" s="13">
        <v>69.0</v>
      </c>
      <c r="AC328" s="23"/>
      <c r="AD328" s="13">
        <v>-14.2517</v>
      </c>
      <c r="AE328" s="13">
        <v>-1.5537</v>
      </c>
      <c r="AF328" s="23"/>
      <c r="AG328" s="13">
        <v>0.3096</v>
      </c>
      <c r="AH328" s="8" t="b">
        <v>0</v>
      </c>
      <c r="AI328" s="8" t="b">
        <v>0</v>
      </c>
      <c r="AJ328" s="8" t="b">
        <v>0</v>
      </c>
      <c r="AK328" s="14">
        <f>IFERROR(__xludf.DUMMYFUNCTION("IFERROR(GOOGLEFINANCE(B328,""price""),"""")"),1.66)</f>
        <v>1.66</v>
      </c>
    </row>
    <row r="329">
      <c r="A329" s="15">
        <v>46090.668370332416</v>
      </c>
      <c r="B329" s="16" t="s">
        <v>587</v>
      </c>
      <c r="C329" s="16" t="s">
        <v>588</v>
      </c>
      <c r="D329" s="17">
        <v>46096.0</v>
      </c>
      <c r="E329" s="18">
        <v>1.54</v>
      </c>
      <c r="F329" s="16" t="s">
        <v>186</v>
      </c>
      <c r="G329" s="24"/>
      <c r="H329" s="21">
        <v>-9.5137</v>
      </c>
      <c r="I329" s="16" t="s">
        <v>311</v>
      </c>
      <c r="J329" s="21">
        <v>6.6443</v>
      </c>
      <c r="K329" s="16">
        <v>3.491438E7</v>
      </c>
      <c r="L329" s="19">
        <v>0.16</v>
      </c>
      <c r="M329" s="19">
        <v>13.0153</v>
      </c>
      <c r="N329" s="16" t="s">
        <v>590</v>
      </c>
      <c r="O329" s="19">
        <v>-7.2289</v>
      </c>
      <c r="P329" s="20">
        <v>5237157.0</v>
      </c>
      <c r="Q329" s="21">
        <v>1.69</v>
      </c>
      <c r="R329" s="21">
        <v>1.54</v>
      </c>
      <c r="S329" s="21">
        <v>1.68</v>
      </c>
      <c r="T329" s="21">
        <v>0.4247</v>
      </c>
      <c r="U329" s="21">
        <v>5.1764</v>
      </c>
      <c r="V329" s="21">
        <v>584856.7</v>
      </c>
      <c r="W329" s="21">
        <v>64.7171</v>
      </c>
      <c r="X329" s="20">
        <v>1862798.0</v>
      </c>
      <c r="Y329" s="21">
        <v>3.3785</v>
      </c>
      <c r="Z329" s="21">
        <v>27.133</v>
      </c>
      <c r="AA329" s="19">
        <v>33.078</v>
      </c>
      <c r="AB329" s="21">
        <v>200.0</v>
      </c>
      <c r="AC329" s="21">
        <v>-41.1141</v>
      </c>
      <c r="AD329" s="21">
        <v>-34.9837</v>
      </c>
      <c r="AE329" s="21">
        <v>-2.8689</v>
      </c>
      <c r="AF329" s="21">
        <v>0.0108</v>
      </c>
      <c r="AG329" s="21">
        <v>5.5821</v>
      </c>
      <c r="AH329" s="16" t="b">
        <v>0</v>
      </c>
      <c r="AI329" s="16" t="b">
        <v>0</v>
      </c>
      <c r="AJ329" s="16" t="b">
        <v>0</v>
      </c>
      <c r="AK329" s="22">
        <f>IFERROR(__xludf.DUMMYFUNCTION("IFERROR(GOOGLEFINANCE(B329,""price""),"""")"),1.29)</f>
        <v>1.29</v>
      </c>
    </row>
    <row r="330">
      <c r="A330" s="7">
        <v>46090.668370332416</v>
      </c>
      <c r="B330" s="8" t="s">
        <v>264</v>
      </c>
      <c r="C330" s="8" t="s">
        <v>265</v>
      </c>
      <c r="D330" s="9">
        <v>46096.0</v>
      </c>
      <c r="E330" s="10">
        <v>1.66</v>
      </c>
      <c r="F330" s="8" t="s">
        <v>102</v>
      </c>
      <c r="G330" s="23"/>
      <c r="H330" s="13">
        <v>-27.52</v>
      </c>
      <c r="I330" s="8" t="s">
        <v>891</v>
      </c>
      <c r="J330" s="13">
        <v>2.9625</v>
      </c>
      <c r="K330" s="8">
        <v>8515041.0</v>
      </c>
      <c r="L330" s="11">
        <v>0.04</v>
      </c>
      <c r="M330" s="11">
        <v>5.2535</v>
      </c>
      <c r="N330" s="8" t="s">
        <v>266</v>
      </c>
      <c r="O330" s="11">
        <v>1.8405</v>
      </c>
      <c r="P330" s="12">
        <v>2680535.0</v>
      </c>
      <c r="Q330" s="13">
        <v>1.845</v>
      </c>
      <c r="R330" s="13">
        <v>1.5302</v>
      </c>
      <c r="S330" s="13">
        <v>1.67</v>
      </c>
      <c r="T330" s="13">
        <v>4.1515</v>
      </c>
      <c r="U330" s="13">
        <v>187.8502</v>
      </c>
      <c r="V330" s="13">
        <v>308767.2</v>
      </c>
      <c r="W330" s="13">
        <v>56.1805</v>
      </c>
      <c r="X330" s="12">
        <v>2028735.0</v>
      </c>
      <c r="Y330" s="13">
        <v>35.6079</v>
      </c>
      <c r="Z330" s="13">
        <v>816.0465</v>
      </c>
      <c r="AA330" s="11">
        <v>23.5099</v>
      </c>
      <c r="AB330" s="13">
        <v>5206.0</v>
      </c>
      <c r="AC330" s="13">
        <v>-81.8432</v>
      </c>
      <c r="AD330" s="13">
        <v>-45.2851</v>
      </c>
      <c r="AE330" s="23"/>
      <c r="AF330" s="13">
        <v>0.2265</v>
      </c>
      <c r="AG330" s="13">
        <v>1.649</v>
      </c>
      <c r="AH330" s="8" t="b">
        <v>0</v>
      </c>
      <c r="AI330" s="8" t="b">
        <v>1</v>
      </c>
      <c r="AJ330" s="8" t="b">
        <v>0</v>
      </c>
      <c r="AK330" s="14">
        <f>IFERROR(__xludf.DUMMYFUNCTION("IFERROR(GOOGLEFINANCE(B330,""price""),"""")"),1.22)</f>
        <v>1.22</v>
      </c>
    </row>
    <row r="331">
      <c r="A331" s="15">
        <v>46090.668370332416</v>
      </c>
      <c r="B331" s="16" t="s">
        <v>510</v>
      </c>
      <c r="C331" s="16" t="s">
        <v>511</v>
      </c>
      <c r="D331" s="17">
        <v>46096.0</v>
      </c>
      <c r="E331" s="18">
        <v>1.08</v>
      </c>
      <c r="F331" s="16" t="s">
        <v>93</v>
      </c>
      <c r="G331" s="24"/>
      <c r="H331" s="21">
        <v>-4789.7615</v>
      </c>
      <c r="I331" s="16" t="s">
        <v>892</v>
      </c>
      <c r="J331" s="21">
        <v>2.2047</v>
      </c>
      <c r="K331" s="16">
        <v>1.13910489E8</v>
      </c>
      <c r="L331" s="19">
        <v>0.08</v>
      </c>
      <c r="M331" s="19">
        <v>17.6915</v>
      </c>
      <c r="N331" s="16" t="s">
        <v>512</v>
      </c>
      <c r="O331" s="19">
        <v>6.9307</v>
      </c>
      <c r="P331" s="20">
        <v>6.2650769E7</v>
      </c>
      <c r="Q331" s="21">
        <v>1.62</v>
      </c>
      <c r="R331" s="21">
        <v>1.07</v>
      </c>
      <c r="S331" s="21">
        <v>1.23</v>
      </c>
      <c r="T331" s="21">
        <v>0.4207</v>
      </c>
      <c r="U331" s="21">
        <v>10.6628</v>
      </c>
      <c r="V331" s="16">
        <v>6794093.0</v>
      </c>
      <c r="W331" s="21">
        <v>112.2775</v>
      </c>
      <c r="X331" s="20">
        <v>577800.0</v>
      </c>
      <c r="Y331" s="21">
        <v>3.5593</v>
      </c>
      <c r="Z331" s="21">
        <v>86.2111</v>
      </c>
      <c r="AA331" s="19">
        <v>25.0925</v>
      </c>
      <c r="AB331" s="21">
        <v>186.56</v>
      </c>
      <c r="AC331" s="21">
        <v>-856.8365</v>
      </c>
      <c r="AD331" s="21">
        <v>-18.252</v>
      </c>
      <c r="AE331" s="21">
        <v>24.5172</v>
      </c>
      <c r="AF331" s="21">
        <v>6.8126</v>
      </c>
      <c r="AG331" s="21">
        <v>1.208</v>
      </c>
      <c r="AH331" s="16" t="b">
        <v>0</v>
      </c>
      <c r="AI331" s="16" t="b">
        <v>0</v>
      </c>
      <c r="AJ331" s="16" t="b">
        <v>0</v>
      </c>
      <c r="AK331" s="22">
        <f>IFERROR(__xludf.DUMMYFUNCTION("IFERROR(GOOGLEFINANCE(B331,""price""),"""")"),0.43)</f>
        <v>0.43</v>
      </c>
    </row>
    <row r="332">
      <c r="A332" s="7">
        <v>46090.668370332416</v>
      </c>
      <c r="B332" s="8" t="s">
        <v>893</v>
      </c>
      <c r="C332" s="8" t="s">
        <v>894</v>
      </c>
      <c r="D332" s="9">
        <v>46096.0</v>
      </c>
      <c r="E332" s="10">
        <v>0.8457</v>
      </c>
      <c r="F332" s="8" t="s">
        <v>117</v>
      </c>
      <c r="G332" s="23"/>
      <c r="H332" s="13">
        <v>-9.327</v>
      </c>
      <c r="I332" s="8" t="s">
        <v>301</v>
      </c>
      <c r="J332" s="13">
        <v>2.0919</v>
      </c>
      <c r="K332" s="8">
        <v>1.2806035E7</v>
      </c>
      <c r="L332" s="11">
        <v>0.47</v>
      </c>
      <c r="M332" s="11">
        <v>24.5002</v>
      </c>
      <c r="N332" s="8" t="s">
        <v>895</v>
      </c>
      <c r="O332" s="11">
        <v>-0.541</v>
      </c>
      <c r="P332" s="12">
        <v>2027413.0</v>
      </c>
      <c r="Q332" s="13">
        <v>0.88</v>
      </c>
      <c r="R332" s="13">
        <v>0.7217</v>
      </c>
      <c r="S332" s="13">
        <v>0.7987</v>
      </c>
      <c r="T332" s="13">
        <v>0.0983</v>
      </c>
      <c r="U332" s="13">
        <v>0.4224</v>
      </c>
      <c r="V332" s="13">
        <v>252868.6</v>
      </c>
      <c r="W332" s="13">
        <v>39.1613</v>
      </c>
      <c r="X332" s="12">
        <v>2144280.0</v>
      </c>
      <c r="Y332" s="13">
        <v>1.1036</v>
      </c>
      <c r="Z332" s="13">
        <v>3.9525</v>
      </c>
      <c r="AA332" s="11">
        <v>41.5174</v>
      </c>
      <c r="AB332" s="13">
        <v>13.23</v>
      </c>
      <c r="AC332" s="13">
        <v>-178.184</v>
      </c>
      <c r="AD332" s="13">
        <v>-1548.9627</v>
      </c>
      <c r="AE332" s="13">
        <v>-49.6343</v>
      </c>
      <c r="AF332" s="13">
        <v>0.0</v>
      </c>
      <c r="AG332" s="13">
        <v>5.8621</v>
      </c>
      <c r="AH332" s="8" t="b">
        <v>0</v>
      </c>
      <c r="AI332" s="8" t="b">
        <v>0</v>
      </c>
      <c r="AJ332" s="8" t="b">
        <v>0</v>
      </c>
      <c r="AK332" s="14">
        <f>IFERROR(__xludf.DUMMYFUNCTION("IFERROR(GOOGLEFINANCE(B332,""price""),"""")"),0.93)</f>
        <v>0.93</v>
      </c>
    </row>
    <row r="333">
      <c r="A333" s="15">
        <v>46090.668370332416</v>
      </c>
      <c r="B333" s="16" t="s">
        <v>829</v>
      </c>
      <c r="C333" s="16" t="s">
        <v>830</v>
      </c>
      <c r="D333" s="17">
        <v>46096.0</v>
      </c>
      <c r="E333" s="18">
        <v>2.37</v>
      </c>
      <c r="F333" s="16" t="s">
        <v>186</v>
      </c>
      <c r="G333" s="24"/>
      <c r="H333" s="21">
        <v>-0.2128</v>
      </c>
      <c r="I333" s="16" t="s">
        <v>896</v>
      </c>
      <c r="J333" s="21">
        <v>1.9185</v>
      </c>
      <c r="K333" s="16">
        <v>6.6883325E8</v>
      </c>
      <c r="L333" s="19">
        <v>0.62</v>
      </c>
      <c r="M333" s="19">
        <v>20.7896</v>
      </c>
      <c r="N333" s="16" t="s">
        <v>831</v>
      </c>
      <c r="O333" s="19">
        <v>0.0</v>
      </c>
      <c r="P333" s="20">
        <v>1.3376665E7</v>
      </c>
      <c r="Q333" s="21">
        <v>2.38</v>
      </c>
      <c r="R333" s="21">
        <v>2.36</v>
      </c>
      <c r="S333" s="21">
        <v>2.37</v>
      </c>
      <c r="T333" s="21">
        <v>0.0499</v>
      </c>
      <c r="U333" s="21">
        <v>0.1612</v>
      </c>
      <c r="V333" s="16">
        <v>8830792.0</v>
      </c>
      <c r="W333" s="21">
        <v>1.619</v>
      </c>
      <c r="X333" s="20">
        <v>1.181416591E9</v>
      </c>
      <c r="Y333" s="21">
        <v>2.2226</v>
      </c>
      <c r="Z333" s="21">
        <v>1.809</v>
      </c>
      <c r="AA333" s="19">
        <v>57.9728</v>
      </c>
      <c r="AB333" s="21">
        <v>2.43</v>
      </c>
      <c r="AC333" s="24"/>
      <c r="AD333" s="21">
        <v>18.9737</v>
      </c>
      <c r="AE333" s="21">
        <v>-20.8223</v>
      </c>
      <c r="AF333" s="24"/>
      <c r="AG333" s="21">
        <v>1.2833</v>
      </c>
      <c r="AH333" s="16" t="b">
        <v>0</v>
      </c>
      <c r="AI333" s="16" t="b">
        <v>1</v>
      </c>
      <c r="AJ333" s="16" t="b">
        <v>1</v>
      </c>
      <c r="AK333" s="22">
        <f>IFERROR(__xludf.DUMMYFUNCTION("IFERROR(GOOGLEFINANCE(B333,""price""),"""")"),2.37)</f>
        <v>2.37</v>
      </c>
    </row>
    <row r="334">
      <c r="A334" s="7">
        <v>46090.668370332416</v>
      </c>
      <c r="B334" s="8" t="s">
        <v>897</v>
      </c>
      <c r="C334" s="8" t="s">
        <v>898</v>
      </c>
      <c r="D334" s="9">
        <v>46096.0</v>
      </c>
      <c r="E334" s="10">
        <v>0.875</v>
      </c>
      <c r="F334" s="8" t="s">
        <v>102</v>
      </c>
      <c r="G334" s="23"/>
      <c r="H334" s="13">
        <v>-474.118</v>
      </c>
      <c r="I334" s="8" t="s">
        <v>222</v>
      </c>
      <c r="J334" s="13">
        <v>1.6127</v>
      </c>
      <c r="K334" s="8">
        <v>4.4684487E7</v>
      </c>
      <c r="L334" s="11">
        <v>0.11</v>
      </c>
      <c r="M334" s="11">
        <v>14.328</v>
      </c>
      <c r="N334" s="8" t="s">
        <v>899</v>
      </c>
      <c r="O334" s="11">
        <v>-5.914</v>
      </c>
      <c r="P334" s="12">
        <v>1.201119E7</v>
      </c>
      <c r="Q334" s="13">
        <v>0.989</v>
      </c>
      <c r="R334" s="13">
        <v>0.7202</v>
      </c>
      <c r="S334" s="13">
        <v>0.989</v>
      </c>
      <c r="T334" s="13">
        <v>0.2525</v>
      </c>
      <c r="U334" s="13">
        <v>4.7666</v>
      </c>
      <c r="V334" s="8">
        <v>1428664.0</v>
      </c>
      <c r="W334" s="13">
        <v>49.5407</v>
      </c>
      <c r="X334" s="12">
        <v>1288909.0</v>
      </c>
      <c r="Y334" s="13">
        <v>2.0528</v>
      </c>
      <c r="Z334" s="13">
        <v>68.4153</v>
      </c>
      <c r="AA334" s="11">
        <v>34.299</v>
      </c>
      <c r="AB334" s="13">
        <v>142.0</v>
      </c>
      <c r="AC334" s="13">
        <v>-3734.3895</v>
      </c>
      <c r="AD334" s="13">
        <v>-668.6906</v>
      </c>
      <c r="AE334" s="13">
        <v>-9.5792</v>
      </c>
      <c r="AF334" s="23"/>
      <c r="AG334" s="13">
        <v>0.6581</v>
      </c>
      <c r="AH334" s="8" t="b">
        <v>0</v>
      </c>
      <c r="AI334" s="8" t="b">
        <v>0</v>
      </c>
      <c r="AJ334" s="8" t="b">
        <v>0</v>
      </c>
      <c r="AK334" s="14">
        <f>IFERROR(__xludf.DUMMYFUNCTION("IFERROR(GOOGLEFINANCE(B334,""price""),"""")"),0.67)</f>
        <v>0.67</v>
      </c>
    </row>
    <row r="335">
      <c r="A335" s="15">
        <v>46090.668370332416</v>
      </c>
      <c r="B335" s="16" t="s">
        <v>900</v>
      </c>
      <c r="C335" s="16" t="s">
        <v>901</v>
      </c>
      <c r="D335" s="17">
        <v>46096.0</v>
      </c>
      <c r="E335" s="18">
        <v>2.49</v>
      </c>
      <c r="F335" s="16" t="s">
        <v>129</v>
      </c>
      <c r="G335" s="24"/>
      <c r="H335" s="21">
        <v>-2.9685</v>
      </c>
      <c r="I335" s="16" t="s">
        <v>222</v>
      </c>
      <c r="J335" s="21">
        <v>1.555</v>
      </c>
      <c r="K335" s="16">
        <v>1.8027302E7</v>
      </c>
      <c r="L335" s="19">
        <v>0.25</v>
      </c>
      <c r="M335" s="19">
        <v>28.6584</v>
      </c>
      <c r="N335" s="16" t="s">
        <v>902</v>
      </c>
      <c r="O335" s="19">
        <v>74.1259</v>
      </c>
      <c r="P335" s="20">
        <v>3.5499363E7</v>
      </c>
      <c r="Q335" s="21">
        <v>3.39</v>
      </c>
      <c r="R335" s="21">
        <v>1.4208</v>
      </c>
      <c r="S335" s="21">
        <v>1.46</v>
      </c>
      <c r="T335" s="21">
        <v>0.6747</v>
      </c>
      <c r="U335" s="21">
        <v>5.4568</v>
      </c>
      <c r="V335" s="16">
        <v>3797335.0</v>
      </c>
      <c r="W335" s="21">
        <v>122.9729</v>
      </c>
      <c r="X335" s="20">
        <v>2269029.0</v>
      </c>
      <c r="Y335" s="21">
        <v>4.6061</v>
      </c>
      <c r="Z335" s="21">
        <v>12.9956</v>
      </c>
      <c r="AA335" s="19">
        <v>43.4376</v>
      </c>
      <c r="AB335" s="21">
        <v>137.8</v>
      </c>
      <c r="AC335" s="21">
        <v>-52.4684</v>
      </c>
      <c r="AD335" s="21">
        <v>-3.1243</v>
      </c>
      <c r="AE335" s="21">
        <v>2.2609</v>
      </c>
      <c r="AF335" s="21">
        <v>0.7489</v>
      </c>
      <c r="AG335" s="21">
        <v>1.0213</v>
      </c>
      <c r="AH335" s="16" t="b">
        <v>0</v>
      </c>
      <c r="AI335" s="16" t="b">
        <v>0</v>
      </c>
      <c r="AJ335" s="16" t="b">
        <v>0</v>
      </c>
      <c r="AK335" s="22" t="str">
        <f>IFERROR(__xludf.DUMMYFUNCTION("IFERROR(GOOGLEFINANCE(B335,""price""),"""")"),"")</f>
        <v/>
      </c>
    </row>
    <row r="336">
      <c r="A336" s="7">
        <v>46090.668370332416</v>
      </c>
      <c r="B336" s="8" t="s">
        <v>85</v>
      </c>
      <c r="C336" s="8" t="s">
        <v>86</v>
      </c>
      <c r="D336" s="9">
        <v>46096.0</v>
      </c>
      <c r="E336" s="10">
        <v>0.71</v>
      </c>
      <c r="F336" s="8" t="s">
        <v>88</v>
      </c>
      <c r="G336" s="23"/>
      <c r="H336" s="23"/>
      <c r="I336" s="8" t="s">
        <v>113</v>
      </c>
      <c r="J336" s="13">
        <v>1.2749</v>
      </c>
      <c r="K336" s="8">
        <v>8962448.0</v>
      </c>
      <c r="L336" s="11">
        <v>0.56</v>
      </c>
      <c r="M336" s="11">
        <v>16.3546</v>
      </c>
      <c r="N336" s="8" t="s">
        <v>87</v>
      </c>
      <c r="O336" s="11">
        <v>38.4825</v>
      </c>
      <c r="P336" s="12">
        <v>1841783.0</v>
      </c>
      <c r="Q336" s="13">
        <v>0.7315</v>
      </c>
      <c r="R336" s="13">
        <v>0.526</v>
      </c>
      <c r="S336" s="13">
        <v>0.5331</v>
      </c>
      <c r="T336" s="13">
        <v>0.084</v>
      </c>
      <c r="U336" s="13">
        <v>0.3</v>
      </c>
      <c r="V336" s="13">
        <v>227401.1</v>
      </c>
      <c r="W336" s="13">
        <v>36.9002</v>
      </c>
      <c r="X336" s="12">
        <v>8.7026816E7</v>
      </c>
      <c r="Y336" s="13">
        <v>0.8806</v>
      </c>
      <c r="Z336" s="13">
        <v>2.2625</v>
      </c>
      <c r="AA336" s="11">
        <v>49.9918</v>
      </c>
      <c r="AB336" s="13">
        <v>4.49</v>
      </c>
      <c r="AC336" s="23"/>
      <c r="AD336" s="23"/>
      <c r="AE336" s="23"/>
      <c r="AF336" s="13">
        <v>1.758</v>
      </c>
      <c r="AG336" s="13">
        <v>1.3117</v>
      </c>
      <c r="AH336" s="8" t="b">
        <v>0</v>
      </c>
      <c r="AI336" s="8" t="b">
        <v>0</v>
      </c>
      <c r="AJ336" s="8" t="b">
        <v>0</v>
      </c>
      <c r="AK336" s="14">
        <f>IFERROR(__xludf.DUMMYFUNCTION("IFERROR(GOOGLEFINANCE(B336,""price""),"""")"),0.6)</f>
        <v>0.6</v>
      </c>
    </row>
    <row r="337">
      <c r="A337" s="15">
        <v>46090.668370332416</v>
      </c>
      <c r="B337" s="16" t="s">
        <v>903</v>
      </c>
      <c r="C337" s="16" t="s">
        <v>904</v>
      </c>
      <c r="D337" s="17">
        <v>46096.0</v>
      </c>
      <c r="E337" s="18">
        <v>1.14</v>
      </c>
      <c r="F337" s="16" t="s">
        <v>107</v>
      </c>
      <c r="G337" s="24"/>
      <c r="H337" s="21">
        <v>-0.9869</v>
      </c>
      <c r="I337" s="16" t="s">
        <v>122</v>
      </c>
      <c r="J337" s="21">
        <v>1.1203</v>
      </c>
      <c r="K337" s="16">
        <v>1654510.0</v>
      </c>
      <c r="L337" s="19">
        <v>0.8</v>
      </c>
      <c r="M337" s="19">
        <v>10.5597</v>
      </c>
      <c r="N337" s="16" t="s">
        <v>905</v>
      </c>
      <c r="O337" s="19">
        <v>9.6154</v>
      </c>
      <c r="P337" s="20">
        <v>512898.0</v>
      </c>
      <c r="Q337" s="21">
        <v>1.35</v>
      </c>
      <c r="R337" s="21">
        <v>1.04</v>
      </c>
      <c r="S337" s="21">
        <v>1.087</v>
      </c>
      <c r="T337" s="21">
        <v>0.0971</v>
      </c>
      <c r="U337" s="21">
        <v>0.2414</v>
      </c>
      <c r="V337" s="21">
        <v>67556.4</v>
      </c>
      <c r="W337" s="21">
        <v>30.4631</v>
      </c>
      <c r="X337" s="20">
        <v>1.384362E7</v>
      </c>
      <c r="Y337" s="21">
        <v>1.1574</v>
      </c>
      <c r="Z337" s="21">
        <v>1.3714</v>
      </c>
      <c r="AA337" s="19">
        <v>52.7208</v>
      </c>
      <c r="AB337" s="21">
        <v>2.49</v>
      </c>
      <c r="AC337" s="24"/>
      <c r="AD337" s="21">
        <v>-59.0401</v>
      </c>
      <c r="AE337" s="21">
        <v>-19.6561</v>
      </c>
      <c r="AF337" s="24"/>
      <c r="AG337" s="21">
        <v>0.4425</v>
      </c>
      <c r="AH337" s="16" t="b">
        <v>0</v>
      </c>
      <c r="AI337" s="16" t="b">
        <v>0</v>
      </c>
      <c r="AJ337" s="16" t="b">
        <v>0</v>
      </c>
      <c r="AK337" s="22">
        <f>IFERROR(__xludf.DUMMYFUNCTION("IFERROR(GOOGLEFINANCE(B337,""price""),"""")"),1.25)</f>
        <v>1.25</v>
      </c>
    </row>
    <row r="338">
      <c r="A338" s="7">
        <v>46090.668370332416</v>
      </c>
      <c r="B338" s="8" t="s">
        <v>906</v>
      </c>
      <c r="C338" s="8" t="s">
        <v>907</v>
      </c>
      <c r="D338" s="9">
        <v>46096.0</v>
      </c>
      <c r="E338" s="10">
        <v>1.7</v>
      </c>
      <c r="F338" s="8" t="s">
        <v>149</v>
      </c>
      <c r="G338" s="23"/>
      <c r="H338" s="13">
        <v>-0.1522</v>
      </c>
      <c r="I338" s="8" t="s">
        <v>118</v>
      </c>
      <c r="J338" s="13">
        <v>0.8938</v>
      </c>
      <c r="K338" s="8">
        <v>4483736.0</v>
      </c>
      <c r="L338" s="11">
        <v>0.75</v>
      </c>
      <c r="M338" s="11">
        <v>17.7906</v>
      </c>
      <c r="N338" s="8" t="s">
        <v>908</v>
      </c>
      <c r="O338" s="11">
        <v>10.3896</v>
      </c>
      <c r="P338" s="12">
        <v>1614145.0</v>
      </c>
      <c r="Q338" s="13">
        <v>1.99</v>
      </c>
      <c r="R338" s="13">
        <v>1.63</v>
      </c>
      <c r="S338" s="13">
        <v>1.71</v>
      </c>
      <c r="T338" s="13">
        <v>0.1233</v>
      </c>
      <c r="U338" s="13">
        <v>0.3275</v>
      </c>
      <c r="V338" s="13">
        <v>240734.2</v>
      </c>
      <c r="W338" s="13">
        <v>18.9281</v>
      </c>
      <c r="X338" s="12">
        <v>1.0097531E7</v>
      </c>
      <c r="Y338" s="13">
        <v>1.3857</v>
      </c>
      <c r="Z338" s="13">
        <v>1.5152</v>
      </c>
      <c r="AA338" s="11">
        <v>74.7406</v>
      </c>
      <c r="AB338" s="13">
        <v>5.6</v>
      </c>
      <c r="AC338" s="13">
        <v>-11.5338</v>
      </c>
      <c r="AD338" s="13">
        <v>-5.1343</v>
      </c>
      <c r="AE338" s="13">
        <v>-4.1613</v>
      </c>
      <c r="AF338" s="13">
        <v>0.4847</v>
      </c>
      <c r="AG338" s="13">
        <v>6.804</v>
      </c>
      <c r="AH338" s="8" t="b">
        <v>0</v>
      </c>
      <c r="AI338" s="8" t="b">
        <v>1</v>
      </c>
      <c r="AJ338" s="8" t="b">
        <v>0</v>
      </c>
      <c r="AK338" s="14">
        <f>IFERROR(__xludf.DUMMYFUNCTION("IFERROR(GOOGLEFINANCE(B338,""price""),"""")"),1.62)</f>
        <v>1.62</v>
      </c>
    </row>
    <row r="339">
      <c r="A339" s="15">
        <v>46090.668370332416</v>
      </c>
      <c r="B339" s="16" t="s">
        <v>909</v>
      </c>
      <c r="C339" s="16" t="s">
        <v>910</v>
      </c>
      <c r="D339" s="17">
        <v>46096.0</v>
      </c>
      <c r="E339" s="18">
        <v>1.72</v>
      </c>
      <c r="F339" s="16" t="s">
        <v>308</v>
      </c>
      <c r="G339" s="24"/>
      <c r="H339" s="21">
        <v>-8.2306</v>
      </c>
      <c r="I339" s="16" t="s">
        <v>175</v>
      </c>
      <c r="J339" s="21">
        <v>0.3118</v>
      </c>
      <c r="K339" s="16">
        <v>6.461558E7</v>
      </c>
      <c r="L339" s="19">
        <v>0.76</v>
      </c>
      <c r="M339" s="19">
        <v>22.3726</v>
      </c>
      <c r="N339" s="16" t="s">
        <v>911</v>
      </c>
      <c r="O339" s="19">
        <v>-1.1494</v>
      </c>
      <c r="P339" s="20">
        <v>6461558.0</v>
      </c>
      <c r="Q339" s="21">
        <v>1.74</v>
      </c>
      <c r="R339" s="21">
        <v>1.64</v>
      </c>
      <c r="S339" s="21">
        <v>1.71</v>
      </c>
      <c r="T339" s="21">
        <v>0.1487</v>
      </c>
      <c r="U339" s="21">
        <v>0.391</v>
      </c>
      <c r="V339" s="16">
        <v>3746982.0</v>
      </c>
      <c r="W339" s="21">
        <v>1.8125</v>
      </c>
      <c r="X339" s="20">
        <v>2.21188469E8</v>
      </c>
      <c r="Y339" s="21">
        <v>2.186</v>
      </c>
      <c r="Z339" s="21">
        <v>3.6328</v>
      </c>
      <c r="AA339" s="19">
        <v>38.8158</v>
      </c>
      <c r="AB339" s="21">
        <v>6.8</v>
      </c>
      <c r="AC339" s="21">
        <v>-105.6468</v>
      </c>
      <c r="AD339" s="21">
        <v>-0.9541</v>
      </c>
      <c r="AE339" s="21">
        <v>12.8757</v>
      </c>
      <c r="AF339" s="21">
        <v>6.4544</v>
      </c>
      <c r="AG339" s="21">
        <v>1.1173</v>
      </c>
      <c r="AH339" s="16" t="b">
        <v>1</v>
      </c>
      <c r="AI339" s="16" t="b">
        <v>0</v>
      </c>
      <c r="AJ339" s="16" t="b">
        <v>0</v>
      </c>
      <c r="AK339" s="22">
        <f>IFERROR(__xludf.DUMMYFUNCTION("IFERROR(GOOGLEFINANCE(B339,""price""),"""")"),1.22)</f>
        <v>1.22</v>
      </c>
    </row>
    <row r="340">
      <c r="A340" s="7">
        <v>46090.668370332416</v>
      </c>
      <c r="B340" s="8" t="s">
        <v>912</v>
      </c>
      <c r="C340" s="8" t="s">
        <v>913</v>
      </c>
      <c r="D340" s="9">
        <v>46096.0</v>
      </c>
      <c r="E340" s="10">
        <v>0.8113</v>
      </c>
      <c r="F340" s="8" t="s">
        <v>129</v>
      </c>
      <c r="G340" s="23"/>
      <c r="H340" s="13">
        <v>-0.2885</v>
      </c>
      <c r="I340" s="8" t="s">
        <v>145</v>
      </c>
      <c r="J340" s="13">
        <v>0.2603</v>
      </c>
      <c r="K340" s="8">
        <v>1.4848819E7</v>
      </c>
      <c r="L340" s="11">
        <v>0.72</v>
      </c>
      <c r="M340" s="11">
        <v>19.8736</v>
      </c>
      <c r="N340" s="8" t="s">
        <v>914</v>
      </c>
      <c r="O340" s="11">
        <v>1.2859</v>
      </c>
      <c r="P340" s="12">
        <v>729077.0</v>
      </c>
      <c r="Q340" s="13">
        <v>0.8291</v>
      </c>
      <c r="R340" s="13">
        <v>0.78</v>
      </c>
      <c r="S340" s="13">
        <v>0.813</v>
      </c>
      <c r="T340" s="13">
        <v>0.0657</v>
      </c>
      <c r="U340" s="13">
        <v>0.1827</v>
      </c>
      <c r="V340" s="13">
        <v>487734.7</v>
      </c>
      <c r="W340" s="13">
        <v>1.5753</v>
      </c>
      <c r="X340" s="12">
        <v>3.1182741E7</v>
      </c>
      <c r="Y340" s="13">
        <v>0.872</v>
      </c>
      <c r="Z340" s="13">
        <v>1.5617</v>
      </c>
      <c r="AA340" s="11">
        <v>50.6318</v>
      </c>
      <c r="AB340" s="13">
        <v>6.2996</v>
      </c>
      <c r="AC340" s="13">
        <v>-100.5106</v>
      </c>
      <c r="AD340" s="13">
        <v>-28.5122</v>
      </c>
      <c r="AE340" s="13">
        <v>64.9946</v>
      </c>
      <c r="AF340" s="13">
        <v>0.8408</v>
      </c>
      <c r="AG340" s="13">
        <v>2.4938</v>
      </c>
      <c r="AH340" s="8" t="b">
        <v>1</v>
      </c>
      <c r="AI340" s="8" t="b">
        <v>1</v>
      </c>
      <c r="AJ340" s="8" t="b">
        <v>0</v>
      </c>
      <c r="AK340" s="14">
        <f>IFERROR(__xludf.DUMMYFUNCTION("IFERROR(GOOGLEFINANCE(B340,""price""),"""")"),0.69)</f>
        <v>0.69</v>
      </c>
    </row>
    <row r="341">
      <c r="A341" s="15">
        <v>46090.668370332416</v>
      </c>
      <c r="B341" s="16" t="s">
        <v>604</v>
      </c>
      <c r="C341" s="16" t="s">
        <v>605</v>
      </c>
      <c r="D341" s="17">
        <v>46096.0</v>
      </c>
      <c r="E341" s="18">
        <v>2.9</v>
      </c>
      <c r="F341" s="16" t="s">
        <v>117</v>
      </c>
      <c r="G341" s="24"/>
      <c r="H341" s="21">
        <v>-1.2021</v>
      </c>
      <c r="I341" s="16" t="s">
        <v>138</v>
      </c>
      <c r="J341" s="21">
        <v>0.2161</v>
      </c>
      <c r="K341" s="16">
        <v>8467947.0</v>
      </c>
      <c r="L341" s="19">
        <v>0.9</v>
      </c>
      <c r="M341" s="19">
        <v>29.7925</v>
      </c>
      <c r="N341" s="16" t="s">
        <v>606</v>
      </c>
      <c r="O341" s="19">
        <v>4.3165</v>
      </c>
      <c r="P341" s="20">
        <v>2244006.0</v>
      </c>
      <c r="Q341" s="21">
        <v>3.105</v>
      </c>
      <c r="R341" s="21">
        <v>2.84</v>
      </c>
      <c r="S341" s="21">
        <v>2.88</v>
      </c>
      <c r="T341" s="21">
        <v>0.1875</v>
      </c>
      <c r="U341" s="21">
        <v>0.4169</v>
      </c>
      <c r="V341" s="16">
        <v>1295576.0</v>
      </c>
      <c r="W341" s="21">
        <v>1.9747</v>
      </c>
      <c r="X341" s="20">
        <v>2.1774561E8</v>
      </c>
      <c r="Y341" s="21">
        <v>2.11</v>
      </c>
      <c r="Z341" s="21">
        <v>2.5159</v>
      </c>
      <c r="AA341" s="19">
        <v>73.7732</v>
      </c>
      <c r="AB341" s="21">
        <v>4.6</v>
      </c>
      <c r="AC341" s="21">
        <v>-95.4893</v>
      </c>
      <c r="AD341" s="24"/>
      <c r="AE341" s="24"/>
      <c r="AF341" s="21">
        <v>0.0079</v>
      </c>
      <c r="AG341" s="21">
        <v>6.7362</v>
      </c>
      <c r="AH341" s="16" t="b">
        <v>0</v>
      </c>
      <c r="AI341" s="16" t="b">
        <v>1</v>
      </c>
      <c r="AJ341" s="16" t="b">
        <v>0</v>
      </c>
      <c r="AK341" s="22">
        <f>IFERROR(__xludf.DUMMYFUNCTION("IFERROR(GOOGLEFINANCE(B341,""price""),"""")"),3.1)</f>
        <v>3.1</v>
      </c>
    </row>
    <row r="342">
      <c r="A342" s="7">
        <v>46090.668370332416</v>
      </c>
      <c r="B342" s="8" t="s">
        <v>757</v>
      </c>
      <c r="C342" s="8" t="s">
        <v>758</v>
      </c>
      <c r="D342" s="9">
        <v>46096.0</v>
      </c>
      <c r="E342" s="10">
        <v>0.6722</v>
      </c>
      <c r="F342" s="8" t="s">
        <v>190</v>
      </c>
      <c r="G342" s="23"/>
      <c r="H342" s="13">
        <v>-0.5213</v>
      </c>
      <c r="I342" s="8" t="s">
        <v>179</v>
      </c>
      <c r="J342" s="13">
        <v>0.2111</v>
      </c>
      <c r="K342" s="8">
        <v>2.056425E7</v>
      </c>
      <c r="L342" s="11">
        <v>0.84</v>
      </c>
      <c r="M342" s="11">
        <v>16.3022</v>
      </c>
      <c r="N342" s="8" t="s">
        <v>759</v>
      </c>
      <c r="O342" s="11">
        <v>0.0446</v>
      </c>
      <c r="P342" s="12">
        <v>1106151.0</v>
      </c>
      <c r="Q342" s="13">
        <v>0.6813</v>
      </c>
      <c r="R342" s="13">
        <v>0.6275</v>
      </c>
      <c r="S342" s="13">
        <v>0.6605</v>
      </c>
      <c r="T342" s="13">
        <v>0.062</v>
      </c>
      <c r="U342" s="13">
        <v>0.1472</v>
      </c>
      <c r="V342" s="13">
        <v>724217.3</v>
      </c>
      <c r="W342" s="13">
        <v>1.6896</v>
      </c>
      <c r="X342" s="12">
        <v>6.575015E7</v>
      </c>
      <c r="Y342" s="13">
        <v>0.8011</v>
      </c>
      <c r="Z342" s="13">
        <v>1.3616</v>
      </c>
      <c r="AA342" s="11">
        <v>37.8473</v>
      </c>
      <c r="AB342" s="13">
        <v>3.08</v>
      </c>
      <c r="AC342" s="13">
        <v>-17.3201</v>
      </c>
      <c r="AD342" s="13">
        <v>-17.4381</v>
      </c>
      <c r="AE342" s="13">
        <v>-47.0345</v>
      </c>
      <c r="AF342" s="13">
        <v>0.1089</v>
      </c>
      <c r="AG342" s="13">
        <v>2.5851</v>
      </c>
      <c r="AH342" s="8" t="b">
        <v>1</v>
      </c>
      <c r="AI342" s="8" t="b">
        <v>0</v>
      </c>
      <c r="AJ342" s="8" t="b">
        <v>0</v>
      </c>
      <c r="AK342" s="14">
        <f>IFERROR(__xludf.DUMMYFUNCTION("IFERROR(GOOGLEFINANCE(B342,""price""),"""")"),0.52)</f>
        <v>0.52</v>
      </c>
    </row>
    <row r="343">
      <c r="A343" s="15">
        <v>46090.668370332416</v>
      </c>
      <c r="B343" s="16" t="s">
        <v>825</v>
      </c>
      <c r="C343" s="16" t="s">
        <v>826</v>
      </c>
      <c r="D343" s="17">
        <v>46096.0</v>
      </c>
      <c r="E343" s="18">
        <v>0.5222</v>
      </c>
      <c r="F343" s="16" t="s">
        <v>308</v>
      </c>
      <c r="G343" s="24"/>
      <c r="H343" s="21">
        <v>-0.7203</v>
      </c>
      <c r="I343" s="16" t="s">
        <v>175</v>
      </c>
      <c r="J343" s="21">
        <v>0.2068</v>
      </c>
      <c r="K343" s="16">
        <v>1.8555596E7</v>
      </c>
      <c r="L343" s="19">
        <v>0.61</v>
      </c>
      <c r="M343" s="19">
        <v>13.2801</v>
      </c>
      <c r="N343" s="16" t="s">
        <v>827</v>
      </c>
      <c r="O343" s="19">
        <v>-1.4717</v>
      </c>
      <c r="P343" s="20">
        <v>809024.0</v>
      </c>
      <c r="Q343" s="21">
        <v>0.5336</v>
      </c>
      <c r="R343" s="21">
        <v>0.49</v>
      </c>
      <c r="S343" s="21">
        <v>0.53</v>
      </c>
      <c r="T343" s="21">
        <v>0.0418</v>
      </c>
      <c r="U343" s="21">
        <v>0.1376</v>
      </c>
      <c r="V343" s="21">
        <v>513615.2</v>
      </c>
      <c r="W343" s="21">
        <v>1.7268</v>
      </c>
      <c r="X343" s="20">
        <v>3.1071867E7</v>
      </c>
      <c r="Y343" s="21">
        <v>0.5729</v>
      </c>
      <c r="Z343" s="21">
        <v>0.7353</v>
      </c>
      <c r="AA343" s="19">
        <v>43.4509</v>
      </c>
      <c r="AB343" s="21">
        <v>1.7599</v>
      </c>
      <c r="AC343" s="21">
        <v>-376.234</v>
      </c>
      <c r="AD343" s="21">
        <v>-858.0401</v>
      </c>
      <c r="AE343" s="21">
        <v>63.5278</v>
      </c>
      <c r="AF343" s="21">
        <v>1.8496</v>
      </c>
      <c r="AG343" s="21">
        <v>1.1618</v>
      </c>
      <c r="AH343" s="16" t="b">
        <v>1</v>
      </c>
      <c r="AI343" s="16" t="b">
        <v>0</v>
      </c>
      <c r="AJ343" s="16" t="b">
        <v>0</v>
      </c>
      <c r="AK343" s="22">
        <f>IFERROR(__xludf.DUMMYFUNCTION("IFERROR(GOOGLEFINANCE(B343,""price""),"""")"),0.4)</f>
        <v>0.4</v>
      </c>
    </row>
    <row r="344">
      <c r="A344" s="7">
        <v>46090.668370332416</v>
      </c>
      <c r="B344" s="8" t="s">
        <v>915</v>
      </c>
      <c r="C344" s="8" t="s">
        <v>916</v>
      </c>
      <c r="D344" s="9">
        <v>46096.0</v>
      </c>
      <c r="E344" s="10">
        <v>1.14</v>
      </c>
      <c r="F344" s="8" t="s">
        <v>917</v>
      </c>
      <c r="G344" s="23"/>
      <c r="H344" s="13">
        <v>-4.9344</v>
      </c>
      <c r="I344" s="8" t="s">
        <v>118</v>
      </c>
      <c r="J344" s="13">
        <v>0.1906</v>
      </c>
      <c r="K344" s="8">
        <v>1.23696794E8</v>
      </c>
      <c r="L344" s="11">
        <v>0.47</v>
      </c>
      <c r="M344" s="11">
        <v>11.3367</v>
      </c>
      <c r="N344" s="8" t="s">
        <v>918</v>
      </c>
      <c r="O344" s="11">
        <v>5.5556</v>
      </c>
      <c r="P344" s="12">
        <v>2.2265423E7</v>
      </c>
      <c r="Q344" s="13">
        <v>1.29</v>
      </c>
      <c r="R344" s="13">
        <v>1.11</v>
      </c>
      <c r="S344" s="13">
        <v>1.15</v>
      </c>
      <c r="T344" s="13">
        <v>0.1115</v>
      </c>
      <c r="U344" s="13">
        <v>0.4725</v>
      </c>
      <c r="V344" s="8">
        <v>9318422.0</v>
      </c>
      <c r="W344" s="13">
        <v>3.01</v>
      </c>
      <c r="X344" s="12">
        <v>3.24390234E8</v>
      </c>
      <c r="Y344" s="13">
        <v>1.2638</v>
      </c>
      <c r="Z344" s="13">
        <v>3.0533</v>
      </c>
      <c r="AA344" s="11">
        <v>45.0499</v>
      </c>
      <c r="AB344" s="13">
        <v>12.59</v>
      </c>
      <c r="AC344" s="13">
        <v>-96.2073</v>
      </c>
      <c r="AD344" s="13">
        <v>4.7274</v>
      </c>
      <c r="AE344" s="13">
        <v>-27.2327</v>
      </c>
      <c r="AF344" s="13">
        <v>9.3502</v>
      </c>
      <c r="AG344" s="13">
        <v>0.1675</v>
      </c>
      <c r="AH344" s="8" t="b">
        <v>0</v>
      </c>
      <c r="AI344" s="8" t="b">
        <v>1</v>
      </c>
      <c r="AJ344" s="8" t="b">
        <v>0</v>
      </c>
      <c r="AK344" s="14">
        <f>IFERROR(__xludf.DUMMYFUNCTION("IFERROR(GOOGLEFINANCE(B344,""price""),"""")"),0.7)</f>
        <v>0.7</v>
      </c>
    </row>
    <row r="345">
      <c r="A345" s="15">
        <v>46090.668370332416</v>
      </c>
      <c r="B345" s="16" t="s">
        <v>919</v>
      </c>
      <c r="C345" s="16" t="s">
        <v>920</v>
      </c>
      <c r="D345" s="17">
        <v>46096.0</v>
      </c>
      <c r="E345" s="18">
        <v>2.73</v>
      </c>
      <c r="F345" s="16" t="s">
        <v>88</v>
      </c>
      <c r="G345" s="21">
        <v>67.0762</v>
      </c>
      <c r="H345" s="21">
        <v>0.0407</v>
      </c>
      <c r="I345" s="16" t="s">
        <v>179</v>
      </c>
      <c r="J345" s="21">
        <v>0.1884</v>
      </c>
      <c r="K345" s="16">
        <v>1628687.0</v>
      </c>
      <c r="L345" s="19">
        <v>0.83</v>
      </c>
      <c r="M345" s="19">
        <v>20.3831</v>
      </c>
      <c r="N345" s="16" t="s">
        <v>921</v>
      </c>
      <c r="O345" s="19">
        <v>-0.365</v>
      </c>
      <c r="P345" s="20">
        <v>374598.0</v>
      </c>
      <c r="Q345" s="21">
        <v>2.78</v>
      </c>
      <c r="R345" s="21">
        <v>2.55</v>
      </c>
      <c r="S345" s="21">
        <v>2.7</v>
      </c>
      <c r="T345" s="21">
        <v>0.1396</v>
      </c>
      <c r="U345" s="21">
        <v>0.3356</v>
      </c>
      <c r="V345" s="21">
        <v>248073.8</v>
      </c>
      <c r="W345" s="21">
        <v>1.5872</v>
      </c>
      <c r="X345" s="20">
        <v>1.15743913E8</v>
      </c>
      <c r="Y345" s="21">
        <v>2.7024</v>
      </c>
      <c r="Z345" s="21">
        <v>2.7992</v>
      </c>
      <c r="AA345" s="19">
        <v>58.8478</v>
      </c>
      <c r="AB345" s="21">
        <v>4.01</v>
      </c>
      <c r="AC345" s="21">
        <v>21.4855</v>
      </c>
      <c r="AD345" s="21">
        <v>10.8044</v>
      </c>
      <c r="AE345" s="21">
        <v>2.9735</v>
      </c>
      <c r="AF345" s="21">
        <v>0.1672</v>
      </c>
      <c r="AG345" s="21">
        <v>1.2611</v>
      </c>
      <c r="AH345" s="16" t="b">
        <v>1</v>
      </c>
      <c r="AI345" s="16" t="b">
        <v>0</v>
      </c>
      <c r="AJ345" s="16" t="b">
        <v>0</v>
      </c>
      <c r="AK345" s="22">
        <f>IFERROR(__xludf.DUMMYFUNCTION("IFERROR(GOOGLEFINANCE(B345,""price""),"""")"),2.7)</f>
        <v>2.7</v>
      </c>
    </row>
    <row r="346">
      <c r="A346" s="7">
        <v>46090.668370332416</v>
      </c>
      <c r="B346" s="8" t="s">
        <v>295</v>
      </c>
      <c r="C346" s="8" t="s">
        <v>296</v>
      </c>
      <c r="D346" s="9">
        <v>46096.0</v>
      </c>
      <c r="E346" s="10">
        <v>0.7887</v>
      </c>
      <c r="F346" s="8" t="s">
        <v>88</v>
      </c>
      <c r="G346" s="23"/>
      <c r="H346" s="13">
        <v>-5.5404</v>
      </c>
      <c r="I346" s="8" t="s">
        <v>145</v>
      </c>
      <c r="J346" s="13">
        <v>0.1761</v>
      </c>
      <c r="K346" s="8">
        <v>1.0936144E7</v>
      </c>
      <c r="L346" s="11">
        <v>0.74</v>
      </c>
      <c r="M346" s="11">
        <v>21.1433</v>
      </c>
      <c r="N346" s="8" t="s">
        <v>298</v>
      </c>
      <c r="O346" s="11">
        <v>-5.5449</v>
      </c>
      <c r="P346" s="12">
        <v>1137359.0</v>
      </c>
      <c r="Q346" s="13">
        <v>0.8071</v>
      </c>
      <c r="R346" s="13">
        <v>0.7031</v>
      </c>
      <c r="S346" s="13">
        <v>0.7882</v>
      </c>
      <c r="T346" s="13">
        <v>0.0888</v>
      </c>
      <c r="U346" s="13">
        <v>0.2387</v>
      </c>
      <c r="V346" s="13">
        <v>537399.6</v>
      </c>
      <c r="W346" s="13">
        <v>2.3215</v>
      </c>
      <c r="X346" s="12">
        <v>7.5297838E7</v>
      </c>
      <c r="Y346" s="13">
        <v>0.7275</v>
      </c>
      <c r="Z346" s="13">
        <v>1.6311</v>
      </c>
      <c r="AA346" s="11">
        <v>50.9557</v>
      </c>
      <c r="AB346" s="13">
        <v>4.49</v>
      </c>
      <c r="AC346" s="13">
        <v>-316.4637</v>
      </c>
      <c r="AD346" s="13">
        <v>0.3143</v>
      </c>
      <c r="AE346" s="13">
        <v>46.1397</v>
      </c>
      <c r="AF346" s="13">
        <v>6.7519</v>
      </c>
      <c r="AG346" s="13">
        <v>1.0957</v>
      </c>
      <c r="AH346" s="8" t="b">
        <v>1</v>
      </c>
      <c r="AI346" s="8" t="b">
        <v>1</v>
      </c>
      <c r="AJ346" s="8" t="b">
        <v>0</v>
      </c>
      <c r="AK346" s="14">
        <f>IFERROR(__xludf.DUMMYFUNCTION("IFERROR(GOOGLEFINANCE(B346,""price""),"""")"),0.64)</f>
        <v>0.64</v>
      </c>
    </row>
    <row r="347">
      <c r="A347" s="15">
        <v>46090.668370332416</v>
      </c>
      <c r="B347" s="16" t="s">
        <v>922</v>
      </c>
      <c r="C347" s="16" t="s">
        <v>923</v>
      </c>
      <c r="D347" s="17">
        <v>46096.0</v>
      </c>
      <c r="E347" s="18">
        <v>2.06</v>
      </c>
      <c r="F347" s="16" t="s">
        <v>117</v>
      </c>
      <c r="G347" s="24"/>
      <c r="H347" s="21">
        <v>-0.2975</v>
      </c>
      <c r="I347" s="16" t="s">
        <v>175</v>
      </c>
      <c r="J347" s="21">
        <v>0.1648</v>
      </c>
      <c r="K347" s="16">
        <v>5269659.0</v>
      </c>
      <c r="L347" s="19">
        <v>0.59</v>
      </c>
      <c r="M347" s="19">
        <v>20.0594</v>
      </c>
      <c r="N347" s="16" t="s">
        <v>924</v>
      </c>
      <c r="O347" s="19">
        <v>-1.4354</v>
      </c>
      <c r="P347" s="20">
        <v>1791684.0</v>
      </c>
      <c r="Q347" s="21">
        <v>2.12</v>
      </c>
      <c r="R347" s="21">
        <v>1.78</v>
      </c>
      <c r="S347" s="21">
        <v>2.12</v>
      </c>
      <c r="T347" s="21">
        <v>0.2485</v>
      </c>
      <c r="U347" s="21">
        <v>0.8355</v>
      </c>
      <c r="V347" s="21">
        <v>776724.3</v>
      </c>
      <c r="W347" s="21">
        <v>2.7198</v>
      </c>
      <c r="X347" s="20">
        <v>1.2861954E8</v>
      </c>
      <c r="Y347" s="21">
        <v>2.199</v>
      </c>
      <c r="Z347" s="21">
        <v>4.2324</v>
      </c>
      <c r="AA347" s="19">
        <v>50.8934</v>
      </c>
      <c r="AB347" s="21">
        <v>12.0</v>
      </c>
      <c r="AC347" s="21">
        <v>-21.8462</v>
      </c>
      <c r="AD347" s="21">
        <v>-2.7115</v>
      </c>
      <c r="AE347" s="21">
        <v>-16.5409</v>
      </c>
      <c r="AF347" s="21">
        <v>1.0484</v>
      </c>
      <c r="AG347" s="21">
        <v>0.5057</v>
      </c>
      <c r="AH347" s="16" t="b">
        <v>1</v>
      </c>
      <c r="AI347" s="16" t="b">
        <v>0</v>
      </c>
      <c r="AJ347" s="16" t="b">
        <v>0</v>
      </c>
      <c r="AK347" s="22">
        <f>IFERROR(__xludf.DUMMYFUNCTION("IFERROR(GOOGLEFINANCE(B347,""price""),"""")"),2.64)</f>
        <v>2.64</v>
      </c>
    </row>
    <row r="348">
      <c r="A348" s="7">
        <v>46090.668370332416</v>
      </c>
      <c r="B348" s="8" t="s">
        <v>925</v>
      </c>
      <c r="C348" s="8" t="s">
        <v>926</v>
      </c>
      <c r="D348" s="9">
        <v>46096.0</v>
      </c>
      <c r="E348" s="10">
        <v>1.26</v>
      </c>
      <c r="F348" s="8" t="s">
        <v>137</v>
      </c>
      <c r="G348" s="23"/>
      <c r="H348" s="13">
        <v>-0.0222</v>
      </c>
      <c r="I348" s="8" t="s">
        <v>175</v>
      </c>
      <c r="J348" s="13">
        <v>0.1507</v>
      </c>
      <c r="K348" s="8">
        <v>2486145.0</v>
      </c>
      <c r="L348" s="11">
        <v>0.75</v>
      </c>
      <c r="M348" s="11">
        <v>18.8988</v>
      </c>
      <c r="N348" s="8" t="s">
        <v>927</v>
      </c>
      <c r="O348" s="11">
        <v>3.2787</v>
      </c>
      <c r="P348" s="12">
        <v>410214.0</v>
      </c>
      <c r="Q348" s="13">
        <v>1.275</v>
      </c>
      <c r="R348" s="13">
        <v>1.11</v>
      </c>
      <c r="S348" s="13">
        <v>1.22</v>
      </c>
      <c r="T348" s="13">
        <v>0.0947</v>
      </c>
      <c r="U348" s="13">
        <v>0.2533</v>
      </c>
      <c r="V348" s="13">
        <v>223913.0</v>
      </c>
      <c r="W348" s="13">
        <v>1.9729</v>
      </c>
      <c r="X348" s="12">
        <v>1.24988154E8</v>
      </c>
      <c r="Y348" s="13">
        <v>1.1282</v>
      </c>
      <c r="Z348" s="13">
        <v>2.0793</v>
      </c>
      <c r="AA348" s="11">
        <v>63.3878</v>
      </c>
      <c r="AB348" s="13">
        <v>6.95</v>
      </c>
      <c r="AC348" s="23"/>
      <c r="AD348" s="13">
        <v>2.8805</v>
      </c>
      <c r="AE348" s="13">
        <v>-7.3306</v>
      </c>
      <c r="AF348" s="23"/>
      <c r="AG348" s="13">
        <v>0.8106</v>
      </c>
      <c r="AH348" s="8" t="b">
        <v>1</v>
      </c>
      <c r="AI348" s="8" t="b">
        <v>0</v>
      </c>
      <c r="AJ348" s="8" t="b">
        <v>0</v>
      </c>
      <c r="AK348" s="14">
        <f>IFERROR(__xludf.DUMMYFUNCTION("IFERROR(GOOGLEFINANCE(B348,""price""),"""")"),1.97)</f>
        <v>1.97</v>
      </c>
    </row>
    <row r="349">
      <c r="A349" s="15">
        <v>46090.668370332416</v>
      </c>
      <c r="B349" s="16" t="s">
        <v>928</v>
      </c>
      <c r="C349" s="16" t="s">
        <v>929</v>
      </c>
      <c r="D349" s="17">
        <v>46096.0</v>
      </c>
      <c r="E349" s="18">
        <v>0.5017</v>
      </c>
      <c r="F349" s="16" t="s">
        <v>117</v>
      </c>
      <c r="G349" s="24"/>
      <c r="H349" s="21">
        <v>-1.9996</v>
      </c>
      <c r="I349" s="16" t="s">
        <v>118</v>
      </c>
      <c r="J349" s="21">
        <v>0.146</v>
      </c>
      <c r="K349" s="16">
        <v>1.115875E7</v>
      </c>
      <c r="L349" s="19">
        <v>0.57</v>
      </c>
      <c r="M349" s="19">
        <v>26.7268</v>
      </c>
      <c r="N349" s="16" t="s">
        <v>930</v>
      </c>
      <c r="O349" s="19">
        <v>-2.2789</v>
      </c>
      <c r="P349" s="20">
        <v>1089094.0</v>
      </c>
      <c r="Q349" s="21">
        <v>0.5876</v>
      </c>
      <c r="R349" s="21">
        <v>0.49</v>
      </c>
      <c r="S349" s="21">
        <v>0.51</v>
      </c>
      <c r="T349" s="21">
        <v>0.0579</v>
      </c>
      <c r="U349" s="21">
        <v>0.2017</v>
      </c>
      <c r="V349" s="21">
        <v>458493.3</v>
      </c>
      <c r="W349" s="21">
        <v>2.8393</v>
      </c>
      <c r="X349" s="20">
        <v>1.2880037E7</v>
      </c>
      <c r="Y349" s="21">
        <v>0.5678</v>
      </c>
      <c r="Z349" s="21">
        <v>1.434</v>
      </c>
      <c r="AA349" s="19">
        <v>51.6314</v>
      </c>
      <c r="AB349" s="21">
        <v>4.33</v>
      </c>
      <c r="AC349" s="21">
        <v>-31.4066</v>
      </c>
      <c r="AD349" s="21">
        <v>-558.3031</v>
      </c>
      <c r="AE349" s="24"/>
      <c r="AF349" s="21">
        <v>0.0535</v>
      </c>
      <c r="AG349" s="21">
        <v>0.2132</v>
      </c>
      <c r="AH349" s="16" t="b">
        <v>0</v>
      </c>
      <c r="AI349" s="16" t="b">
        <v>1</v>
      </c>
      <c r="AJ349" s="16" t="b">
        <v>0</v>
      </c>
      <c r="AK349" s="22">
        <f>IFERROR(__xludf.DUMMYFUNCTION("IFERROR(GOOGLEFINANCE(B349,""price""),"""")"),0.54)</f>
        <v>0.54</v>
      </c>
    </row>
    <row r="350">
      <c r="A350" s="7">
        <v>46090.668370332416</v>
      </c>
      <c r="B350" s="8" t="s">
        <v>931</v>
      </c>
      <c r="C350" s="8" t="s">
        <v>932</v>
      </c>
      <c r="D350" s="9">
        <v>46096.0</v>
      </c>
      <c r="E350" s="10">
        <v>1.17</v>
      </c>
      <c r="F350" s="8" t="s">
        <v>308</v>
      </c>
      <c r="G350" s="23"/>
      <c r="H350" s="13">
        <v>-1.2948</v>
      </c>
      <c r="I350" s="8" t="s">
        <v>175</v>
      </c>
      <c r="J350" s="13">
        <v>0.1437</v>
      </c>
      <c r="K350" s="8">
        <v>2.2413896E7</v>
      </c>
      <c r="L350" s="11">
        <v>0.5</v>
      </c>
      <c r="M350" s="11">
        <v>28.1002</v>
      </c>
      <c r="N350" s="8" t="s">
        <v>933</v>
      </c>
      <c r="O350" s="11">
        <v>5.4054</v>
      </c>
      <c r="P350" s="12">
        <v>3583982.0</v>
      </c>
      <c r="Q350" s="13">
        <v>1.1899</v>
      </c>
      <c r="R350" s="13">
        <v>1.03</v>
      </c>
      <c r="S350" s="13">
        <v>1.15</v>
      </c>
      <c r="T350" s="13">
        <v>0.1626</v>
      </c>
      <c r="U350" s="13">
        <v>0.6446</v>
      </c>
      <c r="V350" s="8">
        <v>2132796.0</v>
      </c>
      <c r="W350" s="13">
        <v>1.9643</v>
      </c>
      <c r="X350" s="12">
        <v>3.5004133E7</v>
      </c>
      <c r="Y350" s="13">
        <v>1.5808</v>
      </c>
      <c r="Z350" s="13">
        <v>2.643</v>
      </c>
      <c r="AA350" s="11">
        <v>50.4315</v>
      </c>
      <c r="AB350" s="13">
        <v>6.77</v>
      </c>
      <c r="AC350" s="13">
        <v>-109.145</v>
      </c>
      <c r="AD350" s="13">
        <v>-113.3979</v>
      </c>
      <c r="AE350" s="13">
        <v>176.9884</v>
      </c>
      <c r="AF350" s="13">
        <v>2.1517</v>
      </c>
      <c r="AG350" s="13">
        <v>0.7436</v>
      </c>
      <c r="AH350" s="8" t="b">
        <v>1</v>
      </c>
      <c r="AI350" s="8" t="b">
        <v>0</v>
      </c>
      <c r="AJ350" s="8" t="b">
        <v>0</v>
      </c>
      <c r="AK350" s="14">
        <f>IFERROR(__xludf.DUMMYFUNCTION("IFERROR(GOOGLEFINANCE(B350,""price""),"""")"),0.94)</f>
        <v>0.94</v>
      </c>
    </row>
    <row r="351">
      <c r="A351" s="15">
        <v>46090.668370332416</v>
      </c>
      <c r="B351" s="16" t="s">
        <v>934</v>
      </c>
      <c r="C351" s="16" t="s">
        <v>935</v>
      </c>
      <c r="D351" s="17">
        <v>46096.0</v>
      </c>
      <c r="E351" s="18">
        <v>3.16</v>
      </c>
      <c r="F351" s="16" t="s">
        <v>112</v>
      </c>
      <c r="G351" s="24"/>
      <c r="H351" s="24"/>
      <c r="I351" s="16" t="s">
        <v>118</v>
      </c>
      <c r="J351" s="21">
        <v>0.1009</v>
      </c>
      <c r="K351" s="16">
        <v>1938641.0</v>
      </c>
      <c r="L351" s="19">
        <v>0.51</v>
      </c>
      <c r="M351" s="19">
        <v>27.9727</v>
      </c>
      <c r="N351" s="16" t="s">
        <v>936</v>
      </c>
      <c r="O351" s="19">
        <v>-3.6585</v>
      </c>
      <c r="P351" s="20">
        <v>2151892.0</v>
      </c>
      <c r="Q351" s="21">
        <v>3.8</v>
      </c>
      <c r="R351" s="21">
        <v>2.69</v>
      </c>
      <c r="S351" s="21">
        <v>3.25</v>
      </c>
      <c r="T351" s="21">
        <v>0.358</v>
      </c>
      <c r="U351" s="21">
        <v>1.405</v>
      </c>
      <c r="V351" s="21">
        <v>798672.7</v>
      </c>
      <c r="W351" s="21">
        <v>3.5442</v>
      </c>
      <c r="X351" s="20">
        <v>1.02648073E8</v>
      </c>
      <c r="Y351" s="21">
        <v>2.8203</v>
      </c>
      <c r="Z351" s="24"/>
      <c r="AA351" s="19">
        <v>66.2626</v>
      </c>
      <c r="AB351" s="21">
        <v>11.235</v>
      </c>
      <c r="AC351" s="24"/>
      <c r="AD351" s="24"/>
      <c r="AE351" s="24"/>
      <c r="AF351" s="21">
        <v>0.0637</v>
      </c>
      <c r="AG351" s="21">
        <v>2.1511</v>
      </c>
      <c r="AH351" s="16" t="b">
        <v>0</v>
      </c>
      <c r="AI351" s="16" t="b">
        <v>1</v>
      </c>
      <c r="AJ351" s="16" t="b">
        <v>0</v>
      </c>
      <c r="AK351" s="22">
        <f>IFERROR(__xludf.DUMMYFUNCTION("IFERROR(GOOGLEFINANCE(B351,""price""),"""")"),2.71)</f>
        <v>2.71</v>
      </c>
    </row>
    <row r="352">
      <c r="A352" s="7">
        <v>46090.668370332416</v>
      </c>
      <c r="B352" s="8" t="s">
        <v>937</v>
      </c>
      <c r="C352" s="8" t="s">
        <v>938</v>
      </c>
      <c r="D352" s="9">
        <v>46096.0</v>
      </c>
      <c r="E352" s="10">
        <v>0.5751</v>
      </c>
      <c r="F352" s="8" t="s">
        <v>93</v>
      </c>
      <c r="G352" s="23"/>
      <c r="H352" s="13">
        <v>-0.0373</v>
      </c>
      <c r="I352" s="8" t="s">
        <v>145</v>
      </c>
      <c r="J352" s="13">
        <v>0.0438</v>
      </c>
      <c r="K352" s="8">
        <v>5282423.0</v>
      </c>
      <c r="L352" s="11">
        <v>0.65</v>
      </c>
      <c r="M352" s="11">
        <v>15.8084</v>
      </c>
      <c r="N352" s="8" t="s">
        <v>939</v>
      </c>
      <c r="O352" s="11">
        <v>-2.5254</v>
      </c>
      <c r="P352" s="12">
        <v>1319544.0</v>
      </c>
      <c r="Q352" s="13">
        <v>0.6598</v>
      </c>
      <c r="R352" s="13">
        <v>0.41</v>
      </c>
      <c r="S352" s="13">
        <v>0.582</v>
      </c>
      <c r="T352" s="13">
        <v>0.0787</v>
      </c>
      <c r="U352" s="13">
        <v>0.2428</v>
      </c>
      <c r="V352" s="13">
        <v>823599.8</v>
      </c>
      <c r="W352" s="13">
        <v>1.9026</v>
      </c>
      <c r="X352" s="12">
        <v>1.6044448E7</v>
      </c>
      <c r="Y352" s="13">
        <v>0.6557</v>
      </c>
      <c r="Z352" s="13">
        <v>0.8782</v>
      </c>
      <c r="AA352" s="11">
        <v>42.1273</v>
      </c>
      <c r="AB352" s="13">
        <v>4.5</v>
      </c>
      <c r="AC352" s="13">
        <v>-120.2677</v>
      </c>
      <c r="AD352" s="13">
        <v>-0.2737</v>
      </c>
      <c r="AE352" s="23"/>
      <c r="AF352" s="13">
        <v>3.2946</v>
      </c>
      <c r="AG352" s="13">
        <v>0.5374</v>
      </c>
      <c r="AH352" s="8" t="b">
        <v>1</v>
      </c>
      <c r="AI352" s="8" t="b">
        <v>1</v>
      </c>
      <c r="AJ352" s="8" t="b">
        <v>0</v>
      </c>
      <c r="AK352" s="14">
        <f>IFERROR(__xludf.DUMMYFUNCTION("IFERROR(GOOGLEFINANCE(B352,""price""),"""")"),0.57)</f>
        <v>0.57</v>
      </c>
    </row>
    <row r="353">
      <c r="A353" s="7">
        <v>46091.66967648592</v>
      </c>
      <c r="B353" s="8" t="s">
        <v>940</v>
      </c>
      <c r="C353" s="8" t="s">
        <v>941</v>
      </c>
      <c r="D353" s="9">
        <v>46096.0</v>
      </c>
      <c r="E353" s="10">
        <v>1.39</v>
      </c>
      <c r="F353" s="8" t="s">
        <v>186</v>
      </c>
      <c r="G353" s="23"/>
      <c r="H353" s="13">
        <v>-3.331</v>
      </c>
      <c r="I353" s="8" t="s">
        <v>942</v>
      </c>
      <c r="J353" s="13">
        <v>15.195</v>
      </c>
      <c r="K353" s="8">
        <v>2.5914978E7</v>
      </c>
      <c r="L353" s="11">
        <v>0.75</v>
      </c>
      <c r="M353" s="11">
        <v>13.4098</v>
      </c>
      <c r="N353" s="8" t="s">
        <v>943</v>
      </c>
      <c r="O353" s="11">
        <v>11.2</v>
      </c>
      <c r="P353" s="12">
        <v>6997044.0</v>
      </c>
      <c r="Q353" s="13">
        <v>1.43</v>
      </c>
      <c r="R353" s="13">
        <v>1.16</v>
      </c>
      <c r="S353" s="13">
        <v>1.21</v>
      </c>
      <c r="T353" s="13">
        <v>0.114</v>
      </c>
      <c r="U353" s="13">
        <v>0.3052</v>
      </c>
      <c r="V353" s="13">
        <v>721297.1</v>
      </c>
      <c r="W353" s="13">
        <v>295.1542</v>
      </c>
      <c r="X353" s="12">
        <v>4.0084525E7</v>
      </c>
      <c r="Y353" s="13">
        <v>1.2654</v>
      </c>
      <c r="Z353" s="13">
        <v>1.8165</v>
      </c>
      <c r="AA353" s="11">
        <v>59.0781</v>
      </c>
      <c r="AB353" s="13">
        <v>4.35</v>
      </c>
      <c r="AC353" s="23"/>
      <c r="AD353" s="13">
        <v>-120.0725</v>
      </c>
      <c r="AE353" s="13">
        <v>-15.8133</v>
      </c>
      <c r="AF353" s="23"/>
      <c r="AG353" s="13">
        <v>0.1622</v>
      </c>
      <c r="AH353" s="8" t="b">
        <v>0</v>
      </c>
      <c r="AI353" s="8" t="b">
        <v>0</v>
      </c>
      <c r="AJ353" s="8" t="b">
        <v>0</v>
      </c>
      <c r="AK353" s="14">
        <f>IFERROR(__xludf.DUMMYFUNCTION("IFERROR(GOOGLEFINANCE(B353,""price""),"""")"),1.27)</f>
        <v>1.27</v>
      </c>
    </row>
    <row r="354">
      <c r="A354" s="15">
        <v>46091.66967648592</v>
      </c>
      <c r="B354" s="16" t="s">
        <v>551</v>
      </c>
      <c r="C354" s="16" t="s">
        <v>552</v>
      </c>
      <c r="D354" s="17">
        <v>46096.0</v>
      </c>
      <c r="E354" s="18">
        <v>1.19</v>
      </c>
      <c r="F354" s="16" t="s">
        <v>117</v>
      </c>
      <c r="G354" s="24"/>
      <c r="H354" s="21">
        <v>-20.8714</v>
      </c>
      <c r="I354" s="16" t="s">
        <v>865</v>
      </c>
      <c r="J354" s="21">
        <v>8.223</v>
      </c>
      <c r="K354" s="16">
        <v>6.645346E7</v>
      </c>
      <c r="L354" s="19">
        <v>0.27</v>
      </c>
      <c r="M354" s="19">
        <v>9.2845</v>
      </c>
      <c r="N354" s="16" t="s">
        <v>553</v>
      </c>
      <c r="O354" s="19">
        <v>12.2642</v>
      </c>
      <c r="P354" s="20">
        <v>2.093284E7</v>
      </c>
      <c r="Q354" s="21">
        <v>1.4</v>
      </c>
      <c r="R354" s="21">
        <v>1.085</v>
      </c>
      <c r="S354" s="21">
        <v>1.14</v>
      </c>
      <c r="T354" s="21">
        <v>0.1376</v>
      </c>
      <c r="U354" s="21">
        <v>1.0064</v>
      </c>
      <c r="V354" s="16">
        <v>2170282.0</v>
      </c>
      <c r="W354" s="21">
        <v>217.6668</v>
      </c>
      <c r="X354" s="20">
        <v>5353463.0</v>
      </c>
      <c r="Y354" s="21">
        <v>1.1484</v>
      </c>
      <c r="Z354" s="21">
        <v>6.3616</v>
      </c>
      <c r="AA354" s="19">
        <v>55.8976</v>
      </c>
      <c r="AB354" s="21">
        <v>46.53</v>
      </c>
      <c r="AC354" s="21">
        <v>-245.1786</v>
      </c>
      <c r="AD354" s="21">
        <v>-153.202</v>
      </c>
      <c r="AE354" s="21">
        <v>-27.6591</v>
      </c>
      <c r="AF354" s="21">
        <v>0.0765</v>
      </c>
      <c r="AG354" s="21">
        <v>3.6505</v>
      </c>
      <c r="AH354" s="16" t="b">
        <v>0</v>
      </c>
      <c r="AI354" s="16" t="b">
        <v>0</v>
      </c>
      <c r="AJ354" s="16" t="b">
        <v>0</v>
      </c>
      <c r="AK354" s="22">
        <f>IFERROR(__xludf.DUMMYFUNCTION("IFERROR(GOOGLEFINANCE(B354,""price""),"""")"),3.35)</f>
        <v>3.35</v>
      </c>
    </row>
    <row r="355">
      <c r="A355" s="7">
        <v>46091.66967648592</v>
      </c>
      <c r="B355" s="8" t="s">
        <v>944</v>
      </c>
      <c r="C355" s="8" t="s">
        <v>945</v>
      </c>
      <c r="D355" s="9">
        <v>46096.0</v>
      </c>
      <c r="E355" s="10">
        <v>0.7988</v>
      </c>
      <c r="F355" s="8" t="s">
        <v>117</v>
      </c>
      <c r="G355" s="23"/>
      <c r="H355" s="13">
        <v>-1.2898</v>
      </c>
      <c r="I355" s="8" t="s">
        <v>946</v>
      </c>
      <c r="J355" s="13">
        <v>5.4286</v>
      </c>
      <c r="K355" s="8">
        <v>1.13365867E8</v>
      </c>
      <c r="L355" s="11">
        <v>0.38</v>
      </c>
      <c r="M355" s="11">
        <v>28.103</v>
      </c>
      <c r="N355" s="8" t="s">
        <v>947</v>
      </c>
      <c r="O355" s="11">
        <v>10.3315</v>
      </c>
      <c r="P355" s="12">
        <v>1.6925524E7</v>
      </c>
      <c r="Q355" s="13">
        <v>0.835</v>
      </c>
      <c r="R355" s="13">
        <v>0.6857</v>
      </c>
      <c r="S355" s="13">
        <v>0.74</v>
      </c>
      <c r="T355" s="13">
        <v>0.0651</v>
      </c>
      <c r="U355" s="13">
        <v>0.3399</v>
      </c>
      <c r="V355" s="8">
        <v>1843788.0</v>
      </c>
      <c r="W355" s="13">
        <v>101.4639</v>
      </c>
      <c r="X355" s="12">
        <v>2.5607499E7</v>
      </c>
      <c r="Y355" s="13">
        <v>0.8604</v>
      </c>
      <c r="Z355" s="13">
        <v>1.9051</v>
      </c>
      <c r="AA355" s="11">
        <v>50.3078</v>
      </c>
      <c r="AB355" s="13">
        <v>5.75</v>
      </c>
      <c r="AC355" s="13">
        <v>-94.3106</v>
      </c>
      <c r="AD355" s="23"/>
      <c r="AE355" s="23"/>
      <c r="AF355" s="13">
        <v>0.0098</v>
      </c>
      <c r="AG355" s="13">
        <v>4.7712</v>
      </c>
      <c r="AH355" s="8" t="b">
        <v>0</v>
      </c>
      <c r="AI355" s="8" t="b">
        <v>0</v>
      </c>
      <c r="AJ355" s="8" t="b">
        <v>0</v>
      </c>
      <c r="AK355" s="14">
        <f>IFERROR(__xludf.DUMMYFUNCTION("IFERROR(GOOGLEFINANCE(B355,""price""),"""")"),0.72)</f>
        <v>0.72</v>
      </c>
    </row>
    <row r="356">
      <c r="A356" s="15">
        <v>46091.66967648592</v>
      </c>
      <c r="B356" s="16" t="s">
        <v>948</v>
      </c>
      <c r="C356" s="16" t="s">
        <v>949</v>
      </c>
      <c r="D356" s="17">
        <v>46096.0</v>
      </c>
      <c r="E356" s="18">
        <v>0.8713</v>
      </c>
      <c r="F356" s="16" t="s">
        <v>149</v>
      </c>
      <c r="G356" s="24"/>
      <c r="H356" s="24"/>
      <c r="I356" s="16" t="s">
        <v>946</v>
      </c>
      <c r="J356" s="21">
        <v>5.402</v>
      </c>
      <c r="K356" s="16">
        <v>1.50005016E8</v>
      </c>
      <c r="L356" s="19">
        <v>0.49</v>
      </c>
      <c r="M356" s="19">
        <v>24.6963</v>
      </c>
      <c r="N356" s="16" t="s">
        <v>950</v>
      </c>
      <c r="O356" s="19">
        <v>38.0824</v>
      </c>
      <c r="P356" s="20">
        <v>8.6012876E7</v>
      </c>
      <c r="Q356" s="21">
        <v>1.22</v>
      </c>
      <c r="R356" s="21">
        <v>0.6466</v>
      </c>
      <c r="S356" s="21">
        <v>0.7776</v>
      </c>
      <c r="T356" s="21">
        <v>0.2062</v>
      </c>
      <c r="U356" s="21">
        <v>0.8394</v>
      </c>
      <c r="V356" s="16">
        <v>8832951.0</v>
      </c>
      <c r="W356" s="21">
        <v>355.5009</v>
      </c>
      <c r="X356" s="20">
        <v>6.9107738E7</v>
      </c>
      <c r="Y356" s="21">
        <v>1.0007</v>
      </c>
      <c r="Z356" s="21">
        <v>3.6413</v>
      </c>
      <c r="AA356" s="19">
        <v>51.8234</v>
      </c>
      <c r="AB356" s="21">
        <v>13.25</v>
      </c>
      <c r="AC356" s="24"/>
      <c r="AD356" s="24"/>
      <c r="AE356" s="24"/>
      <c r="AF356" s="24"/>
      <c r="AG356" s="24"/>
      <c r="AH356" s="16" t="b">
        <v>0</v>
      </c>
      <c r="AI356" s="16" t="b">
        <v>0</v>
      </c>
      <c r="AJ356" s="16" t="b">
        <v>0</v>
      </c>
      <c r="AK356" s="22">
        <f>IFERROR(__xludf.DUMMYFUNCTION("IFERROR(GOOGLEFINANCE(B356,""price""),"""")"),0.48)</f>
        <v>0.48</v>
      </c>
    </row>
    <row r="357">
      <c r="A357" s="7">
        <v>46091.66967648592</v>
      </c>
      <c r="B357" s="8" t="s">
        <v>951</v>
      </c>
      <c r="C357" s="8" t="s">
        <v>952</v>
      </c>
      <c r="D357" s="9">
        <v>46096.0</v>
      </c>
      <c r="E357" s="10">
        <v>0.9518</v>
      </c>
      <c r="F357" s="8" t="s">
        <v>107</v>
      </c>
      <c r="G357" s="23"/>
      <c r="H357" s="13">
        <v>-0.3783</v>
      </c>
      <c r="I357" s="8" t="s">
        <v>953</v>
      </c>
      <c r="J357" s="13">
        <v>2.6009</v>
      </c>
      <c r="K357" s="8">
        <v>1.7831894E7</v>
      </c>
      <c r="L357" s="11">
        <v>0.85</v>
      </c>
      <c r="M357" s="11">
        <v>17.9991</v>
      </c>
      <c r="N357" s="8" t="s">
        <v>954</v>
      </c>
      <c r="O357" s="11">
        <v>-15.7699</v>
      </c>
      <c r="P357" s="12">
        <v>6984753.0</v>
      </c>
      <c r="Q357" s="13">
        <v>1.095</v>
      </c>
      <c r="R357" s="13">
        <v>0.7033</v>
      </c>
      <c r="S357" s="13">
        <v>1.07</v>
      </c>
      <c r="T357" s="13">
        <v>0.1407</v>
      </c>
      <c r="U357" s="13">
        <v>0.3309</v>
      </c>
      <c r="V357" s="13">
        <v>761662.3</v>
      </c>
      <c r="W357" s="13">
        <v>107.035</v>
      </c>
      <c r="X357" s="12">
        <v>1.0211037E7</v>
      </c>
      <c r="Y357" s="13">
        <v>1.4058</v>
      </c>
      <c r="Z357" s="13">
        <v>1.9702</v>
      </c>
      <c r="AA357" s="11">
        <v>33.2677</v>
      </c>
      <c r="AB357" s="13">
        <v>3.25</v>
      </c>
      <c r="AC357" s="13">
        <v>-58.3409</v>
      </c>
      <c r="AD357" s="13">
        <v>-25.5379</v>
      </c>
      <c r="AE357" s="13">
        <v>73.3799</v>
      </c>
      <c r="AF357" s="13">
        <v>0.6155</v>
      </c>
      <c r="AG357" s="13">
        <v>1.6935</v>
      </c>
      <c r="AH357" s="8" t="b">
        <v>0</v>
      </c>
      <c r="AI357" s="8" t="b">
        <v>0</v>
      </c>
      <c r="AJ357" s="8" t="b">
        <v>0</v>
      </c>
      <c r="AK357" s="14">
        <f>IFERROR(__xludf.DUMMYFUNCTION("IFERROR(GOOGLEFINANCE(B357,""price""),"""")"),0.57)</f>
        <v>0.57</v>
      </c>
    </row>
    <row r="358">
      <c r="A358" s="15">
        <v>46091.66967648592</v>
      </c>
      <c r="B358" s="16" t="s">
        <v>955</v>
      </c>
      <c r="C358" s="16" t="s">
        <v>956</v>
      </c>
      <c r="D358" s="17">
        <v>46096.0</v>
      </c>
      <c r="E358" s="18">
        <v>0.6902</v>
      </c>
      <c r="F358" s="16" t="s">
        <v>129</v>
      </c>
      <c r="G358" s="24"/>
      <c r="H358" s="21">
        <v>-8.1529</v>
      </c>
      <c r="I358" s="16" t="s">
        <v>210</v>
      </c>
      <c r="J358" s="21">
        <v>2.5609</v>
      </c>
      <c r="K358" s="16">
        <v>2.4256108E7</v>
      </c>
      <c r="L358" s="19">
        <v>0.57</v>
      </c>
      <c r="M358" s="19">
        <v>17.218</v>
      </c>
      <c r="N358" s="16" t="s">
        <v>957</v>
      </c>
      <c r="O358" s="19">
        <v>9.5556</v>
      </c>
      <c r="P358" s="20">
        <v>4848796.0</v>
      </c>
      <c r="Q358" s="21">
        <v>0.7299</v>
      </c>
      <c r="R358" s="21">
        <v>0.53</v>
      </c>
      <c r="S358" s="21">
        <v>0.55</v>
      </c>
      <c r="T358" s="21">
        <v>0.0677</v>
      </c>
      <c r="U358" s="21">
        <v>0.2361</v>
      </c>
      <c r="V358" s="21">
        <v>536994.4</v>
      </c>
      <c r="W358" s="21">
        <v>74.1718</v>
      </c>
      <c r="X358" s="20">
        <v>6272450.0</v>
      </c>
      <c r="Y358" s="21">
        <v>0.6414</v>
      </c>
      <c r="Z358" s="21">
        <v>2.861</v>
      </c>
      <c r="AA358" s="19">
        <v>58.7802</v>
      </c>
      <c r="AB358" s="21">
        <v>4.18</v>
      </c>
      <c r="AC358" s="21">
        <v>-20.2298</v>
      </c>
      <c r="AD358" s="21">
        <v>-4.8124</v>
      </c>
      <c r="AE358" s="21">
        <v>1.5211</v>
      </c>
      <c r="AF358" s="21">
        <v>0.8563</v>
      </c>
      <c r="AG358" s="21">
        <v>0.9547</v>
      </c>
      <c r="AH358" s="16" t="b">
        <v>0</v>
      </c>
      <c r="AI358" s="16" t="b">
        <v>0</v>
      </c>
      <c r="AJ358" s="16" t="b">
        <v>0</v>
      </c>
      <c r="AK358" s="22">
        <f>IFERROR(__xludf.DUMMYFUNCTION("IFERROR(GOOGLEFINANCE(B358,""price""),"""")"),0.53)</f>
        <v>0.53</v>
      </c>
    </row>
    <row r="359">
      <c r="A359" s="7">
        <v>46091.66967648592</v>
      </c>
      <c r="B359" s="8" t="s">
        <v>958</v>
      </c>
      <c r="C359" s="8" t="s">
        <v>959</v>
      </c>
      <c r="D359" s="9">
        <v>46096.0</v>
      </c>
      <c r="E359" s="10">
        <v>0.6455</v>
      </c>
      <c r="F359" s="8" t="s">
        <v>93</v>
      </c>
      <c r="G359" s="23"/>
      <c r="H359" s="13">
        <v>-8.3439</v>
      </c>
      <c r="I359" s="8" t="s">
        <v>960</v>
      </c>
      <c r="J359" s="13">
        <v>2.2532</v>
      </c>
      <c r="K359" s="8">
        <v>2.7460989E7</v>
      </c>
      <c r="L359" s="11">
        <v>0.2</v>
      </c>
      <c r="M359" s="11">
        <v>7.3283</v>
      </c>
      <c r="N359" s="8" t="s">
        <v>961</v>
      </c>
      <c r="O359" s="11">
        <v>-0.7076</v>
      </c>
      <c r="P359" s="12">
        <v>2444028.0</v>
      </c>
      <c r="Q359" s="13">
        <v>0.7</v>
      </c>
      <c r="R359" s="13">
        <v>0.611</v>
      </c>
      <c r="S359" s="13">
        <v>0.6371</v>
      </c>
      <c r="T359" s="13">
        <v>0.0891</v>
      </c>
      <c r="U359" s="13">
        <v>0.8717</v>
      </c>
      <c r="V359" s="13">
        <v>318076.9</v>
      </c>
      <c r="W359" s="13">
        <v>31.0671</v>
      </c>
      <c r="X359" s="12">
        <v>1.6840223E7</v>
      </c>
      <c r="Y359" s="13">
        <v>0.9965</v>
      </c>
      <c r="Z359" s="13">
        <v>3.6242</v>
      </c>
      <c r="AA359" s="11">
        <v>35.9552</v>
      </c>
      <c r="AB359" s="13">
        <v>9.5299</v>
      </c>
      <c r="AC359" s="23"/>
      <c r="AD359" s="13">
        <v>-48.6237</v>
      </c>
      <c r="AE359" s="13">
        <v>1.1224</v>
      </c>
      <c r="AF359" s="23"/>
      <c r="AG359" s="13">
        <v>0.121</v>
      </c>
      <c r="AH359" s="8" t="b">
        <v>0</v>
      </c>
      <c r="AI359" s="8" t="b">
        <v>1</v>
      </c>
      <c r="AJ359" s="8" t="b">
        <v>0</v>
      </c>
      <c r="AK359" s="14">
        <f>IFERROR(__xludf.DUMMYFUNCTION("IFERROR(GOOGLEFINANCE(B359,""price""),"""")"),0.61)</f>
        <v>0.61</v>
      </c>
    </row>
    <row r="360">
      <c r="A360" s="15">
        <v>46091.66967648592</v>
      </c>
      <c r="B360" s="16" t="s">
        <v>962</v>
      </c>
      <c r="C360" s="16" t="s">
        <v>963</v>
      </c>
      <c r="D360" s="17">
        <v>46096.0</v>
      </c>
      <c r="E360" s="18">
        <v>1.35</v>
      </c>
      <c r="F360" s="16" t="s">
        <v>117</v>
      </c>
      <c r="G360" s="24"/>
      <c r="H360" s="21">
        <v>-0.6638</v>
      </c>
      <c r="I360" s="16" t="s">
        <v>301</v>
      </c>
      <c r="J360" s="21">
        <v>2.0564</v>
      </c>
      <c r="K360" s="16">
        <v>1.05193903E8</v>
      </c>
      <c r="L360" s="19">
        <v>0.68</v>
      </c>
      <c r="M360" s="19">
        <v>16.8355</v>
      </c>
      <c r="N360" s="16" t="s">
        <v>964</v>
      </c>
      <c r="O360" s="19">
        <v>-8.7838</v>
      </c>
      <c r="P360" s="20">
        <v>3.261011E7</v>
      </c>
      <c r="Q360" s="21">
        <v>1.65</v>
      </c>
      <c r="R360" s="21">
        <v>1.34</v>
      </c>
      <c r="S360" s="21">
        <v>1.6</v>
      </c>
      <c r="T360" s="21">
        <v>0.1527</v>
      </c>
      <c r="U360" s="21">
        <v>0.4518</v>
      </c>
      <c r="V360" s="16">
        <v>3916655.0</v>
      </c>
      <c r="W360" s="21">
        <v>47.2222</v>
      </c>
      <c r="X360" s="20">
        <v>5.4158492E7</v>
      </c>
      <c r="Y360" s="21">
        <v>1.7707</v>
      </c>
      <c r="Z360" s="21">
        <v>1.6917</v>
      </c>
      <c r="AA360" s="19">
        <v>41.1104</v>
      </c>
      <c r="AB360" s="21">
        <v>4.0</v>
      </c>
      <c r="AC360" s="21">
        <v>-792.0108</v>
      </c>
      <c r="AD360" s="24"/>
      <c r="AE360" s="24"/>
      <c r="AF360" s="21">
        <v>0.0</v>
      </c>
      <c r="AG360" s="21">
        <v>0.8607</v>
      </c>
      <c r="AH360" s="16" t="b">
        <v>0</v>
      </c>
      <c r="AI360" s="16" t="b">
        <v>0</v>
      </c>
      <c r="AJ360" s="16" t="b">
        <v>0</v>
      </c>
      <c r="AK360" s="22">
        <f>IFERROR(__xludf.DUMMYFUNCTION("IFERROR(GOOGLEFINANCE(B360,""price""),"""")"),1.15)</f>
        <v>1.15</v>
      </c>
    </row>
    <row r="361">
      <c r="A361" s="7">
        <v>46091.66967648592</v>
      </c>
      <c r="B361" s="8" t="s">
        <v>965</v>
      </c>
      <c r="C361" s="8" t="s">
        <v>966</v>
      </c>
      <c r="D361" s="9">
        <v>46096.0</v>
      </c>
      <c r="E361" s="10">
        <v>0.9</v>
      </c>
      <c r="F361" s="8" t="s">
        <v>88</v>
      </c>
      <c r="G361" s="23"/>
      <c r="H361" s="13">
        <v>-5.1285</v>
      </c>
      <c r="I361" s="8" t="s">
        <v>171</v>
      </c>
      <c r="J361" s="13">
        <v>1.6795</v>
      </c>
      <c r="K361" s="8">
        <v>2797529.0</v>
      </c>
      <c r="L361" s="11">
        <v>0.02</v>
      </c>
      <c r="M361" s="11">
        <v>20.4091</v>
      </c>
      <c r="N361" s="8" t="s">
        <v>967</v>
      </c>
      <c r="O361" s="11">
        <v>-15.0943</v>
      </c>
      <c r="P361" s="12">
        <v>535447.0</v>
      </c>
      <c r="Q361" s="13">
        <v>1.0683</v>
      </c>
      <c r="R361" s="13">
        <v>0.8769</v>
      </c>
      <c r="S361" s="13">
        <v>1.0683</v>
      </c>
      <c r="T361" s="13">
        <v>0.0936</v>
      </c>
      <c r="U361" s="13">
        <v>8.2218</v>
      </c>
      <c r="V361" s="13">
        <v>67467.3</v>
      </c>
      <c r="W361" s="13">
        <v>35.7177</v>
      </c>
      <c r="X361" s="12">
        <v>1.0145579E7</v>
      </c>
      <c r="Y361" s="13">
        <v>1.4084</v>
      </c>
      <c r="Z361" s="13">
        <v>53.9204</v>
      </c>
      <c r="AA361" s="11">
        <v>18.0908</v>
      </c>
      <c r="AB361" s="13">
        <v>560.0</v>
      </c>
      <c r="AC361" s="13">
        <v>-352.1055</v>
      </c>
      <c r="AD361" s="13">
        <v>-529.2776</v>
      </c>
      <c r="AE361" s="13">
        <v>3.498</v>
      </c>
      <c r="AF361" s="13">
        <v>0.0489</v>
      </c>
      <c r="AG361" s="13">
        <v>4.0976</v>
      </c>
      <c r="AH361" s="8" t="b">
        <v>0</v>
      </c>
      <c r="AI361" s="8" t="b">
        <v>0</v>
      </c>
      <c r="AJ361" s="8" t="b">
        <v>0</v>
      </c>
      <c r="AK361" s="14">
        <f>IFERROR(__xludf.DUMMYFUNCTION("IFERROR(GOOGLEFINANCE(B361,""price""),"""")"),0.98)</f>
        <v>0.98</v>
      </c>
    </row>
    <row r="362">
      <c r="A362" s="15">
        <v>46091.66967648592</v>
      </c>
      <c r="B362" s="16" t="s">
        <v>968</v>
      </c>
      <c r="C362" s="16" t="s">
        <v>969</v>
      </c>
      <c r="D362" s="17">
        <v>46096.0</v>
      </c>
      <c r="E362" s="18">
        <v>0.5879</v>
      </c>
      <c r="F362" s="16" t="s">
        <v>112</v>
      </c>
      <c r="G362" s="24"/>
      <c r="H362" s="21">
        <v>-0.8577</v>
      </c>
      <c r="I362" s="16" t="s">
        <v>179</v>
      </c>
      <c r="J362" s="21">
        <v>0.2441</v>
      </c>
      <c r="K362" s="16">
        <v>2.4834885E7</v>
      </c>
      <c r="L362" s="19">
        <v>0.82</v>
      </c>
      <c r="M362" s="19">
        <v>25.6606</v>
      </c>
      <c r="N362" s="16" t="s">
        <v>970</v>
      </c>
      <c r="O362" s="19">
        <v>9.1534</v>
      </c>
      <c r="P362" s="20">
        <v>1291414.0</v>
      </c>
      <c r="Q362" s="21">
        <v>0.6</v>
      </c>
      <c r="R362" s="21">
        <v>0.548</v>
      </c>
      <c r="S362" s="21">
        <v>0.58</v>
      </c>
      <c r="T362" s="21">
        <v>0.0799</v>
      </c>
      <c r="U362" s="21">
        <v>0.1957</v>
      </c>
      <c r="V362" s="21">
        <v>698213.8</v>
      </c>
      <c r="W362" s="21">
        <v>2.1588</v>
      </c>
      <c r="X362" s="20">
        <v>8.0690177E7</v>
      </c>
      <c r="Y362" s="21">
        <v>0.9412</v>
      </c>
      <c r="Z362" s="21">
        <v>1.2318</v>
      </c>
      <c r="AA362" s="19">
        <v>28.8514</v>
      </c>
      <c r="AB362" s="21">
        <v>2.21</v>
      </c>
      <c r="AC362" s="21">
        <v>-51.5031</v>
      </c>
      <c r="AD362" s="21">
        <v>-0.2077</v>
      </c>
      <c r="AE362" s="21">
        <v>-7.3753</v>
      </c>
      <c r="AF362" s="21">
        <v>2.4907</v>
      </c>
      <c r="AG362" s="21">
        <v>2.6828</v>
      </c>
      <c r="AH362" s="16" t="b">
        <v>1</v>
      </c>
      <c r="AI362" s="16" t="b">
        <v>0</v>
      </c>
      <c r="AJ362" s="16" t="b">
        <v>0</v>
      </c>
      <c r="AK362" s="22">
        <f>IFERROR(__xludf.DUMMYFUNCTION("IFERROR(GOOGLEFINANCE(B362,""price""),"""")"),32.16)</f>
        <v>32.16</v>
      </c>
    </row>
    <row r="363">
      <c r="A363" s="7">
        <v>46091.66967648592</v>
      </c>
      <c r="B363" s="8" t="s">
        <v>139</v>
      </c>
      <c r="C363" s="8" t="s">
        <v>140</v>
      </c>
      <c r="D363" s="9">
        <v>46096.0</v>
      </c>
      <c r="E363" s="10">
        <v>1.34</v>
      </c>
      <c r="F363" s="8" t="s">
        <v>88</v>
      </c>
      <c r="G363" s="23"/>
      <c r="H363" s="13">
        <v>-1.2606</v>
      </c>
      <c r="I363" s="8" t="s">
        <v>138</v>
      </c>
      <c r="J363" s="13">
        <v>0.2269</v>
      </c>
      <c r="K363" s="8">
        <v>7171891.0</v>
      </c>
      <c r="L363" s="11">
        <v>0.8</v>
      </c>
      <c r="M363" s="11">
        <v>27.328</v>
      </c>
      <c r="N363" s="8" t="s">
        <v>141</v>
      </c>
      <c r="O363" s="11">
        <v>-2.1898</v>
      </c>
      <c r="P363" s="12">
        <v>788908.0</v>
      </c>
      <c r="Q363" s="13">
        <v>1.4</v>
      </c>
      <c r="R363" s="13">
        <v>1.29</v>
      </c>
      <c r="S363" s="13">
        <v>1.33</v>
      </c>
      <c r="T363" s="13">
        <v>0.1085</v>
      </c>
      <c r="U363" s="13">
        <v>0.2718</v>
      </c>
      <c r="V363" s="13">
        <v>376884.2</v>
      </c>
      <c r="W363" s="13">
        <v>1.8625</v>
      </c>
      <c r="X363" s="12">
        <v>1.58373858E8</v>
      </c>
      <c r="Y363" s="13">
        <v>1.6567</v>
      </c>
      <c r="Z363" s="13">
        <v>2.142</v>
      </c>
      <c r="AA363" s="11">
        <v>37.7985</v>
      </c>
      <c r="AB363" s="13">
        <v>4.555</v>
      </c>
      <c r="AC363" s="13">
        <v>-102.5299</v>
      </c>
      <c r="AD363" s="13">
        <v>-497.5218</v>
      </c>
      <c r="AE363" s="13">
        <v>-82.325</v>
      </c>
      <c r="AF363" s="13">
        <v>1.8807</v>
      </c>
      <c r="AG363" s="13">
        <v>5.5901</v>
      </c>
      <c r="AH363" s="8" t="b">
        <v>0</v>
      </c>
      <c r="AI363" s="8" t="b">
        <v>1</v>
      </c>
      <c r="AJ363" s="8" t="b">
        <v>0</v>
      </c>
      <c r="AK363" s="14">
        <f>IFERROR(__xludf.DUMMYFUNCTION("IFERROR(GOOGLEFINANCE(B363,""price""),"""")"),1.45)</f>
        <v>1.45</v>
      </c>
    </row>
    <row r="364">
      <c r="A364" s="15">
        <v>46091.66967648592</v>
      </c>
      <c r="B364" s="16" t="s">
        <v>971</v>
      </c>
      <c r="C364" s="16" t="s">
        <v>972</v>
      </c>
      <c r="D364" s="17">
        <v>46096.0</v>
      </c>
      <c r="E364" s="18">
        <v>2.45</v>
      </c>
      <c r="F364" s="16" t="s">
        <v>88</v>
      </c>
      <c r="G364" s="24"/>
      <c r="H364" s="21">
        <v>-0.106</v>
      </c>
      <c r="I364" s="16" t="s">
        <v>138</v>
      </c>
      <c r="J364" s="21">
        <v>0.1989</v>
      </c>
      <c r="K364" s="16">
        <v>2.4077758E7</v>
      </c>
      <c r="L364" s="19">
        <v>0.87</v>
      </c>
      <c r="M364" s="19">
        <v>15.9991</v>
      </c>
      <c r="N364" s="16" t="s">
        <v>973</v>
      </c>
      <c r="O364" s="19">
        <v>-2.3904</v>
      </c>
      <c r="P364" s="20">
        <v>5778662.0</v>
      </c>
      <c r="Q364" s="21">
        <v>2.67</v>
      </c>
      <c r="R364" s="21">
        <v>2.43</v>
      </c>
      <c r="S364" s="21">
        <v>2.47</v>
      </c>
      <c r="T364" s="21">
        <v>0.1804</v>
      </c>
      <c r="U364" s="21">
        <v>0.4164</v>
      </c>
      <c r="V364" s="16">
        <v>3326152.0</v>
      </c>
      <c r="W364" s="21">
        <v>1.9483</v>
      </c>
      <c r="X364" s="20">
        <v>3.15408153E8</v>
      </c>
      <c r="Y364" s="21">
        <v>2.2088</v>
      </c>
      <c r="Z364" s="21">
        <v>2.3276</v>
      </c>
      <c r="AA364" s="19">
        <v>61.2464</v>
      </c>
      <c r="AB364" s="21">
        <v>3.8</v>
      </c>
      <c r="AC364" s="21">
        <v>7.1459</v>
      </c>
      <c r="AD364" s="21">
        <v>-24.1429</v>
      </c>
      <c r="AE364" s="21">
        <v>-11.7794</v>
      </c>
      <c r="AF364" s="21">
        <v>0.8739</v>
      </c>
      <c r="AG364" s="21">
        <v>2.7293</v>
      </c>
      <c r="AH364" s="16" t="b">
        <v>0</v>
      </c>
      <c r="AI364" s="16" t="b">
        <v>1</v>
      </c>
      <c r="AJ364" s="16" t="b">
        <v>0</v>
      </c>
      <c r="AK364" s="22">
        <f>IFERROR(__xludf.DUMMYFUNCTION("IFERROR(GOOGLEFINANCE(B364,""price""),"""")"),1.92)</f>
        <v>1.92</v>
      </c>
    </row>
    <row r="365">
      <c r="A365" s="7">
        <v>46091.66967648592</v>
      </c>
      <c r="B365" s="8" t="s">
        <v>974</v>
      </c>
      <c r="C365" s="8" t="s">
        <v>975</v>
      </c>
      <c r="D365" s="9">
        <v>46096.0</v>
      </c>
      <c r="E365" s="10">
        <v>0.68</v>
      </c>
      <c r="F365" s="8" t="s">
        <v>308</v>
      </c>
      <c r="G365" s="23"/>
      <c r="H365" s="13">
        <v>-7.8315</v>
      </c>
      <c r="I365" s="8" t="s">
        <v>175</v>
      </c>
      <c r="J365" s="13">
        <v>0.1634</v>
      </c>
      <c r="K365" s="8">
        <v>3703779.0</v>
      </c>
      <c r="L365" s="11">
        <v>0.29</v>
      </c>
      <c r="M365" s="11">
        <v>18.5576</v>
      </c>
      <c r="N365" s="8" t="s">
        <v>976</v>
      </c>
      <c r="O365" s="11">
        <v>-6.8493</v>
      </c>
      <c r="P365" s="12">
        <v>401860.0</v>
      </c>
      <c r="Q365" s="13">
        <v>0.7196</v>
      </c>
      <c r="R365" s="13">
        <v>0.6111</v>
      </c>
      <c r="S365" s="13">
        <v>0.71</v>
      </c>
      <c r="T365" s="13">
        <v>0.0832</v>
      </c>
      <c r="U365" s="13">
        <v>0.5655</v>
      </c>
      <c r="V365" s="13">
        <v>171621.7</v>
      </c>
      <c r="W365" s="13">
        <v>2.608</v>
      </c>
      <c r="X365" s="12">
        <v>4498724.0</v>
      </c>
      <c r="Y365" s="13">
        <v>0.9864</v>
      </c>
      <c r="Z365" s="13">
        <v>2.9636</v>
      </c>
      <c r="AA365" s="11">
        <v>29.9099</v>
      </c>
      <c r="AB365" s="13">
        <v>11.3999</v>
      </c>
      <c r="AC365" s="13">
        <v>-268.1191</v>
      </c>
      <c r="AD365" s="13">
        <v>-1743.3649</v>
      </c>
      <c r="AE365" s="13">
        <v>-9.0517</v>
      </c>
      <c r="AF365" s="13">
        <v>0.0427</v>
      </c>
      <c r="AG365" s="13">
        <v>4.6376</v>
      </c>
      <c r="AH365" s="8" t="b">
        <v>1</v>
      </c>
      <c r="AI365" s="8" t="b">
        <v>0</v>
      </c>
      <c r="AJ365" s="8" t="b">
        <v>0</v>
      </c>
      <c r="AK365" s="14">
        <f>IFERROR(__xludf.DUMMYFUNCTION("IFERROR(GOOGLEFINANCE(B365,""price""),"""")"),1.42)</f>
        <v>1.42</v>
      </c>
    </row>
    <row r="366">
      <c r="A366" s="7">
        <v>46092.66836593448</v>
      </c>
      <c r="B366" s="8" t="s">
        <v>977</v>
      </c>
      <c r="C366" s="8" t="s">
        <v>978</v>
      </c>
      <c r="D366" s="9">
        <v>46096.0</v>
      </c>
      <c r="E366" s="10">
        <v>3.22</v>
      </c>
      <c r="F366" s="8" t="s">
        <v>117</v>
      </c>
      <c r="G366" s="23"/>
      <c r="H366" s="13">
        <v>-29.2919</v>
      </c>
      <c r="I366" s="8" t="s">
        <v>979</v>
      </c>
      <c r="J366" s="13">
        <v>27.1241</v>
      </c>
      <c r="K366" s="8">
        <v>3.8176829E7</v>
      </c>
      <c r="L366" s="11">
        <v>0.63</v>
      </c>
      <c r="M366" s="11">
        <v>20.7561</v>
      </c>
      <c r="N366" s="8" t="s">
        <v>980</v>
      </c>
      <c r="O366" s="11">
        <v>71.2766</v>
      </c>
      <c r="P366" s="12">
        <v>5.6119939E7</v>
      </c>
      <c r="Q366" s="13">
        <v>3.47</v>
      </c>
      <c r="R366" s="13">
        <v>2.0</v>
      </c>
      <c r="S366" s="13">
        <v>2.17</v>
      </c>
      <c r="T366" s="13">
        <v>0.4551</v>
      </c>
      <c r="U366" s="13">
        <v>1.4378</v>
      </c>
      <c r="V366" s="8">
        <v>5655338.0</v>
      </c>
      <c r="W366" s="13">
        <v>1238.274</v>
      </c>
      <c r="X366" s="12">
        <v>5093016.0</v>
      </c>
      <c r="Y366" s="13">
        <v>3.0536</v>
      </c>
      <c r="Z366" s="13">
        <v>7.9658</v>
      </c>
      <c r="AA366" s="11">
        <v>53.9756</v>
      </c>
      <c r="AB366" s="13">
        <v>17.68</v>
      </c>
      <c r="AC366" s="13">
        <v>-152.1867</v>
      </c>
      <c r="AD366" s="13">
        <v>-584.6489</v>
      </c>
      <c r="AE366" s="13">
        <v>192.7196</v>
      </c>
      <c r="AF366" s="13">
        <v>0.0347</v>
      </c>
      <c r="AG366" s="13">
        <v>2.8712</v>
      </c>
      <c r="AH366" s="8" t="b">
        <v>0</v>
      </c>
      <c r="AI366" s="8" t="b">
        <v>0</v>
      </c>
      <c r="AJ366" s="8" t="b">
        <v>0</v>
      </c>
      <c r="AK366" s="14">
        <f>IFERROR(__xludf.DUMMYFUNCTION("IFERROR(GOOGLEFINANCE(B366,""price""),"""")"),1.76)</f>
        <v>1.76</v>
      </c>
    </row>
    <row r="367">
      <c r="A367" s="15">
        <v>46092.66836593448</v>
      </c>
      <c r="B367" s="16" t="s">
        <v>981</v>
      </c>
      <c r="C367" s="16" t="s">
        <v>982</v>
      </c>
      <c r="D367" s="17">
        <v>46096.0</v>
      </c>
      <c r="E367" s="18">
        <v>1.63</v>
      </c>
      <c r="F367" s="16" t="s">
        <v>137</v>
      </c>
      <c r="G367" s="24"/>
      <c r="H367" s="21">
        <v>-1.1336</v>
      </c>
      <c r="I367" s="16" t="s">
        <v>983</v>
      </c>
      <c r="J367" s="21">
        <v>16.9858</v>
      </c>
      <c r="K367" s="16">
        <v>4.28536E7</v>
      </c>
      <c r="L367" s="19">
        <v>0.72</v>
      </c>
      <c r="M367" s="19">
        <v>15.2125</v>
      </c>
      <c r="N367" s="16" t="s">
        <v>984</v>
      </c>
      <c r="O367" s="19">
        <v>3.1646</v>
      </c>
      <c r="P367" s="20">
        <v>5142432.0</v>
      </c>
      <c r="Q367" s="21">
        <v>1.67</v>
      </c>
      <c r="R367" s="21">
        <v>1.55</v>
      </c>
      <c r="S367" s="21">
        <v>1.64</v>
      </c>
      <c r="T367" s="21">
        <v>0.1026</v>
      </c>
      <c r="U367" s="21">
        <v>0.2846</v>
      </c>
      <c r="V367" s="21">
        <v>551557.8</v>
      </c>
      <c r="W367" s="21">
        <v>125.0485</v>
      </c>
      <c r="X367" s="20">
        <v>4.9671908E7</v>
      </c>
      <c r="Y367" s="21">
        <v>1.5726</v>
      </c>
      <c r="Z367" s="21">
        <v>1.8548</v>
      </c>
      <c r="AA367" s="19">
        <v>66.4371</v>
      </c>
      <c r="AB367" s="21">
        <v>2.98</v>
      </c>
      <c r="AC367" s="21">
        <v>-34.7658</v>
      </c>
      <c r="AD367" s="21">
        <v>-19.7341</v>
      </c>
      <c r="AE367" s="21">
        <v>-8.3072</v>
      </c>
      <c r="AF367" s="21">
        <v>2.0332</v>
      </c>
      <c r="AG367" s="21">
        <v>1.1809</v>
      </c>
      <c r="AH367" s="16" t="b">
        <v>1</v>
      </c>
      <c r="AI367" s="16" t="b">
        <v>1</v>
      </c>
      <c r="AJ367" s="16" t="b">
        <v>0</v>
      </c>
      <c r="AK367" s="22">
        <f>IFERROR(__xludf.DUMMYFUNCTION("IFERROR(GOOGLEFINANCE(B367,""price""),"""")"),5.05)</f>
        <v>5.05</v>
      </c>
    </row>
    <row r="368">
      <c r="A368" s="7">
        <v>46092.66836593448</v>
      </c>
      <c r="B368" s="8" t="s">
        <v>228</v>
      </c>
      <c r="C368" s="8" t="s">
        <v>229</v>
      </c>
      <c r="D368" s="9">
        <v>46096.0</v>
      </c>
      <c r="E368" s="10">
        <v>1.92</v>
      </c>
      <c r="F368" s="8" t="s">
        <v>88</v>
      </c>
      <c r="G368" s="23"/>
      <c r="H368" s="13">
        <v>-595.0846</v>
      </c>
      <c r="I368" s="8" t="s">
        <v>985</v>
      </c>
      <c r="J368" s="13">
        <v>11.0055</v>
      </c>
      <c r="K368" s="8">
        <v>1.80652572E8</v>
      </c>
      <c r="L368" s="11">
        <v>0.08</v>
      </c>
      <c r="M368" s="11">
        <v>14.5272</v>
      </c>
      <c r="N368" s="8" t="s">
        <v>230</v>
      </c>
      <c r="O368" s="11">
        <v>20.0</v>
      </c>
      <c r="P368" s="12">
        <v>4.4241815E7</v>
      </c>
      <c r="Q368" s="13">
        <v>2.0699</v>
      </c>
      <c r="R368" s="13">
        <v>1.825</v>
      </c>
      <c r="S368" s="13">
        <v>1.95</v>
      </c>
      <c r="T368" s="13">
        <v>0.1729</v>
      </c>
      <c r="U368" s="13">
        <v>4.3466</v>
      </c>
      <c r="V368" s="8">
        <v>4706736.0</v>
      </c>
      <c r="W368" s="13">
        <v>140.3769</v>
      </c>
      <c r="X368" s="12">
        <v>1.531081E7</v>
      </c>
      <c r="Y368" s="13">
        <v>1.9507</v>
      </c>
      <c r="Z368" s="13">
        <v>84.3067</v>
      </c>
      <c r="AA368" s="11">
        <v>59.9534</v>
      </c>
      <c r="AB368" s="13">
        <v>41.54</v>
      </c>
      <c r="AC368" s="13">
        <v>-166.002</v>
      </c>
      <c r="AD368" s="13">
        <v>-5396.7082</v>
      </c>
      <c r="AE368" s="13">
        <v>347.7438</v>
      </c>
      <c r="AF368" s="13">
        <v>0.174</v>
      </c>
      <c r="AG368" s="13">
        <v>9.9903</v>
      </c>
      <c r="AH368" s="8" t="b">
        <v>0</v>
      </c>
      <c r="AI368" s="8" t="b">
        <v>0</v>
      </c>
      <c r="AJ368" s="8" t="b">
        <v>0</v>
      </c>
      <c r="AK368" s="14">
        <f>IFERROR(__xludf.DUMMYFUNCTION("IFERROR(GOOGLEFINANCE(B368,""price""),"""")"),1.5)</f>
        <v>1.5</v>
      </c>
    </row>
    <row r="369">
      <c r="A369" s="15">
        <v>46092.66836593448</v>
      </c>
      <c r="B369" s="16" t="s">
        <v>829</v>
      </c>
      <c r="C369" s="16" t="s">
        <v>830</v>
      </c>
      <c r="D369" s="17">
        <v>46096.0</v>
      </c>
      <c r="E369" s="18">
        <v>2.36</v>
      </c>
      <c r="F369" s="16" t="s">
        <v>186</v>
      </c>
      <c r="G369" s="24"/>
      <c r="H369" s="21">
        <v>-0.2128</v>
      </c>
      <c r="I369" s="16" t="s">
        <v>986</v>
      </c>
      <c r="J369" s="21">
        <v>2.757</v>
      </c>
      <c r="K369" s="16">
        <v>1.0078955E9</v>
      </c>
      <c r="L369" s="19">
        <v>0.56</v>
      </c>
      <c r="M369" s="19">
        <v>19.9315</v>
      </c>
      <c r="N369" s="16" t="s">
        <v>831</v>
      </c>
      <c r="O369" s="19">
        <v>-0.4219</v>
      </c>
      <c r="P369" s="20">
        <v>2.015791E7</v>
      </c>
      <c r="Q369" s="21">
        <v>2.38</v>
      </c>
      <c r="R369" s="21">
        <v>2.36</v>
      </c>
      <c r="S369" s="21">
        <v>2.37</v>
      </c>
      <c r="T369" s="21">
        <v>0.0451</v>
      </c>
      <c r="U369" s="21">
        <v>0.1612</v>
      </c>
      <c r="V369" s="16">
        <v>9961108.0</v>
      </c>
      <c r="W369" s="21">
        <v>2.3365</v>
      </c>
      <c r="X369" s="20">
        <v>1.176431711E9</v>
      </c>
      <c r="Y369" s="21">
        <v>2.2272</v>
      </c>
      <c r="Z369" s="21">
        <v>1.82</v>
      </c>
      <c r="AA369" s="19">
        <v>56.1139</v>
      </c>
      <c r="AB369" s="21">
        <v>2.43</v>
      </c>
      <c r="AC369" s="24"/>
      <c r="AD369" s="21">
        <v>18.9737</v>
      </c>
      <c r="AE369" s="21">
        <v>-20.8223</v>
      </c>
      <c r="AF369" s="24"/>
      <c r="AG369" s="21">
        <v>1.2833</v>
      </c>
      <c r="AH369" s="16" t="b">
        <v>0</v>
      </c>
      <c r="AI369" s="16" t="b">
        <v>0</v>
      </c>
      <c r="AJ369" s="16" t="b">
        <v>1</v>
      </c>
      <c r="AK369" s="22">
        <f>IFERROR(__xludf.DUMMYFUNCTION("IFERROR(GOOGLEFINANCE(B369,""price""),"""")"),2.37)</f>
        <v>2.37</v>
      </c>
    </row>
    <row r="370">
      <c r="A370" s="7">
        <v>46092.66836593448</v>
      </c>
      <c r="B370" s="8" t="s">
        <v>169</v>
      </c>
      <c r="C370" s="8" t="s">
        <v>170</v>
      </c>
      <c r="D370" s="9">
        <v>46096.0</v>
      </c>
      <c r="E370" s="10">
        <v>2.28</v>
      </c>
      <c r="F370" s="8" t="s">
        <v>117</v>
      </c>
      <c r="G370" s="23"/>
      <c r="H370" s="13">
        <v>-9.283</v>
      </c>
      <c r="I370" s="8" t="s">
        <v>210</v>
      </c>
      <c r="J370" s="13">
        <v>2.5544</v>
      </c>
      <c r="K370" s="8">
        <v>5728920.0</v>
      </c>
      <c r="L370" s="11">
        <v>0.06</v>
      </c>
      <c r="M370" s="11">
        <v>17.444</v>
      </c>
      <c r="N370" s="8" t="s">
        <v>172</v>
      </c>
      <c r="O370" s="11">
        <v>65.2174</v>
      </c>
      <c r="P370" s="12">
        <v>5843498.0</v>
      </c>
      <c r="Q370" s="13">
        <v>2.37</v>
      </c>
      <c r="R370" s="13">
        <v>1.35</v>
      </c>
      <c r="S370" s="13">
        <v>1.41</v>
      </c>
      <c r="T370" s="13">
        <v>0.3288</v>
      </c>
      <c r="U370" s="13">
        <v>11.0896</v>
      </c>
      <c r="V370" s="13">
        <v>629684.3</v>
      </c>
      <c r="W370" s="13">
        <v>114.2746</v>
      </c>
      <c r="X370" s="12">
        <v>2917262.0</v>
      </c>
      <c r="Y370" s="13">
        <v>1.5798</v>
      </c>
      <c r="Z370" s="13">
        <v>47.2962</v>
      </c>
      <c r="AA370" s="11">
        <v>58.2212</v>
      </c>
      <c r="AB370" s="13">
        <v>140.0</v>
      </c>
      <c r="AC370" s="13">
        <v>-23.8543</v>
      </c>
      <c r="AD370" s="13">
        <v>-14.2548</v>
      </c>
      <c r="AE370" s="13">
        <v>3788.4485</v>
      </c>
      <c r="AF370" s="13">
        <v>0.2393</v>
      </c>
      <c r="AG370" s="13">
        <v>1.149</v>
      </c>
      <c r="AH370" s="8" t="b">
        <v>0</v>
      </c>
      <c r="AI370" s="8" t="b">
        <v>0</v>
      </c>
      <c r="AJ370" s="8" t="b">
        <v>0</v>
      </c>
      <c r="AK370" s="14">
        <f>IFERROR(__xludf.DUMMYFUNCTION("IFERROR(GOOGLEFINANCE(B370,""price""),"""")"),1.8)</f>
        <v>1.8</v>
      </c>
    </row>
    <row r="371">
      <c r="A371" s="15">
        <v>46092.66836593448</v>
      </c>
      <c r="B371" s="16" t="s">
        <v>373</v>
      </c>
      <c r="C371" s="16" t="s">
        <v>374</v>
      </c>
      <c r="D371" s="17">
        <v>46096.0</v>
      </c>
      <c r="E371" s="18">
        <v>0.8441</v>
      </c>
      <c r="F371" s="16" t="s">
        <v>117</v>
      </c>
      <c r="G371" s="24"/>
      <c r="H371" s="24"/>
      <c r="I371" s="16" t="s">
        <v>301</v>
      </c>
      <c r="J371" s="21">
        <v>2.1172</v>
      </c>
      <c r="K371" s="16">
        <v>4.29116E7</v>
      </c>
      <c r="L371" s="19">
        <v>0.61</v>
      </c>
      <c r="M371" s="19">
        <v>19.8731</v>
      </c>
      <c r="N371" s="16" t="s">
        <v>375</v>
      </c>
      <c r="O371" s="19">
        <v>2.0677</v>
      </c>
      <c r="P371" s="20">
        <v>5230924.0</v>
      </c>
      <c r="Q371" s="21">
        <v>0.861</v>
      </c>
      <c r="R371" s="21">
        <v>0.7391</v>
      </c>
      <c r="S371" s="21">
        <v>0.8034</v>
      </c>
      <c r="T371" s="21">
        <v>0.1046</v>
      </c>
      <c r="U371" s="21">
        <v>0.3436</v>
      </c>
      <c r="V371" s="21">
        <v>684924.8</v>
      </c>
      <c r="W371" s="21">
        <v>30.5759</v>
      </c>
      <c r="X371" s="20">
        <v>7647665.0</v>
      </c>
      <c r="Y371" s="21">
        <v>0.9871</v>
      </c>
      <c r="Z371" s="21">
        <v>2.708</v>
      </c>
      <c r="AA371" s="19">
        <v>49.8986</v>
      </c>
      <c r="AB371" s="21">
        <v>5.34</v>
      </c>
      <c r="AC371" s="24"/>
      <c r="AD371" s="24"/>
      <c r="AE371" s="24"/>
      <c r="AF371" s="21">
        <v>1.2265</v>
      </c>
      <c r="AG371" s="21">
        <v>0.5154</v>
      </c>
      <c r="AH371" s="16" t="b">
        <v>0</v>
      </c>
      <c r="AI371" s="16" t="b">
        <v>0</v>
      </c>
      <c r="AJ371" s="16" t="b">
        <v>0</v>
      </c>
      <c r="AK371" s="22" t="str">
        <f>IFERROR(__xludf.DUMMYFUNCTION("IFERROR(GOOGLEFINANCE(B371,""price""),"""")"),"")</f>
        <v/>
      </c>
    </row>
    <row r="372">
      <c r="A372" s="7">
        <v>46092.66836593448</v>
      </c>
      <c r="B372" s="8" t="s">
        <v>987</v>
      </c>
      <c r="C372" s="8" t="s">
        <v>988</v>
      </c>
      <c r="D372" s="9">
        <v>46096.0</v>
      </c>
      <c r="E372" s="10">
        <v>1.91</v>
      </c>
      <c r="F372" s="8" t="s">
        <v>137</v>
      </c>
      <c r="G372" s="23"/>
      <c r="H372" s="13">
        <v>-4.6144</v>
      </c>
      <c r="I372" s="8" t="s">
        <v>218</v>
      </c>
      <c r="J372" s="13">
        <v>1.7812</v>
      </c>
      <c r="K372" s="8">
        <v>3472830.0</v>
      </c>
      <c r="L372" s="11">
        <v>0.02</v>
      </c>
      <c r="M372" s="11">
        <v>24.8154</v>
      </c>
      <c r="N372" s="8" t="s">
        <v>989</v>
      </c>
      <c r="O372" s="11">
        <v>20.8861</v>
      </c>
      <c r="P372" s="12">
        <v>1041849.0</v>
      </c>
      <c r="Q372" s="13">
        <v>1.95</v>
      </c>
      <c r="R372" s="13">
        <v>1.65</v>
      </c>
      <c r="S372" s="13">
        <v>1.72</v>
      </c>
      <c r="T372" s="13">
        <v>0.261</v>
      </c>
      <c r="U372" s="13">
        <v>21.5218</v>
      </c>
      <c r="V372" s="13">
        <v>137724.1</v>
      </c>
      <c r="W372" s="13">
        <v>27.9774</v>
      </c>
      <c r="X372" s="12">
        <v>2692334.0</v>
      </c>
      <c r="Y372" s="13">
        <v>2.6147</v>
      </c>
      <c r="Z372" s="13">
        <v>158.0925</v>
      </c>
      <c r="AA372" s="11">
        <v>46.2427</v>
      </c>
      <c r="AB372" s="13">
        <v>153.6</v>
      </c>
      <c r="AC372" s="13">
        <v>-7.5029</v>
      </c>
      <c r="AD372" s="13">
        <v>-31.5592</v>
      </c>
      <c r="AE372" s="13">
        <v>16.4182</v>
      </c>
      <c r="AF372" s="13">
        <v>0.0325</v>
      </c>
      <c r="AG372" s="13">
        <v>4.4371</v>
      </c>
      <c r="AH372" s="8" t="b">
        <v>0</v>
      </c>
      <c r="AI372" s="8" t="b">
        <v>0</v>
      </c>
      <c r="AJ372" s="8" t="b">
        <v>0</v>
      </c>
      <c r="AK372" s="14">
        <f>IFERROR(__xludf.DUMMYFUNCTION("IFERROR(GOOGLEFINANCE(B372,""price""),"""")"),0.14)</f>
        <v>0.14</v>
      </c>
    </row>
    <row r="373">
      <c r="A373" s="15">
        <v>46092.66836593448</v>
      </c>
      <c r="B373" s="16" t="s">
        <v>990</v>
      </c>
      <c r="C373" s="16" t="s">
        <v>991</v>
      </c>
      <c r="D373" s="17">
        <v>46096.0</v>
      </c>
      <c r="E373" s="18">
        <v>1.87</v>
      </c>
      <c r="F373" s="16" t="s">
        <v>88</v>
      </c>
      <c r="G373" s="24"/>
      <c r="H373" s="21">
        <v>-1.2152</v>
      </c>
      <c r="I373" s="16" t="s">
        <v>118</v>
      </c>
      <c r="J373" s="21">
        <v>1.3014</v>
      </c>
      <c r="K373" s="16">
        <v>1259621.0</v>
      </c>
      <c r="L373" s="19">
        <v>0.73</v>
      </c>
      <c r="M373" s="19">
        <v>12.9064</v>
      </c>
      <c r="N373" s="16" t="s">
        <v>992</v>
      </c>
      <c r="O373" s="19">
        <v>6.5527</v>
      </c>
      <c r="P373" s="20">
        <v>525010.0</v>
      </c>
      <c r="Q373" s="21">
        <v>2.1868</v>
      </c>
      <c r="R373" s="21">
        <v>1.77</v>
      </c>
      <c r="S373" s="21">
        <v>1.84</v>
      </c>
      <c r="T373" s="21">
        <v>0.1503</v>
      </c>
      <c r="U373" s="21">
        <v>0.4118</v>
      </c>
      <c r="V373" s="21">
        <v>68606.5</v>
      </c>
      <c r="W373" s="21">
        <v>29.0061</v>
      </c>
      <c r="X373" s="20">
        <v>7849108.0</v>
      </c>
      <c r="Y373" s="21">
        <v>1.8538</v>
      </c>
      <c r="Z373" s="21">
        <v>2.2882</v>
      </c>
      <c r="AA373" s="19">
        <v>52.3423</v>
      </c>
      <c r="AB373" s="21">
        <v>5.93</v>
      </c>
      <c r="AC373" s="21">
        <v>-61.456</v>
      </c>
      <c r="AD373" s="21">
        <v>-939771.4286</v>
      </c>
      <c r="AE373" s="21">
        <v>12.8155</v>
      </c>
      <c r="AF373" s="21">
        <v>0.0324</v>
      </c>
      <c r="AG373" s="21">
        <v>5.7237</v>
      </c>
      <c r="AH373" s="16" t="b">
        <v>0</v>
      </c>
      <c r="AI373" s="16" t="b">
        <v>1</v>
      </c>
      <c r="AJ373" s="16" t="b">
        <v>0</v>
      </c>
      <c r="AK373" s="22">
        <f>IFERROR(__xludf.DUMMYFUNCTION("IFERROR(GOOGLEFINANCE(B373,""price""),"""")"),1.33)</f>
        <v>1.33</v>
      </c>
    </row>
    <row r="374">
      <c r="A374" s="7">
        <v>46092.66836593448</v>
      </c>
      <c r="B374" s="8" t="s">
        <v>993</v>
      </c>
      <c r="C374" s="8" t="s">
        <v>994</v>
      </c>
      <c r="D374" s="9">
        <v>46096.0</v>
      </c>
      <c r="E374" s="10">
        <v>0.86</v>
      </c>
      <c r="F374" s="8" t="s">
        <v>88</v>
      </c>
      <c r="G374" s="23"/>
      <c r="H374" s="13">
        <v>-0.4264</v>
      </c>
      <c r="I374" s="8" t="s">
        <v>138</v>
      </c>
      <c r="J374" s="13">
        <v>1.0707</v>
      </c>
      <c r="K374" s="8">
        <v>3589135.0</v>
      </c>
      <c r="L374" s="11">
        <v>0.99</v>
      </c>
      <c r="M374" s="11">
        <v>28.2578</v>
      </c>
      <c r="N374" s="8" t="s">
        <v>995</v>
      </c>
      <c r="O374" s="11">
        <v>13.1579</v>
      </c>
      <c r="P374" s="12">
        <v>663631.0</v>
      </c>
      <c r="Q374" s="13">
        <v>0.9799</v>
      </c>
      <c r="R374" s="13">
        <v>0.795</v>
      </c>
      <c r="S374" s="13">
        <v>0.85</v>
      </c>
      <c r="T374" s="13">
        <v>0.0795</v>
      </c>
      <c r="U374" s="13">
        <v>0.1608</v>
      </c>
      <c r="V374" s="13">
        <v>91189.5</v>
      </c>
      <c r="W374" s="13">
        <v>23.0193</v>
      </c>
      <c r="X374" s="12">
        <v>2.6628965E7</v>
      </c>
      <c r="Y374" s="13">
        <v>1.0074</v>
      </c>
      <c r="Z374" s="13">
        <v>1.1925</v>
      </c>
      <c r="AA374" s="11">
        <v>41.4228</v>
      </c>
      <c r="AB374" s="13">
        <v>2.3756</v>
      </c>
      <c r="AC374" s="13">
        <v>-55.7742</v>
      </c>
      <c r="AD374" s="13">
        <v>-14.3977</v>
      </c>
      <c r="AE374" s="13">
        <v>-42.4927</v>
      </c>
      <c r="AF374" s="13">
        <v>0.3088</v>
      </c>
      <c r="AG374" s="13">
        <v>0.8243</v>
      </c>
      <c r="AH374" s="8" t="b">
        <v>0</v>
      </c>
      <c r="AI374" s="8" t="b">
        <v>1</v>
      </c>
      <c r="AJ374" s="8" t="b">
        <v>0</v>
      </c>
      <c r="AK374" s="14">
        <f>IFERROR(__xludf.DUMMYFUNCTION("IFERROR(GOOGLEFINANCE(B374,""price""),"""")"),1.05)</f>
        <v>1.05</v>
      </c>
    </row>
    <row r="375">
      <c r="A375" s="15">
        <v>46092.66836593448</v>
      </c>
      <c r="B375" s="16" t="s">
        <v>996</v>
      </c>
      <c r="C375" s="16" t="s">
        <v>997</v>
      </c>
      <c r="D375" s="17">
        <v>46096.0</v>
      </c>
      <c r="E375" s="18">
        <v>3.24</v>
      </c>
      <c r="F375" s="16" t="s">
        <v>117</v>
      </c>
      <c r="G375" s="24"/>
      <c r="H375" s="21">
        <v>-28.7292</v>
      </c>
      <c r="I375" s="16" t="s">
        <v>118</v>
      </c>
      <c r="J375" s="21">
        <v>0.8603</v>
      </c>
      <c r="K375" s="16">
        <v>2704546.0</v>
      </c>
      <c r="L375" s="19">
        <v>0.64</v>
      </c>
      <c r="M375" s="19">
        <v>24.213</v>
      </c>
      <c r="N375" s="16" t="s">
        <v>998</v>
      </c>
      <c r="O375" s="19">
        <v>-45.8194</v>
      </c>
      <c r="P375" s="20">
        <v>2870335.0</v>
      </c>
      <c r="Q375" s="21">
        <v>3.8563</v>
      </c>
      <c r="R375" s="21">
        <v>2.795</v>
      </c>
      <c r="S375" s="21">
        <v>3.2</v>
      </c>
      <c r="T375" s="21">
        <v>1.0746</v>
      </c>
      <c r="U375" s="21">
        <v>3.3606</v>
      </c>
      <c r="V375" s="21">
        <v>384108.1433</v>
      </c>
      <c r="W375" s="21">
        <v>28.1812</v>
      </c>
      <c r="X375" s="20">
        <v>6787901.0</v>
      </c>
      <c r="Y375" s="21">
        <v>9.2146</v>
      </c>
      <c r="Z375" s="21">
        <v>12.1281</v>
      </c>
      <c r="AA375" s="19">
        <v>25.5479</v>
      </c>
      <c r="AB375" s="21">
        <v>46.5</v>
      </c>
      <c r="AC375" s="21">
        <v>-62.119</v>
      </c>
      <c r="AD375" s="21">
        <v>-6995.6983</v>
      </c>
      <c r="AE375" s="21">
        <v>-87.8375</v>
      </c>
      <c r="AF375" s="21">
        <v>0.037</v>
      </c>
      <c r="AG375" s="21">
        <v>3.8061</v>
      </c>
      <c r="AH375" s="16" t="b">
        <v>0</v>
      </c>
      <c r="AI375" s="16" t="b">
        <v>1</v>
      </c>
      <c r="AJ375" s="16" t="b">
        <v>0</v>
      </c>
      <c r="AK375" s="22">
        <f>IFERROR(__xludf.DUMMYFUNCTION("IFERROR(GOOGLEFINANCE(B375,""price""),"""")"),1.37)</f>
        <v>1.37</v>
      </c>
    </row>
    <row r="376">
      <c r="A376" s="7">
        <v>46092.66836593448</v>
      </c>
      <c r="B376" s="8" t="s">
        <v>999</v>
      </c>
      <c r="C376" s="8" t="s">
        <v>1000</v>
      </c>
      <c r="D376" s="9">
        <v>46096.0</v>
      </c>
      <c r="E376" s="10">
        <v>1.93</v>
      </c>
      <c r="F376" s="8" t="s">
        <v>190</v>
      </c>
      <c r="G376" s="23"/>
      <c r="H376" s="13">
        <v>-0.7696</v>
      </c>
      <c r="I376" s="8" t="s">
        <v>138</v>
      </c>
      <c r="J376" s="13">
        <v>0.7142</v>
      </c>
      <c r="K376" s="8">
        <v>1293221.0</v>
      </c>
      <c r="L376" s="11">
        <v>0.84</v>
      </c>
      <c r="M376" s="11">
        <v>18.8481</v>
      </c>
      <c r="N376" s="8" t="s">
        <v>1001</v>
      </c>
      <c r="O376" s="11">
        <v>5.4645</v>
      </c>
      <c r="P376" s="12">
        <v>750068.0</v>
      </c>
      <c r="Q376" s="13">
        <v>2.46</v>
      </c>
      <c r="R376" s="13">
        <v>1.88</v>
      </c>
      <c r="S376" s="13">
        <v>1.88</v>
      </c>
      <c r="T376" s="13">
        <v>0.2367</v>
      </c>
      <c r="U376" s="13">
        <v>0.5661</v>
      </c>
      <c r="V376" s="13">
        <v>103781.8</v>
      </c>
      <c r="W376" s="13">
        <v>21.4626</v>
      </c>
      <c r="X376" s="12">
        <v>7.4487958E7</v>
      </c>
      <c r="Y376" s="13">
        <v>2.7777</v>
      </c>
      <c r="Z376" s="13">
        <v>3.1838</v>
      </c>
      <c r="AA376" s="11">
        <v>27.709</v>
      </c>
      <c r="AB376" s="13">
        <v>4.24</v>
      </c>
      <c r="AC376" s="13">
        <v>-47.6873</v>
      </c>
      <c r="AD376" s="13">
        <v>-38918.9474</v>
      </c>
      <c r="AE376" s="13">
        <v>1.0638</v>
      </c>
      <c r="AF376" s="13">
        <v>0.0298</v>
      </c>
      <c r="AG376" s="13">
        <v>1.8932</v>
      </c>
      <c r="AH376" s="8" t="b">
        <v>0</v>
      </c>
      <c r="AI376" s="8" t="b">
        <v>1</v>
      </c>
      <c r="AJ376" s="8" t="b">
        <v>0</v>
      </c>
      <c r="AK376" s="14">
        <f>IFERROR(__xludf.DUMMYFUNCTION("IFERROR(GOOGLEFINANCE(B376,""price""),"""")"),1.97)</f>
        <v>1.97</v>
      </c>
    </row>
    <row r="377">
      <c r="A377" s="15">
        <v>46092.66836593448</v>
      </c>
      <c r="B377" s="16" t="s">
        <v>1002</v>
      </c>
      <c r="C377" s="16" t="s">
        <v>1003</v>
      </c>
      <c r="D377" s="17">
        <v>46096.0</v>
      </c>
      <c r="E377" s="18">
        <v>1.33</v>
      </c>
      <c r="F377" s="16" t="s">
        <v>93</v>
      </c>
      <c r="G377" s="24"/>
      <c r="H377" s="21">
        <v>-2.6914</v>
      </c>
      <c r="I377" s="16" t="s">
        <v>133</v>
      </c>
      <c r="J377" s="21">
        <v>0.6773</v>
      </c>
      <c r="K377" s="16">
        <v>1.1224767E7</v>
      </c>
      <c r="L377" s="19">
        <v>0.65</v>
      </c>
      <c r="M377" s="19">
        <v>25.8623</v>
      </c>
      <c r="N377" s="16" t="s">
        <v>1004</v>
      </c>
      <c r="O377" s="19">
        <v>-0.7463</v>
      </c>
      <c r="P377" s="20">
        <v>336743.0</v>
      </c>
      <c r="Q377" s="21">
        <v>1.35</v>
      </c>
      <c r="R377" s="21">
        <v>1.32</v>
      </c>
      <c r="S377" s="21">
        <v>1.34</v>
      </c>
      <c r="T377" s="21">
        <v>0.081</v>
      </c>
      <c r="U377" s="21">
        <v>0.2473</v>
      </c>
      <c r="V377" s="21">
        <v>241864.5</v>
      </c>
      <c r="W377" s="21">
        <v>1.5278</v>
      </c>
      <c r="X377" s="20">
        <v>1.52938051E8</v>
      </c>
      <c r="Y377" s="21">
        <v>1.4909</v>
      </c>
      <c r="Z377" s="21">
        <v>1.6044</v>
      </c>
      <c r="AA377" s="19">
        <v>46.0251</v>
      </c>
      <c r="AB377" s="21">
        <v>7.47</v>
      </c>
      <c r="AC377" s="21">
        <v>-35.8678</v>
      </c>
      <c r="AD377" s="21">
        <v>-35.2694</v>
      </c>
      <c r="AE377" s="21">
        <v>-11.9949</v>
      </c>
      <c r="AF377" s="21">
        <v>0.173</v>
      </c>
      <c r="AG377" s="21">
        <v>0.7512</v>
      </c>
      <c r="AH377" s="16" t="b">
        <v>0</v>
      </c>
      <c r="AI377" s="16" t="b">
        <v>0</v>
      </c>
      <c r="AJ377" s="16" t="b">
        <v>1</v>
      </c>
      <c r="AK377" s="22">
        <f>IFERROR(__xludf.DUMMYFUNCTION("IFERROR(GOOGLEFINANCE(B377,""price""),"""")"),1.33)</f>
        <v>1.33</v>
      </c>
    </row>
    <row r="378">
      <c r="A378" s="7">
        <v>46092.66836593448</v>
      </c>
      <c r="B378" s="8" t="s">
        <v>1005</v>
      </c>
      <c r="C378" s="8" t="s">
        <v>1006</v>
      </c>
      <c r="D378" s="9">
        <v>46096.0</v>
      </c>
      <c r="E378" s="10">
        <v>2.84</v>
      </c>
      <c r="F378" s="8" t="s">
        <v>88</v>
      </c>
      <c r="G378" s="23"/>
      <c r="H378" s="13">
        <v>-1.9051</v>
      </c>
      <c r="I378" s="8" t="s">
        <v>118</v>
      </c>
      <c r="J378" s="13">
        <v>0.4569</v>
      </c>
      <c r="K378" s="8">
        <v>4.6009094E7</v>
      </c>
      <c r="L378" s="11">
        <v>0.73</v>
      </c>
      <c r="M378" s="11">
        <v>14.983</v>
      </c>
      <c r="N378" s="8" t="s">
        <v>1007</v>
      </c>
      <c r="O378" s="11">
        <v>1.0676</v>
      </c>
      <c r="P378" s="12">
        <v>7821546.0</v>
      </c>
      <c r="Q378" s="13">
        <v>2.99</v>
      </c>
      <c r="R378" s="13">
        <v>2.82</v>
      </c>
      <c r="S378" s="13">
        <v>2.85</v>
      </c>
      <c r="T378" s="13">
        <v>0.2033</v>
      </c>
      <c r="U378" s="13">
        <v>0.555</v>
      </c>
      <c r="V378" s="8">
        <v>3428216.0</v>
      </c>
      <c r="W378" s="13">
        <v>2.7347</v>
      </c>
      <c r="X378" s="12">
        <v>3.20178741E8</v>
      </c>
      <c r="Y378" s="13">
        <v>3.2682</v>
      </c>
      <c r="Z378" s="13">
        <v>4.6728</v>
      </c>
      <c r="AA378" s="11">
        <v>41.3493</v>
      </c>
      <c r="AB378" s="13">
        <v>8.64</v>
      </c>
      <c r="AC378" s="13">
        <v>-25.3356</v>
      </c>
      <c r="AD378" s="13">
        <v>27.2489</v>
      </c>
      <c r="AE378" s="13">
        <v>-7.4279</v>
      </c>
      <c r="AF378" s="13">
        <v>0.8884</v>
      </c>
      <c r="AG378" s="13">
        <v>3.4781</v>
      </c>
      <c r="AH378" s="8" t="b">
        <v>0</v>
      </c>
      <c r="AI378" s="8" t="b">
        <v>1</v>
      </c>
      <c r="AJ378" s="8" t="b">
        <v>0</v>
      </c>
      <c r="AK378" s="14">
        <f>IFERROR(__xludf.DUMMYFUNCTION("IFERROR(GOOGLEFINANCE(B378,""price""),"""")"),3.4)</f>
        <v>3.4</v>
      </c>
    </row>
    <row r="379">
      <c r="A379" s="15">
        <v>46092.66836593448</v>
      </c>
      <c r="B379" s="16" t="s">
        <v>1008</v>
      </c>
      <c r="C379" s="16" t="s">
        <v>1009</v>
      </c>
      <c r="D379" s="17">
        <v>46096.0</v>
      </c>
      <c r="E379" s="18">
        <v>1.34</v>
      </c>
      <c r="F379" s="16" t="s">
        <v>117</v>
      </c>
      <c r="G379" s="24"/>
      <c r="H379" s="21">
        <v>-1.9738</v>
      </c>
      <c r="I379" s="16" t="s">
        <v>118</v>
      </c>
      <c r="J379" s="21">
        <v>0.335</v>
      </c>
      <c r="K379" s="16">
        <v>2151405.0</v>
      </c>
      <c r="L379" s="19">
        <v>0.62</v>
      </c>
      <c r="M379" s="19">
        <v>13.6764</v>
      </c>
      <c r="N379" s="16" t="s">
        <v>1010</v>
      </c>
      <c r="O379" s="19">
        <v>-0.3717</v>
      </c>
      <c r="P379" s="20">
        <v>430281.0</v>
      </c>
      <c r="Q379" s="21">
        <v>1.5</v>
      </c>
      <c r="R379" s="21">
        <v>1.3</v>
      </c>
      <c r="S379" s="21">
        <v>1.34</v>
      </c>
      <c r="T379" s="21">
        <v>0.1325</v>
      </c>
      <c r="U379" s="21">
        <v>0.4282</v>
      </c>
      <c r="V379" s="21">
        <v>99084.7</v>
      </c>
      <c r="W379" s="21">
        <v>5.0003</v>
      </c>
      <c r="X379" s="20">
        <v>1.4026836E7</v>
      </c>
      <c r="Y379" s="21">
        <v>1.7362</v>
      </c>
      <c r="Z379" s="21">
        <v>2.5913</v>
      </c>
      <c r="AA379" s="19">
        <v>34.6207</v>
      </c>
      <c r="AB379" s="21">
        <v>7.95</v>
      </c>
      <c r="AC379" s="21">
        <v>-335.4712</v>
      </c>
      <c r="AD379" s="21">
        <v>-94.26</v>
      </c>
      <c r="AE379" s="21">
        <v>18.7641</v>
      </c>
      <c r="AF379" s="21">
        <v>4.936</v>
      </c>
      <c r="AG379" s="21">
        <v>0.778</v>
      </c>
      <c r="AH379" s="16" t="b">
        <v>0</v>
      </c>
      <c r="AI379" s="16" t="b">
        <v>1</v>
      </c>
      <c r="AJ379" s="16" t="b">
        <v>0</v>
      </c>
      <c r="AK379" s="22">
        <f>IFERROR(__xludf.DUMMYFUNCTION("IFERROR(GOOGLEFINANCE(B379,""price""),"""")"),1.21)</f>
        <v>1.21</v>
      </c>
    </row>
    <row r="380">
      <c r="A380" s="7">
        <v>46092.66836593448</v>
      </c>
      <c r="B380" s="8" t="s">
        <v>1011</v>
      </c>
      <c r="C380" s="8" t="s">
        <v>1012</v>
      </c>
      <c r="D380" s="9">
        <v>46096.0</v>
      </c>
      <c r="E380" s="10">
        <v>2.22</v>
      </c>
      <c r="F380" s="8" t="s">
        <v>102</v>
      </c>
      <c r="G380" s="13">
        <v>10.1047</v>
      </c>
      <c r="H380" s="13">
        <v>0.2197</v>
      </c>
      <c r="I380" s="8" t="s">
        <v>226</v>
      </c>
      <c r="J380" s="13">
        <v>0.3333</v>
      </c>
      <c r="K380" s="8">
        <v>1875651.0</v>
      </c>
      <c r="L380" s="11">
        <v>0.85</v>
      </c>
      <c r="M380" s="11">
        <v>20.4668</v>
      </c>
      <c r="N380" s="8" t="s">
        <v>1013</v>
      </c>
      <c r="O380" s="11">
        <v>-7.8838</v>
      </c>
      <c r="P380" s="12">
        <v>665856.0</v>
      </c>
      <c r="Q380" s="13">
        <v>2.25</v>
      </c>
      <c r="R380" s="13">
        <v>1.895</v>
      </c>
      <c r="S380" s="13">
        <v>2.23</v>
      </c>
      <c r="T380" s="13">
        <v>0.2064</v>
      </c>
      <c r="U380" s="13">
        <v>0.4832</v>
      </c>
      <c r="V380" s="13">
        <v>169984.1</v>
      </c>
      <c r="W380" s="13">
        <v>5.3303</v>
      </c>
      <c r="X380" s="12">
        <v>5.1506197E7</v>
      </c>
      <c r="Y380" s="13">
        <v>2.8931</v>
      </c>
      <c r="Z380" s="13">
        <v>2.5301</v>
      </c>
      <c r="AA380" s="11">
        <v>36.21</v>
      </c>
      <c r="AB380" s="13">
        <v>4.15</v>
      </c>
      <c r="AC380" s="13">
        <v>8.3412</v>
      </c>
      <c r="AD380" s="13">
        <v>0.1885</v>
      </c>
      <c r="AE380" s="13">
        <v>-1.4676</v>
      </c>
      <c r="AF380" s="13">
        <v>0.4266</v>
      </c>
      <c r="AG380" s="13">
        <v>2.0284</v>
      </c>
      <c r="AH380" s="8" t="b">
        <v>1</v>
      </c>
      <c r="AI380" s="8" t="b">
        <v>1</v>
      </c>
      <c r="AJ380" s="8" t="b">
        <v>0</v>
      </c>
      <c r="AK380" s="14">
        <f>IFERROR(__xludf.DUMMYFUNCTION("IFERROR(GOOGLEFINANCE(B380,""price""),"""")"),2.12)</f>
        <v>2.12</v>
      </c>
    </row>
    <row r="381">
      <c r="A381" s="15">
        <v>46092.66836593448</v>
      </c>
      <c r="B381" s="16" t="s">
        <v>624</v>
      </c>
      <c r="C381" s="16" t="s">
        <v>625</v>
      </c>
      <c r="D381" s="17">
        <v>46096.0</v>
      </c>
      <c r="E381" s="18">
        <v>1.27</v>
      </c>
      <c r="F381" s="16" t="s">
        <v>107</v>
      </c>
      <c r="G381" s="24"/>
      <c r="H381" s="21">
        <v>-0.7514</v>
      </c>
      <c r="I381" s="16" t="s">
        <v>179</v>
      </c>
      <c r="J381" s="21">
        <v>0.2769</v>
      </c>
      <c r="K381" s="16">
        <v>4.3029718E7</v>
      </c>
      <c r="L381" s="19">
        <v>0.8</v>
      </c>
      <c r="M381" s="19">
        <v>21.0254</v>
      </c>
      <c r="N381" s="16" t="s">
        <v>626</v>
      </c>
      <c r="O381" s="19">
        <v>2.4194</v>
      </c>
      <c r="P381" s="20">
        <v>4733269.0</v>
      </c>
      <c r="Q381" s="21">
        <v>1.29</v>
      </c>
      <c r="R381" s="21">
        <v>1.18</v>
      </c>
      <c r="S381" s="21">
        <v>1.25</v>
      </c>
      <c r="T381" s="21">
        <v>0.1125</v>
      </c>
      <c r="U381" s="21">
        <v>0.2799</v>
      </c>
      <c r="V381" s="16">
        <v>2287538.0</v>
      </c>
      <c r="W381" s="21">
        <v>2.398</v>
      </c>
      <c r="X381" s="20">
        <v>1.14711972E8</v>
      </c>
      <c r="Y381" s="21">
        <v>1.3875</v>
      </c>
      <c r="Z381" s="21">
        <v>2.041</v>
      </c>
      <c r="AA381" s="19">
        <v>52.8743</v>
      </c>
      <c r="AB381" s="21">
        <v>3.87</v>
      </c>
      <c r="AC381" s="21">
        <v>-114.2553</v>
      </c>
      <c r="AD381" s="21">
        <v>-112.6691</v>
      </c>
      <c r="AE381" s="21">
        <v>-17.8661</v>
      </c>
      <c r="AF381" s="21">
        <v>1.7803</v>
      </c>
      <c r="AG381" s="21">
        <v>4.1241</v>
      </c>
      <c r="AH381" s="16" t="b">
        <v>1</v>
      </c>
      <c r="AI381" s="16" t="b">
        <v>0</v>
      </c>
      <c r="AJ381" s="16" t="b">
        <v>0</v>
      </c>
      <c r="AK381" s="22">
        <f>IFERROR(__xludf.DUMMYFUNCTION("IFERROR(GOOGLEFINANCE(B381,""price""),"""")"),2.24)</f>
        <v>2.24</v>
      </c>
    </row>
    <row r="382">
      <c r="A382" s="7">
        <v>46092.66836593448</v>
      </c>
      <c r="B382" s="8" t="s">
        <v>1014</v>
      </c>
      <c r="C382" s="8" t="s">
        <v>1015</v>
      </c>
      <c r="D382" s="9">
        <v>46096.0</v>
      </c>
      <c r="E382" s="10">
        <v>3.5</v>
      </c>
      <c r="F382" s="8" t="s">
        <v>335</v>
      </c>
      <c r="G382" s="23"/>
      <c r="H382" s="13">
        <v>-0.4031</v>
      </c>
      <c r="I382" s="8" t="s">
        <v>118</v>
      </c>
      <c r="J382" s="13">
        <v>0.2642</v>
      </c>
      <c r="K382" s="8">
        <v>2.3292712E7</v>
      </c>
      <c r="L382" s="11">
        <v>0.67</v>
      </c>
      <c r="M382" s="11">
        <v>28.21</v>
      </c>
      <c r="N382" s="8" t="s">
        <v>1016</v>
      </c>
      <c r="O382" s="11">
        <v>-1.9608</v>
      </c>
      <c r="P382" s="12">
        <v>4775006.0</v>
      </c>
      <c r="Q382" s="13">
        <v>3.655</v>
      </c>
      <c r="R382" s="13">
        <v>3.45</v>
      </c>
      <c r="S382" s="13">
        <v>3.51</v>
      </c>
      <c r="T382" s="13">
        <v>0.2894</v>
      </c>
      <c r="U382" s="13">
        <v>0.8625</v>
      </c>
      <c r="V382" s="8">
        <v>3198423.0</v>
      </c>
      <c r="W382" s="13">
        <v>1.5474</v>
      </c>
      <c r="X382" s="12">
        <v>4.60982344E8</v>
      </c>
      <c r="Y382" s="13">
        <v>4.0789</v>
      </c>
      <c r="Z382" s="13">
        <v>3.5304</v>
      </c>
      <c r="AA382" s="11">
        <v>43.0537</v>
      </c>
      <c r="AB382" s="13">
        <v>11.49</v>
      </c>
      <c r="AC382" s="13">
        <v>-43.5162</v>
      </c>
      <c r="AD382" s="13">
        <v>-421.4749</v>
      </c>
      <c r="AE382" s="13">
        <v>976.8019</v>
      </c>
      <c r="AF382" s="13">
        <v>0.0021</v>
      </c>
      <c r="AG382" s="13">
        <v>14.8823</v>
      </c>
      <c r="AH382" s="8" t="b">
        <v>0</v>
      </c>
      <c r="AI382" s="8" t="b">
        <v>1</v>
      </c>
      <c r="AJ382" s="8" t="b">
        <v>0</v>
      </c>
      <c r="AK382" s="14">
        <f>IFERROR(__xludf.DUMMYFUNCTION("IFERROR(GOOGLEFINANCE(B382,""price""),"""")"),2.85)</f>
        <v>2.85</v>
      </c>
    </row>
    <row r="383">
      <c r="A383" s="15">
        <v>46092.66836593448</v>
      </c>
      <c r="B383" s="16" t="s">
        <v>1017</v>
      </c>
      <c r="C383" s="16" t="s">
        <v>1018</v>
      </c>
      <c r="D383" s="17">
        <v>46096.0</v>
      </c>
      <c r="E383" s="18">
        <v>1.75</v>
      </c>
      <c r="F383" s="16" t="s">
        <v>93</v>
      </c>
      <c r="G383" s="24"/>
      <c r="H383" s="21">
        <v>-0.297</v>
      </c>
      <c r="I383" s="16" t="s">
        <v>145</v>
      </c>
      <c r="J383" s="21">
        <v>0.2343</v>
      </c>
      <c r="K383" s="16">
        <v>3.9335E7</v>
      </c>
      <c r="L383" s="19">
        <v>0.65</v>
      </c>
      <c r="M383" s="19">
        <v>17.611</v>
      </c>
      <c r="N383" s="16" t="s">
        <v>1019</v>
      </c>
      <c r="O383" s="19">
        <v>-6.9149</v>
      </c>
      <c r="P383" s="20">
        <v>5506900.0</v>
      </c>
      <c r="Q383" s="21">
        <v>1.77</v>
      </c>
      <c r="R383" s="21">
        <v>1.63</v>
      </c>
      <c r="S383" s="21">
        <v>1.76</v>
      </c>
      <c r="T383" s="21">
        <v>0.1381</v>
      </c>
      <c r="U383" s="21">
        <v>0.4272</v>
      </c>
      <c r="V383" s="16">
        <v>3246325.0</v>
      </c>
      <c r="W383" s="21">
        <v>1.8743</v>
      </c>
      <c r="X383" s="20">
        <v>7.61969858E8</v>
      </c>
      <c r="Y383" s="21">
        <v>2.2168</v>
      </c>
      <c r="Z383" s="21">
        <v>2.2896</v>
      </c>
      <c r="AA383" s="19">
        <v>34.8873</v>
      </c>
      <c r="AB383" s="21">
        <v>5.05</v>
      </c>
      <c r="AC383" s="21">
        <v>-19.0153</v>
      </c>
      <c r="AD383" s="21">
        <v>16.3174</v>
      </c>
      <c r="AE383" s="21">
        <v>23.5265</v>
      </c>
      <c r="AF383" s="21">
        <v>13.0501</v>
      </c>
      <c r="AG383" s="21">
        <v>0.1233</v>
      </c>
      <c r="AH383" s="16" t="b">
        <v>1</v>
      </c>
      <c r="AI383" s="16" t="b">
        <v>1</v>
      </c>
      <c r="AJ383" s="16" t="b">
        <v>0</v>
      </c>
      <c r="AK383" s="22">
        <f>IFERROR(__xludf.DUMMYFUNCTION("IFERROR(GOOGLEFINANCE(B383,""price""),"""")"),1.37)</f>
        <v>1.37</v>
      </c>
    </row>
    <row r="384">
      <c r="A384" s="7">
        <v>46092.66836593448</v>
      </c>
      <c r="B384" s="8" t="s">
        <v>1020</v>
      </c>
      <c r="C384" s="8" t="s">
        <v>1021</v>
      </c>
      <c r="D384" s="9">
        <v>46096.0</v>
      </c>
      <c r="E384" s="10">
        <v>3.89</v>
      </c>
      <c r="F384" s="8" t="s">
        <v>137</v>
      </c>
      <c r="G384" s="23"/>
      <c r="H384" s="13">
        <v>-2.6342</v>
      </c>
      <c r="I384" s="8" t="s">
        <v>175</v>
      </c>
      <c r="J384" s="13">
        <v>0.2337</v>
      </c>
      <c r="K384" s="8">
        <v>1764500.0</v>
      </c>
      <c r="L384" s="11">
        <v>0.54</v>
      </c>
      <c r="M384" s="11">
        <v>13.9901</v>
      </c>
      <c r="N384" s="8" t="s">
        <v>1022</v>
      </c>
      <c r="O384" s="11">
        <v>1.3021</v>
      </c>
      <c r="P384" s="12">
        <v>476415.0</v>
      </c>
      <c r="Q384" s="13">
        <v>3.92</v>
      </c>
      <c r="R384" s="13">
        <v>3.65</v>
      </c>
      <c r="S384" s="13">
        <v>3.83</v>
      </c>
      <c r="T384" s="13">
        <v>0.2543</v>
      </c>
      <c r="U384" s="13">
        <v>0.9365</v>
      </c>
      <c r="V384" s="13">
        <v>335127.0</v>
      </c>
      <c r="W384" s="13">
        <v>1.6223</v>
      </c>
      <c r="X384" s="12">
        <v>8.6233084E7</v>
      </c>
      <c r="Y384" s="13">
        <v>4.2238</v>
      </c>
      <c r="Z384" s="13">
        <v>6.0168</v>
      </c>
      <c r="AA384" s="11">
        <v>40.0549</v>
      </c>
      <c r="AB384" s="13">
        <v>9.56</v>
      </c>
      <c r="AC384" s="23"/>
      <c r="AD384" s="13">
        <v>-0.5154</v>
      </c>
      <c r="AE384" s="13">
        <v>-10.0912</v>
      </c>
      <c r="AF384" s="23"/>
      <c r="AG384" s="13">
        <v>0.9202</v>
      </c>
      <c r="AH384" s="8" t="b">
        <v>1</v>
      </c>
      <c r="AI384" s="8" t="b">
        <v>0</v>
      </c>
      <c r="AJ384" s="8" t="b">
        <v>0</v>
      </c>
      <c r="AK384" s="14">
        <f>IFERROR(__xludf.DUMMYFUNCTION("IFERROR(GOOGLEFINANCE(B384,""price""),"""")"),3.97)</f>
        <v>3.97</v>
      </c>
    </row>
    <row r="385">
      <c r="A385" s="15">
        <v>46092.66836593448</v>
      </c>
      <c r="B385" s="16" t="s">
        <v>1023</v>
      </c>
      <c r="C385" s="16" t="s">
        <v>1024</v>
      </c>
      <c r="D385" s="17">
        <v>46096.0</v>
      </c>
      <c r="E385" s="18">
        <v>1.365</v>
      </c>
      <c r="F385" s="16" t="s">
        <v>107</v>
      </c>
      <c r="G385" s="24"/>
      <c r="H385" s="21">
        <v>-0.0645</v>
      </c>
      <c r="I385" s="16" t="s">
        <v>138</v>
      </c>
      <c r="J385" s="21">
        <v>0.2067</v>
      </c>
      <c r="K385" s="16">
        <v>3078992.0</v>
      </c>
      <c r="L385" s="19">
        <v>0.89</v>
      </c>
      <c r="M385" s="19">
        <v>28.095</v>
      </c>
      <c r="N385" s="16" t="s">
        <v>1025</v>
      </c>
      <c r="O385" s="19">
        <v>-2.847</v>
      </c>
      <c r="P385" s="20">
        <v>369479.0</v>
      </c>
      <c r="Q385" s="21">
        <v>1.44</v>
      </c>
      <c r="R385" s="21">
        <v>1.32</v>
      </c>
      <c r="S385" s="21">
        <v>1.37</v>
      </c>
      <c r="T385" s="21">
        <v>0.1323</v>
      </c>
      <c r="U385" s="21">
        <v>0.2979</v>
      </c>
      <c r="V385" s="21">
        <v>226911.0</v>
      </c>
      <c r="W385" s="21">
        <v>1.8175</v>
      </c>
      <c r="X385" s="20">
        <v>1.94180265E8</v>
      </c>
      <c r="Y385" s="21">
        <v>1.5921</v>
      </c>
      <c r="Z385" s="21">
        <v>2.0709</v>
      </c>
      <c r="AA385" s="19">
        <v>33.691</v>
      </c>
      <c r="AB385" s="21">
        <v>2.93</v>
      </c>
      <c r="AC385" s="21">
        <v>-3.4317</v>
      </c>
      <c r="AD385" s="21">
        <v>-2.7956</v>
      </c>
      <c r="AE385" s="21">
        <v>-17.5351</v>
      </c>
      <c r="AF385" s="21">
        <v>0.2799</v>
      </c>
      <c r="AG385" s="21">
        <v>0.3334</v>
      </c>
      <c r="AH385" s="16" t="b">
        <v>0</v>
      </c>
      <c r="AI385" s="16" t="b">
        <v>1</v>
      </c>
      <c r="AJ385" s="16" t="b">
        <v>0</v>
      </c>
      <c r="AK385" s="22">
        <f>IFERROR(__xludf.DUMMYFUNCTION("IFERROR(GOOGLEFINANCE(B385,""price""),"""")"),1.2)</f>
        <v>1.2</v>
      </c>
    </row>
    <row r="386">
      <c r="A386" s="7">
        <v>46092.66836593448</v>
      </c>
      <c r="B386" s="8" t="s">
        <v>1026</v>
      </c>
      <c r="C386" s="8" t="s">
        <v>1027</v>
      </c>
      <c r="D386" s="9">
        <v>46096.0</v>
      </c>
      <c r="E386" s="10">
        <v>4.06</v>
      </c>
      <c r="F386" s="8" t="s">
        <v>190</v>
      </c>
      <c r="G386" s="13">
        <v>15.6274</v>
      </c>
      <c r="H386" s="13">
        <v>0.2598</v>
      </c>
      <c r="I386" s="8" t="s">
        <v>138</v>
      </c>
      <c r="J386" s="13">
        <v>0.1236</v>
      </c>
      <c r="K386" s="8">
        <v>4512079.0</v>
      </c>
      <c r="L386" s="11">
        <v>0.81</v>
      </c>
      <c r="M386" s="11">
        <v>22.7844</v>
      </c>
      <c r="N386" s="8" t="s">
        <v>1028</v>
      </c>
      <c r="O386" s="11">
        <v>3.8363</v>
      </c>
      <c r="P386" s="12">
        <v>2955412.0</v>
      </c>
      <c r="Q386" s="13">
        <v>4.63</v>
      </c>
      <c r="R386" s="13">
        <v>3.975</v>
      </c>
      <c r="S386" s="13">
        <v>4.02</v>
      </c>
      <c r="T386" s="13">
        <v>0.3133</v>
      </c>
      <c r="U386" s="13">
        <v>0.7756</v>
      </c>
      <c r="V386" s="8">
        <v>1697030.0</v>
      </c>
      <c r="W386" s="13">
        <v>1.9936</v>
      </c>
      <c r="X386" s="12">
        <v>1.95431706E8</v>
      </c>
      <c r="Y386" s="13">
        <v>3.3178</v>
      </c>
      <c r="Z386" s="13">
        <v>5.1729</v>
      </c>
      <c r="AA386" s="11">
        <v>72.1059</v>
      </c>
      <c r="AB386" s="13">
        <v>15.84</v>
      </c>
      <c r="AC386" s="13">
        <v>-63.1962</v>
      </c>
      <c r="AD386" s="13">
        <v>-0.609</v>
      </c>
      <c r="AE386" s="13">
        <v>10.592</v>
      </c>
      <c r="AF386" s="13">
        <v>0.2731</v>
      </c>
      <c r="AG386" s="13">
        <v>1.2467</v>
      </c>
      <c r="AH386" s="8" t="b">
        <v>0</v>
      </c>
      <c r="AI386" s="8" t="b">
        <v>1</v>
      </c>
      <c r="AJ386" s="8" t="b">
        <v>0</v>
      </c>
      <c r="AK386" s="14">
        <f>IFERROR(__xludf.DUMMYFUNCTION("IFERROR(GOOGLEFINANCE(B386,""price""),"""")"),3.47)</f>
        <v>3.47</v>
      </c>
    </row>
    <row r="387">
      <c r="A387" s="7">
        <v>46093.67069225702</v>
      </c>
      <c r="B387" s="8" t="s">
        <v>1029</v>
      </c>
      <c r="C387" s="8" t="s">
        <v>1030</v>
      </c>
      <c r="D387" s="9">
        <v>46096.0</v>
      </c>
      <c r="E387" s="10">
        <v>3.48</v>
      </c>
      <c r="F387" s="8" t="s">
        <v>112</v>
      </c>
      <c r="G387" s="23"/>
      <c r="H387" s="13">
        <v>-1.6673</v>
      </c>
      <c r="I387" s="8" t="s">
        <v>1031</v>
      </c>
      <c r="J387" s="13">
        <v>22.3812</v>
      </c>
      <c r="K387" s="8">
        <v>1.1723386E7</v>
      </c>
      <c r="L387" s="11">
        <v>0.84</v>
      </c>
      <c r="M387" s="11">
        <v>23.6344</v>
      </c>
      <c r="N387" s="8" t="s">
        <v>1032</v>
      </c>
      <c r="O387" s="11">
        <v>15.2318</v>
      </c>
      <c r="P387" s="12">
        <v>5978927.0</v>
      </c>
      <c r="Q387" s="13">
        <v>3.61</v>
      </c>
      <c r="R387" s="13">
        <v>3.1</v>
      </c>
      <c r="S387" s="13">
        <v>3.2</v>
      </c>
      <c r="T387" s="13">
        <v>0.1872</v>
      </c>
      <c r="U387" s="13">
        <v>0.4447</v>
      </c>
      <c r="V387" s="13">
        <v>615096.9</v>
      </c>
      <c r="W387" s="13">
        <v>328.0006</v>
      </c>
      <c r="X387" s="12">
        <v>7.8842847E7</v>
      </c>
      <c r="Y387" s="13">
        <v>3.5444</v>
      </c>
      <c r="Z387" s="13">
        <v>3.9391</v>
      </c>
      <c r="AA387" s="11">
        <v>56.8674</v>
      </c>
      <c r="AB387" s="13">
        <v>5.78</v>
      </c>
      <c r="AC387" s="13">
        <v>-17.8374</v>
      </c>
      <c r="AD387" s="13">
        <v>2.9739</v>
      </c>
      <c r="AE387" s="13">
        <v>-1.7621</v>
      </c>
      <c r="AF387" s="13">
        <v>1.392</v>
      </c>
      <c r="AG387" s="13">
        <v>2.7065</v>
      </c>
      <c r="AH387" s="8" t="b">
        <v>0</v>
      </c>
      <c r="AI387" s="8" t="b">
        <v>0</v>
      </c>
      <c r="AJ387" s="8" t="b">
        <v>0</v>
      </c>
      <c r="AK387" s="14">
        <f>IFERROR(__xludf.DUMMYFUNCTION("IFERROR(GOOGLEFINANCE(B387,""price""),"""")"),7.52)</f>
        <v>7.52</v>
      </c>
    </row>
    <row r="388">
      <c r="A388" s="15">
        <v>46093.67069225702</v>
      </c>
      <c r="B388" s="16" t="s">
        <v>1033</v>
      </c>
      <c r="C388" s="16" t="s">
        <v>1034</v>
      </c>
      <c r="D388" s="17">
        <v>46096.0</v>
      </c>
      <c r="E388" s="18">
        <v>1.07</v>
      </c>
      <c r="F388" s="16" t="s">
        <v>270</v>
      </c>
      <c r="G388" s="24"/>
      <c r="H388" s="24"/>
      <c r="I388" s="16" t="s">
        <v>1035</v>
      </c>
      <c r="J388" s="21">
        <v>6.022</v>
      </c>
      <c r="K388" s="16">
        <v>3.40036589E8</v>
      </c>
      <c r="L388" s="19">
        <v>0.28</v>
      </c>
      <c r="M388" s="19">
        <v>27.312</v>
      </c>
      <c r="N388" s="16" t="s">
        <v>1036</v>
      </c>
      <c r="O388" s="19">
        <v>153.5545</v>
      </c>
      <c r="P388" s="20">
        <v>2.66928722E8</v>
      </c>
      <c r="Q388" s="21">
        <v>1.2</v>
      </c>
      <c r="R388" s="21">
        <v>0.415</v>
      </c>
      <c r="S388" s="21">
        <v>0.425</v>
      </c>
      <c r="T388" s="21">
        <v>0.1272</v>
      </c>
      <c r="U388" s="21">
        <v>0.9191</v>
      </c>
      <c r="V388" s="16">
        <v>2.7292721E7</v>
      </c>
      <c r="W388" s="21">
        <v>441.8035</v>
      </c>
      <c r="X388" s="20">
        <v>9146210.0</v>
      </c>
      <c r="Y388" s="21">
        <v>0.4933</v>
      </c>
      <c r="Z388" s="24"/>
      <c r="AA388" s="19">
        <v>77.4995</v>
      </c>
      <c r="AB388" s="21">
        <v>7.2</v>
      </c>
      <c r="AC388" s="24"/>
      <c r="AD388" s="24"/>
      <c r="AE388" s="24"/>
      <c r="AF388" s="24"/>
      <c r="AG388" s="21">
        <v>1.2938</v>
      </c>
      <c r="AH388" s="16" t="b">
        <v>0</v>
      </c>
      <c r="AI388" s="16" t="b">
        <v>0</v>
      </c>
      <c r="AJ388" s="16" t="b">
        <v>0</v>
      </c>
      <c r="AK388" s="22">
        <f>IFERROR(__xludf.DUMMYFUNCTION("IFERROR(GOOGLEFINANCE(B388,""price""),"""")"),0.41)</f>
        <v>0.41</v>
      </c>
    </row>
    <row r="389">
      <c r="A389" s="7">
        <v>46093.67069225702</v>
      </c>
      <c r="B389" s="8" t="s">
        <v>1037</v>
      </c>
      <c r="C389" s="8" t="s">
        <v>1038</v>
      </c>
      <c r="D389" s="9">
        <v>46096.0</v>
      </c>
      <c r="E389" s="10">
        <v>2.34</v>
      </c>
      <c r="F389" s="8" t="s">
        <v>308</v>
      </c>
      <c r="G389" s="23"/>
      <c r="H389" s="13">
        <v>-3.4536</v>
      </c>
      <c r="I389" s="8" t="s">
        <v>1039</v>
      </c>
      <c r="J389" s="13">
        <v>4.714</v>
      </c>
      <c r="K389" s="8">
        <v>8.5304207E7</v>
      </c>
      <c r="L389" s="11">
        <v>0.73</v>
      </c>
      <c r="M389" s="11">
        <v>26.1366</v>
      </c>
      <c r="N389" s="8" t="s">
        <v>1040</v>
      </c>
      <c r="O389" s="11">
        <v>20.6186</v>
      </c>
      <c r="P389" s="12">
        <v>3.5827767E7</v>
      </c>
      <c r="Q389" s="13">
        <v>2.55</v>
      </c>
      <c r="R389" s="13">
        <v>2.13</v>
      </c>
      <c r="S389" s="13">
        <v>2.19</v>
      </c>
      <c r="T389" s="13">
        <v>0.2201</v>
      </c>
      <c r="U389" s="13">
        <v>0.6038</v>
      </c>
      <c r="V389" s="8">
        <v>4000222.0</v>
      </c>
      <c r="W389" s="13">
        <v>84.61</v>
      </c>
      <c r="X389" s="12">
        <v>6221301.0</v>
      </c>
      <c r="Y389" s="13">
        <v>1.6542</v>
      </c>
      <c r="Z389" s="13">
        <v>2.2786</v>
      </c>
      <c r="AA389" s="11">
        <v>72.5953</v>
      </c>
      <c r="AB389" s="13">
        <v>5.7499</v>
      </c>
      <c r="AC389" s="13">
        <v>-119.917</v>
      </c>
      <c r="AD389" s="13">
        <v>-90.4276</v>
      </c>
      <c r="AE389" s="13">
        <v>-44.3226</v>
      </c>
      <c r="AF389" s="13">
        <v>2.0693</v>
      </c>
      <c r="AG389" s="13">
        <v>1.2514</v>
      </c>
      <c r="AH389" s="8" t="b">
        <v>0</v>
      </c>
      <c r="AI389" s="8" t="b">
        <v>0</v>
      </c>
      <c r="AJ389" s="8" t="b">
        <v>0</v>
      </c>
      <c r="AK389" s="14">
        <f>IFERROR(__xludf.DUMMYFUNCTION("IFERROR(GOOGLEFINANCE(B389,""price""),"""")"),1.82)</f>
        <v>1.82</v>
      </c>
    </row>
    <row r="390">
      <c r="A390" s="15">
        <v>46093.67069225702</v>
      </c>
      <c r="B390" s="16" t="s">
        <v>1041</v>
      </c>
      <c r="C390" s="16" t="s">
        <v>1042</v>
      </c>
      <c r="D390" s="17">
        <v>46096.0</v>
      </c>
      <c r="E390" s="18">
        <v>2.05</v>
      </c>
      <c r="F390" s="16" t="s">
        <v>93</v>
      </c>
      <c r="G390" s="24"/>
      <c r="H390" s="21">
        <v>-0.5482</v>
      </c>
      <c r="I390" s="16" t="s">
        <v>1043</v>
      </c>
      <c r="J390" s="21">
        <v>2.1912</v>
      </c>
      <c r="K390" s="16">
        <v>6351520.0</v>
      </c>
      <c r="L390" s="19">
        <v>0.84</v>
      </c>
      <c r="M390" s="19">
        <v>20.4753</v>
      </c>
      <c r="N390" s="16" t="s">
        <v>1044</v>
      </c>
      <c r="O390" s="19">
        <v>0.0</v>
      </c>
      <c r="P390" s="20">
        <v>476364.0</v>
      </c>
      <c r="Q390" s="21">
        <v>2.1</v>
      </c>
      <c r="R390" s="21">
        <v>2.025</v>
      </c>
      <c r="S390" s="21">
        <v>2.05</v>
      </c>
      <c r="T390" s="21">
        <v>0.0892</v>
      </c>
      <c r="U390" s="21">
        <v>0.2119</v>
      </c>
      <c r="V390" s="21">
        <v>106493.9</v>
      </c>
      <c r="W390" s="21">
        <v>8.0167</v>
      </c>
      <c r="X390" s="20">
        <v>6.7126331E7</v>
      </c>
      <c r="Y390" s="21">
        <v>2.2019</v>
      </c>
      <c r="Z390" s="21">
        <v>2.2674</v>
      </c>
      <c r="AA390" s="19">
        <v>41.4051</v>
      </c>
      <c r="AB390" s="21">
        <v>3.5099</v>
      </c>
      <c r="AC390" s="21">
        <v>-23.215</v>
      </c>
      <c r="AD390" s="21">
        <v>-53.0111</v>
      </c>
      <c r="AE390" s="21">
        <v>17.7671</v>
      </c>
      <c r="AF390" s="21">
        <v>1.1385</v>
      </c>
      <c r="AG390" s="21">
        <v>10.3194</v>
      </c>
      <c r="AH390" s="16" t="b">
        <v>0</v>
      </c>
      <c r="AI390" s="16" t="b">
        <v>1</v>
      </c>
      <c r="AJ390" s="16" t="b">
        <v>0</v>
      </c>
      <c r="AK390" s="22">
        <f>IFERROR(__xludf.DUMMYFUNCTION("IFERROR(GOOGLEFINANCE(B390,""price""),"""")"),1.99)</f>
        <v>1.99</v>
      </c>
    </row>
    <row r="391">
      <c r="A391" s="7">
        <v>46093.67069225702</v>
      </c>
      <c r="B391" s="8" t="s">
        <v>829</v>
      </c>
      <c r="C391" s="8" t="s">
        <v>830</v>
      </c>
      <c r="D391" s="9">
        <v>46096.0</v>
      </c>
      <c r="E391" s="10">
        <v>2.37</v>
      </c>
      <c r="F391" s="8" t="s">
        <v>186</v>
      </c>
      <c r="G391" s="23"/>
      <c r="H391" s="13">
        <v>-0.2128</v>
      </c>
      <c r="I391" s="8" t="s">
        <v>1045</v>
      </c>
      <c r="J391" s="13">
        <v>2.0599</v>
      </c>
      <c r="K391" s="8">
        <v>8.6578605E8</v>
      </c>
      <c r="L391" s="11">
        <v>0.54</v>
      </c>
      <c r="M391" s="11">
        <v>19.3743</v>
      </c>
      <c r="N391" s="8" t="s">
        <v>831</v>
      </c>
      <c r="O391" s="11">
        <v>0.4237</v>
      </c>
      <c r="P391" s="12">
        <v>1.7315721E7</v>
      </c>
      <c r="Q391" s="13">
        <v>2.38</v>
      </c>
      <c r="R391" s="13">
        <v>2.36</v>
      </c>
      <c r="S391" s="13">
        <v>2.37</v>
      </c>
      <c r="T391" s="13">
        <v>0.0433</v>
      </c>
      <c r="U391" s="13">
        <v>0.1612</v>
      </c>
      <c r="V391" s="8">
        <v>1.1239706E7</v>
      </c>
      <c r="W391" s="13">
        <v>1.7383</v>
      </c>
      <c r="X391" s="12">
        <v>1.181416595E9</v>
      </c>
      <c r="Y391" s="13">
        <v>2.2316</v>
      </c>
      <c r="Z391" s="13">
        <v>1.8255</v>
      </c>
      <c r="AA391" s="11">
        <v>57.5788</v>
      </c>
      <c r="AB391" s="13">
        <v>2.43</v>
      </c>
      <c r="AC391" s="23"/>
      <c r="AD391" s="13">
        <v>18.9737</v>
      </c>
      <c r="AE391" s="13">
        <v>-20.8223</v>
      </c>
      <c r="AF391" s="23"/>
      <c r="AG391" s="13">
        <v>1.2833</v>
      </c>
      <c r="AH391" s="8" t="b">
        <v>0</v>
      </c>
      <c r="AI391" s="8" t="b">
        <v>1</v>
      </c>
      <c r="AJ391" s="8" t="b">
        <v>1</v>
      </c>
      <c r="AK391" s="14">
        <f>IFERROR(__xludf.DUMMYFUNCTION("IFERROR(GOOGLEFINANCE(B391,""price""),"""")"),2.37)</f>
        <v>2.37</v>
      </c>
    </row>
    <row r="392">
      <c r="A392" s="15">
        <v>46093.67069225702</v>
      </c>
      <c r="B392" s="16" t="s">
        <v>723</v>
      </c>
      <c r="C392" s="16" t="s">
        <v>724</v>
      </c>
      <c r="D392" s="17">
        <v>46096.0</v>
      </c>
      <c r="E392" s="18">
        <v>0.9033</v>
      </c>
      <c r="F392" s="16" t="s">
        <v>88</v>
      </c>
      <c r="G392" s="24"/>
      <c r="H392" s="21">
        <v>-2.8089</v>
      </c>
      <c r="I392" s="16" t="s">
        <v>214</v>
      </c>
      <c r="J392" s="21">
        <v>2.0209</v>
      </c>
      <c r="K392" s="16">
        <v>1.170717566E9</v>
      </c>
      <c r="L392" s="19">
        <v>0.17</v>
      </c>
      <c r="M392" s="19">
        <v>18.6634</v>
      </c>
      <c r="N392" s="16" t="s">
        <v>725</v>
      </c>
      <c r="O392" s="19">
        <v>11.6702</v>
      </c>
      <c r="P392" s="20">
        <v>3.01916353E8</v>
      </c>
      <c r="Q392" s="21">
        <v>1.1</v>
      </c>
      <c r="R392" s="21">
        <v>0.8421</v>
      </c>
      <c r="S392" s="21">
        <v>1.09</v>
      </c>
      <c r="T392" s="21">
        <v>0.1393</v>
      </c>
      <c r="U392" s="21">
        <v>1.5956</v>
      </c>
      <c r="V392" s="16">
        <v>3.5158987E7</v>
      </c>
      <c r="W392" s="21">
        <v>57.6963</v>
      </c>
      <c r="X392" s="20">
        <v>1.78701287E8</v>
      </c>
      <c r="Y392" s="21">
        <v>1.3672</v>
      </c>
      <c r="Z392" s="21">
        <v>3.1607</v>
      </c>
      <c r="AA392" s="19">
        <v>35.3076</v>
      </c>
      <c r="AB392" s="21">
        <v>83.12</v>
      </c>
      <c r="AC392" s="21">
        <v>-18.506</v>
      </c>
      <c r="AD392" s="21">
        <v>-27.9819</v>
      </c>
      <c r="AE392" s="21">
        <v>-4.343</v>
      </c>
      <c r="AF392" s="21">
        <v>0.0308</v>
      </c>
      <c r="AG392" s="21">
        <v>18.8711</v>
      </c>
      <c r="AH392" s="16" t="b">
        <v>0</v>
      </c>
      <c r="AI392" s="16" t="b">
        <v>0</v>
      </c>
      <c r="AJ392" s="16" t="b">
        <v>0</v>
      </c>
      <c r="AK392" s="22">
        <f>IFERROR(__xludf.DUMMYFUNCTION("IFERROR(GOOGLEFINANCE(B392,""price""),"""")"),0.84)</f>
        <v>0.84</v>
      </c>
    </row>
    <row r="393">
      <c r="A393" s="7">
        <v>46093.67069225702</v>
      </c>
      <c r="B393" s="8" t="s">
        <v>981</v>
      </c>
      <c r="C393" s="8" t="s">
        <v>982</v>
      </c>
      <c r="D393" s="9">
        <v>46096.0</v>
      </c>
      <c r="E393" s="10">
        <v>2.4</v>
      </c>
      <c r="F393" s="8" t="s">
        <v>137</v>
      </c>
      <c r="G393" s="23"/>
      <c r="H393" s="13">
        <v>-0.5819</v>
      </c>
      <c r="I393" s="8" t="s">
        <v>1046</v>
      </c>
      <c r="J393" s="13">
        <v>1.6565</v>
      </c>
      <c r="K393" s="8">
        <v>9.7600048E7</v>
      </c>
      <c r="L393" s="11">
        <v>0.97</v>
      </c>
      <c r="M393" s="11">
        <v>19.7185</v>
      </c>
      <c r="N393" s="8" t="s">
        <v>984</v>
      </c>
      <c r="O393" s="11">
        <v>47.2393</v>
      </c>
      <c r="P393" s="12">
        <v>4.6848023E7</v>
      </c>
      <c r="Q393" s="13">
        <v>2.73</v>
      </c>
      <c r="R393" s="13">
        <v>2.25</v>
      </c>
      <c r="S393" s="13">
        <v>2.6</v>
      </c>
      <c r="T393" s="13">
        <v>0.1739</v>
      </c>
      <c r="U393" s="13">
        <v>0.3603</v>
      </c>
      <c r="V393" s="8">
        <v>6096407.0</v>
      </c>
      <c r="W393" s="13">
        <v>33.1299</v>
      </c>
      <c r="X393" s="12">
        <v>7.313655E7</v>
      </c>
      <c r="Y393" s="13">
        <v>1.5832</v>
      </c>
      <c r="Z393" s="13">
        <v>1.8602</v>
      </c>
      <c r="AA393" s="11">
        <v>88.2295</v>
      </c>
      <c r="AB393" s="13">
        <v>2.73</v>
      </c>
      <c r="AC393" s="13">
        <v>-18.7643</v>
      </c>
      <c r="AD393" s="13">
        <v>-12.1429</v>
      </c>
      <c r="AE393" s="13">
        <v>-2.7865</v>
      </c>
      <c r="AF393" s="13">
        <v>2.002</v>
      </c>
      <c r="AG393" s="13">
        <v>1.2505</v>
      </c>
      <c r="AH393" s="8" t="b">
        <v>0</v>
      </c>
      <c r="AI393" s="8" t="b">
        <v>0</v>
      </c>
      <c r="AJ393" s="8" t="b">
        <v>0</v>
      </c>
      <c r="AK393" s="14">
        <f>IFERROR(__xludf.DUMMYFUNCTION("IFERROR(GOOGLEFINANCE(B393,""price""),"""")"),5.05)</f>
        <v>5.05</v>
      </c>
    </row>
    <row r="394">
      <c r="A394" s="15">
        <v>46093.67069225702</v>
      </c>
      <c r="B394" s="16" t="s">
        <v>958</v>
      </c>
      <c r="C394" s="16" t="s">
        <v>959</v>
      </c>
      <c r="D394" s="17">
        <v>46096.0</v>
      </c>
      <c r="E394" s="18">
        <v>0.63</v>
      </c>
      <c r="F394" s="16" t="s">
        <v>93</v>
      </c>
      <c r="G394" s="24"/>
      <c r="H394" s="21">
        <v>-8.3439</v>
      </c>
      <c r="I394" s="16" t="s">
        <v>113</v>
      </c>
      <c r="J394" s="21">
        <v>1.2109</v>
      </c>
      <c r="K394" s="16">
        <v>6.2213942E7</v>
      </c>
      <c r="L394" s="19">
        <v>0.19</v>
      </c>
      <c r="M394" s="19">
        <v>7.2166</v>
      </c>
      <c r="N394" s="16" t="s">
        <v>961</v>
      </c>
      <c r="O394" s="19">
        <v>-5.6462</v>
      </c>
      <c r="P394" s="20">
        <v>3489580.0</v>
      </c>
      <c r="Q394" s="21">
        <v>0.6711</v>
      </c>
      <c r="R394" s="21">
        <v>0.615</v>
      </c>
      <c r="S394" s="21">
        <v>0.6543</v>
      </c>
      <c r="T394" s="21">
        <v>0.084</v>
      </c>
      <c r="U394" s="21">
        <v>0.8717</v>
      </c>
      <c r="V394" s="21">
        <v>658784.0</v>
      </c>
      <c r="W394" s="21">
        <v>10.7805</v>
      </c>
      <c r="X394" s="20">
        <v>1.6435849E7</v>
      </c>
      <c r="Y394" s="21">
        <v>0.9499</v>
      </c>
      <c r="Z394" s="21">
        <v>3.5652</v>
      </c>
      <c r="AA394" s="19">
        <v>35.8943</v>
      </c>
      <c r="AB394" s="21">
        <v>9.5299</v>
      </c>
      <c r="AC394" s="24"/>
      <c r="AD394" s="21">
        <v>-48.6237</v>
      </c>
      <c r="AE394" s="21">
        <v>1.1224</v>
      </c>
      <c r="AF394" s="24"/>
      <c r="AG394" s="21">
        <v>0.121</v>
      </c>
      <c r="AH394" s="16" t="b">
        <v>0</v>
      </c>
      <c r="AI394" s="16" t="b">
        <v>0</v>
      </c>
      <c r="AJ394" s="16" t="b">
        <v>0</v>
      </c>
      <c r="AK394" s="22">
        <f>IFERROR(__xludf.DUMMYFUNCTION("IFERROR(GOOGLEFINANCE(B394,""price""),"""")"),0.61)</f>
        <v>0.61</v>
      </c>
    </row>
    <row r="395">
      <c r="A395" s="7">
        <v>46093.67069225702</v>
      </c>
      <c r="B395" s="8" t="s">
        <v>256</v>
      </c>
      <c r="C395" s="8" t="s">
        <v>257</v>
      </c>
      <c r="D395" s="9">
        <v>46096.0</v>
      </c>
      <c r="E395" s="10">
        <v>0.809</v>
      </c>
      <c r="F395" s="8" t="s">
        <v>117</v>
      </c>
      <c r="G395" s="23"/>
      <c r="H395" s="13">
        <v>-1.1625</v>
      </c>
      <c r="I395" s="8" t="s">
        <v>122</v>
      </c>
      <c r="J395" s="13">
        <v>1.1881</v>
      </c>
      <c r="K395" s="8">
        <v>1.0023064E7</v>
      </c>
      <c r="L395" s="11">
        <v>0.81</v>
      </c>
      <c r="M395" s="11">
        <v>14.8504</v>
      </c>
      <c r="N395" s="8" t="s">
        <v>259</v>
      </c>
      <c r="O395" s="11">
        <v>7.7374</v>
      </c>
      <c r="P395" s="12">
        <v>1079484.0</v>
      </c>
      <c r="Q395" s="13">
        <v>0.85</v>
      </c>
      <c r="R395" s="13">
        <v>0.7423</v>
      </c>
      <c r="S395" s="13">
        <v>0.75</v>
      </c>
      <c r="T395" s="13">
        <v>0.0658</v>
      </c>
      <c r="U395" s="13">
        <v>0.162</v>
      </c>
      <c r="V395" s="13">
        <v>173976.5</v>
      </c>
      <c r="W395" s="13">
        <v>15.8164</v>
      </c>
      <c r="X395" s="12">
        <v>7053018.0</v>
      </c>
      <c r="Y395" s="13">
        <v>0.9771</v>
      </c>
      <c r="Z395" s="13">
        <v>1.2584</v>
      </c>
      <c r="AA395" s="11">
        <v>40.3237</v>
      </c>
      <c r="AB395" s="13">
        <v>2.42</v>
      </c>
      <c r="AC395" s="23"/>
      <c r="AD395" s="13">
        <v>-381.7906</v>
      </c>
      <c r="AE395" s="13">
        <v>-53.5425</v>
      </c>
      <c r="AF395" s="23"/>
      <c r="AG395" s="13">
        <v>4.3786</v>
      </c>
      <c r="AH395" s="8" t="b">
        <v>0</v>
      </c>
      <c r="AI395" s="8" t="b">
        <v>0</v>
      </c>
      <c r="AJ395" s="8" t="b">
        <v>0</v>
      </c>
      <c r="AK395" s="14">
        <f>IFERROR(__xludf.DUMMYFUNCTION("IFERROR(GOOGLEFINANCE(B395,""price""),"""")"),0.81)</f>
        <v>0.81</v>
      </c>
    </row>
    <row r="396">
      <c r="A396" s="15">
        <v>46093.67069225702</v>
      </c>
      <c r="B396" s="16" t="s">
        <v>919</v>
      </c>
      <c r="C396" s="16" t="s">
        <v>920</v>
      </c>
      <c r="D396" s="17">
        <v>46096.0</v>
      </c>
      <c r="E396" s="18">
        <v>2.91</v>
      </c>
      <c r="F396" s="16" t="s">
        <v>88</v>
      </c>
      <c r="G396" s="21">
        <v>71.4988</v>
      </c>
      <c r="H396" s="21">
        <v>0.0407</v>
      </c>
      <c r="I396" s="16" t="s">
        <v>138</v>
      </c>
      <c r="J396" s="21">
        <v>0.5671</v>
      </c>
      <c r="K396" s="16">
        <v>5358318.0</v>
      </c>
      <c r="L396" s="19">
        <v>0.9</v>
      </c>
      <c r="M396" s="19">
        <v>20.0078</v>
      </c>
      <c r="N396" s="16" t="s">
        <v>921</v>
      </c>
      <c r="O396" s="19">
        <v>9.3985</v>
      </c>
      <c r="P396" s="20">
        <v>1280638.0</v>
      </c>
      <c r="Q396" s="21">
        <v>3.069</v>
      </c>
      <c r="R396" s="21">
        <v>2.83</v>
      </c>
      <c r="S396" s="21">
        <v>2.91</v>
      </c>
      <c r="T396" s="21">
        <v>0.1611</v>
      </c>
      <c r="U396" s="21">
        <v>0.3562</v>
      </c>
      <c r="V396" s="21">
        <v>390894.1</v>
      </c>
      <c r="W396" s="21">
        <v>4.6573</v>
      </c>
      <c r="X396" s="20">
        <v>1.23375383E8</v>
      </c>
      <c r="Y396" s="21">
        <v>2.6848</v>
      </c>
      <c r="Z396" s="21">
        <v>2.7979</v>
      </c>
      <c r="AA396" s="19">
        <v>65.2481</v>
      </c>
      <c r="AB396" s="21">
        <v>4.01</v>
      </c>
      <c r="AC396" s="21">
        <v>21.4855</v>
      </c>
      <c r="AD396" s="21">
        <v>10.8044</v>
      </c>
      <c r="AE396" s="21">
        <v>2.9735</v>
      </c>
      <c r="AF396" s="21">
        <v>0.1672</v>
      </c>
      <c r="AG396" s="21">
        <v>1.2611</v>
      </c>
      <c r="AH396" s="16" t="b">
        <v>0</v>
      </c>
      <c r="AI396" s="16" t="b">
        <v>1</v>
      </c>
      <c r="AJ396" s="16" t="b">
        <v>0</v>
      </c>
      <c r="AK396" s="22">
        <f>IFERROR(__xludf.DUMMYFUNCTION("IFERROR(GOOGLEFINANCE(B396,""price""),"""")"),2.7)</f>
        <v>2.7</v>
      </c>
    </row>
    <row r="397">
      <c r="A397" s="7">
        <v>46093.67069225702</v>
      </c>
      <c r="B397" s="8" t="s">
        <v>1047</v>
      </c>
      <c r="C397" s="8" t="s">
        <v>1048</v>
      </c>
      <c r="D397" s="9">
        <v>46096.0</v>
      </c>
      <c r="E397" s="10">
        <v>4.1</v>
      </c>
      <c r="F397" s="8" t="s">
        <v>335</v>
      </c>
      <c r="G397" s="23"/>
      <c r="H397" s="13">
        <v>-0.2562</v>
      </c>
      <c r="I397" s="8" t="s">
        <v>118</v>
      </c>
      <c r="J397" s="13">
        <v>0.3727</v>
      </c>
      <c r="K397" s="8">
        <v>2.5334093E7</v>
      </c>
      <c r="L397" s="11">
        <v>0.78</v>
      </c>
      <c r="M397" s="11">
        <v>16.3222</v>
      </c>
      <c r="N397" s="8" t="s">
        <v>1049</v>
      </c>
      <c r="O397" s="11">
        <v>-0.7264</v>
      </c>
      <c r="P397" s="12">
        <v>8740262.0</v>
      </c>
      <c r="Q397" s="13">
        <v>4.28</v>
      </c>
      <c r="R397" s="13">
        <v>3.935</v>
      </c>
      <c r="S397" s="13">
        <v>4.1</v>
      </c>
      <c r="T397" s="13">
        <v>0.3579</v>
      </c>
      <c r="U397" s="13">
        <v>0.9182</v>
      </c>
      <c r="V397" s="8">
        <v>3420870.0</v>
      </c>
      <c r="W397" s="13">
        <v>3.1365</v>
      </c>
      <c r="X397" s="12">
        <v>7.07437106E8</v>
      </c>
      <c r="Y397" s="13">
        <v>4.826</v>
      </c>
      <c r="Z397" s="13">
        <v>3.6663</v>
      </c>
      <c r="AA397" s="11">
        <v>43.797</v>
      </c>
      <c r="AB397" s="13">
        <v>11.29</v>
      </c>
      <c r="AC397" s="13">
        <v>-32.8954</v>
      </c>
      <c r="AD397" s="23"/>
      <c r="AE397" s="23"/>
      <c r="AF397" s="13">
        <v>9.0E-4</v>
      </c>
      <c r="AG397" s="13">
        <v>1.5681</v>
      </c>
      <c r="AH397" s="8" t="b">
        <v>0</v>
      </c>
      <c r="AI397" s="8" t="b">
        <v>1</v>
      </c>
      <c r="AJ397" s="8" t="b">
        <v>0</v>
      </c>
      <c r="AK397" s="14">
        <f>IFERROR(__xludf.DUMMYFUNCTION("IFERROR(GOOGLEFINANCE(B397,""price""),"""")"),3.88)</f>
        <v>3.88</v>
      </c>
    </row>
    <row r="398">
      <c r="A398" s="15">
        <v>46093.67069225702</v>
      </c>
      <c r="B398" s="16" t="s">
        <v>1050</v>
      </c>
      <c r="C398" s="16" t="s">
        <v>1051</v>
      </c>
      <c r="D398" s="17">
        <v>46096.0</v>
      </c>
      <c r="E398" s="18">
        <v>1.56</v>
      </c>
      <c r="F398" s="16" t="s">
        <v>107</v>
      </c>
      <c r="G398" s="24"/>
      <c r="H398" s="21">
        <v>-0.2518</v>
      </c>
      <c r="I398" s="16" t="s">
        <v>118</v>
      </c>
      <c r="J398" s="21">
        <v>0.2705</v>
      </c>
      <c r="K398" s="16">
        <v>1.7668114E7</v>
      </c>
      <c r="L398" s="19">
        <v>0.7</v>
      </c>
      <c r="M398" s="19">
        <v>14.8012</v>
      </c>
      <c r="N398" s="16" t="s">
        <v>1052</v>
      </c>
      <c r="O398" s="19">
        <v>1.2987</v>
      </c>
      <c r="P398" s="20">
        <v>1855152.0</v>
      </c>
      <c r="Q398" s="21">
        <v>1.66</v>
      </c>
      <c r="R398" s="21">
        <v>1.555</v>
      </c>
      <c r="S398" s="21">
        <v>1.57</v>
      </c>
      <c r="T398" s="21">
        <v>0.0697</v>
      </c>
      <c r="U398" s="21">
        <v>0.1996</v>
      </c>
      <c r="V398" s="16">
        <v>1121565.0</v>
      </c>
      <c r="W398" s="21">
        <v>1.8207</v>
      </c>
      <c r="X398" s="20">
        <v>4.0169999E8</v>
      </c>
      <c r="Y398" s="21">
        <v>1.5734</v>
      </c>
      <c r="Z398" s="21">
        <v>1.7664</v>
      </c>
      <c r="AA398" s="19">
        <v>51.485</v>
      </c>
      <c r="AB398" s="21">
        <v>2.89</v>
      </c>
      <c r="AC398" s="21">
        <v>-7.8188</v>
      </c>
      <c r="AD398" s="21">
        <v>-1.1966</v>
      </c>
      <c r="AE398" s="21">
        <v>1.7436</v>
      </c>
      <c r="AF398" s="21">
        <v>0.1411</v>
      </c>
      <c r="AG398" s="21">
        <v>5.0383</v>
      </c>
      <c r="AH398" s="16" t="b">
        <v>0</v>
      </c>
      <c r="AI398" s="16" t="b">
        <v>1</v>
      </c>
      <c r="AJ398" s="16" t="b">
        <v>0</v>
      </c>
      <c r="AK398" s="22">
        <f>IFERROR(__xludf.DUMMYFUNCTION("IFERROR(GOOGLEFINANCE(B398,""price""),"""")"),1.42)</f>
        <v>1.42</v>
      </c>
    </row>
    <row r="399">
      <c r="A399" s="7">
        <v>46093.67069225702</v>
      </c>
      <c r="B399" s="8" t="s">
        <v>1053</v>
      </c>
      <c r="C399" s="8" t="s">
        <v>1054</v>
      </c>
      <c r="D399" s="9">
        <v>46096.0</v>
      </c>
      <c r="E399" s="10">
        <v>0.5113</v>
      </c>
      <c r="F399" s="8" t="s">
        <v>117</v>
      </c>
      <c r="G399" s="23"/>
      <c r="H399" s="13">
        <v>-0.6573</v>
      </c>
      <c r="I399" s="8" t="s">
        <v>226</v>
      </c>
      <c r="J399" s="13">
        <v>0.2251</v>
      </c>
      <c r="K399" s="8">
        <v>1.8544213E7</v>
      </c>
      <c r="L399" s="11">
        <v>0.95</v>
      </c>
      <c r="M399" s="11">
        <v>17.1579</v>
      </c>
      <c r="N399" s="8" t="s">
        <v>1055</v>
      </c>
      <c r="O399" s="11">
        <v>-5.3148</v>
      </c>
      <c r="P399" s="12">
        <v>1320348.0</v>
      </c>
      <c r="Q399" s="13">
        <v>0.533</v>
      </c>
      <c r="R399" s="13">
        <v>0.4618</v>
      </c>
      <c r="S399" s="13">
        <v>0.51</v>
      </c>
      <c r="T399" s="13">
        <v>0.0421</v>
      </c>
      <c r="U399" s="13">
        <v>0.0883</v>
      </c>
      <c r="V399" s="13">
        <v>538846.0</v>
      </c>
      <c r="W399" s="13">
        <v>3.1348</v>
      </c>
      <c r="X399" s="12">
        <v>3.7558671E7</v>
      </c>
      <c r="Y399" s="13">
        <v>0.5917</v>
      </c>
      <c r="Z399" s="13">
        <v>0.7004</v>
      </c>
      <c r="AA399" s="11">
        <v>37.6637</v>
      </c>
      <c r="AB399" s="13">
        <v>1.18</v>
      </c>
      <c r="AC399" s="13">
        <v>-908.2848</v>
      </c>
      <c r="AD399" s="13">
        <v>-137.6399</v>
      </c>
      <c r="AE399" s="13">
        <v>588.3983</v>
      </c>
      <c r="AF399" s="23"/>
      <c r="AG399" s="13">
        <v>2.2001</v>
      </c>
      <c r="AH399" s="8" t="b">
        <v>1</v>
      </c>
      <c r="AI399" s="8" t="b">
        <v>1</v>
      </c>
      <c r="AJ399" s="8" t="b">
        <v>0</v>
      </c>
      <c r="AK399" s="14">
        <f>IFERROR(__xludf.DUMMYFUNCTION("IFERROR(GOOGLEFINANCE(B399,""price""),"""")"),8.51)</f>
        <v>8.51</v>
      </c>
    </row>
    <row r="400">
      <c r="A400" s="15">
        <v>46093.67069225702</v>
      </c>
      <c r="B400" s="16" t="s">
        <v>1023</v>
      </c>
      <c r="C400" s="16" t="s">
        <v>1024</v>
      </c>
      <c r="D400" s="17">
        <v>46096.0</v>
      </c>
      <c r="E400" s="18">
        <v>1.41</v>
      </c>
      <c r="F400" s="16" t="s">
        <v>107</v>
      </c>
      <c r="G400" s="24"/>
      <c r="H400" s="21">
        <v>-0.0645</v>
      </c>
      <c r="I400" s="16" t="s">
        <v>226</v>
      </c>
      <c r="J400" s="21">
        <v>0.1567</v>
      </c>
      <c r="K400" s="16">
        <v>2523056.0</v>
      </c>
      <c r="L400" s="19">
        <v>0.93</v>
      </c>
      <c r="M400" s="19">
        <v>27.0682</v>
      </c>
      <c r="N400" s="16" t="s">
        <v>1025</v>
      </c>
      <c r="O400" s="19">
        <v>3.2967</v>
      </c>
      <c r="P400" s="20">
        <v>681225.0</v>
      </c>
      <c r="Q400" s="21">
        <v>1.48</v>
      </c>
      <c r="R400" s="21">
        <v>1.21</v>
      </c>
      <c r="S400" s="21">
        <v>1.43</v>
      </c>
      <c r="T400" s="21">
        <v>0.1422</v>
      </c>
      <c r="U400" s="21">
        <v>0.3051</v>
      </c>
      <c r="V400" s="21">
        <v>279351.9</v>
      </c>
      <c r="W400" s="21">
        <v>3.0005</v>
      </c>
      <c r="X400" s="20">
        <v>2.00581817E8</v>
      </c>
      <c r="Y400" s="21">
        <v>1.5865</v>
      </c>
      <c r="Z400" s="21">
        <v>2.0643</v>
      </c>
      <c r="AA400" s="19">
        <v>37.9839</v>
      </c>
      <c r="AB400" s="21">
        <v>2.78</v>
      </c>
      <c r="AC400" s="21">
        <v>-3.4317</v>
      </c>
      <c r="AD400" s="21">
        <v>-2.7956</v>
      </c>
      <c r="AE400" s="21">
        <v>-17.5351</v>
      </c>
      <c r="AF400" s="21">
        <v>0.2799</v>
      </c>
      <c r="AG400" s="21">
        <v>0.3334</v>
      </c>
      <c r="AH400" s="16" t="b">
        <v>1</v>
      </c>
      <c r="AI400" s="16" t="b">
        <v>1</v>
      </c>
      <c r="AJ400" s="16" t="b">
        <v>0</v>
      </c>
      <c r="AK400" s="22">
        <f>IFERROR(__xludf.DUMMYFUNCTION("IFERROR(GOOGLEFINANCE(B400,""price""),"""")"),1.2)</f>
        <v>1.2</v>
      </c>
    </row>
    <row r="401">
      <c r="A401" s="7">
        <v>46093.67069225702</v>
      </c>
      <c r="B401" s="8" t="s">
        <v>1056</v>
      </c>
      <c r="C401" s="8" t="s">
        <v>1057</v>
      </c>
      <c r="D401" s="9">
        <v>46096.0</v>
      </c>
      <c r="E401" s="10">
        <v>3.2</v>
      </c>
      <c r="F401" s="8" t="s">
        <v>149</v>
      </c>
      <c r="G401" s="23"/>
      <c r="H401" s="13">
        <v>-0.0951</v>
      </c>
      <c r="I401" s="8" t="s">
        <v>138</v>
      </c>
      <c r="J401" s="13">
        <v>0.1382</v>
      </c>
      <c r="K401" s="8">
        <v>1910939.0</v>
      </c>
      <c r="L401" s="11">
        <v>0.8</v>
      </c>
      <c r="M401" s="11">
        <v>22.3817</v>
      </c>
      <c r="N401" s="8" t="s">
        <v>1058</v>
      </c>
      <c r="O401" s="11">
        <v>-2.1407</v>
      </c>
      <c r="P401" s="12">
        <v>1031907.0</v>
      </c>
      <c r="Q401" s="13">
        <v>3.58</v>
      </c>
      <c r="R401" s="13">
        <v>3.04</v>
      </c>
      <c r="S401" s="13">
        <v>3.19</v>
      </c>
      <c r="T401" s="13">
        <v>0.1923</v>
      </c>
      <c r="U401" s="13">
        <v>0.4819</v>
      </c>
      <c r="V401" s="13">
        <v>524376.2</v>
      </c>
      <c r="W401" s="13">
        <v>2.3319</v>
      </c>
      <c r="X401" s="12">
        <v>1.86555223E8</v>
      </c>
      <c r="Y401" s="13">
        <v>3.4564</v>
      </c>
      <c r="Z401" s="13">
        <v>3.8695</v>
      </c>
      <c r="AA401" s="11">
        <v>42.3232</v>
      </c>
      <c r="AB401" s="13">
        <v>7.15</v>
      </c>
      <c r="AC401" s="13">
        <v>-9.9699</v>
      </c>
      <c r="AD401" s="13">
        <v>-11.7276</v>
      </c>
      <c r="AE401" s="13">
        <v>28.6239</v>
      </c>
      <c r="AF401" s="13">
        <v>0.0845</v>
      </c>
      <c r="AG401" s="13">
        <v>1.6191</v>
      </c>
      <c r="AH401" s="8" t="b">
        <v>0</v>
      </c>
      <c r="AI401" s="8" t="b">
        <v>1</v>
      </c>
      <c r="AJ401" s="8" t="b">
        <v>0</v>
      </c>
      <c r="AK401" s="14">
        <f>IFERROR(__xludf.DUMMYFUNCTION("IFERROR(GOOGLEFINANCE(B401,""price""),"""")"),3.16)</f>
        <v>3.16</v>
      </c>
    </row>
    <row r="402">
      <c r="A402" s="15">
        <v>46093.67069225702</v>
      </c>
      <c r="B402" s="16" t="s">
        <v>341</v>
      </c>
      <c r="C402" s="16" t="s">
        <v>342</v>
      </c>
      <c r="D402" s="17">
        <v>46096.0</v>
      </c>
      <c r="E402" s="18">
        <v>0.7674</v>
      </c>
      <c r="F402" s="16" t="s">
        <v>308</v>
      </c>
      <c r="G402" s="21">
        <v>0.0335</v>
      </c>
      <c r="H402" s="21">
        <v>22.9314</v>
      </c>
      <c r="I402" s="16" t="s">
        <v>118</v>
      </c>
      <c r="J402" s="21">
        <v>0.1379</v>
      </c>
      <c r="K402" s="16">
        <v>1.3705816E7</v>
      </c>
      <c r="L402" s="19">
        <v>0.01</v>
      </c>
      <c r="M402" s="19">
        <v>18.2094</v>
      </c>
      <c r="N402" s="16" t="s">
        <v>343</v>
      </c>
      <c r="O402" s="19">
        <v>9.4722</v>
      </c>
      <c r="P402" s="20">
        <v>2191560.0</v>
      </c>
      <c r="Q402" s="21">
        <v>0.9199</v>
      </c>
      <c r="R402" s="21">
        <v>0.76</v>
      </c>
      <c r="S402" s="21">
        <v>0.76</v>
      </c>
      <c r="T402" s="21">
        <v>0.1504</v>
      </c>
      <c r="U402" s="21">
        <v>31.1315</v>
      </c>
      <c r="V402" s="21">
        <v>949669.7</v>
      </c>
      <c r="W402" s="21">
        <v>2.8726</v>
      </c>
      <c r="X402" s="20">
        <v>7733925.0</v>
      </c>
      <c r="Y402" s="21">
        <v>1.7028</v>
      </c>
      <c r="Z402" s="21">
        <v>1568.4964</v>
      </c>
      <c r="AA402" s="19">
        <v>27.7492</v>
      </c>
      <c r="AB402" s="21">
        <v>42.6</v>
      </c>
      <c r="AC402" s="21">
        <v>-145.0716</v>
      </c>
      <c r="AD402" s="21">
        <v>-0.0189</v>
      </c>
      <c r="AE402" s="21">
        <v>23.783</v>
      </c>
      <c r="AF402" s="21">
        <v>0.5801</v>
      </c>
      <c r="AG402" s="21">
        <v>2.3675</v>
      </c>
      <c r="AH402" s="16" t="b">
        <v>0</v>
      </c>
      <c r="AI402" s="16" t="b">
        <v>1</v>
      </c>
      <c r="AJ402" s="16" t="b">
        <v>0</v>
      </c>
      <c r="AK402" s="22">
        <f>IFERROR(__xludf.DUMMYFUNCTION("IFERROR(GOOGLEFINANCE(B402,""price""),"""")"),1.07)</f>
        <v>1.07</v>
      </c>
    </row>
    <row r="403">
      <c r="A403" s="7">
        <v>46093.67069225702</v>
      </c>
      <c r="B403" s="8" t="s">
        <v>1059</v>
      </c>
      <c r="C403" s="8" t="s">
        <v>1060</v>
      </c>
      <c r="D403" s="9">
        <v>46096.0</v>
      </c>
      <c r="E403" s="10">
        <v>2.33</v>
      </c>
      <c r="F403" s="8" t="s">
        <v>107</v>
      </c>
      <c r="G403" s="23"/>
      <c r="H403" s="13">
        <v>-207.6956</v>
      </c>
      <c r="I403" s="8" t="s">
        <v>118</v>
      </c>
      <c r="J403" s="13">
        <v>0.0997</v>
      </c>
      <c r="K403" s="13">
        <v>861298.2357</v>
      </c>
      <c r="L403" s="11">
        <v>0.25</v>
      </c>
      <c r="M403" s="11">
        <v>17.1178</v>
      </c>
      <c r="N403" s="8" t="s">
        <v>1061</v>
      </c>
      <c r="O403" s="11">
        <v>-2.1008</v>
      </c>
      <c r="P403" s="12">
        <v>912890.0</v>
      </c>
      <c r="Q403" s="13">
        <v>3.25</v>
      </c>
      <c r="R403" s="13">
        <v>2.1901</v>
      </c>
      <c r="S403" s="13">
        <v>2.39</v>
      </c>
      <c r="T403" s="13">
        <v>0.5382</v>
      </c>
      <c r="U403" s="13">
        <v>4.3517</v>
      </c>
      <c r="V403" s="13">
        <v>290746.4</v>
      </c>
      <c r="W403" s="13">
        <v>4.536</v>
      </c>
      <c r="X403" s="12">
        <v>1384668.0</v>
      </c>
      <c r="Y403" s="13">
        <v>4.601</v>
      </c>
      <c r="Z403" s="13">
        <v>108.8777</v>
      </c>
      <c r="AA403" s="11">
        <v>32.4454</v>
      </c>
      <c r="AB403" s="13">
        <v>62.9</v>
      </c>
      <c r="AC403" s="13">
        <v>-179.1002</v>
      </c>
      <c r="AD403" s="13">
        <v>-102.119</v>
      </c>
      <c r="AE403" s="13">
        <v>-10.7691</v>
      </c>
      <c r="AF403" s="13">
        <v>0.2655</v>
      </c>
      <c r="AG403" s="13">
        <v>0.7955</v>
      </c>
      <c r="AH403" s="8" t="b">
        <v>0</v>
      </c>
      <c r="AI403" s="8" t="b">
        <v>1</v>
      </c>
      <c r="AJ403" s="8" t="b">
        <v>0</v>
      </c>
      <c r="AK403" s="14">
        <f>IFERROR(__xludf.DUMMYFUNCTION("IFERROR(GOOGLEFINANCE(B403,""price""),"""")"),1.0)</f>
        <v>1</v>
      </c>
    </row>
    <row r="404">
      <c r="A404" s="15">
        <v>46093.67069225702</v>
      </c>
      <c r="B404" s="16" t="s">
        <v>1062</v>
      </c>
      <c r="C404" s="16" t="s">
        <v>1063</v>
      </c>
      <c r="D404" s="17">
        <v>46096.0</v>
      </c>
      <c r="E404" s="18">
        <v>0.7</v>
      </c>
      <c r="F404" s="16" t="s">
        <v>286</v>
      </c>
      <c r="G404" s="21">
        <v>11.5512</v>
      </c>
      <c r="H404" s="21">
        <v>0.0606</v>
      </c>
      <c r="I404" s="16" t="s">
        <v>145</v>
      </c>
      <c r="J404" s="21">
        <v>0.0984</v>
      </c>
      <c r="K404" s="16">
        <v>1698885.0</v>
      </c>
      <c r="L404" s="19">
        <v>0.13</v>
      </c>
      <c r="M404" s="19">
        <v>23.4153</v>
      </c>
      <c r="N404" s="16" t="s">
        <v>1064</v>
      </c>
      <c r="O404" s="19">
        <v>1.2879</v>
      </c>
      <c r="P404" s="20">
        <v>320070.0</v>
      </c>
      <c r="Q404" s="21">
        <v>0.7599</v>
      </c>
      <c r="R404" s="21">
        <v>0.5715</v>
      </c>
      <c r="S404" s="21">
        <v>0.6911</v>
      </c>
      <c r="T404" s="21">
        <v>0.1487</v>
      </c>
      <c r="U404" s="21">
        <v>2.2284</v>
      </c>
      <c r="V404" s="21">
        <v>146218.2</v>
      </c>
      <c r="W404" s="21">
        <v>2.6476</v>
      </c>
      <c r="X404" s="20">
        <v>770438.6639</v>
      </c>
      <c r="Y404" s="21">
        <v>1.2164</v>
      </c>
      <c r="Z404" s="21">
        <v>12.1373</v>
      </c>
      <c r="AA404" s="19">
        <v>27.7749</v>
      </c>
      <c r="AB404" s="21">
        <v>26.6</v>
      </c>
      <c r="AC404" s="21">
        <v>0.0071</v>
      </c>
      <c r="AD404" s="21">
        <v>0.7307</v>
      </c>
      <c r="AE404" s="21">
        <v>-26.4481</v>
      </c>
      <c r="AF404" s="21">
        <v>0.0046</v>
      </c>
      <c r="AG404" s="21">
        <v>23.9557</v>
      </c>
      <c r="AH404" s="16" t="b">
        <v>1</v>
      </c>
      <c r="AI404" s="16" t="b">
        <v>1</v>
      </c>
      <c r="AJ404" s="16" t="b">
        <v>0</v>
      </c>
      <c r="AK404" s="22">
        <f>IFERROR(__xludf.DUMMYFUNCTION("IFERROR(GOOGLEFINANCE(B404,""price""),"""")"),0.61)</f>
        <v>0.61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6.38"/>
    <col customWidth="1" min="3" max="3" width="8.13"/>
    <col customWidth="1" min="4" max="4" width="10.0"/>
    <col customWidth="1" min="5" max="5" width="5.88"/>
    <col customWidth="1" min="6" max="6" width="15.75"/>
    <col customWidth="1" min="7" max="7" width="6.25"/>
    <col customWidth="1" min="8" max="8" width="6.88"/>
    <col customWidth="1" min="9" max="9" width="6.25"/>
    <col customWidth="1" min="10" max="10" width="11.0"/>
    <col customWidth="1" min="11" max="11" width="11.88"/>
    <col customWidth="1" min="12" max="12" width="6.25"/>
    <col customWidth="1" min="13" max="13" width="5.88"/>
    <col customWidth="1" min="14" max="14" width="7.0"/>
    <col customWidth="1" min="15" max="15" width="20.0"/>
    <col customWidth="1" min="16" max="16" width="19.63"/>
    <col customWidth="1" min="17" max="17" width="14.13"/>
    <col customWidth="1" min="18" max="19" width="6.88"/>
    <col customWidth="1" min="20" max="20" width="7.13"/>
    <col customWidth="1" min="21" max="25" width="6.88"/>
    <col customWidth="1" min="26" max="26" width="8.38"/>
    <col customWidth="1" min="27" max="35" width="10.25"/>
  </cols>
  <sheetData>
    <row r="1">
      <c r="A1" s="6" t="s">
        <v>0</v>
      </c>
      <c r="B1" s="25" t="s">
        <v>57</v>
      </c>
      <c r="C1" s="6" t="s">
        <v>58</v>
      </c>
      <c r="D1" s="6" t="s">
        <v>59</v>
      </c>
      <c r="E1" s="6" t="s">
        <v>61</v>
      </c>
      <c r="F1" s="6" t="s">
        <v>63</v>
      </c>
      <c r="G1" s="6" t="s">
        <v>68</v>
      </c>
      <c r="H1" s="6" t="s">
        <v>1065</v>
      </c>
      <c r="I1" s="6" t="s">
        <v>76</v>
      </c>
      <c r="J1" s="6" t="s">
        <v>78</v>
      </c>
      <c r="K1" s="6" t="s">
        <v>60</v>
      </c>
      <c r="L1" s="6" t="s">
        <v>62</v>
      </c>
      <c r="M1" s="6" t="s">
        <v>69</v>
      </c>
      <c r="N1" s="6" t="s">
        <v>1066</v>
      </c>
      <c r="O1" s="6" t="s">
        <v>71</v>
      </c>
      <c r="P1" s="6" t="s">
        <v>72</v>
      </c>
      <c r="Q1" s="6" t="s">
        <v>73</v>
      </c>
      <c r="R1" s="6" t="s">
        <v>1067</v>
      </c>
      <c r="S1" s="6" t="s">
        <v>74</v>
      </c>
      <c r="T1" s="6" t="s">
        <v>75</v>
      </c>
      <c r="U1" s="6" t="s">
        <v>1068</v>
      </c>
      <c r="V1" s="6" t="s">
        <v>1069</v>
      </c>
      <c r="W1" s="6" t="s">
        <v>1070</v>
      </c>
      <c r="X1" s="6" t="s">
        <v>1071</v>
      </c>
      <c r="Y1" s="6" t="s">
        <v>1072</v>
      </c>
      <c r="Z1" s="6" t="s">
        <v>1073</v>
      </c>
      <c r="AA1" s="6" t="s">
        <v>7</v>
      </c>
      <c r="AB1" s="6"/>
      <c r="AC1" s="6"/>
      <c r="AD1" s="6"/>
      <c r="AE1" s="6"/>
      <c r="AF1" s="6"/>
      <c r="AG1" s="6"/>
      <c r="AH1" s="6"/>
      <c r="AI1" s="6"/>
    </row>
    <row r="2" hidden="1">
      <c r="A2" s="7">
        <v>46051.62791437988</v>
      </c>
      <c r="B2" s="3" t="s">
        <v>1074</v>
      </c>
      <c r="C2" s="8" t="s">
        <v>1075</v>
      </c>
      <c r="D2" s="9">
        <v>46054.0</v>
      </c>
      <c r="E2" s="10">
        <v>18.045</v>
      </c>
      <c r="F2" s="8" t="s">
        <v>88</v>
      </c>
      <c r="G2" s="11">
        <v>37.0688</v>
      </c>
      <c r="H2" s="11">
        <v>21.7988</v>
      </c>
      <c r="I2" s="11">
        <v>52.2946</v>
      </c>
      <c r="J2" s="11">
        <v>0.91</v>
      </c>
      <c r="K2" s="8" t="s">
        <v>1076</v>
      </c>
      <c r="L2" s="11">
        <v>-1.7692</v>
      </c>
      <c r="M2" s="13">
        <v>0.7202</v>
      </c>
      <c r="N2" s="13">
        <v>1.5838</v>
      </c>
      <c r="O2" s="13">
        <v>765759.6</v>
      </c>
      <c r="P2" s="13">
        <v>0.6792</v>
      </c>
      <c r="Q2" s="12">
        <v>1.976111383E9</v>
      </c>
      <c r="R2" s="13">
        <v>33.2201</v>
      </c>
      <c r="S2" s="13">
        <v>15.5764</v>
      </c>
      <c r="T2" s="13">
        <v>15.0481</v>
      </c>
      <c r="U2" s="13">
        <v>18.6875</v>
      </c>
      <c r="V2" s="13">
        <v>18.1987</v>
      </c>
      <c r="W2" s="13">
        <v>17.4474</v>
      </c>
      <c r="X2" s="13">
        <v>16.6832</v>
      </c>
      <c r="Y2" s="13">
        <v>16.0522</v>
      </c>
      <c r="Z2" s="13">
        <v>0.1537</v>
      </c>
      <c r="AA2" s="14">
        <f>IFERROR(__xludf.DUMMYFUNCTION("IFERROR(GOOGLEFINANCE(B2,""price""),"""")"),26.87)</f>
        <v>26.87</v>
      </c>
      <c r="AB2" s="14"/>
      <c r="AC2" s="14"/>
      <c r="AD2" s="14"/>
      <c r="AE2" s="14"/>
      <c r="AF2" s="14"/>
      <c r="AG2" s="14"/>
      <c r="AH2" s="14"/>
      <c r="AI2" s="14"/>
    </row>
    <row r="3" hidden="1">
      <c r="A3" s="7">
        <v>46051.66036427625</v>
      </c>
      <c r="B3" s="3" t="s">
        <v>1074</v>
      </c>
      <c r="C3" s="8" t="s">
        <v>1075</v>
      </c>
      <c r="D3" s="9">
        <v>46054.0</v>
      </c>
      <c r="E3" s="10">
        <v>18.11</v>
      </c>
      <c r="F3" s="8" t="s">
        <v>88</v>
      </c>
      <c r="G3" s="11">
        <v>37.0688</v>
      </c>
      <c r="H3" s="11">
        <v>22.6386</v>
      </c>
      <c r="I3" s="11">
        <v>52.9718</v>
      </c>
      <c r="J3" s="11">
        <v>0.91</v>
      </c>
      <c r="K3" s="8" t="s">
        <v>1076</v>
      </c>
      <c r="L3" s="11">
        <v>-1.4154</v>
      </c>
      <c r="M3" s="13">
        <v>0.7202</v>
      </c>
      <c r="N3" s="13">
        <v>1.5838</v>
      </c>
      <c r="O3" s="13">
        <v>808892.1</v>
      </c>
      <c r="P3" s="13">
        <v>1.2439</v>
      </c>
      <c r="Q3" s="12">
        <v>1.983229546E9</v>
      </c>
      <c r="R3" s="13">
        <v>33.5001</v>
      </c>
      <c r="S3" s="13">
        <v>15.5777</v>
      </c>
      <c r="T3" s="13">
        <v>15.0487</v>
      </c>
      <c r="U3" s="13">
        <v>18.702</v>
      </c>
      <c r="V3" s="13">
        <v>18.2046</v>
      </c>
      <c r="W3" s="13">
        <v>17.4511</v>
      </c>
      <c r="X3" s="13">
        <v>16.6856</v>
      </c>
      <c r="Y3" s="13">
        <v>16.0537</v>
      </c>
      <c r="Z3" s="13">
        <v>0.0946</v>
      </c>
      <c r="AA3" s="14">
        <f>IFERROR(__xludf.DUMMYFUNCTION("IFERROR(GOOGLEFINANCE(B3,""price""),"""")"),26.87)</f>
        <v>26.87</v>
      </c>
      <c r="AB3" s="14"/>
      <c r="AC3" s="14"/>
      <c r="AD3" s="14"/>
      <c r="AE3" s="14"/>
      <c r="AF3" s="14"/>
      <c r="AG3" s="14"/>
      <c r="AH3" s="14"/>
      <c r="AI3" s="14"/>
    </row>
    <row r="4" hidden="1">
      <c r="A4" s="7">
        <v>46052.46904649583</v>
      </c>
      <c r="B4" s="3" t="s">
        <v>1077</v>
      </c>
      <c r="C4" s="8" t="s">
        <v>1078</v>
      </c>
      <c r="D4" s="9">
        <v>46054.0</v>
      </c>
      <c r="E4" s="10">
        <v>7.5596</v>
      </c>
      <c r="F4" s="8" t="s">
        <v>335</v>
      </c>
      <c r="G4" s="11">
        <v>27.6497</v>
      </c>
      <c r="H4" s="11">
        <v>26.0764</v>
      </c>
      <c r="I4" s="11">
        <v>46.7869</v>
      </c>
      <c r="J4" s="11">
        <v>1.1</v>
      </c>
      <c r="K4" s="8" t="s">
        <v>1079</v>
      </c>
      <c r="L4" s="11">
        <v>-8.8106</v>
      </c>
      <c r="M4" s="13">
        <v>1.1749</v>
      </c>
      <c r="N4" s="13">
        <v>2.1415</v>
      </c>
      <c r="O4" s="8">
        <v>2.006004E7</v>
      </c>
      <c r="P4" s="13">
        <v>0.3312</v>
      </c>
      <c r="Q4" s="12">
        <v>1.058613223E9</v>
      </c>
      <c r="R4" s="13">
        <v>41.9681</v>
      </c>
      <c r="S4" s="13">
        <v>6.8134</v>
      </c>
      <c r="T4" s="13">
        <v>5.7651</v>
      </c>
      <c r="U4" s="13">
        <v>8.8634</v>
      </c>
      <c r="V4" s="13">
        <v>8.3363</v>
      </c>
      <c r="W4" s="13">
        <v>7.8841</v>
      </c>
      <c r="X4" s="13">
        <v>7.5414</v>
      </c>
      <c r="Y4" s="13">
        <v>7.1328</v>
      </c>
      <c r="Z4" s="13">
        <v>0.7767</v>
      </c>
      <c r="AA4" s="14">
        <f>IFERROR(__xludf.DUMMYFUNCTION("IFERROR(GOOGLEFINANCE(B4,""price""),"""")"),8.36)</f>
        <v>8.36</v>
      </c>
      <c r="AB4" s="14"/>
      <c r="AC4" s="14"/>
      <c r="AD4" s="14"/>
      <c r="AE4" s="14"/>
      <c r="AF4" s="14"/>
      <c r="AG4" s="14"/>
      <c r="AH4" s="14"/>
      <c r="AI4" s="14"/>
    </row>
    <row r="5" hidden="1">
      <c r="A5" s="7">
        <v>46052.625793092964</v>
      </c>
      <c r="B5" s="3" t="s">
        <v>1077</v>
      </c>
      <c r="C5" s="8" t="s">
        <v>1078</v>
      </c>
      <c r="D5" s="9">
        <v>46054.0</v>
      </c>
      <c r="E5" s="10">
        <v>7.295</v>
      </c>
      <c r="F5" s="8" t="s">
        <v>335</v>
      </c>
      <c r="G5" s="11">
        <v>27.4383</v>
      </c>
      <c r="H5" s="11">
        <v>25.5075</v>
      </c>
      <c r="I5" s="11">
        <v>45.4332</v>
      </c>
      <c r="J5" s="11">
        <v>1.11</v>
      </c>
      <c r="K5" s="8" t="s">
        <v>1079</v>
      </c>
      <c r="L5" s="11">
        <v>-12.0024</v>
      </c>
      <c r="M5" s="13">
        <v>1.1992</v>
      </c>
      <c r="N5" s="13">
        <v>2.1657</v>
      </c>
      <c r="O5" s="8">
        <v>2.0796881E7</v>
      </c>
      <c r="P5" s="13">
        <v>0.6867</v>
      </c>
      <c r="Q5" s="12">
        <v>1.0215598E9</v>
      </c>
      <c r="R5" s="13">
        <v>41.7785</v>
      </c>
      <c r="S5" s="13">
        <v>6.8081</v>
      </c>
      <c r="T5" s="13">
        <v>5.7624</v>
      </c>
      <c r="U5" s="13">
        <v>8.8046</v>
      </c>
      <c r="V5" s="13">
        <v>8.3122</v>
      </c>
      <c r="W5" s="13">
        <v>7.869</v>
      </c>
      <c r="X5" s="13">
        <v>7.532</v>
      </c>
      <c r="Y5" s="13">
        <v>7.1269</v>
      </c>
      <c r="Z5" s="13">
        <v>1.0172</v>
      </c>
      <c r="AA5" s="14">
        <f>IFERROR(__xludf.DUMMYFUNCTION("IFERROR(GOOGLEFINANCE(B5,""price""),"""")"),8.36)</f>
        <v>8.36</v>
      </c>
      <c r="AB5" s="14"/>
      <c r="AC5" s="14"/>
      <c r="AD5" s="14"/>
      <c r="AE5" s="14"/>
      <c r="AF5" s="14"/>
      <c r="AG5" s="14"/>
      <c r="AH5" s="14"/>
      <c r="AI5" s="14"/>
    </row>
    <row r="6" hidden="1">
      <c r="A6" s="7">
        <v>46052.89116218135</v>
      </c>
      <c r="B6" s="3" t="s">
        <v>1077</v>
      </c>
      <c r="C6" s="8" t="s">
        <v>1078</v>
      </c>
      <c r="D6" s="9">
        <v>46054.0</v>
      </c>
      <c r="E6" s="10">
        <v>7.33</v>
      </c>
      <c r="F6" s="8" t="s">
        <v>335</v>
      </c>
      <c r="G6" s="11">
        <v>27.4383</v>
      </c>
      <c r="H6" s="11">
        <v>25.7526</v>
      </c>
      <c r="I6" s="11">
        <v>45.6078</v>
      </c>
      <c r="J6" s="11">
        <v>1.11</v>
      </c>
      <c r="K6" s="8" t="s">
        <v>1079</v>
      </c>
      <c r="L6" s="11">
        <v>-11.5802</v>
      </c>
      <c r="M6" s="13">
        <v>1.1992</v>
      </c>
      <c r="N6" s="13">
        <v>2.1657</v>
      </c>
      <c r="O6" s="8">
        <v>2.0998621E7</v>
      </c>
      <c r="P6" s="13">
        <v>0.7841</v>
      </c>
      <c r="Q6" s="12">
        <v>1.026461046E9</v>
      </c>
      <c r="R6" s="13">
        <v>41.8602</v>
      </c>
      <c r="S6" s="13">
        <v>6.8088</v>
      </c>
      <c r="T6" s="13">
        <v>5.7628</v>
      </c>
      <c r="U6" s="13">
        <v>8.8123</v>
      </c>
      <c r="V6" s="13">
        <v>8.3154</v>
      </c>
      <c r="W6" s="13">
        <v>7.871</v>
      </c>
      <c r="X6" s="13">
        <v>7.5332</v>
      </c>
      <c r="Y6" s="13">
        <v>7.1277</v>
      </c>
      <c r="Z6" s="13">
        <v>0.9854</v>
      </c>
      <c r="AA6" s="14">
        <f>IFERROR(__xludf.DUMMYFUNCTION("IFERROR(GOOGLEFINANCE(B6,""price""),"""")"),8.36)</f>
        <v>8.36</v>
      </c>
      <c r="AB6" s="14"/>
      <c r="AC6" s="14"/>
      <c r="AD6" s="14"/>
      <c r="AE6" s="14"/>
      <c r="AF6" s="14"/>
      <c r="AG6" s="14"/>
      <c r="AH6" s="14"/>
      <c r="AI6" s="14"/>
    </row>
    <row r="7" hidden="1">
      <c r="A7" s="15">
        <v>46052.89116218135</v>
      </c>
      <c r="B7" s="3" t="s">
        <v>1074</v>
      </c>
      <c r="C7" s="16" t="s">
        <v>1075</v>
      </c>
      <c r="D7" s="17">
        <v>46054.0</v>
      </c>
      <c r="E7" s="18">
        <v>18.09</v>
      </c>
      <c r="F7" s="16" t="s">
        <v>88</v>
      </c>
      <c r="G7" s="19">
        <v>34.709</v>
      </c>
      <c r="H7" s="19">
        <v>15.8097</v>
      </c>
      <c r="I7" s="19">
        <v>52.7455</v>
      </c>
      <c r="J7" s="19">
        <v>0.89</v>
      </c>
      <c r="K7" s="16" t="s">
        <v>1076</v>
      </c>
      <c r="L7" s="19">
        <v>-0.1104</v>
      </c>
      <c r="M7" s="21">
        <v>0.7012</v>
      </c>
      <c r="N7" s="21">
        <v>1.5838</v>
      </c>
      <c r="O7" s="21">
        <v>844870.0</v>
      </c>
      <c r="P7" s="21">
        <v>1.1558</v>
      </c>
      <c r="Q7" s="20">
        <v>1.981039318E9</v>
      </c>
      <c r="R7" s="21">
        <v>23.8014</v>
      </c>
      <c r="S7" s="21">
        <v>15.6913</v>
      </c>
      <c r="T7" s="21">
        <v>15.079</v>
      </c>
      <c r="U7" s="21">
        <v>18.566</v>
      </c>
      <c r="V7" s="21">
        <v>18.1942</v>
      </c>
      <c r="W7" s="21">
        <v>17.4876</v>
      </c>
      <c r="X7" s="21">
        <v>16.7357</v>
      </c>
      <c r="Y7" s="21">
        <v>16.0989</v>
      </c>
      <c r="Z7" s="21">
        <v>0.1042</v>
      </c>
      <c r="AA7" s="22">
        <f>IFERROR(__xludf.DUMMYFUNCTION("IFERROR(GOOGLEFINANCE(B7,""price""),"""")"),26.87)</f>
        <v>26.87</v>
      </c>
      <c r="AB7" s="22"/>
      <c r="AC7" s="22"/>
      <c r="AD7" s="22"/>
      <c r="AE7" s="22"/>
      <c r="AF7" s="22"/>
      <c r="AG7" s="22"/>
      <c r="AH7" s="22"/>
      <c r="AI7" s="22"/>
    </row>
    <row r="8" hidden="1">
      <c r="A8" s="7">
        <v>46055.599558369846</v>
      </c>
      <c r="B8" s="3" t="s">
        <v>1077</v>
      </c>
      <c r="C8" s="8" t="s">
        <v>1078</v>
      </c>
      <c r="D8" s="9">
        <v>46061.0</v>
      </c>
      <c r="E8" s="10">
        <v>7.965</v>
      </c>
      <c r="F8" s="8" t="s">
        <v>335</v>
      </c>
      <c r="G8" s="13">
        <v>0.0</v>
      </c>
      <c r="H8" s="13">
        <v>-0.041</v>
      </c>
      <c r="I8" s="11">
        <v>25.5587</v>
      </c>
      <c r="J8" s="11">
        <v>13.6362</v>
      </c>
      <c r="K8" s="11">
        <v>49.4055</v>
      </c>
      <c r="L8" s="11">
        <v>1.14</v>
      </c>
      <c r="M8" s="8" t="s">
        <v>1079</v>
      </c>
      <c r="N8" s="11">
        <v>8.663</v>
      </c>
      <c r="O8" s="13">
        <v>1.1878</v>
      </c>
      <c r="P8" s="13">
        <v>2.0853</v>
      </c>
      <c r="Q8" s="8">
        <v>2.1046192E7</v>
      </c>
      <c r="R8" s="13">
        <v>0.6748</v>
      </c>
      <c r="S8" s="12">
        <v>1.115383654E9</v>
      </c>
      <c r="T8" s="13">
        <v>28.0212</v>
      </c>
      <c r="U8" s="13">
        <v>6.8265</v>
      </c>
      <c r="V8" s="13">
        <v>5.7847</v>
      </c>
      <c r="W8" s="13">
        <v>8.624</v>
      </c>
      <c r="X8" s="13">
        <v>8.2836</v>
      </c>
      <c r="Y8" s="13">
        <v>7.8763</v>
      </c>
      <c r="Z8" s="13">
        <v>7.5486</v>
      </c>
      <c r="AA8" s="13">
        <v>7.1463</v>
      </c>
      <c r="AB8" s="13">
        <v>-10.5913</v>
      </c>
      <c r="AC8" s="13">
        <v>-18.9471</v>
      </c>
      <c r="AD8" s="13">
        <v>240.123</v>
      </c>
      <c r="AE8" s="13">
        <v>0.0037</v>
      </c>
      <c r="AF8" s="13">
        <v>5.0784</v>
      </c>
      <c r="AG8" s="13">
        <v>0.3186</v>
      </c>
      <c r="AH8" s="10">
        <f>IFERROR(__xludf.DUMMYFUNCTION("IFERROR(GOOGLEFINANCE(B8,""price""),"""")"),8.36)</f>
        <v>8.36</v>
      </c>
      <c r="AI8" s="10"/>
    </row>
    <row r="9" hidden="1">
      <c r="A9" s="15">
        <v>46055.599558369846</v>
      </c>
      <c r="B9" s="3" t="s">
        <v>1080</v>
      </c>
      <c r="C9" s="16" t="s">
        <v>1081</v>
      </c>
      <c r="D9" s="17">
        <v>46061.0</v>
      </c>
      <c r="E9" s="18">
        <v>26.3357</v>
      </c>
      <c r="F9" s="16" t="s">
        <v>308</v>
      </c>
      <c r="G9" s="21">
        <v>0.0</v>
      </c>
      <c r="H9" s="21">
        <v>-0.2955</v>
      </c>
      <c r="I9" s="19">
        <v>20.5942</v>
      </c>
      <c r="J9" s="19">
        <v>28.5686</v>
      </c>
      <c r="K9" s="19">
        <v>51.2441</v>
      </c>
      <c r="L9" s="19">
        <v>1.17</v>
      </c>
      <c r="M9" s="16" t="s">
        <v>1082</v>
      </c>
      <c r="N9" s="19">
        <v>2.7133</v>
      </c>
      <c r="O9" s="21">
        <v>2.3799</v>
      </c>
      <c r="P9" s="21">
        <v>4.0532</v>
      </c>
      <c r="Q9" s="16">
        <v>1130144.0</v>
      </c>
      <c r="R9" s="21">
        <v>0.4481</v>
      </c>
      <c r="S9" s="20">
        <v>8.06592477E8</v>
      </c>
      <c r="T9" s="21">
        <v>43.2869</v>
      </c>
      <c r="U9" s="21">
        <v>24.1781</v>
      </c>
      <c r="V9" s="21">
        <v>21.347</v>
      </c>
      <c r="W9" s="21">
        <v>26.9956</v>
      </c>
      <c r="X9" s="21">
        <v>26.3706</v>
      </c>
      <c r="Y9" s="21">
        <v>25.6682</v>
      </c>
      <c r="Z9" s="21">
        <v>25.0589</v>
      </c>
      <c r="AA9" s="21">
        <v>24.2308</v>
      </c>
      <c r="AB9" s="21">
        <v>-6.9744</v>
      </c>
      <c r="AC9" s="21">
        <v>-22.8493</v>
      </c>
      <c r="AD9" s="21">
        <v>4.9552</v>
      </c>
      <c r="AE9" s="21">
        <v>0.0777</v>
      </c>
      <c r="AF9" s="21">
        <v>10.6188</v>
      </c>
      <c r="AG9" s="21">
        <v>0.0349</v>
      </c>
      <c r="AH9" s="18">
        <f>IFERROR(__xludf.DUMMYFUNCTION("IFERROR(GOOGLEFINANCE(B9,""price""),"""")"),70.43)</f>
        <v>70.43</v>
      </c>
      <c r="AI9" s="18"/>
    </row>
    <row r="10" hidden="1">
      <c r="A10" s="7">
        <v>46055.62710601001</v>
      </c>
      <c r="B10" s="3" t="s">
        <v>1077</v>
      </c>
      <c r="C10" s="8" t="s">
        <v>1078</v>
      </c>
      <c r="D10" s="9">
        <v>46061.0</v>
      </c>
      <c r="E10" s="10">
        <v>7.855</v>
      </c>
      <c r="F10" s="8" t="s">
        <v>335</v>
      </c>
      <c r="G10" s="13">
        <v>0.0</v>
      </c>
      <c r="H10" s="13">
        <v>-0.041</v>
      </c>
      <c r="I10" s="11">
        <v>25.5587</v>
      </c>
      <c r="J10" s="11">
        <v>12.8659</v>
      </c>
      <c r="K10" s="11">
        <v>48.7861</v>
      </c>
      <c r="L10" s="11">
        <v>1.14</v>
      </c>
      <c r="M10" s="8" t="s">
        <v>1079</v>
      </c>
      <c r="N10" s="11">
        <v>7.1623</v>
      </c>
      <c r="O10" s="13">
        <v>1.1878</v>
      </c>
      <c r="P10" s="13">
        <v>2.0853</v>
      </c>
      <c r="Q10" s="8">
        <v>2.1170467E7</v>
      </c>
      <c r="R10" s="13">
        <v>0.734</v>
      </c>
      <c r="S10" s="12">
        <v>1.099979737E9</v>
      </c>
      <c r="T10" s="13">
        <v>27.7645</v>
      </c>
      <c r="U10" s="13">
        <v>6.8243</v>
      </c>
      <c r="V10" s="13">
        <v>5.7836</v>
      </c>
      <c r="W10" s="13">
        <v>8.5996</v>
      </c>
      <c r="X10" s="13">
        <v>8.2736</v>
      </c>
      <c r="Y10" s="13">
        <v>7.8701</v>
      </c>
      <c r="Z10" s="13">
        <v>7.5447</v>
      </c>
      <c r="AA10" s="13">
        <v>7.1439</v>
      </c>
      <c r="AB10" s="13">
        <v>-10.5913</v>
      </c>
      <c r="AC10" s="13">
        <v>-18.9471</v>
      </c>
      <c r="AD10" s="13">
        <v>240.123</v>
      </c>
      <c r="AE10" s="13">
        <v>0.0037</v>
      </c>
      <c r="AF10" s="13">
        <v>5.0784</v>
      </c>
      <c r="AG10" s="13">
        <v>0.4186</v>
      </c>
      <c r="AH10" s="14">
        <f>IFERROR(__xludf.DUMMYFUNCTION("IFERROR(GOOGLEFINANCE(B10,""price""),"""")"),8.36)</f>
        <v>8.36</v>
      </c>
      <c r="AI10" s="14"/>
    </row>
    <row r="11" hidden="1">
      <c r="A11" s="15">
        <v>46055.62710601001</v>
      </c>
      <c r="B11" s="3" t="s">
        <v>1080</v>
      </c>
      <c r="C11" s="16" t="s">
        <v>1081</v>
      </c>
      <c r="D11" s="17">
        <v>46061.0</v>
      </c>
      <c r="E11" s="18">
        <v>25.89</v>
      </c>
      <c r="F11" s="16" t="s">
        <v>308</v>
      </c>
      <c r="G11" s="21">
        <v>0.0</v>
      </c>
      <c r="H11" s="21">
        <v>-0.2955</v>
      </c>
      <c r="I11" s="19">
        <v>20.5942</v>
      </c>
      <c r="J11" s="19">
        <v>26.5075</v>
      </c>
      <c r="K11" s="19">
        <v>49.6954</v>
      </c>
      <c r="L11" s="19">
        <v>1.17</v>
      </c>
      <c r="M11" s="16" t="s">
        <v>1082</v>
      </c>
      <c r="N11" s="19">
        <v>0.975</v>
      </c>
      <c r="O11" s="21">
        <v>2.3799</v>
      </c>
      <c r="P11" s="21">
        <v>4.0532</v>
      </c>
      <c r="Q11" s="16">
        <v>1139474.0</v>
      </c>
      <c r="R11" s="21">
        <v>0.5238</v>
      </c>
      <c r="S11" s="20">
        <v>7.92941871E8</v>
      </c>
      <c r="T11" s="21">
        <v>42.5998</v>
      </c>
      <c r="U11" s="21">
        <v>24.1692</v>
      </c>
      <c r="V11" s="21">
        <v>21.3425</v>
      </c>
      <c r="W11" s="21">
        <v>26.8966</v>
      </c>
      <c r="X11" s="21">
        <v>26.33</v>
      </c>
      <c r="Y11" s="21">
        <v>25.6428</v>
      </c>
      <c r="Z11" s="21">
        <v>25.043</v>
      </c>
      <c r="AA11" s="21">
        <v>24.2209</v>
      </c>
      <c r="AB11" s="21">
        <v>-6.9744</v>
      </c>
      <c r="AC11" s="21">
        <v>-22.8493</v>
      </c>
      <c r="AD11" s="21">
        <v>4.9552</v>
      </c>
      <c r="AE11" s="21">
        <v>0.0777</v>
      </c>
      <c r="AF11" s="21">
        <v>10.6188</v>
      </c>
      <c r="AG11" s="21">
        <v>0.44</v>
      </c>
      <c r="AH11" s="22">
        <f>IFERROR(__xludf.DUMMYFUNCTION("IFERROR(GOOGLEFINANCE(B11,""price""),"""")"),70.43)</f>
        <v>70.43</v>
      </c>
      <c r="AI11" s="22"/>
    </row>
    <row r="12" hidden="1">
      <c r="A12" s="7">
        <v>46056.625955715695</v>
      </c>
      <c r="B12" s="3" t="s">
        <v>1077</v>
      </c>
      <c r="C12" s="8" t="s">
        <v>1078</v>
      </c>
      <c r="D12" s="9">
        <v>46061.0</v>
      </c>
      <c r="E12" s="10">
        <v>9.535</v>
      </c>
      <c r="F12" s="8" t="s">
        <v>335</v>
      </c>
      <c r="G12" s="13">
        <v>0.0</v>
      </c>
      <c r="H12" s="13">
        <v>-0.041</v>
      </c>
      <c r="I12" s="11">
        <v>24.8632</v>
      </c>
      <c r="J12" s="11">
        <v>21.6737</v>
      </c>
      <c r="K12" s="11">
        <v>57.3687</v>
      </c>
      <c r="L12" s="11">
        <v>1.13</v>
      </c>
      <c r="M12" s="8" t="s">
        <v>1079</v>
      </c>
      <c r="N12" s="11">
        <v>21.3104</v>
      </c>
      <c r="O12" s="13">
        <v>1.2237</v>
      </c>
      <c r="P12" s="13">
        <v>2.1696</v>
      </c>
      <c r="Q12" s="8">
        <v>2.1104975E7</v>
      </c>
      <c r="R12" s="13">
        <v>1.0335</v>
      </c>
      <c r="S12" s="12">
        <v>1.335239602E9</v>
      </c>
      <c r="T12" s="13">
        <v>20.1091</v>
      </c>
      <c r="U12" s="13">
        <v>6.8803</v>
      </c>
      <c r="V12" s="13">
        <v>5.821</v>
      </c>
      <c r="W12" s="13">
        <v>8.8083</v>
      </c>
      <c r="X12" s="13">
        <v>8.3887</v>
      </c>
      <c r="Y12" s="13">
        <v>7.9655</v>
      </c>
      <c r="Z12" s="13">
        <v>7.616</v>
      </c>
      <c r="AA12" s="13">
        <v>7.1971</v>
      </c>
      <c r="AB12" s="13">
        <v>-10.5913</v>
      </c>
      <c r="AC12" s="13">
        <v>-18.9471</v>
      </c>
      <c r="AD12" s="13">
        <v>240.123</v>
      </c>
      <c r="AE12" s="13">
        <v>0.0037</v>
      </c>
      <c r="AF12" s="13">
        <v>5.0784</v>
      </c>
      <c r="AG12" s="13">
        <v>1.1463</v>
      </c>
      <c r="AH12" s="14">
        <f>IFERROR(__xludf.DUMMYFUNCTION("IFERROR(GOOGLEFINANCE(B12,""price""),"""")"),8.36)</f>
        <v>8.36</v>
      </c>
      <c r="AI12" s="14"/>
    </row>
    <row r="13" hidden="1">
      <c r="A13" s="15">
        <v>46056.625955715695</v>
      </c>
      <c r="B13" s="3" t="s">
        <v>1080</v>
      </c>
      <c r="C13" s="16" t="s">
        <v>1081</v>
      </c>
      <c r="D13" s="17">
        <v>46061.0</v>
      </c>
      <c r="E13" s="18">
        <v>26.84</v>
      </c>
      <c r="F13" s="16" t="s">
        <v>308</v>
      </c>
      <c r="G13" s="21">
        <v>0.0</v>
      </c>
      <c r="H13" s="21">
        <v>-0.2955</v>
      </c>
      <c r="I13" s="19">
        <v>20.2841</v>
      </c>
      <c r="J13" s="19">
        <v>19.7746</v>
      </c>
      <c r="K13" s="19">
        <v>53.0731</v>
      </c>
      <c r="L13" s="19">
        <v>1.16</v>
      </c>
      <c r="M13" s="16" t="s">
        <v>1082</v>
      </c>
      <c r="N13" s="19">
        <v>2.9931</v>
      </c>
      <c r="O13" s="21">
        <v>2.406</v>
      </c>
      <c r="P13" s="21">
        <v>4.1635</v>
      </c>
      <c r="Q13" s="16">
        <v>1088926.0</v>
      </c>
      <c r="R13" s="21">
        <v>0.6626</v>
      </c>
      <c r="S13" s="20">
        <v>8.22037848E8</v>
      </c>
      <c r="T13" s="21">
        <v>29.6492</v>
      </c>
      <c r="U13" s="21">
        <v>24.3122</v>
      </c>
      <c r="V13" s="21">
        <v>21.3989</v>
      </c>
      <c r="W13" s="21">
        <v>26.9134</v>
      </c>
      <c r="X13" s="21">
        <v>26.3905</v>
      </c>
      <c r="Y13" s="21">
        <v>25.7203</v>
      </c>
      <c r="Z13" s="21">
        <v>25.113</v>
      </c>
      <c r="AA13" s="21">
        <v>24.2828</v>
      </c>
      <c r="AB13" s="21">
        <v>-6.9744</v>
      </c>
      <c r="AC13" s="21">
        <v>-22.8493</v>
      </c>
      <c r="AD13" s="21">
        <v>4.9552</v>
      </c>
      <c r="AE13" s="21">
        <v>0.0777</v>
      </c>
      <c r="AF13" s="21">
        <v>10.6188</v>
      </c>
      <c r="AG13" s="21">
        <v>0.4495</v>
      </c>
      <c r="AH13" s="22">
        <f>IFERROR(__xludf.DUMMYFUNCTION("IFERROR(GOOGLEFINANCE(B13,""price""),"""")"),70.43)</f>
        <v>70.43</v>
      </c>
      <c r="AI13" s="22"/>
    </row>
    <row r="14" hidden="1">
      <c r="A14" s="7">
        <v>46056.625955715695</v>
      </c>
      <c r="B14" s="3" t="s">
        <v>1074</v>
      </c>
      <c r="C14" s="8" t="s">
        <v>1075</v>
      </c>
      <c r="D14" s="9">
        <v>46061.0</v>
      </c>
      <c r="E14" s="10">
        <v>17.53</v>
      </c>
      <c r="F14" s="8" t="s">
        <v>88</v>
      </c>
      <c r="G14" s="13">
        <v>27.0108</v>
      </c>
      <c r="H14" s="13">
        <v>0.649</v>
      </c>
      <c r="I14" s="11">
        <v>31.0445</v>
      </c>
      <c r="J14" s="11">
        <v>18.2571</v>
      </c>
      <c r="K14" s="11">
        <v>46.7338</v>
      </c>
      <c r="L14" s="11">
        <v>0.99</v>
      </c>
      <c r="M14" s="8" t="s">
        <v>1076</v>
      </c>
      <c r="N14" s="11">
        <v>-6.7057</v>
      </c>
      <c r="O14" s="13">
        <v>0.7863</v>
      </c>
      <c r="P14" s="13">
        <v>1.5946</v>
      </c>
      <c r="Q14" s="13">
        <v>842087.8</v>
      </c>
      <c r="R14" s="13">
        <v>0.8119</v>
      </c>
      <c r="S14" s="12">
        <v>1.919713641E9</v>
      </c>
      <c r="T14" s="13">
        <v>17.7729</v>
      </c>
      <c r="U14" s="13">
        <v>15.9301</v>
      </c>
      <c r="V14" s="13">
        <v>15.14</v>
      </c>
      <c r="W14" s="13">
        <v>18.3745</v>
      </c>
      <c r="X14" s="13">
        <v>18.183</v>
      </c>
      <c r="Y14" s="13">
        <v>17.5602</v>
      </c>
      <c r="Z14" s="13">
        <v>16.8348</v>
      </c>
      <c r="AA14" s="13">
        <v>16.1892</v>
      </c>
      <c r="AB14" s="13">
        <v>18.5348</v>
      </c>
      <c r="AC14" s="13">
        <v>38.5895</v>
      </c>
      <c r="AD14" s="13">
        <v>10.5285</v>
      </c>
      <c r="AE14" s="13">
        <v>1.0832</v>
      </c>
      <c r="AF14" s="13">
        <v>3.7236</v>
      </c>
      <c r="AG14" s="13">
        <v>0.653</v>
      </c>
      <c r="AH14" s="14">
        <f>IFERROR(__xludf.DUMMYFUNCTION("IFERROR(GOOGLEFINANCE(B14,""price""),"""")"),26.87)</f>
        <v>26.87</v>
      </c>
      <c r="AI14" s="14"/>
    </row>
    <row r="15" hidden="1">
      <c r="A15" s="7">
        <v>46057.4541045541</v>
      </c>
      <c r="B15" s="3" t="s">
        <v>1077</v>
      </c>
      <c r="C15" s="8" t="s">
        <v>1078</v>
      </c>
      <c r="D15" s="9">
        <v>46061.0</v>
      </c>
      <c r="E15" s="10">
        <v>8.315</v>
      </c>
      <c r="F15" s="8" t="s">
        <v>335</v>
      </c>
      <c r="G15" s="13">
        <v>0.0</v>
      </c>
      <c r="H15" s="13">
        <v>-0.041</v>
      </c>
      <c r="I15" s="11">
        <v>24.3958</v>
      </c>
      <c r="J15" s="11">
        <v>29.3768</v>
      </c>
      <c r="K15" s="11">
        <v>50.6669</v>
      </c>
      <c r="L15" s="11">
        <v>1.14</v>
      </c>
      <c r="M15" s="8" t="s">
        <v>1079</v>
      </c>
      <c r="N15" s="11">
        <v>-13.8342</v>
      </c>
      <c r="O15" s="13">
        <v>1.2432</v>
      </c>
      <c r="P15" s="13">
        <v>2.1775</v>
      </c>
      <c r="Q15" s="8">
        <v>1.9978282E7</v>
      </c>
      <c r="R15" s="13">
        <v>0.4639</v>
      </c>
      <c r="S15" s="12">
        <v>1.164396085E9</v>
      </c>
      <c r="T15" s="13">
        <v>21.5856</v>
      </c>
      <c r="U15" s="13">
        <v>6.9313</v>
      </c>
      <c r="V15" s="13">
        <v>5.8469</v>
      </c>
      <c r="W15" s="13">
        <v>8.7186</v>
      </c>
      <c r="X15" s="13">
        <v>8.3915</v>
      </c>
      <c r="Y15" s="13">
        <v>7.9916</v>
      </c>
      <c r="Z15" s="13">
        <v>7.6449</v>
      </c>
      <c r="AA15" s="13">
        <v>7.2245</v>
      </c>
      <c r="AB15" s="13">
        <v>-10.5913</v>
      </c>
      <c r="AC15" s="13">
        <v>-18.9471</v>
      </c>
      <c r="AD15" s="13">
        <v>240.123</v>
      </c>
      <c r="AE15" s="13">
        <v>0.0037</v>
      </c>
      <c r="AF15" s="13">
        <v>5.0784</v>
      </c>
      <c r="AG15" s="13">
        <v>0.0765</v>
      </c>
      <c r="AH15" s="14">
        <f>IFERROR(__xludf.DUMMYFUNCTION("IFERROR(GOOGLEFINANCE(B15,""price""),"""")"),8.36)</f>
        <v>8.36</v>
      </c>
      <c r="AI15" s="14"/>
    </row>
    <row r="16" hidden="1">
      <c r="A16" s="7">
        <v>46057.626411486286</v>
      </c>
      <c r="B16" s="3" t="s">
        <v>1077</v>
      </c>
      <c r="C16" s="8" t="s">
        <v>1078</v>
      </c>
      <c r="D16" s="9">
        <v>46061.0</v>
      </c>
      <c r="E16" s="10">
        <v>8.065</v>
      </c>
      <c r="F16" s="8" t="s">
        <v>335</v>
      </c>
      <c r="G16" s="13">
        <v>0.0</v>
      </c>
      <c r="H16" s="13">
        <v>-0.041</v>
      </c>
      <c r="I16" s="11">
        <v>23.9656</v>
      </c>
      <c r="J16" s="11">
        <v>27.6261</v>
      </c>
      <c r="K16" s="11">
        <v>49.5152</v>
      </c>
      <c r="L16" s="11">
        <v>1.17</v>
      </c>
      <c r="M16" s="8" t="s">
        <v>1079</v>
      </c>
      <c r="N16" s="11">
        <v>-16.4249</v>
      </c>
      <c r="O16" s="13">
        <v>1.2779</v>
      </c>
      <c r="P16" s="13">
        <v>2.1775</v>
      </c>
      <c r="Q16" s="8">
        <v>2.0813752E7</v>
      </c>
      <c r="R16" s="13">
        <v>0.8549</v>
      </c>
      <c r="S16" s="12">
        <v>1.129387183E9</v>
      </c>
      <c r="T16" s="13">
        <v>21.002</v>
      </c>
      <c r="U16" s="13">
        <v>6.9263</v>
      </c>
      <c r="V16" s="13">
        <v>5.8445</v>
      </c>
      <c r="W16" s="13">
        <v>8.663</v>
      </c>
      <c r="X16" s="13">
        <v>8.3687</v>
      </c>
      <c r="Y16" s="13">
        <v>7.9773</v>
      </c>
      <c r="Z16" s="13">
        <v>7.636</v>
      </c>
      <c r="AA16" s="13">
        <v>7.2189</v>
      </c>
      <c r="AB16" s="13">
        <v>-10.5913</v>
      </c>
      <c r="AC16" s="13">
        <v>-18.9471</v>
      </c>
      <c r="AD16" s="13">
        <v>240.123</v>
      </c>
      <c r="AE16" s="13">
        <v>0.0037</v>
      </c>
      <c r="AF16" s="13">
        <v>5.0784</v>
      </c>
      <c r="AG16" s="13">
        <v>0.3037</v>
      </c>
      <c r="AH16" s="14">
        <f>IFERROR(__xludf.DUMMYFUNCTION("IFERROR(GOOGLEFINANCE(B16,""price""),"""")"),8.36)</f>
        <v>8.36</v>
      </c>
      <c r="AI16" s="14"/>
    </row>
    <row r="17" hidden="1">
      <c r="A17" s="15">
        <v>46057.626411486286</v>
      </c>
      <c r="B17" s="3" t="s">
        <v>1074</v>
      </c>
      <c r="C17" s="16" t="s">
        <v>1075</v>
      </c>
      <c r="D17" s="17">
        <v>46061.0</v>
      </c>
      <c r="E17" s="18">
        <v>17.52</v>
      </c>
      <c r="F17" s="16" t="s">
        <v>88</v>
      </c>
      <c r="G17" s="21">
        <v>26.9954</v>
      </c>
      <c r="H17" s="21">
        <v>0.649</v>
      </c>
      <c r="I17" s="19">
        <v>29.0876</v>
      </c>
      <c r="J17" s="19">
        <v>20.7063</v>
      </c>
      <c r="K17" s="19">
        <v>46.5711</v>
      </c>
      <c r="L17" s="19">
        <v>0.98</v>
      </c>
      <c r="M17" s="16" t="s">
        <v>1076</v>
      </c>
      <c r="N17" s="19">
        <v>-0.7928</v>
      </c>
      <c r="O17" s="21">
        <v>0.7801</v>
      </c>
      <c r="P17" s="21">
        <v>1.5946</v>
      </c>
      <c r="Q17" s="21">
        <v>862322.0</v>
      </c>
      <c r="R17" s="21">
        <v>0.9097</v>
      </c>
      <c r="S17" s="20">
        <v>1.918618429E9</v>
      </c>
      <c r="T17" s="21">
        <v>19.8643</v>
      </c>
      <c r="U17" s="21">
        <v>16.0483</v>
      </c>
      <c r="V17" s="21">
        <v>15.1649</v>
      </c>
      <c r="W17" s="21">
        <v>18.2071</v>
      </c>
      <c r="X17" s="21">
        <v>18.1335</v>
      </c>
      <c r="Y17" s="21">
        <v>17.5649</v>
      </c>
      <c r="Z17" s="21">
        <v>16.8638</v>
      </c>
      <c r="AA17" s="21">
        <v>16.2216</v>
      </c>
      <c r="AB17" s="21">
        <v>18.5348</v>
      </c>
      <c r="AC17" s="21">
        <v>38.5895</v>
      </c>
      <c r="AD17" s="21">
        <v>10.5285</v>
      </c>
      <c r="AE17" s="21">
        <v>1.0832</v>
      </c>
      <c r="AF17" s="21">
        <v>3.7236</v>
      </c>
      <c r="AG17" s="21">
        <v>0.6135</v>
      </c>
      <c r="AH17" s="22">
        <f>IFERROR(__xludf.DUMMYFUNCTION("IFERROR(GOOGLEFINANCE(B17,""price""),"""")"),26.87)</f>
        <v>26.87</v>
      </c>
      <c r="AI17" s="22"/>
    </row>
    <row r="18" hidden="1">
      <c r="A18" s="7">
        <v>46058.443895117925</v>
      </c>
      <c r="B18" s="3" t="s">
        <v>1077</v>
      </c>
      <c r="C18" s="8" t="s">
        <v>1078</v>
      </c>
      <c r="D18" s="9">
        <v>46061.0</v>
      </c>
      <c r="E18" s="10">
        <v>7.5544</v>
      </c>
      <c r="F18" s="8" t="s">
        <v>335</v>
      </c>
      <c r="G18" s="13">
        <v>0.0</v>
      </c>
      <c r="H18" s="13">
        <v>-0.041</v>
      </c>
      <c r="I18" s="11">
        <v>22.5593</v>
      </c>
      <c r="J18" s="11">
        <v>25.521</v>
      </c>
      <c r="K18" s="11">
        <v>47.156</v>
      </c>
      <c r="L18" s="11">
        <v>1.14</v>
      </c>
      <c r="M18" s="8" t="s">
        <v>1079</v>
      </c>
      <c r="N18" s="11">
        <v>-6.3891</v>
      </c>
      <c r="O18" s="13">
        <v>1.2384</v>
      </c>
      <c r="P18" s="13">
        <v>2.1775</v>
      </c>
      <c r="Q18" s="8">
        <v>1.940847E7</v>
      </c>
      <c r="R18" s="13">
        <v>0.2081</v>
      </c>
      <c r="S18" s="12">
        <v>1.057885002E9</v>
      </c>
      <c r="T18" s="13">
        <v>25.2204</v>
      </c>
      <c r="U18" s="13">
        <v>6.9601</v>
      </c>
      <c r="V18" s="13">
        <v>5.8615</v>
      </c>
      <c r="W18" s="13">
        <v>8.4175</v>
      </c>
      <c r="X18" s="13">
        <v>8.2951</v>
      </c>
      <c r="Y18" s="13">
        <v>7.9534</v>
      </c>
      <c r="Z18" s="13">
        <v>7.6332</v>
      </c>
      <c r="AA18" s="13">
        <v>7.2265</v>
      </c>
      <c r="AB18" s="13">
        <v>-10.5913</v>
      </c>
      <c r="AC18" s="13">
        <v>-18.9471</v>
      </c>
      <c r="AD18" s="13">
        <v>240.123</v>
      </c>
      <c r="AE18" s="13">
        <v>0.0037</v>
      </c>
      <c r="AF18" s="13">
        <v>5.0784</v>
      </c>
      <c r="AG18" s="13">
        <v>0.7407</v>
      </c>
      <c r="AH18" s="14">
        <f>IFERROR(__xludf.DUMMYFUNCTION("IFERROR(GOOGLEFINANCE(B18,""price""),"""")"),8.36)</f>
        <v>8.36</v>
      </c>
      <c r="AI18" s="14"/>
    </row>
    <row r="19" hidden="1">
      <c r="A19" s="7">
        <v>46058.62802730335</v>
      </c>
      <c r="B19" s="3" t="s">
        <v>1077</v>
      </c>
      <c r="C19" s="8" t="s">
        <v>1078</v>
      </c>
      <c r="D19" s="9">
        <v>46061.0</v>
      </c>
      <c r="E19" s="10">
        <v>7.415</v>
      </c>
      <c r="F19" s="8" t="s">
        <v>335</v>
      </c>
      <c r="G19" s="13">
        <v>0.0</v>
      </c>
      <c r="H19" s="13">
        <v>-0.041</v>
      </c>
      <c r="I19" s="11">
        <v>22.5593</v>
      </c>
      <c r="J19" s="11">
        <v>24.5448</v>
      </c>
      <c r="K19" s="11">
        <v>46.5509</v>
      </c>
      <c r="L19" s="11">
        <v>1.14</v>
      </c>
      <c r="M19" s="8" t="s">
        <v>1079</v>
      </c>
      <c r="N19" s="11">
        <v>-8.1165</v>
      </c>
      <c r="O19" s="13">
        <v>1.2384</v>
      </c>
      <c r="P19" s="13">
        <v>2.1775</v>
      </c>
      <c r="Q19" s="8">
        <v>1.9797206E7</v>
      </c>
      <c r="R19" s="13">
        <v>0.3939</v>
      </c>
      <c r="S19" s="12">
        <v>1.038364038E9</v>
      </c>
      <c r="T19" s="13">
        <v>24.895</v>
      </c>
      <c r="U19" s="13">
        <v>6.9573</v>
      </c>
      <c r="V19" s="13">
        <v>5.8601</v>
      </c>
      <c r="W19" s="13">
        <v>8.3865</v>
      </c>
      <c r="X19" s="13">
        <v>8.2825</v>
      </c>
      <c r="Y19" s="13">
        <v>7.9455</v>
      </c>
      <c r="Z19" s="13">
        <v>7.6283</v>
      </c>
      <c r="AA19" s="13">
        <v>7.2234</v>
      </c>
      <c r="AB19" s="13">
        <v>-10.5913</v>
      </c>
      <c r="AC19" s="13">
        <v>-18.9471</v>
      </c>
      <c r="AD19" s="13">
        <v>240.123</v>
      </c>
      <c r="AE19" s="13">
        <v>0.0037</v>
      </c>
      <c r="AF19" s="13">
        <v>5.0784</v>
      </c>
      <c r="AG19" s="13">
        <v>0.8675</v>
      </c>
      <c r="AH19" s="14">
        <f>IFERROR(__xludf.DUMMYFUNCTION("IFERROR(GOOGLEFINANCE(B19,""price""),"""")"),8.36)</f>
        <v>8.36</v>
      </c>
      <c r="AI19" s="14"/>
    </row>
    <row r="20" hidden="1">
      <c r="A20" s="7">
        <v>46059.625107506436</v>
      </c>
      <c r="B20" s="3" t="s">
        <v>1077</v>
      </c>
      <c r="C20" s="8" t="s">
        <v>1078</v>
      </c>
      <c r="D20" s="9">
        <v>46061.0</v>
      </c>
      <c r="E20" s="10">
        <v>8.605</v>
      </c>
      <c r="F20" s="8" t="s">
        <v>335</v>
      </c>
      <c r="G20" s="13">
        <v>0.0</v>
      </c>
      <c r="H20" s="13">
        <v>-0.041</v>
      </c>
      <c r="I20" s="11">
        <v>21.9246</v>
      </c>
      <c r="J20" s="11">
        <v>17.612</v>
      </c>
      <c r="K20" s="11">
        <v>52.1941</v>
      </c>
      <c r="L20" s="11">
        <v>1.13</v>
      </c>
      <c r="M20" s="8" t="s">
        <v>1079</v>
      </c>
      <c r="N20" s="11">
        <v>15.1941</v>
      </c>
      <c r="O20" s="13">
        <v>1.2342</v>
      </c>
      <c r="P20" s="13">
        <v>2.1775</v>
      </c>
      <c r="Q20" s="8">
        <v>1.8788326E7</v>
      </c>
      <c r="R20" s="13">
        <v>0.5313</v>
      </c>
      <c r="S20" s="12">
        <v>1.205006424E9</v>
      </c>
      <c r="T20" s="13">
        <v>23.401</v>
      </c>
      <c r="U20" s="13">
        <v>7.0129</v>
      </c>
      <c r="V20" s="13">
        <v>5.888</v>
      </c>
      <c r="W20" s="13">
        <v>8.4446</v>
      </c>
      <c r="X20" s="13">
        <v>8.3163</v>
      </c>
      <c r="Y20" s="13">
        <v>7.9861</v>
      </c>
      <c r="Z20" s="13">
        <v>7.665</v>
      </c>
      <c r="AA20" s="13">
        <v>7.2553</v>
      </c>
      <c r="AB20" s="13">
        <v>-10.5913</v>
      </c>
      <c r="AC20" s="13">
        <v>-18.9471</v>
      </c>
      <c r="AD20" s="13">
        <v>240.123</v>
      </c>
      <c r="AE20" s="13">
        <v>0.0037</v>
      </c>
      <c r="AF20" s="13">
        <v>5.0784</v>
      </c>
      <c r="AG20" s="13">
        <v>0.2887</v>
      </c>
      <c r="AH20" s="14">
        <f>IFERROR(__xludf.DUMMYFUNCTION("IFERROR(GOOGLEFINANCE(B20,""price""),"""")"),8.36)</f>
        <v>8.36</v>
      </c>
      <c r="AI20" s="14"/>
    </row>
    <row r="21" hidden="1">
      <c r="A21" s="7">
        <v>46062.626533858056</v>
      </c>
      <c r="B21" s="3" t="s">
        <v>1077</v>
      </c>
      <c r="C21" s="8" t="s">
        <v>1078</v>
      </c>
      <c r="D21" s="9">
        <v>46068.0</v>
      </c>
      <c r="E21" s="10">
        <v>8.185</v>
      </c>
      <c r="F21" s="8" t="s">
        <v>335</v>
      </c>
      <c r="G21" s="13">
        <v>0.0</v>
      </c>
      <c r="H21" s="13">
        <v>-0.041</v>
      </c>
      <c r="I21" s="23"/>
      <c r="J21" s="11">
        <v>21.3352</v>
      </c>
      <c r="K21" s="11">
        <v>18.4524</v>
      </c>
      <c r="L21" s="11">
        <v>50.1613</v>
      </c>
      <c r="M21" s="11">
        <v>1.15</v>
      </c>
      <c r="N21" s="8" t="s">
        <v>1079</v>
      </c>
      <c r="O21" s="11">
        <v>-4.9361</v>
      </c>
      <c r="P21" s="13">
        <v>1.1953</v>
      </c>
      <c r="Q21" s="13">
        <v>2.0712</v>
      </c>
      <c r="R21" s="8">
        <v>1.663486E7</v>
      </c>
      <c r="S21" s="13">
        <v>0.5391</v>
      </c>
      <c r="T21" s="12">
        <v>1.146191455E9</v>
      </c>
      <c r="U21" s="13">
        <v>20.3431</v>
      </c>
      <c r="V21" s="13">
        <v>7.0609</v>
      </c>
      <c r="W21" s="13">
        <v>5.9109</v>
      </c>
      <c r="X21" s="13">
        <v>8.3878</v>
      </c>
      <c r="Y21" s="13">
        <v>8.3048</v>
      </c>
      <c r="Z21" s="13">
        <v>7.9978</v>
      </c>
      <c r="AA21" s="13">
        <v>7.6838</v>
      </c>
      <c r="AB21" s="13">
        <v>7.276</v>
      </c>
      <c r="AC21" s="13">
        <v>-10.5913</v>
      </c>
      <c r="AD21" s="13">
        <v>-18.9471</v>
      </c>
      <c r="AE21" s="13">
        <v>240.123</v>
      </c>
      <c r="AF21" s="13">
        <v>0.0037</v>
      </c>
      <c r="AG21" s="13">
        <v>5.0784</v>
      </c>
      <c r="AH21" s="13">
        <v>0.1198</v>
      </c>
      <c r="AI21" s="10">
        <f>IFERROR(__xludf.DUMMYFUNCTION("IFERROR(GOOGLEFINANCE(B21,""price""),"""")"),8.36)</f>
        <v>8.36</v>
      </c>
    </row>
    <row r="22" hidden="1">
      <c r="A22" s="7">
        <v>46063.62734218088</v>
      </c>
      <c r="B22" s="3" t="s">
        <v>1077</v>
      </c>
      <c r="C22" s="8" t="s">
        <v>1078</v>
      </c>
      <c r="D22" s="9">
        <v>46068.0</v>
      </c>
      <c r="E22" s="10">
        <v>8.145</v>
      </c>
      <c r="F22" s="8" t="s">
        <v>335</v>
      </c>
      <c r="G22" s="13">
        <v>0.0</v>
      </c>
      <c r="H22" s="13">
        <v>-0.041</v>
      </c>
      <c r="I22" s="23"/>
      <c r="J22" s="11">
        <v>21.2942</v>
      </c>
      <c r="K22" s="11">
        <v>23.4944</v>
      </c>
      <c r="L22" s="11">
        <v>49.9461</v>
      </c>
      <c r="M22" s="11">
        <v>1.13</v>
      </c>
      <c r="N22" s="8" t="s">
        <v>1079</v>
      </c>
      <c r="O22" s="11">
        <v>-1.0328</v>
      </c>
      <c r="P22" s="13">
        <v>1.1821</v>
      </c>
      <c r="Q22" s="13">
        <v>2.0991</v>
      </c>
      <c r="R22" s="8">
        <v>1.6718276E7</v>
      </c>
      <c r="S22" s="13">
        <v>0.9105</v>
      </c>
      <c r="T22" s="12">
        <v>1.140590012E9</v>
      </c>
      <c r="U22" s="13">
        <v>19.9697</v>
      </c>
      <c r="V22" s="13">
        <v>7.1089</v>
      </c>
      <c r="W22" s="13">
        <v>5.9336</v>
      </c>
      <c r="X22" s="13">
        <v>8.3416</v>
      </c>
      <c r="Y22" s="13">
        <v>8.294</v>
      </c>
      <c r="Z22" s="13">
        <v>8.0086</v>
      </c>
      <c r="AA22" s="13">
        <v>7.7018</v>
      </c>
      <c r="AB22" s="13">
        <v>7.2963</v>
      </c>
      <c r="AC22" s="13">
        <v>-10.5913</v>
      </c>
      <c r="AD22" s="13">
        <v>-18.9471</v>
      </c>
      <c r="AE22" s="13">
        <v>240.123</v>
      </c>
      <c r="AF22" s="13">
        <v>0.0037</v>
      </c>
      <c r="AG22" s="13">
        <v>5.0784</v>
      </c>
      <c r="AH22" s="13">
        <v>0.149</v>
      </c>
      <c r="AI22" s="14">
        <f>IFERROR(__xludf.DUMMYFUNCTION("IFERROR(GOOGLEFINANCE(B22,""price""),"""")"),8.36)</f>
        <v>8.36</v>
      </c>
    </row>
    <row r="23" hidden="1">
      <c r="A23" s="7">
        <v>46063.874828840555</v>
      </c>
      <c r="B23" s="3" t="s">
        <v>1077</v>
      </c>
      <c r="C23" s="8" t="s">
        <v>1078</v>
      </c>
      <c r="D23" s="9">
        <v>46068.0</v>
      </c>
      <c r="E23" s="10">
        <v>8.15</v>
      </c>
      <c r="F23" s="8" t="s">
        <v>335</v>
      </c>
      <c r="G23" s="13">
        <v>0.0</v>
      </c>
      <c r="H23" s="13">
        <v>-0.041</v>
      </c>
      <c r="I23" s="23"/>
      <c r="J23" s="11">
        <v>21.2942</v>
      </c>
      <c r="K23" s="11">
        <v>23.5294</v>
      </c>
      <c r="L23" s="11">
        <v>49.9709</v>
      </c>
      <c r="M23" s="11">
        <v>1.13</v>
      </c>
      <c r="N23" s="8" t="s">
        <v>1079</v>
      </c>
      <c r="O23" s="11">
        <v>-0.9721</v>
      </c>
      <c r="P23" s="13">
        <v>1.1821</v>
      </c>
      <c r="Q23" s="13">
        <v>2.0991</v>
      </c>
      <c r="R23" s="8">
        <v>1.6835162E7</v>
      </c>
      <c r="S23" s="13">
        <v>0.9803</v>
      </c>
      <c r="T23" s="12">
        <v>1.141290191E9</v>
      </c>
      <c r="U23" s="13">
        <v>19.9813</v>
      </c>
      <c r="V23" s="13">
        <v>7.109</v>
      </c>
      <c r="W23" s="13">
        <v>5.9336</v>
      </c>
      <c r="X23" s="13">
        <v>8.3427</v>
      </c>
      <c r="Y23" s="13">
        <v>8.2944</v>
      </c>
      <c r="Z23" s="13">
        <v>8.0089</v>
      </c>
      <c r="AA23" s="13">
        <v>7.702</v>
      </c>
      <c r="AB23" s="13">
        <v>7.2964</v>
      </c>
      <c r="AC23" s="13">
        <v>-10.5913</v>
      </c>
      <c r="AD23" s="13">
        <v>-18.9471</v>
      </c>
      <c r="AE23" s="13">
        <v>240.123</v>
      </c>
      <c r="AF23" s="13">
        <v>0.0037</v>
      </c>
      <c r="AG23" s="13">
        <v>5.0784</v>
      </c>
      <c r="AH23" s="13">
        <v>0.1444</v>
      </c>
      <c r="AI23" s="14">
        <f>IFERROR(__xludf.DUMMYFUNCTION("IFERROR(GOOGLEFINANCE(B23,""price""),"""")"),8.36)</f>
        <v>8.36</v>
      </c>
    </row>
    <row r="24" hidden="1">
      <c r="A24" s="7">
        <v>46064.627687016866</v>
      </c>
      <c r="B24" s="3" t="s">
        <v>1077</v>
      </c>
      <c r="C24" s="8" t="s">
        <v>1078</v>
      </c>
      <c r="D24" s="9">
        <v>46068.0</v>
      </c>
      <c r="E24" s="10">
        <v>8.1</v>
      </c>
      <c r="F24" s="8" t="s">
        <v>335</v>
      </c>
      <c r="G24" s="13">
        <v>0.0</v>
      </c>
      <c r="H24" s="13">
        <v>-0.041</v>
      </c>
      <c r="I24" s="23"/>
      <c r="J24" s="11">
        <v>21.0145</v>
      </c>
      <c r="K24" s="11">
        <v>19.958</v>
      </c>
      <c r="L24" s="11">
        <v>49.7051</v>
      </c>
      <c r="M24" s="11">
        <v>1.13</v>
      </c>
      <c r="N24" s="8" t="s">
        <v>1079</v>
      </c>
      <c r="O24" s="11">
        <v>-0.6135</v>
      </c>
      <c r="P24" s="13">
        <v>1.1926</v>
      </c>
      <c r="Q24" s="13">
        <v>2.1169</v>
      </c>
      <c r="R24" s="8">
        <v>1.6535886E7</v>
      </c>
      <c r="S24" s="13">
        <v>0.8867</v>
      </c>
      <c r="T24" s="12">
        <v>1.134288421E9</v>
      </c>
      <c r="U24" s="13">
        <v>20.7516</v>
      </c>
      <c r="V24" s="13">
        <v>7.1488</v>
      </c>
      <c r="W24" s="13">
        <v>5.9552</v>
      </c>
      <c r="X24" s="13">
        <v>8.2888</v>
      </c>
      <c r="Y24" s="13">
        <v>8.2768</v>
      </c>
      <c r="Z24" s="13">
        <v>8.0141</v>
      </c>
      <c r="AA24" s="13">
        <v>7.7162</v>
      </c>
      <c r="AB24" s="13">
        <v>7.3143</v>
      </c>
      <c r="AC24" s="13">
        <v>-10.5913</v>
      </c>
      <c r="AD24" s="13">
        <v>-18.9471</v>
      </c>
      <c r="AE24" s="13">
        <v>240.123</v>
      </c>
      <c r="AF24" s="13">
        <v>0.0037</v>
      </c>
      <c r="AG24" s="13">
        <v>5.0784</v>
      </c>
      <c r="AH24" s="13">
        <v>0.1768</v>
      </c>
      <c r="AI24" s="14">
        <f>IFERROR(__xludf.DUMMYFUNCTION("IFERROR(GOOGLEFINANCE(B24,""price""),"""")"),8.36)</f>
        <v>8.36</v>
      </c>
    </row>
    <row r="25">
      <c r="A25" s="7">
        <v>46066.625662204366</v>
      </c>
      <c r="B25" s="3" t="s">
        <v>1083</v>
      </c>
      <c r="C25" s="8" t="s">
        <v>1084</v>
      </c>
      <c r="D25" s="9">
        <v>46068.0</v>
      </c>
      <c r="E25" s="10">
        <v>9.745</v>
      </c>
      <c r="F25" s="8" t="s">
        <v>335</v>
      </c>
      <c r="G25" s="13">
        <v>66.7277</v>
      </c>
      <c r="H25" s="13">
        <v>0.146</v>
      </c>
      <c r="I25" s="23"/>
      <c r="J25" s="11">
        <v>29.5441</v>
      </c>
      <c r="K25" s="11">
        <v>36.5143</v>
      </c>
      <c r="L25" s="11">
        <v>55.3108</v>
      </c>
      <c r="M25" s="11">
        <v>1.54</v>
      </c>
      <c r="N25" s="8" t="s">
        <v>1085</v>
      </c>
      <c r="O25" s="11">
        <v>5.0108</v>
      </c>
      <c r="P25" s="13">
        <v>0.9183</v>
      </c>
      <c r="Q25" s="13">
        <v>1.1941</v>
      </c>
      <c r="R25" s="8">
        <v>6457155.0</v>
      </c>
      <c r="S25" s="13">
        <v>0.4284</v>
      </c>
      <c r="T25" s="12">
        <v>1.528487831E9</v>
      </c>
      <c r="U25" s="13">
        <v>50.6063</v>
      </c>
      <c r="V25" s="13">
        <v>7.5265</v>
      </c>
      <c r="W25" s="13">
        <v>5.2839</v>
      </c>
      <c r="X25" s="13">
        <v>9.8884</v>
      </c>
      <c r="Y25" s="13">
        <v>9.2645</v>
      </c>
      <c r="Z25" s="13">
        <v>8.578</v>
      </c>
      <c r="AA25" s="13">
        <v>7.7662</v>
      </c>
      <c r="AB25" s="13">
        <v>6.8986</v>
      </c>
      <c r="AC25" s="13">
        <v>14.5817</v>
      </c>
      <c r="AD25" s="13">
        <v>34.2742</v>
      </c>
      <c r="AE25" s="13">
        <v>61.0462</v>
      </c>
      <c r="AF25" s="13">
        <v>0.0256</v>
      </c>
      <c r="AG25" s="13">
        <v>2.7543</v>
      </c>
      <c r="AH25" s="13">
        <v>0.4805</v>
      </c>
      <c r="AI25" s="14">
        <f>IFERROR(__xludf.DUMMYFUNCTION("IFERROR(GOOGLEFINANCE(B25,""price""),"""")"),7.04)</f>
        <v>7.04</v>
      </c>
    </row>
    <row r="26">
      <c r="A26" s="7">
        <v>46069.62547434001</v>
      </c>
      <c r="B26" s="3" t="s">
        <v>1083</v>
      </c>
      <c r="C26" s="8" t="s">
        <v>1084</v>
      </c>
      <c r="D26" s="9">
        <v>46075.0</v>
      </c>
      <c r="E26" s="10">
        <v>9.79</v>
      </c>
      <c r="F26" s="8" t="s">
        <v>335</v>
      </c>
      <c r="G26" s="13">
        <v>67.0359</v>
      </c>
      <c r="H26" s="13">
        <v>0.146</v>
      </c>
      <c r="I26" s="23"/>
      <c r="J26" s="11">
        <v>29.5441</v>
      </c>
      <c r="K26" s="11">
        <v>36.961</v>
      </c>
      <c r="L26" s="11">
        <v>55.5527</v>
      </c>
      <c r="M26" s="11">
        <v>1.54</v>
      </c>
      <c r="N26" s="8" t="s">
        <v>1085</v>
      </c>
      <c r="O26" s="11">
        <v>5.4957</v>
      </c>
      <c r="P26" s="13">
        <v>0.9183</v>
      </c>
      <c r="Q26" s="13">
        <v>1.1941</v>
      </c>
      <c r="R26" s="8">
        <v>6488717.0</v>
      </c>
      <c r="S26" s="13">
        <v>0.4699</v>
      </c>
      <c r="T26" s="12">
        <v>1.535545989E9</v>
      </c>
      <c r="U26" s="13">
        <v>50.7552</v>
      </c>
      <c r="V26" s="13">
        <v>7.5274</v>
      </c>
      <c r="W26" s="13">
        <v>5.2843</v>
      </c>
      <c r="X26" s="13">
        <v>9.8984</v>
      </c>
      <c r="Y26" s="13">
        <v>9.2686</v>
      </c>
      <c r="Z26" s="13">
        <v>8.5806</v>
      </c>
      <c r="AA26" s="13">
        <v>7.7678</v>
      </c>
      <c r="AB26" s="13">
        <v>6.8996</v>
      </c>
      <c r="AC26" s="13">
        <v>14.5817</v>
      </c>
      <c r="AD26" s="13">
        <v>34.2742</v>
      </c>
      <c r="AE26" s="13">
        <v>61.0462</v>
      </c>
      <c r="AF26" s="13">
        <v>0.0256</v>
      </c>
      <c r="AG26" s="13">
        <v>2.7543</v>
      </c>
      <c r="AH26" s="13">
        <v>0.5214</v>
      </c>
      <c r="AI26" s="14">
        <f>IFERROR(__xludf.DUMMYFUNCTION("IFERROR(GOOGLEFINANCE(B26,""price""),"""")"),7.04)</f>
        <v>7.04</v>
      </c>
    </row>
    <row r="27">
      <c r="A27" s="7">
        <v>46070.62540065572</v>
      </c>
      <c r="B27" s="3" t="s">
        <v>1083</v>
      </c>
      <c r="C27" s="8" t="s">
        <v>1084</v>
      </c>
      <c r="D27" s="9">
        <v>46075.0</v>
      </c>
      <c r="E27" s="10">
        <v>8.995</v>
      </c>
      <c r="F27" s="8" t="s">
        <v>335</v>
      </c>
      <c r="G27" s="13">
        <v>61.5922</v>
      </c>
      <c r="H27" s="13">
        <v>0.146</v>
      </c>
      <c r="I27" s="23"/>
      <c r="J27" s="11">
        <v>27.7434</v>
      </c>
      <c r="K27" s="11">
        <v>22.1949</v>
      </c>
      <c r="L27" s="11">
        <v>50.3672</v>
      </c>
      <c r="M27" s="11">
        <v>1.57</v>
      </c>
      <c r="N27" s="8" t="s">
        <v>1085</v>
      </c>
      <c r="O27" s="11">
        <v>-8.1205</v>
      </c>
      <c r="P27" s="13">
        <v>0.9405</v>
      </c>
      <c r="Q27" s="13">
        <v>1.1967</v>
      </c>
      <c r="R27" s="8">
        <v>5959813.0</v>
      </c>
      <c r="S27" s="13">
        <v>0.6695</v>
      </c>
      <c r="T27" s="12">
        <v>1.410851498E9</v>
      </c>
      <c r="U27" s="13">
        <v>35.7635</v>
      </c>
      <c r="V27" s="13">
        <v>7.5955</v>
      </c>
      <c r="W27" s="13">
        <v>5.3213</v>
      </c>
      <c r="X27" s="13">
        <v>9.6977</v>
      </c>
      <c r="Y27" s="13">
        <v>9.2437</v>
      </c>
      <c r="Z27" s="13">
        <v>8.6043</v>
      </c>
      <c r="AA27" s="13">
        <v>7.8117</v>
      </c>
      <c r="AB27" s="13">
        <v>6.9461</v>
      </c>
      <c r="AC27" s="13">
        <v>14.5817</v>
      </c>
      <c r="AD27" s="13">
        <v>34.2742</v>
      </c>
      <c r="AE27" s="13">
        <v>61.0462</v>
      </c>
      <c r="AF27" s="13">
        <v>0.0256</v>
      </c>
      <c r="AG27" s="13">
        <v>2.7543</v>
      </c>
      <c r="AH27" s="13">
        <v>0.2487</v>
      </c>
      <c r="AI27" s="14">
        <f>IFERROR(__xludf.DUMMYFUNCTION("IFERROR(GOOGLEFINANCE(B27,""price""),"""")"),7.04)</f>
        <v>7.04</v>
      </c>
    </row>
    <row r="28">
      <c r="A28" s="7">
        <v>46071.62811131899</v>
      </c>
      <c r="B28" s="3" t="s">
        <v>1083</v>
      </c>
      <c r="C28" s="8" t="s">
        <v>1084</v>
      </c>
      <c r="D28" s="9">
        <v>46075.0</v>
      </c>
      <c r="E28" s="10">
        <v>9.185</v>
      </c>
      <c r="F28" s="8" t="s">
        <v>335</v>
      </c>
      <c r="G28" s="13">
        <v>62.8932</v>
      </c>
      <c r="H28" s="13">
        <v>0.146</v>
      </c>
      <c r="I28" s="23"/>
      <c r="J28" s="11">
        <v>25.9775</v>
      </c>
      <c r="K28" s="11">
        <v>21.7715</v>
      </c>
      <c r="L28" s="11">
        <v>51.532</v>
      </c>
      <c r="M28" s="11">
        <v>1.51</v>
      </c>
      <c r="N28" s="8" t="s">
        <v>1085</v>
      </c>
      <c r="O28" s="11">
        <v>2.1691</v>
      </c>
      <c r="P28" s="13">
        <v>0.9033</v>
      </c>
      <c r="Q28" s="13">
        <v>1.1967</v>
      </c>
      <c r="R28" s="8">
        <v>5283239.0</v>
      </c>
      <c r="S28" s="13">
        <v>0.4521</v>
      </c>
      <c r="T28" s="12">
        <v>1.440652703E9</v>
      </c>
      <c r="U28" s="13">
        <v>26.9596</v>
      </c>
      <c r="V28" s="13">
        <v>7.6683</v>
      </c>
      <c r="W28" s="13">
        <v>5.3597</v>
      </c>
      <c r="X28" s="13">
        <v>9.5829</v>
      </c>
      <c r="Y28" s="13">
        <v>9.2379</v>
      </c>
      <c r="Z28" s="13">
        <v>8.6372</v>
      </c>
      <c r="AA28" s="13">
        <v>7.8605</v>
      </c>
      <c r="AB28" s="13">
        <v>6.9958</v>
      </c>
      <c r="AC28" s="13">
        <v>14.5817</v>
      </c>
      <c r="AD28" s="13">
        <v>34.2742</v>
      </c>
      <c r="AE28" s="13">
        <v>61.0462</v>
      </c>
      <c r="AF28" s="13">
        <v>0.0256</v>
      </c>
      <c r="AG28" s="13">
        <v>2.7543</v>
      </c>
      <c r="AH28" s="13">
        <v>0.0529</v>
      </c>
      <c r="AI28" s="14">
        <f>IFERROR(__xludf.DUMMYFUNCTION("IFERROR(GOOGLEFINANCE(B28,""price""),"""")"),7.04)</f>
        <v>7.04</v>
      </c>
    </row>
    <row r="29">
      <c r="A29" s="7">
        <v>46072.62522289705</v>
      </c>
      <c r="B29" s="3" t="s">
        <v>1083</v>
      </c>
      <c r="C29" s="8" t="s">
        <v>1084</v>
      </c>
      <c r="D29" s="9">
        <v>46075.0</v>
      </c>
      <c r="E29" s="10">
        <v>9.07</v>
      </c>
      <c r="F29" s="8" t="s">
        <v>335</v>
      </c>
      <c r="G29" s="13">
        <v>62.1058</v>
      </c>
      <c r="H29" s="13">
        <v>0.146</v>
      </c>
      <c r="I29" s="23"/>
      <c r="J29" s="11">
        <v>24.3376</v>
      </c>
      <c r="K29" s="11">
        <v>17.4254</v>
      </c>
      <c r="L29" s="11">
        <v>50.7339</v>
      </c>
      <c r="M29" s="11">
        <v>1.48</v>
      </c>
      <c r="N29" s="8" t="s">
        <v>1085</v>
      </c>
      <c r="O29" s="11">
        <v>-1.6269</v>
      </c>
      <c r="P29" s="13">
        <v>0.8874</v>
      </c>
      <c r="Q29" s="13">
        <v>1.1967</v>
      </c>
      <c r="R29" s="8">
        <v>4900346.0</v>
      </c>
      <c r="S29" s="13">
        <v>0.9383</v>
      </c>
      <c r="T29" s="12">
        <v>1.422615205E9</v>
      </c>
      <c r="U29" s="13">
        <v>20.5612</v>
      </c>
      <c r="V29" s="13">
        <v>7.7406</v>
      </c>
      <c r="W29" s="13">
        <v>5.3969</v>
      </c>
      <c r="X29" s="13">
        <v>9.4749</v>
      </c>
      <c r="Y29" s="13">
        <v>9.2256</v>
      </c>
      <c r="Z29" s="13">
        <v>8.6638</v>
      </c>
      <c r="AA29" s="13">
        <v>7.9049</v>
      </c>
      <c r="AB29" s="13">
        <v>7.0426</v>
      </c>
      <c r="AC29" s="13">
        <v>14.5817</v>
      </c>
      <c r="AD29" s="13">
        <v>34.2742</v>
      </c>
      <c r="AE29" s="13">
        <v>61.0462</v>
      </c>
      <c r="AF29" s="13">
        <v>0.0256</v>
      </c>
      <c r="AG29" s="13">
        <v>2.7543</v>
      </c>
      <c r="AH29" s="13">
        <v>0.1556</v>
      </c>
      <c r="AI29" s="14">
        <f>IFERROR(__xludf.DUMMYFUNCTION("IFERROR(GOOGLEFINANCE(B29,""price""),"""")"),7.04)</f>
        <v>7.04</v>
      </c>
    </row>
    <row r="30">
      <c r="A30" s="7">
        <v>46072.86563074671</v>
      </c>
      <c r="B30" s="3" t="s">
        <v>1083</v>
      </c>
      <c r="C30" s="8" t="s">
        <v>1084</v>
      </c>
      <c r="D30" s="9">
        <v>46075.0</v>
      </c>
      <c r="E30" s="10">
        <v>8.99</v>
      </c>
      <c r="F30" s="8" t="s">
        <v>335</v>
      </c>
      <c r="G30" s="13">
        <v>61.558</v>
      </c>
      <c r="H30" s="13">
        <v>0.146</v>
      </c>
      <c r="I30" s="23"/>
      <c r="J30" s="11">
        <v>24.3376</v>
      </c>
      <c r="K30" s="11">
        <v>16.3544</v>
      </c>
      <c r="L30" s="11">
        <v>50.213</v>
      </c>
      <c r="M30" s="11">
        <v>1.48</v>
      </c>
      <c r="N30" s="8" t="s">
        <v>1085</v>
      </c>
      <c r="O30" s="11">
        <v>-2.4946</v>
      </c>
      <c r="P30" s="13">
        <v>0.8874</v>
      </c>
      <c r="Q30" s="13">
        <v>1.1967</v>
      </c>
      <c r="R30" s="8">
        <v>4974906.0</v>
      </c>
      <c r="S30" s="13">
        <v>1.0788</v>
      </c>
      <c r="T30" s="12">
        <v>1.410067331E9</v>
      </c>
      <c r="U30" s="13">
        <v>20.2042</v>
      </c>
      <c r="V30" s="13">
        <v>7.739</v>
      </c>
      <c r="W30" s="13">
        <v>5.3961</v>
      </c>
      <c r="X30" s="13">
        <v>9.4572</v>
      </c>
      <c r="Y30" s="13">
        <v>9.2183</v>
      </c>
      <c r="Z30" s="13">
        <v>8.6593</v>
      </c>
      <c r="AA30" s="13">
        <v>7.9021</v>
      </c>
      <c r="AB30" s="13">
        <v>7.0409</v>
      </c>
      <c r="AC30" s="13">
        <v>14.5817</v>
      </c>
      <c r="AD30" s="13">
        <v>34.2742</v>
      </c>
      <c r="AE30" s="13">
        <v>61.0462</v>
      </c>
      <c r="AF30" s="13">
        <v>0.0256</v>
      </c>
      <c r="AG30" s="13">
        <v>2.7543</v>
      </c>
      <c r="AH30" s="13">
        <v>0.2283</v>
      </c>
      <c r="AI30" s="14">
        <f>IFERROR(__xludf.DUMMYFUNCTION("IFERROR(GOOGLEFINANCE(B30,""price""),"""")"),7.04)</f>
        <v>7.04</v>
      </c>
    </row>
    <row r="31">
      <c r="A31" s="7">
        <v>46072.86732606184</v>
      </c>
      <c r="B31" s="3" t="s">
        <v>1083</v>
      </c>
      <c r="C31" s="8" t="s">
        <v>1084</v>
      </c>
      <c r="D31" s="9">
        <v>46075.0</v>
      </c>
      <c r="E31" s="10">
        <v>8.99</v>
      </c>
      <c r="F31" s="8" t="s">
        <v>335</v>
      </c>
      <c r="G31" s="13">
        <v>61.558</v>
      </c>
      <c r="H31" s="13">
        <v>0.146</v>
      </c>
      <c r="I31" s="23"/>
      <c r="J31" s="11">
        <v>24.3376</v>
      </c>
      <c r="K31" s="11">
        <v>16.3544</v>
      </c>
      <c r="L31" s="11">
        <v>50.213</v>
      </c>
      <c r="M31" s="11">
        <v>1.48</v>
      </c>
      <c r="N31" s="8" t="s">
        <v>1085</v>
      </c>
      <c r="O31" s="11">
        <v>-2.4946</v>
      </c>
      <c r="P31" s="13">
        <v>0.8874</v>
      </c>
      <c r="Q31" s="13">
        <v>1.1967</v>
      </c>
      <c r="R31" s="8">
        <v>4974906.0</v>
      </c>
      <c r="S31" s="13">
        <v>1.0788</v>
      </c>
      <c r="T31" s="12">
        <v>1.410067331E9</v>
      </c>
      <c r="U31" s="13">
        <v>20.2042</v>
      </c>
      <c r="V31" s="13">
        <v>7.739</v>
      </c>
      <c r="W31" s="13">
        <v>5.3961</v>
      </c>
      <c r="X31" s="13">
        <v>9.4572</v>
      </c>
      <c r="Y31" s="13">
        <v>9.2183</v>
      </c>
      <c r="Z31" s="13">
        <v>8.6593</v>
      </c>
      <c r="AA31" s="13">
        <v>7.9021</v>
      </c>
      <c r="AB31" s="13">
        <v>7.0409</v>
      </c>
      <c r="AC31" s="13">
        <v>14.5817</v>
      </c>
      <c r="AD31" s="13">
        <v>34.2742</v>
      </c>
      <c r="AE31" s="13">
        <v>61.0462</v>
      </c>
      <c r="AF31" s="13">
        <v>0.0256</v>
      </c>
      <c r="AG31" s="13">
        <v>2.7543</v>
      </c>
      <c r="AH31" s="13">
        <v>0.2283</v>
      </c>
      <c r="AI31" s="14">
        <f>IFERROR(__xludf.DUMMYFUNCTION("IFERROR(GOOGLEFINANCE(B31,""price""),"""")"),7.04)</f>
        <v>7.04</v>
      </c>
    </row>
    <row r="32">
      <c r="A32" s="7">
        <v>46072.86926700674</v>
      </c>
      <c r="B32" s="3" t="s">
        <v>1083</v>
      </c>
      <c r="C32" s="8" t="s">
        <v>1084</v>
      </c>
      <c r="D32" s="9">
        <v>46075.0</v>
      </c>
      <c r="E32" s="10">
        <v>8.99</v>
      </c>
      <c r="F32" s="8" t="s">
        <v>335</v>
      </c>
      <c r="G32" s="13">
        <v>61.558</v>
      </c>
      <c r="H32" s="13">
        <v>0.146</v>
      </c>
      <c r="I32" s="23"/>
      <c r="J32" s="11">
        <v>24.3376</v>
      </c>
      <c r="K32" s="11">
        <v>16.3544</v>
      </c>
      <c r="L32" s="11">
        <v>50.213</v>
      </c>
      <c r="M32" s="11">
        <v>1.48</v>
      </c>
      <c r="N32" s="8" t="s">
        <v>1085</v>
      </c>
      <c r="O32" s="11">
        <v>-2.4946</v>
      </c>
      <c r="P32" s="13">
        <v>0.8874</v>
      </c>
      <c r="Q32" s="13">
        <v>1.1967</v>
      </c>
      <c r="R32" s="8">
        <v>4974906.0</v>
      </c>
      <c r="S32" s="13">
        <v>1.0788</v>
      </c>
      <c r="T32" s="12">
        <v>1.410067331E9</v>
      </c>
      <c r="U32" s="13">
        <v>20.2042</v>
      </c>
      <c r="V32" s="13">
        <v>7.739</v>
      </c>
      <c r="W32" s="13">
        <v>5.3961</v>
      </c>
      <c r="X32" s="13">
        <v>9.4572</v>
      </c>
      <c r="Y32" s="13">
        <v>9.2183</v>
      </c>
      <c r="Z32" s="13">
        <v>8.6593</v>
      </c>
      <c r="AA32" s="13">
        <v>7.9021</v>
      </c>
      <c r="AB32" s="13">
        <v>7.0409</v>
      </c>
      <c r="AC32" s="13">
        <v>14.5817</v>
      </c>
      <c r="AD32" s="13">
        <v>34.2742</v>
      </c>
      <c r="AE32" s="13">
        <v>61.0462</v>
      </c>
      <c r="AF32" s="13">
        <v>0.0256</v>
      </c>
      <c r="AG32" s="13">
        <v>2.7543</v>
      </c>
      <c r="AH32" s="13">
        <v>0.2283</v>
      </c>
      <c r="AI32" s="14">
        <f>IFERROR(__xludf.DUMMYFUNCTION("IFERROR(GOOGLEFINANCE(B32,""price""),"""")"),7.04)</f>
        <v>7.04</v>
      </c>
    </row>
    <row r="33">
      <c r="A33" s="7">
        <v>46072.87148527666</v>
      </c>
      <c r="B33" s="3" t="s">
        <v>1083</v>
      </c>
      <c r="C33" s="8" t="s">
        <v>1084</v>
      </c>
      <c r="D33" s="9">
        <v>46075.0</v>
      </c>
      <c r="E33" s="10">
        <v>8.99</v>
      </c>
      <c r="F33" s="8" t="s">
        <v>335</v>
      </c>
      <c r="G33" s="13">
        <v>61.558</v>
      </c>
      <c r="H33" s="13">
        <v>0.146</v>
      </c>
      <c r="I33" s="23"/>
      <c r="J33" s="11">
        <v>24.3376</v>
      </c>
      <c r="K33" s="11">
        <v>16.3544</v>
      </c>
      <c r="L33" s="11">
        <v>50.213</v>
      </c>
      <c r="M33" s="11">
        <v>1.48</v>
      </c>
      <c r="N33" s="8" t="s">
        <v>1085</v>
      </c>
      <c r="O33" s="11">
        <v>-2.4946</v>
      </c>
      <c r="P33" s="13">
        <v>0.8874</v>
      </c>
      <c r="Q33" s="13">
        <v>1.1967</v>
      </c>
      <c r="R33" s="8">
        <v>4974906.0</v>
      </c>
      <c r="S33" s="13">
        <v>1.0788</v>
      </c>
      <c r="T33" s="12">
        <v>1.410067331E9</v>
      </c>
      <c r="U33" s="13">
        <v>20.2042</v>
      </c>
      <c r="V33" s="13">
        <v>7.739</v>
      </c>
      <c r="W33" s="13">
        <v>5.3961</v>
      </c>
      <c r="X33" s="13">
        <v>9.4572</v>
      </c>
      <c r="Y33" s="13">
        <v>9.2183</v>
      </c>
      <c r="Z33" s="13">
        <v>8.6593</v>
      </c>
      <c r="AA33" s="13">
        <v>7.9021</v>
      </c>
      <c r="AB33" s="13">
        <v>7.0409</v>
      </c>
      <c r="AC33" s="13">
        <v>14.5817</v>
      </c>
      <c r="AD33" s="13">
        <v>34.2742</v>
      </c>
      <c r="AE33" s="13">
        <v>61.0462</v>
      </c>
      <c r="AF33" s="13">
        <v>0.0256</v>
      </c>
      <c r="AG33" s="13">
        <v>2.7543</v>
      </c>
      <c r="AH33" s="13">
        <v>0.2283</v>
      </c>
      <c r="AI33" s="14">
        <f>IFERROR(__xludf.DUMMYFUNCTION("IFERROR(GOOGLEFINANCE(B33,""price""),"""")"),7.04)</f>
        <v>7.04</v>
      </c>
    </row>
    <row r="34">
      <c r="A34" s="7">
        <v>46073.62834196174</v>
      </c>
      <c r="B34" s="3" t="s">
        <v>1083</v>
      </c>
      <c r="C34" s="8" t="s">
        <v>1084</v>
      </c>
      <c r="D34" s="9">
        <v>46075.0</v>
      </c>
      <c r="E34" s="10">
        <v>9.125</v>
      </c>
      <c r="F34" s="8" t="s">
        <v>335</v>
      </c>
      <c r="G34" s="13">
        <v>62.4824</v>
      </c>
      <c r="H34" s="13">
        <v>0.146</v>
      </c>
      <c r="I34" s="23"/>
      <c r="J34" s="11">
        <v>23.3359</v>
      </c>
      <c r="K34" s="11">
        <v>21.1089</v>
      </c>
      <c r="L34" s="11">
        <v>51.125</v>
      </c>
      <c r="M34" s="11">
        <v>1.47</v>
      </c>
      <c r="N34" s="8" t="s">
        <v>1085</v>
      </c>
      <c r="O34" s="11">
        <v>1.5017</v>
      </c>
      <c r="P34" s="13">
        <v>0.8857</v>
      </c>
      <c r="Q34" s="13">
        <v>1.2067</v>
      </c>
      <c r="R34" s="8">
        <v>4762339.0</v>
      </c>
      <c r="S34" s="13">
        <v>1.1148</v>
      </c>
      <c r="T34" s="12">
        <v>1.431241821E9</v>
      </c>
      <c r="U34" s="13">
        <v>19.8584</v>
      </c>
      <c r="V34" s="13">
        <v>7.8099</v>
      </c>
      <c r="W34" s="13">
        <v>5.4332</v>
      </c>
      <c r="X34" s="13">
        <v>9.3834</v>
      </c>
      <c r="Y34" s="13">
        <v>9.2098</v>
      </c>
      <c r="Z34" s="13">
        <v>8.6859</v>
      </c>
      <c r="AA34" s="13">
        <v>7.9458</v>
      </c>
      <c r="AB34" s="13">
        <v>7.0872</v>
      </c>
      <c r="AC34" s="13">
        <v>14.5817</v>
      </c>
      <c r="AD34" s="13">
        <v>34.2742</v>
      </c>
      <c r="AE34" s="13">
        <v>61.0462</v>
      </c>
      <c r="AF34" s="13">
        <v>0.0256</v>
      </c>
      <c r="AG34" s="13">
        <v>2.7543</v>
      </c>
      <c r="AH34" s="13">
        <v>0.0848</v>
      </c>
      <c r="AI34" s="14">
        <f>IFERROR(__xludf.DUMMYFUNCTION("IFERROR(GOOGLEFINANCE(B34,""price""),"""")"),7.04)</f>
        <v>7.04</v>
      </c>
    </row>
    <row r="35">
      <c r="A35" s="7">
        <v>46073.77899992796</v>
      </c>
      <c r="B35" s="3" t="s">
        <v>1083</v>
      </c>
      <c r="C35" s="8" t="s">
        <v>1084</v>
      </c>
      <c r="D35" s="9">
        <v>46075.0</v>
      </c>
      <c r="E35" s="10">
        <v>9.12</v>
      </c>
      <c r="F35" s="8" t="s">
        <v>335</v>
      </c>
      <c r="G35" s="13">
        <v>62.4481</v>
      </c>
      <c r="H35" s="13">
        <v>0.146</v>
      </c>
      <c r="I35" s="23"/>
      <c r="J35" s="11">
        <v>23.3359</v>
      </c>
      <c r="K35" s="11">
        <v>21.0455</v>
      </c>
      <c r="L35" s="11">
        <v>51.0918</v>
      </c>
      <c r="M35" s="11">
        <v>1.47</v>
      </c>
      <c r="N35" s="8" t="s">
        <v>1085</v>
      </c>
      <c r="O35" s="11">
        <v>1.4461</v>
      </c>
      <c r="P35" s="13">
        <v>0.8857</v>
      </c>
      <c r="Q35" s="13">
        <v>1.2067</v>
      </c>
      <c r="R35" s="8">
        <v>4899180.0</v>
      </c>
      <c r="S35" s="13">
        <v>1.3899</v>
      </c>
      <c r="T35" s="12">
        <v>1.430457579E9</v>
      </c>
      <c r="U35" s="13">
        <v>19.8373</v>
      </c>
      <c r="V35" s="13">
        <v>7.8098</v>
      </c>
      <c r="W35" s="13">
        <v>5.4332</v>
      </c>
      <c r="X35" s="13">
        <v>9.3822</v>
      </c>
      <c r="Y35" s="13">
        <v>9.2094</v>
      </c>
      <c r="Z35" s="13">
        <v>8.6856</v>
      </c>
      <c r="AA35" s="13">
        <v>7.9456</v>
      </c>
      <c r="AB35" s="13">
        <v>7.0871</v>
      </c>
      <c r="AC35" s="13">
        <v>14.5817</v>
      </c>
      <c r="AD35" s="13">
        <v>34.2742</v>
      </c>
      <c r="AE35" s="13">
        <v>61.0462</v>
      </c>
      <c r="AF35" s="13">
        <v>0.0256</v>
      </c>
      <c r="AG35" s="13">
        <v>2.7543</v>
      </c>
      <c r="AH35" s="13">
        <v>0.0894</v>
      </c>
      <c r="AI35" s="14">
        <f>IFERROR(__xludf.DUMMYFUNCTION("IFERROR(GOOGLEFINANCE(B35,""price""),"""")"),7.04)</f>
        <v>7.04</v>
      </c>
    </row>
    <row r="36">
      <c r="A36" s="7">
        <v>46076.49496377412</v>
      </c>
      <c r="B36" s="3" t="s">
        <v>1083</v>
      </c>
      <c r="C36" s="8" t="s">
        <v>1084</v>
      </c>
      <c r="D36" s="9">
        <v>46082.0</v>
      </c>
      <c r="E36" s="10">
        <v>8.642</v>
      </c>
      <c r="F36" s="8" t="s">
        <v>335</v>
      </c>
      <c r="G36" s="13">
        <v>59.1751</v>
      </c>
      <c r="H36" s="13">
        <v>0.146</v>
      </c>
      <c r="I36" s="23"/>
      <c r="J36" s="11">
        <v>22.0158</v>
      </c>
      <c r="K36" s="11">
        <v>17.442</v>
      </c>
      <c r="L36" s="11">
        <v>47.7541</v>
      </c>
      <c r="M36" s="11">
        <v>1.5</v>
      </c>
      <c r="N36" s="8" t="s">
        <v>1085</v>
      </c>
      <c r="O36" s="11">
        <v>-5.2412</v>
      </c>
      <c r="P36" s="13">
        <v>0.8889</v>
      </c>
      <c r="Q36" s="13">
        <v>1.1869</v>
      </c>
      <c r="R36" s="8">
        <v>4788459.0</v>
      </c>
      <c r="S36" s="13">
        <v>0.738</v>
      </c>
      <c r="T36" s="12">
        <v>1.355484072E9</v>
      </c>
      <c r="U36" s="13">
        <v>18.2807</v>
      </c>
      <c r="V36" s="13">
        <v>7.8648</v>
      </c>
      <c r="W36" s="13">
        <v>5.4651</v>
      </c>
      <c r="X36" s="13">
        <v>9.2177</v>
      </c>
      <c r="Y36" s="13">
        <v>9.1578</v>
      </c>
      <c r="Z36" s="13">
        <v>8.6831</v>
      </c>
      <c r="AA36" s="13">
        <v>7.9705</v>
      </c>
      <c r="AB36" s="13">
        <v>7.1216</v>
      </c>
      <c r="AC36" s="13">
        <v>14.5817</v>
      </c>
      <c r="AD36" s="13">
        <v>34.2742</v>
      </c>
      <c r="AE36" s="13">
        <v>61.0462</v>
      </c>
      <c r="AF36" s="13">
        <v>0.0256</v>
      </c>
      <c r="AG36" s="13">
        <v>2.7543</v>
      </c>
      <c r="AH36" s="13">
        <v>0.5158</v>
      </c>
      <c r="AI36" s="14">
        <f>IFERROR(__xludf.DUMMYFUNCTION("IFERROR(GOOGLEFINANCE(B36,""price""),"""")"),7.04)</f>
        <v>7.04</v>
      </c>
    </row>
    <row r="37">
      <c r="A37" s="7">
        <v>46076.626981872185</v>
      </c>
      <c r="B37" s="3" t="s">
        <v>1083</v>
      </c>
      <c r="C37" s="8" t="s">
        <v>1084</v>
      </c>
      <c r="D37" s="9">
        <v>46082.0</v>
      </c>
      <c r="E37" s="10">
        <v>8.845</v>
      </c>
      <c r="F37" s="8" t="s">
        <v>335</v>
      </c>
      <c r="G37" s="13">
        <v>60.5651</v>
      </c>
      <c r="H37" s="13">
        <v>0.146</v>
      </c>
      <c r="I37" s="23"/>
      <c r="J37" s="11">
        <v>22.0158</v>
      </c>
      <c r="K37" s="11">
        <v>20.0149</v>
      </c>
      <c r="L37" s="11">
        <v>49.1168</v>
      </c>
      <c r="M37" s="11">
        <v>1.5</v>
      </c>
      <c r="N37" s="8" t="s">
        <v>1085</v>
      </c>
      <c r="O37" s="11">
        <v>-3.0154</v>
      </c>
      <c r="P37" s="13">
        <v>0.8903</v>
      </c>
      <c r="Q37" s="13">
        <v>1.1883</v>
      </c>
      <c r="R37" s="8">
        <v>5073727.0</v>
      </c>
      <c r="S37" s="13">
        <v>1.3202</v>
      </c>
      <c r="T37" s="12">
        <v>1.387324302E9</v>
      </c>
      <c r="U37" s="13">
        <v>19.1383</v>
      </c>
      <c r="V37" s="13">
        <v>7.8689</v>
      </c>
      <c r="W37" s="13">
        <v>5.4671</v>
      </c>
      <c r="X37" s="13">
        <v>9.2629</v>
      </c>
      <c r="Y37" s="13">
        <v>9.1762</v>
      </c>
      <c r="Z37" s="13">
        <v>8.6947</v>
      </c>
      <c r="AA37" s="13">
        <v>7.9777</v>
      </c>
      <c r="AB37" s="13">
        <v>7.1261</v>
      </c>
      <c r="AC37" s="13">
        <v>14.5817</v>
      </c>
      <c r="AD37" s="13">
        <v>34.2742</v>
      </c>
      <c r="AE37" s="13">
        <v>61.0462</v>
      </c>
      <c r="AF37" s="13">
        <v>0.0256</v>
      </c>
      <c r="AG37" s="13">
        <v>2.7543</v>
      </c>
      <c r="AH37" s="13">
        <v>0.3312</v>
      </c>
      <c r="AI37" s="14">
        <f>IFERROR(__xludf.DUMMYFUNCTION("IFERROR(GOOGLEFINANCE(B37,""price""),"""")"),7.04)</f>
        <v>7.04</v>
      </c>
    </row>
    <row r="38" hidden="1">
      <c r="A38" s="15">
        <v>46076.626981872185</v>
      </c>
      <c r="B38" s="3" t="s">
        <v>1086</v>
      </c>
      <c r="C38" s="16" t="s">
        <v>1087</v>
      </c>
      <c r="D38" s="17">
        <v>46082.0</v>
      </c>
      <c r="E38" s="18">
        <v>17.81</v>
      </c>
      <c r="F38" s="16" t="s">
        <v>93</v>
      </c>
      <c r="G38" s="21">
        <v>12.1165</v>
      </c>
      <c r="H38" s="21">
        <v>1.4699</v>
      </c>
      <c r="I38" s="24"/>
      <c r="J38" s="19">
        <v>23.0838</v>
      </c>
      <c r="K38" s="19">
        <v>34.7983</v>
      </c>
      <c r="L38" s="19">
        <v>44.8319</v>
      </c>
      <c r="M38" s="19">
        <v>1.04</v>
      </c>
      <c r="N38" s="16" t="s">
        <v>1088</v>
      </c>
      <c r="O38" s="19">
        <v>-3.3116</v>
      </c>
      <c r="P38" s="21">
        <v>0.4613</v>
      </c>
      <c r="Q38" s="21">
        <v>0.8907</v>
      </c>
      <c r="R38" s="21">
        <v>721849.4</v>
      </c>
      <c r="S38" s="21">
        <v>1.0836</v>
      </c>
      <c r="T38" s="20">
        <v>1.848072175E9</v>
      </c>
      <c r="U38" s="21">
        <v>41.6413</v>
      </c>
      <c r="V38" s="21">
        <v>17.6692</v>
      </c>
      <c r="W38" s="21">
        <v>16.8922</v>
      </c>
      <c r="X38" s="21">
        <v>18.2371</v>
      </c>
      <c r="Y38" s="21">
        <v>18.1539</v>
      </c>
      <c r="Z38" s="21">
        <v>17.9436</v>
      </c>
      <c r="AA38" s="21">
        <v>17.6541</v>
      </c>
      <c r="AB38" s="21">
        <v>17.3546</v>
      </c>
      <c r="AC38" s="21">
        <v>10.2923</v>
      </c>
      <c r="AD38" s="21">
        <v>27.2658</v>
      </c>
      <c r="AE38" s="21">
        <v>4.4663</v>
      </c>
      <c r="AF38" s="21">
        <v>0.2636</v>
      </c>
      <c r="AG38" s="21">
        <v>0.0418</v>
      </c>
      <c r="AH38" s="21">
        <v>0.3439</v>
      </c>
      <c r="AI38" s="22">
        <f>IFERROR(__xludf.DUMMYFUNCTION("IFERROR(GOOGLEFINANCE(B38,""price""),"""")"),18.73)</f>
        <v>18.73</v>
      </c>
    </row>
    <row r="39">
      <c r="A39" s="7">
        <v>46077.62652753669</v>
      </c>
      <c r="B39" s="3" t="s">
        <v>1083</v>
      </c>
      <c r="C39" s="8" t="s">
        <v>1084</v>
      </c>
      <c r="D39" s="9">
        <v>46082.0</v>
      </c>
      <c r="E39" s="10">
        <v>8.99</v>
      </c>
      <c r="F39" s="8" t="s">
        <v>335</v>
      </c>
      <c r="G39" s="13">
        <v>61.558</v>
      </c>
      <c r="H39" s="13">
        <v>0.146</v>
      </c>
      <c r="I39" s="23"/>
      <c r="J39" s="11">
        <v>21.1498</v>
      </c>
      <c r="K39" s="11">
        <v>21.9957</v>
      </c>
      <c r="L39" s="11">
        <v>50.2259</v>
      </c>
      <c r="M39" s="11">
        <v>1.45</v>
      </c>
      <c r="N39" s="8" t="s">
        <v>1085</v>
      </c>
      <c r="O39" s="11">
        <v>2.0431</v>
      </c>
      <c r="P39" s="13">
        <v>0.8774</v>
      </c>
      <c r="Q39" s="13">
        <v>1.2098</v>
      </c>
      <c r="R39" s="8">
        <v>5022725.0</v>
      </c>
      <c r="S39" s="13">
        <v>0.6305</v>
      </c>
      <c r="T39" s="12">
        <v>1.410067337E9</v>
      </c>
      <c r="U39" s="13">
        <v>20.8708</v>
      </c>
      <c r="V39" s="13">
        <v>7.9306</v>
      </c>
      <c r="W39" s="13">
        <v>5.5018</v>
      </c>
      <c r="X39" s="13">
        <v>9.1962</v>
      </c>
      <c r="Y39" s="13">
        <v>9.1564</v>
      </c>
      <c r="Z39" s="13">
        <v>8.7097</v>
      </c>
      <c r="AA39" s="13">
        <v>8.0127</v>
      </c>
      <c r="AB39" s="13">
        <v>7.1668</v>
      </c>
      <c r="AC39" s="13">
        <v>14.5817</v>
      </c>
      <c r="AD39" s="13">
        <v>34.2742</v>
      </c>
      <c r="AE39" s="13">
        <v>61.0462</v>
      </c>
      <c r="AF39" s="13">
        <v>0.0256</v>
      </c>
      <c r="AG39" s="13">
        <v>2.7543</v>
      </c>
      <c r="AH39" s="13">
        <v>0.1664</v>
      </c>
      <c r="AI39" s="14">
        <f>IFERROR(__xludf.DUMMYFUNCTION("IFERROR(GOOGLEFINANCE(B39,""price""),"""")"),7.04)</f>
        <v>7.04</v>
      </c>
    </row>
    <row r="40" hidden="1">
      <c r="A40" s="15">
        <v>46077.62652753669</v>
      </c>
      <c r="B40" s="3" t="s">
        <v>1086</v>
      </c>
      <c r="C40" s="16" t="s">
        <v>1087</v>
      </c>
      <c r="D40" s="17">
        <v>46082.0</v>
      </c>
      <c r="E40" s="18">
        <v>17.765</v>
      </c>
      <c r="F40" s="16" t="s">
        <v>93</v>
      </c>
      <c r="G40" s="21">
        <v>12.0859</v>
      </c>
      <c r="H40" s="21">
        <v>1.4699</v>
      </c>
      <c r="I40" s="24"/>
      <c r="J40" s="19">
        <v>22.1259</v>
      </c>
      <c r="K40" s="19">
        <v>25.1374</v>
      </c>
      <c r="L40" s="19">
        <v>44.3886</v>
      </c>
      <c r="M40" s="19">
        <v>1.01</v>
      </c>
      <c r="N40" s="16" t="s">
        <v>1088</v>
      </c>
      <c r="O40" s="19">
        <v>0.3106</v>
      </c>
      <c r="P40" s="21">
        <v>0.4495</v>
      </c>
      <c r="Q40" s="21">
        <v>0.8907</v>
      </c>
      <c r="R40" s="21">
        <v>752628.8</v>
      </c>
      <c r="S40" s="21">
        <v>0.694</v>
      </c>
      <c r="T40" s="20">
        <v>1.843402603E9</v>
      </c>
      <c r="U40" s="21">
        <v>33.971</v>
      </c>
      <c r="V40" s="21">
        <v>17.6813</v>
      </c>
      <c r="W40" s="21">
        <v>16.8999</v>
      </c>
      <c r="X40" s="21">
        <v>18.1149</v>
      </c>
      <c r="Y40" s="21">
        <v>18.1103</v>
      </c>
      <c r="Z40" s="21">
        <v>17.928</v>
      </c>
      <c r="AA40" s="21">
        <v>17.6546</v>
      </c>
      <c r="AB40" s="21">
        <v>17.3616</v>
      </c>
      <c r="AC40" s="21">
        <v>10.2923</v>
      </c>
      <c r="AD40" s="21">
        <v>27.2658</v>
      </c>
      <c r="AE40" s="21">
        <v>4.4663</v>
      </c>
      <c r="AF40" s="21">
        <v>0.2636</v>
      </c>
      <c r="AG40" s="21">
        <v>0.0418</v>
      </c>
      <c r="AH40" s="21">
        <v>0.3453</v>
      </c>
      <c r="AI40" s="22">
        <f>IFERROR(__xludf.DUMMYFUNCTION("IFERROR(GOOGLEFINANCE(B40,""price""),"""")"),18.73)</f>
        <v>18.73</v>
      </c>
    </row>
    <row r="41">
      <c r="A41" s="7">
        <v>46083.62804643919</v>
      </c>
      <c r="B41" s="8" t="s">
        <v>1089</v>
      </c>
      <c r="C41" s="8" t="s">
        <v>1090</v>
      </c>
      <c r="D41" s="9">
        <v>46089.0</v>
      </c>
      <c r="E41" s="10">
        <v>14.07</v>
      </c>
      <c r="F41" s="8" t="s">
        <v>102</v>
      </c>
      <c r="G41" s="13">
        <v>34.4347</v>
      </c>
      <c r="H41" s="13">
        <v>0.4086</v>
      </c>
      <c r="I41" s="23"/>
      <c r="J41" s="11">
        <v>34.9861</v>
      </c>
      <c r="K41" s="11">
        <v>39.9431</v>
      </c>
      <c r="L41" s="11">
        <v>49.34</v>
      </c>
      <c r="M41" s="11">
        <v>1.35</v>
      </c>
      <c r="N41" s="8" t="s">
        <v>1091</v>
      </c>
      <c r="O41" s="11">
        <v>-2.4948</v>
      </c>
      <c r="P41" s="13">
        <v>0.6824</v>
      </c>
      <c r="Q41" s="13">
        <v>1.0077</v>
      </c>
      <c r="R41" s="13">
        <v>899353.6</v>
      </c>
      <c r="S41" s="13">
        <v>0.9075</v>
      </c>
      <c r="T41" s="12">
        <v>1.18884042E9</v>
      </c>
      <c r="U41" s="13">
        <v>48.36</v>
      </c>
      <c r="V41" s="13">
        <v>13.4864</v>
      </c>
      <c r="W41" s="13">
        <v>11.4612</v>
      </c>
      <c r="X41" s="13">
        <v>14.4007</v>
      </c>
      <c r="Y41" s="13">
        <v>14.2335</v>
      </c>
      <c r="Z41" s="13">
        <v>13.9773</v>
      </c>
      <c r="AA41" s="13">
        <v>13.5902</v>
      </c>
      <c r="AB41" s="13">
        <v>13.0117</v>
      </c>
      <c r="AC41" s="13">
        <v>10.6087</v>
      </c>
      <c r="AD41" s="13">
        <v>16.866</v>
      </c>
      <c r="AE41" s="13">
        <v>-38.4139</v>
      </c>
      <c r="AF41" s="13">
        <v>0.0831</v>
      </c>
      <c r="AG41" s="13">
        <v>1.4261</v>
      </c>
      <c r="AH41" s="13">
        <v>0.1635</v>
      </c>
      <c r="AI41" s="14">
        <f>IFERROR(__xludf.DUMMYFUNCTION("IFERROR(GOOGLEFINANCE(B41,""price""),"""")"),15.03)</f>
        <v>15.03</v>
      </c>
    </row>
    <row r="42">
      <c r="A42" s="7">
        <v>46084.62717941553</v>
      </c>
      <c r="B42" s="8" t="s">
        <v>1089</v>
      </c>
      <c r="C42" s="8" t="s">
        <v>1090</v>
      </c>
      <c r="D42" s="9">
        <v>46089.0</v>
      </c>
      <c r="E42" s="10">
        <v>13.6855</v>
      </c>
      <c r="F42" s="8" t="s">
        <v>102</v>
      </c>
      <c r="G42" s="13">
        <v>33.4936</v>
      </c>
      <c r="H42" s="13">
        <v>0.4086</v>
      </c>
      <c r="I42" s="23"/>
      <c r="J42" s="11">
        <v>32.5738</v>
      </c>
      <c r="K42" s="11">
        <v>28.2569</v>
      </c>
      <c r="L42" s="11">
        <v>44.3914</v>
      </c>
      <c r="M42" s="11">
        <v>1.32</v>
      </c>
      <c r="N42" s="8" t="s">
        <v>1091</v>
      </c>
      <c r="O42" s="11">
        <v>-2.7328</v>
      </c>
      <c r="P42" s="13">
        <v>0.6983</v>
      </c>
      <c r="Q42" s="13">
        <v>1.0602</v>
      </c>
      <c r="R42" s="13">
        <v>928038.2</v>
      </c>
      <c r="S42" s="13">
        <v>0.7416</v>
      </c>
      <c r="T42" s="12">
        <v>1.156807082E9</v>
      </c>
      <c r="U42" s="13">
        <v>38.9589</v>
      </c>
      <c r="V42" s="13">
        <v>13.5133</v>
      </c>
      <c r="W42" s="13">
        <v>11.4833</v>
      </c>
      <c r="X42" s="13">
        <v>14.2418</v>
      </c>
      <c r="Y42" s="13">
        <v>14.1837</v>
      </c>
      <c r="Z42" s="13">
        <v>13.9606</v>
      </c>
      <c r="AA42" s="13">
        <v>13.5936</v>
      </c>
      <c r="AB42" s="13">
        <v>13.0266</v>
      </c>
      <c r="AC42" s="13">
        <v>10.6087</v>
      </c>
      <c r="AD42" s="13">
        <v>16.866</v>
      </c>
      <c r="AE42" s="13">
        <v>-38.4139</v>
      </c>
      <c r="AF42" s="13">
        <v>0.0831</v>
      </c>
      <c r="AG42" s="13">
        <v>1.4261</v>
      </c>
      <c r="AH42" s="13">
        <v>0.4982</v>
      </c>
      <c r="AI42" s="14">
        <f>IFERROR(__xludf.DUMMYFUNCTION("IFERROR(GOOGLEFINANCE(B42,""price""),"""")"),15.03)</f>
        <v>15.03</v>
      </c>
    </row>
    <row r="43">
      <c r="A43" s="7">
        <v>46085.62688135338</v>
      </c>
      <c r="B43" s="8" t="s">
        <v>1089</v>
      </c>
      <c r="C43" s="8" t="s">
        <v>1090</v>
      </c>
      <c r="D43" s="9">
        <v>46089.0</v>
      </c>
      <c r="E43" s="10">
        <v>14.02</v>
      </c>
      <c r="F43" s="8" t="s">
        <v>102</v>
      </c>
      <c r="G43" s="13">
        <v>34.3123</v>
      </c>
      <c r="H43" s="13">
        <v>0.4086</v>
      </c>
      <c r="I43" s="23"/>
      <c r="J43" s="11">
        <v>30.8087</v>
      </c>
      <c r="K43" s="11">
        <v>25.1347</v>
      </c>
      <c r="L43" s="11">
        <v>49.1618</v>
      </c>
      <c r="M43" s="11">
        <v>1.31</v>
      </c>
      <c r="N43" s="8" t="s">
        <v>1091</v>
      </c>
      <c r="O43" s="11">
        <v>2.4105</v>
      </c>
      <c r="P43" s="13">
        <v>0.6938</v>
      </c>
      <c r="Q43" s="13">
        <v>1.0602</v>
      </c>
      <c r="R43" s="13">
        <v>989428.5</v>
      </c>
      <c r="S43" s="13">
        <v>0.8478</v>
      </c>
      <c r="T43" s="12">
        <v>1.185081666E9</v>
      </c>
      <c r="U43" s="13">
        <v>31.1295</v>
      </c>
      <c r="V43" s="13">
        <v>13.5472</v>
      </c>
      <c r="W43" s="13">
        <v>11.5086</v>
      </c>
      <c r="X43" s="13">
        <v>14.1933</v>
      </c>
      <c r="Y43" s="13">
        <v>14.1691</v>
      </c>
      <c r="Z43" s="13">
        <v>13.9642</v>
      </c>
      <c r="AA43" s="13">
        <v>13.609</v>
      </c>
      <c r="AB43" s="13">
        <v>13.0488</v>
      </c>
      <c r="AC43" s="13">
        <v>10.6087</v>
      </c>
      <c r="AD43" s="13">
        <v>16.866</v>
      </c>
      <c r="AE43" s="13">
        <v>-38.4139</v>
      </c>
      <c r="AF43" s="13">
        <v>0.0831</v>
      </c>
      <c r="AG43" s="13">
        <v>1.4261</v>
      </c>
      <c r="AH43" s="13">
        <v>0.1491</v>
      </c>
      <c r="AI43" s="14">
        <f>IFERROR(__xludf.DUMMYFUNCTION("IFERROR(GOOGLEFINANCE(B43,""price""),"""")"),15.03)</f>
        <v>15.03</v>
      </c>
    </row>
    <row r="44">
      <c r="A44" s="7">
        <v>46086.62606997598</v>
      </c>
      <c r="B44" s="8" t="s">
        <v>1092</v>
      </c>
      <c r="C44" s="8" t="s">
        <v>1093</v>
      </c>
      <c r="D44" s="9">
        <v>46089.0</v>
      </c>
      <c r="E44" s="10">
        <v>42.439</v>
      </c>
      <c r="F44" s="8" t="s">
        <v>186</v>
      </c>
      <c r="G44" s="13">
        <v>32.1605</v>
      </c>
      <c r="H44" s="13">
        <v>1.3196</v>
      </c>
      <c r="I44" s="8" t="s">
        <v>1094</v>
      </c>
      <c r="J44" s="11">
        <v>21.6012</v>
      </c>
      <c r="K44" s="11">
        <v>24.7425</v>
      </c>
      <c r="L44" s="11">
        <v>44.5772</v>
      </c>
      <c r="M44" s="11">
        <v>1.02</v>
      </c>
      <c r="N44" s="8" t="s">
        <v>1095</v>
      </c>
      <c r="O44" s="11">
        <v>-2.5958</v>
      </c>
      <c r="P44" s="13">
        <v>1.7443</v>
      </c>
      <c r="Q44" s="13">
        <v>3.4289</v>
      </c>
      <c r="R44" s="13">
        <v>528425.5</v>
      </c>
      <c r="S44" s="13">
        <v>1.4278</v>
      </c>
      <c r="T44" s="12">
        <v>1.513558308E9</v>
      </c>
      <c r="U44" s="13">
        <v>41.8453</v>
      </c>
      <c r="V44" s="13">
        <v>42.1202</v>
      </c>
      <c r="W44" s="13">
        <v>39.073</v>
      </c>
      <c r="X44" s="13">
        <v>44.2258</v>
      </c>
      <c r="Y44" s="13">
        <v>43.8975</v>
      </c>
      <c r="Z44" s="13">
        <v>43.2695</v>
      </c>
      <c r="AA44" s="13">
        <v>42.6109</v>
      </c>
      <c r="AB44" s="13">
        <v>41.686</v>
      </c>
      <c r="AC44" s="13">
        <v>26.4159</v>
      </c>
      <c r="AD44" s="13">
        <v>26.8861</v>
      </c>
      <c r="AE44" s="13">
        <v>2.9443</v>
      </c>
      <c r="AF44" s="13">
        <v>0.0284</v>
      </c>
      <c r="AG44" s="13">
        <v>7.988</v>
      </c>
      <c r="AH44" s="13">
        <v>1.4585</v>
      </c>
      <c r="AI44" s="14">
        <f>IFERROR(__xludf.DUMMYFUNCTION("IFERROR(GOOGLEFINANCE(B44,""price""),"""")"),42.75)</f>
        <v>42.75</v>
      </c>
    </row>
    <row r="45">
      <c r="A45" s="7">
        <v>46090.667319226275</v>
      </c>
      <c r="B45" s="8" t="s">
        <v>1096</v>
      </c>
      <c r="C45" s="8" t="s">
        <v>1097</v>
      </c>
      <c r="D45" s="9">
        <v>46096.0</v>
      </c>
      <c r="E45" s="10">
        <v>36.75</v>
      </c>
      <c r="F45" s="8" t="s">
        <v>107</v>
      </c>
      <c r="G45" s="13">
        <v>12.3621</v>
      </c>
      <c r="H45" s="13">
        <v>2.9728</v>
      </c>
      <c r="I45" s="8" t="s">
        <v>1094</v>
      </c>
      <c r="J45" s="11">
        <v>33.3197</v>
      </c>
      <c r="K45" s="11">
        <v>32.0673</v>
      </c>
      <c r="L45" s="11">
        <v>49.0944</v>
      </c>
      <c r="M45" s="11">
        <v>1.26</v>
      </c>
      <c r="N45" s="8" t="s">
        <v>1098</v>
      </c>
      <c r="O45" s="11">
        <v>-1.8429</v>
      </c>
      <c r="P45" s="13">
        <v>1.5066</v>
      </c>
      <c r="Q45" s="13">
        <v>2.3885</v>
      </c>
      <c r="R45" s="13">
        <v>617443.5</v>
      </c>
      <c r="S45" s="13">
        <v>1.26</v>
      </c>
      <c r="T45" s="12">
        <v>1.383733115E9</v>
      </c>
      <c r="U45" s="13">
        <v>43.4266</v>
      </c>
      <c r="V45" s="13">
        <v>35.917</v>
      </c>
      <c r="W45" s="13">
        <v>33.7032</v>
      </c>
      <c r="X45" s="13">
        <v>37.774</v>
      </c>
      <c r="Y45" s="13">
        <v>37.1761</v>
      </c>
      <c r="Z45" s="13">
        <v>36.6444</v>
      </c>
      <c r="AA45" s="13">
        <v>36.1331</v>
      </c>
      <c r="AB45" s="13">
        <v>35.6157</v>
      </c>
      <c r="AC45" s="13">
        <v>16.2125</v>
      </c>
      <c r="AD45" s="13">
        <v>6.7426</v>
      </c>
      <c r="AE45" s="13">
        <v>1.7481</v>
      </c>
      <c r="AF45" s="13">
        <v>0.7158</v>
      </c>
      <c r="AG45" s="13">
        <v>2.519</v>
      </c>
      <c r="AH45" s="13">
        <v>0.4261</v>
      </c>
      <c r="AI45" s="14">
        <f>IFERROR(__xludf.DUMMYFUNCTION("IFERROR(GOOGLEFINANCE(B45,""price""),"""")"),38.54)</f>
        <v>38.54</v>
      </c>
    </row>
    <row r="46">
      <c r="A46" s="15">
        <v>46090.667319226275</v>
      </c>
      <c r="B46" s="16" t="s">
        <v>1099</v>
      </c>
      <c r="C46" s="16" t="s">
        <v>1100</v>
      </c>
      <c r="D46" s="17">
        <v>46096.0</v>
      </c>
      <c r="E46" s="18">
        <v>22.32</v>
      </c>
      <c r="F46" s="16" t="s">
        <v>117</v>
      </c>
      <c r="G46" s="21">
        <v>7.3051</v>
      </c>
      <c r="H46" s="21">
        <v>3.0554</v>
      </c>
      <c r="I46" s="24"/>
      <c r="J46" s="19">
        <v>38.5973</v>
      </c>
      <c r="K46" s="19">
        <v>10.9022</v>
      </c>
      <c r="L46" s="19">
        <v>50.7797</v>
      </c>
      <c r="M46" s="19">
        <v>1.09</v>
      </c>
      <c r="N46" s="16" t="s">
        <v>1101</v>
      </c>
      <c r="O46" s="19">
        <v>1.3164</v>
      </c>
      <c r="P46" s="21">
        <v>0.7311</v>
      </c>
      <c r="Q46" s="21">
        <v>1.3375</v>
      </c>
      <c r="R46" s="21">
        <v>805483.8</v>
      </c>
      <c r="S46" s="21">
        <v>0.7194</v>
      </c>
      <c r="T46" s="20">
        <v>1.653323842E9</v>
      </c>
      <c r="U46" s="21">
        <v>12.9059</v>
      </c>
      <c r="V46" s="21">
        <v>21.129</v>
      </c>
      <c r="W46" s="21">
        <v>20.1159</v>
      </c>
      <c r="X46" s="21">
        <v>22.5474</v>
      </c>
      <c r="Y46" s="21">
        <v>22.4428</v>
      </c>
      <c r="Z46" s="21">
        <v>22.037</v>
      </c>
      <c r="AA46" s="21">
        <v>21.5247</v>
      </c>
      <c r="AB46" s="21">
        <v>20.9944</v>
      </c>
      <c r="AC46" s="21">
        <v>29.095</v>
      </c>
      <c r="AD46" s="21">
        <v>38.5166</v>
      </c>
      <c r="AE46" s="21">
        <v>14.125</v>
      </c>
      <c r="AF46" s="21">
        <v>0.2294</v>
      </c>
      <c r="AG46" s="21">
        <v>14.6393</v>
      </c>
      <c r="AH46" s="21">
        <v>0.1228</v>
      </c>
      <c r="AI46" s="22">
        <f>IFERROR(__xludf.DUMMYFUNCTION("IFERROR(GOOGLEFINANCE(B46,""price""),"""")"),23.76)</f>
        <v>23.76</v>
      </c>
    </row>
    <row r="47">
      <c r="A47" s="7">
        <v>46091.66896919285</v>
      </c>
      <c r="B47" s="8" t="s">
        <v>1096</v>
      </c>
      <c r="C47" s="8" t="s">
        <v>1097</v>
      </c>
      <c r="D47" s="9">
        <v>46096.0</v>
      </c>
      <c r="E47" s="10">
        <v>38.11</v>
      </c>
      <c r="F47" s="8" t="s">
        <v>107</v>
      </c>
      <c r="G47" s="13">
        <v>12.8196</v>
      </c>
      <c r="H47" s="13">
        <v>2.9728</v>
      </c>
      <c r="I47" s="23"/>
      <c r="J47" s="11">
        <v>33.8292</v>
      </c>
      <c r="K47" s="11">
        <v>28.8283</v>
      </c>
      <c r="L47" s="11">
        <v>56.0636</v>
      </c>
      <c r="M47" s="11">
        <v>1.25</v>
      </c>
      <c r="N47" s="8" t="s">
        <v>1098</v>
      </c>
      <c r="O47" s="11">
        <v>3.7007</v>
      </c>
      <c r="P47" s="13">
        <v>1.5775</v>
      </c>
      <c r="Q47" s="13">
        <v>2.5178</v>
      </c>
      <c r="R47" s="13">
        <v>646809.5</v>
      </c>
      <c r="S47" s="13">
        <v>0.9327</v>
      </c>
      <c r="T47" s="12">
        <v>1.434940706E9</v>
      </c>
      <c r="U47" s="13">
        <v>35.8837</v>
      </c>
      <c r="V47" s="13">
        <v>35.9666</v>
      </c>
      <c r="W47" s="13">
        <v>33.747</v>
      </c>
      <c r="X47" s="13">
        <v>37.8486</v>
      </c>
      <c r="Y47" s="13">
        <v>37.261</v>
      </c>
      <c r="Z47" s="13">
        <v>36.7281</v>
      </c>
      <c r="AA47" s="13">
        <v>36.2037</v>
      </c>
      <c r="AB47" s="13">
        <v>35.6711</v>
      </c>
      <c r="AC47" s="13">
        <v>16.2125</v>
      </c>
      <c r="AD47" s="13">
        <v>6.7426</v>
      </c>
      <c r="AE47" s="13">
        <v>1.7481</v>
      </c>
      <c r="AF47" s="13">
        <v>0.7158</v>
      </c>
      <c r="AG47" s="13">
        <v>2.519</v>
      </c>
      <c r="AH47" s="13">
        <v>0.849</v>
      </c>
      <c r="AI47" s="14">
        <f>IFERROR(__xludf.DUMMYFUNCTION("IFERROR(GOOGLEFINANCE(B47,""price""),"""")"),38.54)</f>
        <v>38.54</v>
      </c>
    </row>
    <row r="48">
      <c r="A48" s="15">
        <v>46091.66896919285</v>
      </c>
      <c r="B48" s="16" t="s">
        <v>1099</v>
      </c>
      <c r="C48" s="16" t="s">
        <v>1100</v>
      </c>
      <c r="D48" s="17">
        <v>46096.0</v>
      </c>
      <c r="E48" s="18">
        <v>22.41</v>
      </c>
      <c r="F48" s="16" t="s">
        <v>117</v>
      </c>
      <c r="G48" s="21">
        <v>7.3346</v>
      </c>
      <c r="H48" s="21">
        <v>3.0554</v>
      </c>
      <c r="I48" s="24"/>
      <c r="J48" s="19">
        <v>38.0536</v>
      </c>
      <c r="K48" s="19">
        <v>15.6056</v>
      </c>
      <c r="L48" s="19">
        <v>51.7791</v>
      </c>
      <c r="M48" s="19">
        <v>1.05</v>
      </c>
      <c r="N48" s="16" t="s">
        <v>1101</v>
      </c>
      <c r="O48" s="19">
        <v>0.4032</v>
      </c>
      <c r="P48" s="21">
        <v>0.7175</v>
      </c>
      <c r="Q48" s="21">
        <v>1.3618</v>
      </c>
      <c r="R48" s="21">
        <v>780337.5</v>
      </c>
      <c r="S48" s="21">
        <v>0.7778</v>
      </c>
      <c r="T48" s="20">
        <v>1.659990396E9</v>
      </c>
      <c r="U48" s="21">
        <v>12.756</v>
      </c>
      <c r="V48" s="21">
        <v>21.1818</v>
      </c>
      <c r="W48" s="21">
        <v>20.1388</v>
      </c>
      <c r="X48" s="21">
        <v>22.5168</v>
      </c>
      <c r="Y48" s="21">
        <v>22.4398</v>
      </c>
      <c r="Z48" s="21">
        <v>22.0583</v>
      </c>
      <c r="AA48" s="21">
        <v>21.5563</v>
      </c>
      <c r="AB48" s="21">
        <v>21.0258</v>
      </c>
      <c r="AC48" s="21">
        <v>29.095</v>
      </c>
      <c r="AD48" s="21">
        <v>38.5166</v>
      </c>
      <c r="AE48" s="21">
        <v>14.125</v>
      </c>
      <c r="AF48" s="21">
        <v>0.2294</v>
      </c>
      <c r="AG48" s="21">
        <v>14.6393</v>
      </c>
      <c r="AH48" s="21">
        <v>0.0298</v>
      </c>
      <c r="AI48" s="22">
        <f>IFERROR(__xludf.DUMMYFUNCTION("IFERROR(GOOGLEFINANCE(B48,""price""),"""")"),23.76)</f>
        <v>23.76</v>
      </c>
    </row>
    <row r="49">
      <c r="A49" s="7">
        <v>46094.66695265339</v>
      </c>
      <c r="B49" s="8" t="s">
        <v>1080</v>
      </c>
      <c r="C49" s="8" t="s">
        <v>1081</v>
      </c>
      <c r="D49" s="9">
        <v>46096.0</v>
      </c>
      <c r="E49" s="10">
        <v>35.67</v>
      </c>
      <c r="F49" s="8" t="s">
        <v>308</v>
      </c>
      <c r="G49" s="13">
        <v>0.0</v>
      </c>
      <c r="H49" s="13">
        <v>-0.2955</v>
      </c>
      <c r="I49" s="23"/>
      <c r="J49" s="11">
        <v>27.9309</v>
      </c>
      <c r="K49" s="11">
        <v>38.6631</v>
      </c>
      <c r="L49" s="11">
        <v>49.9186</v>
      </c>
      <c r="M49" s="11">
        <v>1.46</v>
      </c>
      <c r="N49" s="8" t="s">
        <v>1082</v>
      </c>
      <c r="O49" s="11">
        <v>-5.259</v>
      </c>
      <c r="P49" s="13">
        <v>4.5595</v>
      </c>
      <c r="Q49" s="13">
        <v>6.2303</v>
      </c>
      <c r="R49" s="8">
        <v>2044747.0</v>
      </c>
      <c r="S49" s="13">
        <v>0.7874</v>
      </c>
      <c r="T49" s="12">
        <v>1.092477341E9</v>
      </c>
      <c r="U49" s="13">
        <v>56.7763</v>
      </c>
      <c r="V49" s="13">
        <v>30.7724</v>
      </c>
      <c r="W49" s="13">
        <v>24.6288</v>
      </c>
      <c r="X49" s="13">
        <v>38.9175</v>
      </c>
      <c r="Y49" s="13">
        <v>36.8782</v>
      </c>
      <c r="Z49" s="13">
        <v>34.5379</v>
      </c>
      <c r="AA49" s="13">
        <v>31.9568</v>
      </c>
      <c r="AB49" s="13">
        <v>29.4039</v>
      </c>
      <c r="AC49" s="13">
        <v>-6.9744</v>
      </c>
      <c r="AD49" s="13">
        <v>-22.8493</v>
      </c>
      <c r="AE49" s="13">
        <v>4.9552</v>
      </c>
      <c r="AF49" s="13">
        <v>0.0777</v>
      </c>
      <c r="AG49" s="13">
        <v>10.6188</v>
      </c>
      <c r="AH49" s="13">
        <v>1.2082</v>
      </c>
      <c r="AI49" s="14">
        <f>IFERROR(__xludf.DUMMYFUNCTION("IFERROR(GOOGLEFINANCE(B49,""price""),"""")"),70.43)</f>
        <v>70.43</v>
      </c>
    </row>
    <row r="50">
      <c r="A50" s="7">
        <v>46097.62785541007</v>
      </c>
      <c r="B50" s="8" t="s">
        <v>1080</v>
      </c>
      <c r="C50" s="8" t="s">
        <v>1081</v>
      </c>
      <c r="D50" s="9">
        <v>46103.0</v>
      </c>
      <c r="E50" s="10">
        <v>37.35</v>
      </c>
      <c r="F50" s="8" t="s">
        <v>308</v>
      </c>
      <c r="G50" s="13">
        <v>0.0</v>
      </c>
      <c r="H50" s="13">
        <v>-0.2955</v>
      </c>
      <c r="I50" s="23"/>
      <c r="J50" s="11">
        <v>26.3506</v>
      </c>
      <c r="K50" s="11">
        <v>21.4971</v>
      </c>
      <c r="L50" s="11">
        <v>52.3851</v>
      </c>
      <c r="M50" s="11">
        <v>1.49</v>
      </c>
      <c r="N50" s="8" t="s">
        <v>1082</v>
      </c>
      <c r="O50" s="11">
        <v>4.7098</v>
      </c>
      <c r="P50" s="13">
        <v>4.4945</v>
      </c>
      <c r="Q50" s="13">
        <v>6.046</v>
      </c>
      <c r="R50" s="8">
        <v>1885488.0</v>
      </c>
      <c r="S50" s="13">
        <v>0.5498</v>
      </c>
      <c r="T50" s="12">
        <v>1.143931173E9</v>
      </c>
      <c r="U50" s="13">
        <v>40.0024</v>
      </c>
      <c r="V50" s="13">
        <v>31.1156</v>
      </c>
      <c r="W50" s="13">
        <v>24.7554</v>
      </c>
      <c r="X50" s="13">
        <v>38.5692</v>
      </c>
      <c r="Y50" s="13">
        <v>36.9211</v>
      </c>
      <c r="Z50" s="13">
        <v>34.6986</v>
      </c>
      <c r="AA50" s="13">
        <v>32.1494</v>
      </c>
      <c r="AB50" s="13">
        <v>29.5805</v>
      </c>
      <c r="AC50" s="13">
        <v>-6.9744</v>
      </c>
      <c r="AD50" s="13">
        <v>-22.8493</v>
      </c>
      <c r="AE50" s="13">
        <v>4.9552</v>
      </c>
      <c r="AF50" s="13">
        <v>0.0777</v>
      </c>
      <c r="AG50" s="13">
        <v>10.6188</v>
      </c>
      <c r="AH50" s="13">
        <v>0.4289</v>
      </c>
      <c r="AI50" s="14">
        <f>IFERROR(__xludf.DUMMYFUNCTION("IFERROR(GOOGLEFINANCE(B50,""price""),"""")"),70.43)</f>
        <v>70.43</v>
      </c>
    </row>
    <row r="51">
      <c r="A51" s="7">
        <v>46097.6684785622</v>
      </c>
      <c r="B51" s="8" t="s">
        <v>1080</v>
      </c>
      <c r="C51" s="8" t="s">
        <v>1081</v>
      </c>
      <c r="D51" s="9">
        <v>46103.0</v>
      </c>
      <c r="E51" s="10">
        <v>37.48</v>
      </c>
      <c r="F51" s="8" t="s">
        <v>308</v>
      </c>
      <c r="G51" s="13">
        <v>0.0</v>
      </c>
      <c r="H51" s="13">
        <v>-0.2955</v>
      </c>
      <c r="I51" s="23"/>
      <c r="J51" s="11">
        <v>26.3506</v>
      </c>
      <c r="K51" s="11">
        <v>21.8488</v>
      </c>
      <c r="L51" s="11">
        <v>52.5658</v>
      </c>
      <c r="M51" s="11">
        <v>1.49</v>
      </c>
      <c r="N51" s="8" t="s">
        <v>1082</v>
      </c>
      <c r="O51" s="11">
        <v>5.0743</v>
      </c>
      <c r="P51" s="13">
        <v>4.4945</v>
      </c>
      <c r="Q51" s="13">
        <v>6.046</v>
      </c>
      <c r="R51" s="8">
        <v>1899648.0</v>
      </c>
      <c r="S51" s="13">
        <v>0.6191</v>
      </c>
      <c r="T51" s="12">
        <v>1.147912728E9</v>
      </c>
      <c r="U51" s="13">
        <v>40.1197</v>
      </c>
      <c r="V51" s="13">
        <v>31.1182</v>
      </c>
      <c r="W51" s="13">
        <v>24.7567</v>
      </c>
      <c r="X51" s="13">
        <v>38.5981</v>
      </c>
      <c r="Y51" s="13">
        <v>36.9329</v>
      </c>
      <c r="Z51" s="13">
        <v>34.706</v>
      </c>
      <c r="AA51" s="13">
        <v>32.1541</v>
      </c>
      <c r="AB51" s="13">
        <v>29.5834</v>
      </c>
      <c r="AC51" s="13">
        <v>-6.9744</v>
      </c>
      <c r="AD51" s="13">
        <v>-22.8493</v>
      </c>
      <c r="AE51" s="13">
        <v>4.9552</v>
      </c>
      <c r="AF51" s="13">
        <v>0.0777</v>
      </c>
      <c r="AG51" s="13">
        <v>10.6188</v>
      </c>
      <c r="AH51" s="13">
        <v>0.5471</v>
      </c>
      <c r="AI51" s="14">
        <f>IFERROR(__xludf.DUMMYFUNCTION("IFERROR(GOOGLEFINANCE(B51,""price""),"""")"),70.43)</f>
        <v>70.43</v>
      </c>
    </row>
    <row r="52">
      <c r="A52" s="7">
        <v>46102.75478775566</v>
      </c>
      <c r="B52" s="8" t="s">
        <v>1080</v>
      </c>
      <c r="C52" s="8" t="s">
        <v>1081</v>
      </c>
      <c r="D52" s="9">
        <v>46103.0</v>
      </c>
      <c r="E52" s="10">
        <v>34.52</v>
      </c>
      <c r="F52" s="8" t="s">
        <v>308</v>
      </c>
      <c r="G52" s="13">
        <v>0.0</v>
      </c>
      <c r="H52" s="13">
        <v>-0.2955</v>
      </c>
      <c r="I52" s="23"/>
      <c r="J52" s="11">
        <v>20.8703</v>
      </c>
      <c r="K52" s="11">
        <v>17.4269</v>
      </c>
      <c r="L52" s="11">
        <v>47.4669</v>
      </c>
      <c r="M52" s="11">
        <v>1.36</v>
      </c>
      <c r="N52" s="8" t="s">
        <v>1082</v>
      </c>
      <c r="O52" s="11">
        <v>-8.5805</v>
      </c>
      <c r="P52" s="13">
        <v>4.2294</v>
      </c>
      <c r="Q52" s="13">
        <v>6.2081</v>
      </c>
      <c r="R52" s="8">
        <v>1483161.0</v>
      </c>
      <c r="S52" s="13">
        <v>1.2017</v>
      </c>
      <c r="T52" s="12">
        <v>1.057255868E9</v>
      </c>
      <c r="U52" s="13">
        <v>19.2223</v>
      </c>
      <c r="V52" s="13">
        <v>32.1406</v>
      </c>
      <c r="W52" s="13">
        <v>25.2137</v>
      </c>
      <c r="X52" s="13">
        <v>37.0817</v>
      </c>
      <c r="Y52" s="13">
        <v>36.7458</v>
      </c>
      <c r="Z52" s="13">
        <v>35.0556</v>
      </c>
      <c r="AA52" s="13">
        <v>32.7277</v>
      </c>
      <c r="AB52" s="13">
        <v>30.1696</v>
      </c>
      <c r="AC52" s="13">
        <v>-6.9744</v>
      </c>
      <c r="AD52" s="13">
        <v>-22.8493</v>
      </c>
      <c r="AE52" s="13">
        <v>4.9552</v>
      </c>
      <c r="AF52" s="13">
        <v>0.0777</v>
      </c>
      <c r="AG52" s="13">
        <v>10.6188</v>
      </c>
      <c r="AH52" s="13">
        <v>2.2258</v>
      </c>
      <c r="AI52" s="14">
        <f>IFERROR(__xludf.DUMMYFUNCTION("IFERROR(GOOGLEFINANCE(B52,""price""),"""")"),70.43)</f>
        <v>70.43</v>
      </c>
    </row>
    <row r="53">
      <c r="A53" s="7">
        <v>46106.66680338669</v>
      </c>
      <c r="B53" s="8" t="s">
        <v>1077</v>
      </c>
      <c r="C53" s="8" t="s">
        <v>1078</v>
      </c>
      <c r="D53" s="9">
        <v>46110.0</v>
      </c>
      <c r="E53" s="10">
        <v>9.87</v>
      </c>
      <c r="F53" s="8" t="s">
        <v>335</v>
      </c>
      <c r="G53" s="13">
        <v>0.0</v>
      </c>
      <c r="H53" s="13">
        <v>-0.0349</v>
      </c>
      <c r="I53" s="23"/>
      <c r="J53" s="11">
        <v>27.6383</v>
      </c>
      <c r="K53" s="11">
        <v>38.3575</v>
      </c>
      <c r="L53" s="11">
        <v>53.7002</v>
      </c>
      <c r="M53" s="11">
        <v>1.02</v>
      </c>
      <c r="N53" s="8" t="s">
        <v>1102</v>
      </c>
      <c r="O53" s="11">
        <v>6.3578</v>
      </c>
      <c r="P53" s="13">
        <v>1.1086</v>
      </c>
      <c r="Q53" s="13">
        <v>2.1759</v>
      </c>
      <c r="R53" s="8">
        <v>1.5673061E7</v>
      </c>
      <c r="S53" s="13">
        <v>0.9233</v>
      </c>
      <c r="T53" s="12">
        <v>1.415080938E9</v>
      </c>
      <c r="U53" s="13">
        <v>25.1818</v>
      </c>
      <c r="V53" s="13">
        <v>8.9254</v>
      </c>
      <c r="W53" s="13">
        <v>6.7519</v>
      </c>
      <c r="X53" s="13">
        <v>9.4146</v>
      </c>
      <c r="Y53" s="13">
        <v>9.3376</v>
      </c>
      <c r="Z53" s="13">
        <v>9.0888</v>
      </c>
      <c r="AA53" s="13">
        <v>8.7132</v>
      </c>
      <c r="AB53" s="13">
        <v>8.2095</v>
      </c>
      <c r="AC53" s="13">
        <v>-5.1187</v>
      </c>
      <c r="AD53" s="13">
        <v>-22.613</v>
      </c>
      <c r="AE53" s="13">
        <v>162.805</v>
      </c>
      <c r="AF53" s="13">
        <v>0.0017</v>
      </c>
      <c r="AG53" s="13">
        <v>5.3788</v>
      </c>
      <c r="AH53" s="13">
        <v>0.5324</v>
      </c>
      <c r="AI53" s="14">
        <f>IFERROR(__xludf.DUMMYFUNCTION("IFERROR(GOOGLEFINANCE(B53,""price""),"""")"),8.36)</f>
        <v>8.36</v>
      </c>
    </row>
    <row r="54">
      <c r="A54" s="7">
        <v>46119.66760087761</v>
      </c>
      <c r="B54" s="8" t="s">
        <v>1103</v>
      </c>
      <c r="C54" s="8" t="s">
        <v>1104</v>
      </c>
      <c r="D54" s="9">
        <v>46124.0</v>
      </c>
      <c r="E54" s="10">
        <v>36.29</v>
      </c>
      <c r="F54" s="8" t="s">
        <v>186</v>
      </c>
      <c r="G54" s="13">
        <v>37.614</v>
      </c>
      <c r="H54" s="13">
        <v>0.9648</v>
      </c>
      <c r="I54" s="23"/>
      <c r="J54" s="11">
        <v>23.732</v>
      </c>
      <c r="K54" s="11">
        <v>27.4921</v>
      </c>
      <c r="L54" s="11">
        <v>52.0101</v>
      </c>
      <c r="M54" s="11">
        <v>1.0</v>
      </c>
      <c r="N54" s="8" t="s">
        <v>1105</v>
      </c>
      <c r="O54" s="11">
        <v>-1.8393</v>
      </c>
      <c r="P54" s="13">
        <v>1.5911</v>
      </c>
      <c r="Q54" s="13">
        <v>3.1866</v>
      </c>
      <c r="R54" s="13">
        <v>658887.2</v>
      </c>
      <c r="S54" s="13">
        <v>0.8732</v>
      </c>
      <c r="T54" s="12">
        <v>1.996694294E9</v>
      </c>
      <c r="U54" s="13">
        <v>29.9017</v>
      </c>
      <c r="V54" s="13">
        <v>33.2136</v>
      </c>
      <c r="W54" s="13">
        <v>30.1374</v>
      </c>
      <c r="X54" s="13">
        <v>36.819</v>
      </c>
      <c r="Y54" s="13">
        <v>36.3221</v>
      </c>
      <c r="Z54" s="13">
        <v>35.2363</v>
      </c>
      <c r="AA54" s="13">
        <v>33.7014</v>
      </c>
      <c r="AB54" s="13">
        <v>32.2043</v>
      </c>
      <c r="AC54" s="13">
        <v>17.4357</v>
      </c>
      <c r="AD54" s="13">
        <v>8.3831</v>
      </c>
      <c r="AE54" s="13">
        <v>12.5899</v>
      </c>
      <c r="AF54" s="13">
        <v>0.862</v>
      </c>
      <c r="AG54" s="13">
        <v>1.1413</v>
      </c>
      <c r="AH54" s="13">
        <v>0.0321</v>
      </c>
      <c r="AI54" s="14">
        <f>IFERROR(__xludf.DUMMYFUNCTION("IFERROR(GOOGLEFINANCE(B54,""price""),"""")"),35.58)</f>
        <v>35.58</v>
      </c>
    </row>
    <row r="55">
      <c r="A55" s="7">
        <v>46120.66740220568</v>
      </c>
      <c r="B55" s="8" t="s">
        <v>1103</v>
      </c>
      <c r="C55" s="8" t="s">
        <v>1104</v>
      </c>
      <c r="D55" s="9">
        <v>46124.0</v>
      </c>
      <c r="E55" s="10">
        <v>35.52</v>
      </c>
      <c r="F55" s="8" t="s">
        <v>186</v>
      </c>
      <c r="G55" s="13">
        <v>36.8159</v>
      </c>
      <c r="H55" s="13">
        <v>0.9648</v>
      </c>
      <c r="I55" s="8" t="s">
        <v>1094</v>
      </c>
      <c r="J55" s="11">
        <v>23.2617</v>
      </c>
      <c r="K55" s="11">
        <v>22.9964</v>
      </c>
      <c r="L55" s="11">
        <v>48.7056</v>
      </c>
      <c r="M55" s="11">
        <v>1.02</v>
      </c>
      <c r="N55" s="8" t="s">
        <v>1105</v>
      </c>
      <c r="O55" s="11">
        <v>-2.1218</v>
      </c>
      <c r="P55" s="13">
        <v>1.6703</v>
      </c>
      <c r="Q55" s="13">
        <v>3.2774</v>
      </c>
      <c r="R55" s="13">
        <v>678520.6</v>
      </c>
      <c r="S55" s="13">
        <v>1.3079</v>
      </c>
      <c r="T55" s="12">
        <v>1.954328487E9</v>
      </c>
      <c r="U55" s="13">
        <v>27.1999</v>
      </c>
      <c r="V55" s="13">
        <v>33.3656</v>
      </c>
      <c r="W55" s="13">
        <v>30.191</v>
      </c>
      <c r="X55" s="13">
        <v>36.5304</v>
      </c>
      <c r="Y55" s="13">
        <v>36.2492</v>
      </c>
      <c r="Z55" s="13">
        <v>35.2525</v>
      </c>
      <c r="AA55" s="13">
        <v>33.7664</v>
      </c>
      <c r="AB55" s="13">
        <v>32.2779</v>
      </c>
      <c r="AC55" s="13">
        <v>17.4357</v>
      </c>
      <c r="AD55" s="13">
        <v>8.3831</v>
      </c>
      <c r="AE55" s="13">
        <v>12.5899</v>
      </c>
      <c r="AF55" s="13">
        <v>0.862</v>
      </c>
      <c r="AG55" s="13">
        <v>1.1413</v>
      </c>
      <c r="AH55" s="13">
        <v>0.7292</v>
      </c>
      <c r="AI55" s="14">
        <f>IFERROR(__xludf.DUMMYFUNCTION("IFERROR(GOOGLEFINANCE(B55,""price""),"""")"),35.58)</f>
        <v>35.58</v>
      </c>
    </row>
  </sheetData>
  <autoFilter ref="$A$1:$AI$55">
    <filterColumn colId="1">
      <filters>
        <filter val="NSSC"/>
        <filter val="INVA"/>
        <filter val="NPKI"/>
        <filter val="TRS"/>
        <filter val="ASM"/>
        <filter val="UTI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6.38"/>
    <col customWidth="1" min="3" max="3" width="28.63"/>
    <col customWidth="1" min="4" max="4" width="10.0"/>
    <col customWidth="1" min="5" max="5" width="11.88"/>
    <col customWidth="1" min="6" max="6" width="5.88"/>
    <col customWidth="1" min="7" max="7" width="6.63"/>
    <col customWidth="1" min="8" max="8" width="11.38"/>
    <col customWidth="1" min="9" max="9" width="8.0"/>
    <col customWidth="1" min="10" max="10" width="6.25"/>
    <col customWidth="1" min="11" max="11" width="5.88"/>
    <col customWidth="1" min="12" max="12" width="6.75"/>
    <col customWidth="1" min="13" max="13" width="20.0"/>
    <col customWidth="1" min="14" max="14" width="19.63"/>
    <col customWidth="1" min="15" max="15" width="14.13"/>
    <col customWidth="1" min="16" max="17" width="6.88"/>
    <col customWidth="1" min="18" max="18" width="6.25"/>
    <col customWidth="1" min="19" max="24" width="6.88"/>
    <col customWidth="1" min="25" max="25" width="7.13"/>
    <col customWidth="1" min="26" max="26" width="7.25"/>
    <col customWidth="1" min="27" max="27" width="15.63"/>
    <col customWidth="1" min="28" max="28" width="15.0"/>
    <col customWidth="1" min="29" max="29" width="12.88"/>
    <col customWidth="1" min="30" max="30" width="11.0"/>
    <col customWidth="1" min="31" max="31" width="19.88"/>
    <col customWidth="1" min="32" max="39" width="10.25"/>
  </cols>
  <sheetData>
    <row r="1">
      <c r="A1" s="6" t="s">
        <v>0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68</v>
      </c>
      <c r="K1" s="6" t="s">
        <v>69</v>
      </c>
      <c r="L1" s="6" t="s">
        <v>70</v>
      </c>
      <c r="M1" s="6" t="s">
        <v>71</v>
      </c>
      <c r="N1" s="6" t="s">
        <v>72</v>
      </c>
      <c r="O1" s="6" t="s">
        <v>73</v>
      </c>
      <c r="P1" s="6" t="s">
        <v>1106</v>
      </c>
      <c r="Q1" s="6" t="s">
        <v>1107</v>
      </c>
      <c r="R1" s="6" t="s">
        <v>76</v>
      </c>
      <c r="S1" s="6" t="s">
        <v>1068</v>
      </c>
      <c r="T1" s="6" t="s">
        <v>1069</v>
      </c>
      <c r="U1" s="6" t="s">
        <v>1070</v>
      </c>
      <c r="V1" s="6" t="s">
        <v>1108</v>
      </c>
      <c r="W1" s="6" t="s">
        <v>1071</v>
      </c>
      <c r="X1" s="6" t="s">
        <v>1072</v>
      </c>
      <c r="Y1" s="6" t="s">
        <v>75</v>
      </c>
      <c r="Z1" s="6" t="s">
        <v>1109</v>
      </c>
      <c r="AA1" s="6" t="s">
        <v>77</v>
      </c>
      <c r="AB1" s="6" t="s">
        <v>1110</v>
      </c>
      <c r="AC1" s="6" t="s">
        <v>1111</v>
      </c>
      <c r="AD1" s="6" t="s">
        <v>78</v>
      </c>
      <c r="AE1" s="6" t="s">
        <v>84</v>
      </c>
      <c r="AF1" s="6" t="s">
        <v>7</v>
      </c>
      <c r="AG1" s="6"/>
      <c r="AH1" s="6"/>
      <c r="AI1" s="6"/>
      <c r="AJ1" s="6"/>
      <c r="AK1" s="6"/>
      <c r="AL1" s="6"/>
      <c r="AM1" s="6"/>
    </row>
    <row r="2">
      <c r="A2" s="7">
        <v>46048.69799857226</v>
      </c>
      <c r="B2" s="8" t="s">
        <v>1112</v>
      </c>
      <c r="C2" s="8" t="s">
        <v>1113</v>
      </c>
      <c r="D2" s="9">
        <v>46054.0</v>
      </c>
      <c r="E2" s="8" t="s">
        <v>1114</v>
      </c>
      <c r="F2" s="10">
        <v>5.1</v>
      </c>
      <c r="G2" s="11">
        <v>-12.9693</v>
      </c>
      <c r="H2" s="8" t="s">
        <v>93</v>
      </c>
      <c r="I2" s="12">
        <v>6692721.0</v>
      </c>
      <c r="J2" s="11">
        <v>20.776</v>
      </c>
      <c r="K2" s="13">
        <v>0.1998</v>
      </c>
      <c r="L2" s="13">
        <v>0.3951</v>
      </c>
      <c r="M2" s="8">
        <v>1158670.0</v>
      </c>
      <c r="N2" s="13">
        <v>12.4241</v>
      </c>
      <c r="O2" s="12">
        <v>4.32689322E8</v>
      </c>
      <c r="P2" s="13">
        <v>66.4811</v>
      </c>
      <c r="Q2" s="13">
        <v>80.87</v>
      </c>
      <c r="R2" s="11">
        <v>32.7689</v>
      </c>
      <c r="S2" s="13">
        <v>5.6338</v>
      </c>
      <c r="T2" s="13">
        <v>5.65</v>
      </c>
      <c r="U2" s="13">
        <v>5.6773</v>
      </c>
      <c r="V2" s="13">
        <v>5.7363</v>
      </c>
      <c r="W2" s="13">
        <v>5.7595</v>
      </c>
      <c r="X2" s="13">
        <v>5.9512</v>
      </c>
      <c r="Y2" s="13">
        <v>6.6306</v>
      </c>
      <c r="Z2" s="13">
        <v>6.6477</v>
      </c>
      <c r="AA2" s="13">
        <v>9.48</v>
      </c>
      <c r="AB2" s="13">
        <v>4.88</v>
      </c>
      <c r="AC2" s="13">
        <v>0.8539</v>
      </c>
      <c r="AD2" s="11">
        <v>1.01</v>
      </c>
      <c r="AE2" s="8" t="s">
        <v>1115</v>
      </c>
      <c r="AF2" s="14">
        <f>IFERROR(__xludf.DUMMYFUNCTION("IFERROR(GOOGLEFINANCE(B2,""price""),"""")"),3.84)</f>
        <v>3.84</v>
      </c>
      <c r="AG2" s="14"/>
      <c r="AH2" s="14"/>
      <c r="AI2" s="14"/>
      <c r="AJ2" s="14"/>
      <c r="AK2" s="14"/>
      <c r="AL2" s="14"/>
      <c r="AM2" s="14"/>
    </row>
    <row r="3">
      <c r="A3" s="15">
        <v>46048.69799857226</v>
      </c>
      <c r="B3" s="16" t="s">
        <v>1116</v>
      </c>
      <c r="C3" s="16" t="s">
        <v>1117</v>
      </c>
      <c r="D3" s="17">
        <v>46054.0</v>
      </c>
      <c r="E3" s="16" t="s">
        <v>1118</v>
      </c>
      <c r="F3" s="18">
        <v>9.45</v>
      </c>
      <c r="G3" s="19">
        <v>0.4251</v>
      </c>
      <c r="H3" s="16" t="s">
        <v>1119</v>
      </c>
      <c r="I3" s="20">
        <v>2648204.0</v>
      </c>
      <c r="J3" s="19">
        <v>30.6363</v>
      </c>
      <c r="K3" s="21">
        <v>0.177</v>
      </c>
      <c r="L3" s="21">
        <v>0.4123</v>
      </c>
      <c r="M3" s="16">
        <v>1411140.0</v>
      </c>
      <c r="N3" s="21">
        <v>2.0712</v>
      </c>
      <c r="O3" s="20">
        <v>1.078368688E9</v>
      </c>
      <c r="P3" s="21">
        <v>83.3333</v>
      </c>
      <c r="Q3" s="21">
        <v>81.0537</v>
      </c>
      <c r="R3" s="19">
        <v>50.7545</v>
      </c>
      <c r="S3" s="21">
        <v>9.3702</v>
      </c>
      <c r="T3" s="21">
        <v>9.3947</v>
      </c>
      <c r="U3" s="21">
        <v>9.4815</v>
      </c>
      <c r="V3" s="21">
        <v>9.5979</v>
      </c>
      <c r="W3" s="21">
        <v>9.6356</v>
      </c>
      <c r="X3" s="21">
        <v>9.8905</v>
      </c>
      <c r="Y3" s="21">
        <v>10.6351</v>
      </c>
      <c r="Z3" s="21">
        <v>10.6111</v>
      </c>
      <c r="AA3" s="21">
        <v>13.4448</v>
      </c>
      <c r="AB3" s="21">
        <v>8.92</v>
      </c>
      <c r="AC3" s="21">
        <v>1.1776</v>
      </c>
      <c r="AD3" s="19">
        <v>0.86</v>
      </c>
      <c r="AE3" s="16" t="s">
        <v>1120</v>
      </c>
      <c r="AF3" s="22">
        <f>IFERROR(__xludf.DUMMYFUNCTION("IFERROR(GOOGLEFINANCE(B3,""price""),"""")"),8.97)</f>
        <v>8.97</v>
      </c>
      <c r="AG3" s="22"/>
      <c r="AH3" s="22"/>
      <c r="AI3" s="22"/>
      <c r="AJ3" s="22"/>
      <c r="AK3" s="22"/>
      <c r="AL3" s="22"/>
      <c r="AM3" s="22"/>
    </row>
    <row r="4">
      <c r="A4" s="7">
        <v>46048.69799857226</v>
      </c>
      <c r="B4" s="8" t="s">
        <v>1121</v>
      </c>
      <c r="C4" s="8" t="s">
        <v>1122</v>
      </c>
      <c r="D4" s="9">
        <v>46054.0</v>
      </c>
      <c r="E4" s="8" t="s">
        <v>1123</v>
      </c>
      <c r="F4" s="10">
        <v>12.63</v>
      </c>
      <c r="G4" s="11">
        <v>-1.7885</v>
      </c>
      <c r="H4" s="8" t="s">
        <v>1119</v>
      </c>
      <c r="I4" s="12">
        <v>811512.0</v>
      </c>
      <c r="J4" s="11">
        <v>28.4036</v>
      </c>
      <c r="K4" s="13">
        <v>0.2323</v>
      </c>
      <c r="L4" s="13">
        <v>0.5046</v>
      </c>
      <c r="M4" s="13">
        <v>545573.8</v>
      </c>
      <c r="N4" s="13">
        <v>1.5631</v>
      </c>
      <c r="O4" s="12">
        <v>1.112520158E9</v>
      </c>
      <c r="P4" s="13">
        <v>59.1805</v>
      </c>
      <c r="Q4" s="13">
        <v>63.8605</v>
      </c>
      <c r="R4" s="11">
        <v>42.3916</v>
      </c>
      <c r="S4" s="13">
        <v>12.7913</v>
      </c>
      <c r="T4" s="13">
        <v>12.8552</v>
      </c>
      <c r="U4" s="13">
        <v>12.9531</v>
      </c>
      <c r="V4" s="13">
        <v>13.0558</v>
      </c>
      <c r="W4" s="13">
        <v>13.0835</v>
      </c>
      <c r="X4" s="13">
        <v>13.2492</v>
      </c>
      <c r="Y4" s="13">
        <v>13.8321</v>
      </c>
      <c r="Z4" s="13">
        <v>13.6462</v>
      </c>
      <c r="AA4" s="13">
        <v>16.29</v>
      </c>
      <c r="AB4" s="13">
        <v>12.414</v>
      </c>
      <c r="AC4" s="13">
        <v>1.2808</v>
      </c>
      <c r="AD4" s="11">
        <v>0.92</v>
      </c>
      <c r="AE4" s="23"/>
      <c r="AF4" s="14">
        <f>IFERROR(__xludf.DUMMYFUNCTION("IFERROR(GOOGLEFINANCE(B4,""price""),"""")"),11.97)</f>
        <v>11.97</v>
      </c>
      <c r="AG4" s="14"/>
      <c r="AH4" s="14"/>
      <c r="AI4" s="14"/>
      <c r="AJ4" s="14"/>
      <c r="AK4" s="14"/>
      <c r="AL4" s="14"/>
      <c r="AM4" s="14"/>
    </row>
    <row r="5">
      <c r="A5" s="15">
        <v>46048.69799857226</v>
      </c>
      <c r="B5" s="16" t="s">
        <v>1124</v>
      </c>
      <c r="C5" s="16" t="s">
        <v>1125</v>
      </c>
      <c r="D5" s="17">
        <v>46054.0</v>
      </c>
      <c r="E5" s="16" t="s">
        <v>1126</v>
      </c>
      <c r="F5" s="18">
        <v>26.03</v>
      </c>
      <c r="G5" s="19">
        <v>-0.3064</v>
      </c>
      <c r="H5" s="16" t="s">
        <v>1119</v>
      </c>
      <c r="I5" s="20">
        <v>2477192.0</v>
      </c>
      <c r="J5" s="19">
        <v>26.1311</v>
      </c>
      <c r="K5" s="21">
        <v>0.5472</v>
      </c>
      <c r="L5" s="21">
        <v>1.1236</v>
      </c>
      <c r="M5" s="16">
        <v>1840365.0</v>
      </c>
      <c r="N5" s="21">
        <v>1.4385</v>
      </c>
      <c r="O5" s="20">
        <v>6.018666305E9</v>
      </c>
      <c r="P5" s="21">
        <v>52.2678</v>
      </c>
      <c r="Q5" s="21">
        <v>57.1283</v>
      </c>
      <c r="R5" s="19">
        <v>42.9353</v>
      </c>
      <c r="S5" s="21">
        <v>26.2653</v>
      </c>
      <c r="T5" s="21">
        <v>26.4958</v>
      </c>
      <c r="U5" s="21">
        <v>26.6737</v>
      </c>
      <c r="V5" s="21">
        <v>26.8335</v>
      </c>
      <c r="W5" s="21">
        <v>26.8846</v>
      </c>
      <c r="X5" s="21">
        <v>27.2836</v>
      </c>
      <c r="Y5" s="21">
        <v>28.4537</v>
      </c>
      <c r="Z5" s="21">
        <v>28.8544</v>
      </c>
      <c r="AA5" s="21">
        <v>34.64</v>
      </c>
      <c r="AB5" s="21">
        <v>24.85</v>
      </c>
      <c r="AC5" s="21">
        <v>1.5689</v>
      </c>
      <c r="AD5" s="19">
        <v>0.97</v>
      </c>
      <c r="AE5" s="24"/>
      <c r="AF5" s="22">
        <f>IFERROR(__xludf.DUMMYFUNCTION("IFERROR(GOOGLEFINANCE(B5,""price""),"""")"),23.13)</f>
        <v>23.13</v>
      </c>
      <c r="AG5" s="22"/>
      <c r="AH5" s="22"/>
      <c r="AI5" s="22"/>
      <c r="AJ5" s="22"/>
      <c r="AK5" s="22"/>
      <c r="AL5" s="22"/>
      <c r="AM5" s="22"/>
    </row>
    <row r="6">
      <c r="A6" s="7">
        <v>46051.66167818375</v>
      </c>
      <c r="B6" s="8" t="s">
        <v>1127</v>
      </c>
      <c r="C6" s="8" t="s">
        <v>1128</v>
      </c>
      <c r="D6" s="9">
        <v>46054.0</v>
      </c>
      <c r="E6" s="8" t="s">
        <v>1129</v>
      </c>
      <c r="F6" s="10">
        <v>21.19</v>
      </c>
      <c r="G6" s="11">
        <v>-5.444</v>
      </c>
      <c r="H6" s="8" t="s">
        <v>88</v>
      </c>
      <c r="I6" s="12">
        <v>3291162.0</v>
      </c>
      <c r="J6" s="11">
        <v>21.8016</v>
      </c>
      <c r="K6" s="13">
        <v>1.0898</v>
      </c>
      <c r="L6" s="13">
        <v>2.3133</v>
      </c>
      <c r="M6" s="8">
        <v>1950914.0</v>
      </c>
      <c r="N6" s="13">
        <v>1.863</v>
      </c>
      <c r="O6" s="12">
        <v>2.22503486E9</v>
      </c>
      <c r="P6" s="13">
        <v>51.9139</v>
      </c>
      <c r="Q6" s="13">
        <v>45.4191</v>
      </c>
      <c r="R6" s="11">
        <v>47.2833</v>
      </c>
      <c r="S6" s="13">
        <v>21.2632</v>
      </c>
      <c r="T6" s="13">
        <v>21.5099</v>
      </c>
      <c r="U6" s="13">
        <v>21.6856</v>
      </c>
      <c r="V6" s="13">
        <v>21.865</v>
      </c>
      <c r="W6" s="13">
        <v>21.9293</v>
      </c>
      <c r="X6" s="13">
        <v>22.4788</v>
      </c>
      <c r="Y6" s="13">
        <v>24.4521</v>
      </c>
      <c r="Z6" s="13">
        <v>24.7974</v>
      </c>
      <c r="AA6" s="13">
        <v>36.8499</v>
      </c>
      <c r="AB6" s="13">
        <v>18.7113</v>
      </c>
      <c r="AC6" s="13">
        <v>1.9932</v>
      </c>
      <c r="AD6" s="11">
        <v>0.94</v>
      </c>
      <c r="AE6" s="23"/>
      <c r="AF6" s="14">
        <f>IFERROR(__xludf.DUMMYFUNCTION("IFERROR(GOOGLEFINANCE(B6,""price""),"""")"),16.13)</f>
        <v>16.13</v>
      </c>
      <c r="AG6" s="14"/>
      <c r="AH6" s="14"/>
      <c r="AI6" s="14"/>
      <c r="AJ6" s="14"/>
      <c r="AK6" s="14"/>
      <c r="AL6" s="14"/>
      <c r="AM6" s="14"/>
    </row>
    <row r="7">
      <c r="A7" s="7">
        <v>46052.892258973574</v>
      </c>
      <c r="B7" s="8" t="s">
        <v>1130</v>
      </c>
      <c r="C7" s="8" t="s">
        <v>1131</v>
      </c>
      <c r="D7" s="9">
        <v>46054.0</v>
      </c>
      <c r="E7" s="8" t="s">
        <v>1132</v>
      </c>
      <c r="F7" s="10">
        <v>51.26</v>
      </c>
      <c r="G7" s="11">
        <v>-1.9135</v>
      </c>
      <c r="H7" s="8" t="s">
        <v>102</v>
      </c>
      <c r="I7" s="12">
        <v>740928.0</v>
      </c>
      <c r="J7" s="11">
        <v>22.8787</v>
      </c>
      <c r="K7" s="13">
        <v>2.3898</v>
      </c>
      <c r="L7" s="13">
        <v>5.371</v>
      </c>
      <c r="M7" s="13">
        <v>550194.8</v>
      </c>
      <c r="N7" s="13">
        <v>1.4654</v>
      </c>
      <c r="O7" s="12">
        <v>1.514356788E9</v>
      </c>
      <c r="P7" s="13">
        <v>54.0984</v>
      </c>
      <c r="Q7" s="13">
        <v>52.4226</v>
      </c>
      <c r="R7" s="11">
        <v>47.698</v>
      </c>
      <c r="S7" s="13">
        <v>51.7502</v>
      </c>
      <c r="T7" s="13">
        <v>52.0226</v>
      </c>
      <c r="U7" s="13">
        <v>52.2491</v>
      </c>
      <c r="V7" s="13">
        <v>52.9656</v>
      </c>
      <c r="W7" s="13">
        <v>53.2274</v>
      </c>
      <c r="X7" s="13">
        <v>54.885</v>
      </c>
      <c r="Y7" s="13">
        <v>58.1169</v>
      </c>
      <c r="Z7" s="13">
        <v>58.6379</v>
      </c>
      <c r="AA7" s="13">
        <v>75.08</v>
      </c>
      <c r="AB7" s="13">
        <v>42.86</v>
      </c>
      <c r="AC7" s="13">
        <v>0.9732</v>
      </c>
      <c r="AD7" s="11">
        <v>0.89</v>
      </c>
      <c r="AE7" s="8" t="s">
        <v>1133</v>
      </c>
      <c r="AF7" s="14">
        <f>IFERROR(__xludf.DUMMYFUNCTION("IFERROR(GOOGLEFINANCE(B7,""price""),"""")"),40.18)</f>
        <v>40.18</v>
      </c>
      <c r="AG7" s="14"/>
      <c r="AH7" s="14"/>
      <c r="AI7" s="14"/>
      <c r="AJ7" s="14"/>
      <c r="AK7" s="14"/>
      <c r="AL7" s="14"/>
      <c r="AM7" s="14"/>
    </row>
    <row r="8">
      <c r="A8" s="15">
        <v>46052.892258973574</v>
      </c>
      <c r="B8" s="16" t="s">
        <v>1134</v>
      </c>
      <c r="C8" s="16" t="s">
        <v>1135</v>
      </c>
      <c r="D8" s="17">
        <v>46054.0</v>
      </c>
      <c r="E8" s="16" t="s">
        <v>1136</v>
      </c>
      <c r="F8" s="18">
        <v>31.23</v>
      </c>
      <c r="G8" s="19">
        <v>1.594</v>
      </c>
      <c r="H8" s="16" t="s">
        <v>149</v>
      </c>
      <c r="I8" s="20">
        <v>1419291.0</v>
      </c>
      <c r="J8" s="19">
        <v>21.3406</v>
      </c>
      <c r="K8" s="21">
        <v>0.9096</v>
      </c>
      <c r="L8" s="21">
        <v>2.377</v>
      </c>
      <c r="M8" s="21">
        <v>597945.1</v>
      </c>
      <c r="N8" s="21">
        <v>2.7515</v>
      </c>
      <c r="O8" s="20">
        <v>1.655781372E9</v>
      </c>
      <c r="P8" s="21">
        <v>50.7943</v>
      </c>
      <c r="Q8" s="21">
        <v>50.6399</v>
      </c>
      <c r="R8" s="19">
        <v>48.3424</v>
      </c>
      <c r="S8" s="21">
        <v>31.122</v>
      </c>
      <c r="T8" s="21">
        <v>31.2459</v>
      </c>
      <c r="U8" s="21">
        <v>31.6855</v>
      </c>
      <c r="V8" s="21">
        <v>32.4025</v>
      </c>
      <c r="W8" s="21">
        <v>32.6324</v>
      </c>
      <c r="X8" s="21">
        <v>34.0701</v>
      </c>
      <c r="Y8" s="21">
        <v>37.0759</v>
      </c>
      <c r="Z8" s="21">
        <v>38.2235</v>
      </c>
      <c r="AA8" s="21">
        <v>47.26</v>
      </c>
      <c r="AB8" s="21">
        <v>29.18</v>
      </c>
      <c r="AC8" s="21">
        <v>1.8044</v>
      </c>
      <c r="AD8" s="19">
        <v>0.77</v>
      </c>
      <c r="AE8" s="16" t="s">
        <v>1137</v>
      </c>
      <c r="AF8" s="22">
        <f>IFERROR(__xludf.DUMMYFUNCTION("IFERROR(GOOGLEFINANCE(B8,""price""),"""")"),38.45)</f>
        <v>38.45</v>
      </c>
      <c r="AG8" s="22"/>
      <c r="AH8" s="22"/>
      <c r="AI8" s="22"/>
      <c r="AJ8" s="22"/>
      <c r="AK8" s="22"/>
      <c r="AL8" s="22"/>
      <c r="AM8" s="22"/>
    </row>
    <row r="9">
      <c r="A9" s="7">
        <v>46055.628056884234</v>
      </c>
      <c r="B9" s="8" t="s">
        <v>1116</v>
      </c>
      <c r="C9" s="8" t="s">
        <v>1117</v>
      </c>
      <c r="D9" s="9">
        <v>46061.0</v>
      </c>
      <c r="E9" s="8" t="s">
        <v>1118</v>
      </c>
      <c r="F9" s="10">
        <v>9.24</v>
      </c>
      <c r="G9" s="11">
        <v>-1.9108</v>
      </c>
      <c r="H9" s="8" t="s">
        <v>1119</v>
      </c>
      <c r="I9" s="12">
        <v>1941245.0</v>
      </c>
      <c r="J9" s="11">
        <v>29.2539</v>
      </c>
      <c r="K9" s="13">
        <v>0.1905</v>
      </c>
      <c r="L9" s="13">
        <v>0.4165</v>
      </c>
      <c r="M9" s="8">
        <v>1487393.0</v>
      </c>
      <c r="N9" s="13">
        <v>1.3968</v>
      </c>
      <c r="O9" s="12">
        <v>1.054404965E9</v>
      </c>
      <c r="P9" s="13">
        <v>62.1795</v>
      </c>
      <c r="Q9" s="13">
        <v>67.9523</v>
      </c>
      <c r="R9" s="11">
        <v>42.1236</v>
      </c>
      <c r="S9" s="13">
        <v>9.3523</v>
      </c>
      <c r="T9" s="13">
        <v>9.3791</v>
      </c>
      <c r="U9" s="13">
        <v>9.4493</v>
      </c>
      <c r="V9" s="13">
        <v>9.5541</v>
      </c>
      <c r="W9" s="13">
        <v>9.5891</v>
      </c>
      <c r="X9" s="13">
        <v>9.8338</v>
      </c>
      <c r="Y9" s="13">
        <v>10.5727</v>
      </c>
      <c r="Z9" s="13">
        <v>10.5877</v>
      </c>
      <c r="AA9" s="13">
        <v>13.4448</v>
      </c>
      <c r="AB9" s="13">
        <v>8.92</v>
      </c>
      <c r="AC9" s="13">
        <v>8.1031</v>
      </c>
      <c r="AD9" s="13">
        <v>1.1403</v>
      </c>
      <c r="AE9" s="13">
        <v>8.7535</v>
      </c>
      <c r="AF9" s="13">
        <v>103.1603</v>
      </c>
      <c r="AG9" s="13">
        <v>-16.5811</v>
      </c>
      <c r="AH9" s="13">
        <v>1.2675</v>
      </c>
      <c r="AI9" s="13">
        <v>1.6415</v>
      </c>
      <c r="AJ9" s="13">
        <v>1.0497</v>
      </c>
      <c r="AK9" s="11">
        <v>0.91</v>
      </c>
      <c r="AL9" s="23"/>
      <c r="AM9" s="14">
        <f>IFERROR(__xludf.DUMMYFUNCTION("IFERROR(GOOGLEFINANCE(B9,""price""),"""")"),8.97)</f>
        <v>8.97</v>
      </c>
    </row>
    <row r="10">
      <c r="A10" s="15">
        <v>46055.628056884234</v>
      </c>
      <c r="B10" s="16" t="s">
        <v>1138</v>
      </c>
      <c r="C10" s="16" t="s">
        <v>1139</v>
      </c>
      <c r="D10" s="17">
        <v>46061.0</v>
      </c>
      <c r="E10" s="16" t="s">
        <v>1140</v>
      </c>
      <c r="F10" s="18">
        <v>134.85</v>
      </c>
      <c r="G10" s="19">
        <v>2.2365</v>
      </c>
      <c r="H10" s="16" t="s">
        <v>88</v>
      </c>
      <c r="I10" s="20">
        <v>539081.0</v>
      </c>
      <c r="J10" s="19">
        <v>30.865</v>
      </c>
      <c r="K10" s="21">
        <v>3.7919</v>
      </c>
      <c r="L10" s="21">
        <v>8.2577</v>
      </c>
      <c r="M10" s="21">
        <v>437938.5</v>
      </c>
      <c r="N10" s="21">
        <v>1.2606</v>
      </c>
      <c r="O10" s="20">
        <v>4.835492459E9</v>
      </c>
      <c r="P10" s="21">
        <v>56.6395</v>
      </c>
      <c r="Q10" s="21">
        <v>55.2959</v>
      </c>
      <c r="R10" s="19">
        <v>51.2597</v>
      </c>
      <c r="S10" s="21">
        <v>132.7715</v>
      </c>
      <c r="T10" s="21">
        <v>133.7071</v>
      </c>
      <c r="U10" s="21">
        <v>135.0093</v>
      </c>
      <c r="V10" s="21">
        <v>135.8429</v>
      </c>
      <c r="W10" s="21">
        <v>135.9792</v>
      </c>
      <c r="X10" s="21">
        <v>136.2526</v>
      </c>
      <c r="Y10" s="21">
        <v>136.2806</v>
      </c>
      <c r="Z10" s="21">
        <v>135.597</v>
      </c>
      <c r="AA10" s="21">
        <v>155.47</v>
      </c>
      <c r="AB10" s="21">
        <v>112.61</v>
      </c>
      <c r="AC10" s="21">
        <v>26.1206</v>
      </c>
      <c r="AD10" s="21">
        <v>5.1626</v>
      </c>
      <c r="AE10" s="21">
        <v>38.6385</v>
      </c>
      <c r="AF10" s="21">
        <v>32.6691</v>
      </c>
      <c r="AG10" s="21">
        <v>9.9489</v>
      </c>
      <c r="AH10" s="21">
        <v>0.1032</v>
      </c>
      <c r="AI10" s="21">
        <v>1.3631</v>
      </c>
      <c r="AJ10" s="21">
        <v>1.6595</v>
      </c>
      <c r="AK10" s="19">
        <v>0.92</v>
      </c>
      <c r="AL10" s="24"/>
      <c r="AM10" s="22">
        <f>IFERROR(__xludf.DUMMYFUNCTION("IFERROR(GOOGLEFINANCE(B10,""price""),"""")"),76.2)</f>
        <v>76.2</v>
      </c>
    </row>
    <row r="11">
      <c r="A11" s="7">
        <v>46057.45489898514</v>
      </c>
      <c r="B11" s="8" t="s">
        <v>1141</v>
      </c>
      <c r="C11" s="8" t="s">
        <v>1142</v>
      </c>
      <c r="D11" s="9">
        <v>46061.0</v>
      </c>
      <c r="E11" s="8" t="s">
        <v>1143</v>
      </c>
      <c r="F11" s="10">
        <v>71.25</v>
      </c>
      <c r="G11" s="11">
        <v>-5.6541</v>
      </c>
      <c r="H11" s="8" t="s">
        <v>93</v>
      </c>
      <c r="I11" s="12">
        <v>1367122.0</v>
      </c>
      <c r="J11" s="11">
        <v>20.8276</v>
      </c>
      <c r="K11" s="13">
        <v>2.221</v>
      </c>
      <c r="L11" s="13">
        <v>4.0428</v>
      </c>
      <c r="M11" s="13">
        <v>869037.1</v>
      </c>
      <c r="N11" s="13">
        <v>1.6079</v>
      </c>
      <c r="O11" s="12">
        <v>6.780357613E9</v>
      </c>
      <c r="P11" s="13">
        <v>53.8086</v>
      </c>
      <c r="Q11" s="13">
        <v>61.2494</v>
      </c>
      <c r="R11" s="11">
        <v>35.3132</v>
      </c>
      <c r="S11" s="13">
        <v>75.1729</v>
      </c>
      <c r="T11" s="13">
        <v>75.6572</v>
      </c>
      <c r="U11" s="13">
        <v>75.387</v>
      </c>
      <c r="V11" s="13">
        <v>74.9871</v>
      </c>
      <c r="W11" s="13">
        <v>74.876</v>
      </c>
      <c r="X11" s="13">
        <v>74.2323</v>
      </c>
      <c r="Y11" s="13">
        <v>72.9172</v>
      </c>
      <c r="Z11" s="13">
        <v>71.748</v>
      </c>
      <c r="AA11" s="13">
        <v>79.99</v>
      </c>
      <c r="AB11" s="13">
        <v>52.4343</v>
      </c>
      <c r="AC11" s="13">
        <v>11.3304</v>
      </c>
      <c r="AD11" s="13">
        <v>6.2884</v>
      </c>
      <c r="AE11" s="13">
        <v>14.6015</v>
      </c>
      <c r="AF11" s="13">
        <v>10.8918</v>
      </c>
      <c r="AG11" s="13">
        <v>-0.5466</v>
      </c>
      <c r="AH11" s="13">
        <v>0.4248</v>
      </c>
      <c r="AI11" s="13">
        <v>6.4233</v>
      </c>
      <c r="AJ11" s="13">
        <v>0.3005</v>
      </c>
      <c r="AK11" s="11">
        <v>1.1</v>
      </c>
      <c r="AL11" s="8" t="s">
        <v>1144</v>
      </c>
      <c r="AM11" s="14">
        <f>IFERROR(__xludf.DUMMYFUNCTION("IFERROR(GOOGLEFINANCE(B11,""price""),"""")"),69.94)</f>
        <v>69.94</v>
      </c>
    </row>
    <row r="12">
      <c r="A12" s="7">
        <v>46058.444356341126</v>
      </c>
      <c r="B12" s="8" t="s">
        <v>1145</v>
      </c>
      <c r="C12" s="8" t="s">
        <v>1146</v>
      </c>
      <c r="D12" s="9">
        <v>46061.0</v>
      </c>
      <c r="E12" s="8" t="s">
        <v>1147</v>
      </c>
      <c r="F12" s="10">
        <v>12.74</v>
      </c>
      <c r="G12" s="11">
        <v>-25.0147</v>
      </c>
      <c r="H12" s="8" t="s">
        <v>107</v>
      </c>
      <c r="I12" s="12">
        <v>9709490.0</v>
      </c>
      <c r="J12" s="11">
        <v>21.0172</v>
      </c>
      <c r="K12" s="13">
        <v>0.9215</v>
      </c>
      <c r="L12" s="13">
        <v>2.4834</v>
      </c>
      <c r="M12" s="8">
        <v>4867243.0</v>
      </c>
      <c r="N12" s="13">
        <v>2.2649</v>
      </c>
      <c r="O12" s="12">
        <v>1.59148163E9</v>
      </c>
      <c r="P12" s="13">
        <v>55.7652</v>
      </c>
      <c r="Q12" s="13">
        <v>61.2375</v>
      </c>
      <c r="R12" s="11">
        <v>32.3447</v>
      </c>
      <c r="S12" s="13">
        <v>15.3674</v>
      </c>
      <c r="T12" s="13">
        <v>15.3531</v>
      </c>
      <c r="U12" s="13">
        <v>15.3813</v>
      </c>
      <c r="V12" s="13">
        <v>16.0938</v>
      </c>
      <c r="W12" s="13">
        <v>16.4295</v>
      </c>
      <c r="X12" s="13">
        <v>19.246</v>
      </c>
      <c r="Y12" s="13">
        <v>27.803</v>
      </c>
      <c r="Z12" s="13">
        <v>30.1129</v>
      </c>
      <c r="AA12" s="13">
        <v>44.78</v>
      </c>
      <c r="AB12" s="13">
        <v>12.17</v>
      </c>
      <c r="AC12" s="13">
        <v>0.0</v>
      </c>
      <c r="AD12" s="13">
        <v>-17.8636</v>
      </c>
      <c r="AE12" s="13">
        <v>-66.7952</v>
      </c>
      <c r="AF12" s="13">
        <v>8.877</v>
      </c>
      <c r="AG12" s="13">
        <v>-18.3392</v>
      </c>
      <c r="AH12" s="13">
        <v>1.9414</v>
      </c>
      <c r="AI12" s="13">
        <v>1.3205</v>
      </c>
      <c r="AJ12" s="13">
        <v>0.1093</v>
      </c>
      <c r="AK12" s="11">
        <v>0.74</v>
      </c>
      <c r="AL12" s="8" t="s">
        <v>1148</v>
      </c>
      <c r="AM12" s="14">
        <f>IFERROR(__xludf.DUMMYFUNCTION("IFERROR(GOOGLEFINANCE(B12,""price""),"""")"),17.45)</f>
        <v>17.45</v>
      </c>
    </row>
    <row r="13">
      <c r="A13" s="7">
        <v>46066.62636937659</v>
      </c>
      <c r="B13" s="8" t="s">
        <v>1149</v>
      </c>
      <c r="C13" s="8" t="s">
        <v>1150</v>
      </c>
      <c r="D13" s="9">
        <v>46068.0</v>
      </c>
      <c r="E13" s="8" t="s">
        <v>1151</v>
      </c>
      <c r="F13" s="10">
        <v>32.78</v>
      </c>
      <c r="G13" s="11">
        <v>-4.4872</v>
      </c>
      <c r="H13" s="8" t="s">
        <v>93</v>
      </c>
      <c r="I13" s="12">
        <v>1762200.0</v>
      </c>
      <c r="J13" s="11">
        <v>24.6908</v>
      </c>
      <c r="K13" s="13">
        <v>0.9246</v>
      </c>
      <c r="L13" s="13">
        <v>1.7441</v>
      </c>
      <c r="M13" s="8">
        <v>1310344.0</v>
      </c>
      <c r="N13" s="13">
        <v>1.417</v>
      </c>
      <c r="O13" s="12">
        <v>4.441331329E9</v>
      </c>
      <c r="P13" s="13">
        <v>78.5786</v>
      </c>
      <c r="Q13" s="13">
        <v>74.9987</v>
      </c>
      <c r="R13" s="11">
        <v>42.8319</v>
      </c>
      <c r="S13" s="13">
        <v>33.4234</v>
      </c>
      <c r="T13" s="13">
        <v>33.5656</v>
      </c>
      <c r="U13" s="13">
        <v>33.8656</v>
      </c>
      <c r="V13" s="13">
        <v>34.1244</v>
      </c>
      <c r="W13" s="13">
        <v>34.1812</v>
      </c>
      <c r="X13" s="13">
        <v>34.3842</v>
      </c>
      <c r="Y13" s="13">
        <v>34.2714</v>
      </c>
      <c r="Z13" s="13">
        <v>34.5446</v>
      </c>
      <c r="AA13" s="13">
        <v>38.84</v>
      </c>
      <c r="AB13" s="13">
        <v>29.32</v>
      </c>
      <c r="AC13" s="13">
        <v>8.1848</v>
      </c>
      <c r="AD13" s="13">
        <v>4.005</v>
      </c>
      <c r="AE13" s="13">
        <v>12.564</v>
      </c>
      <c r="AF13" s="13">
        <v>68.6292</v>
      </c>
      <c r="AG13" s="13">
        <v>-3.676</v>
      </c>
      <c r="AH13" s="13">
        <v>0.3577</v>
      </c>
      <c r="AI13" s="13">
        <v>1.774</v>
      </c>
      <c r="AJ13" s="13">
        <v>1.3491</v>
      </c>
      <c r="AK13" s="11">
        <v>1.06</v>
      </c>
      <c r="AL13" s="23"/>
      <c r="AM13" s="14">
        <f>IFERROR(__xludf.DUMMYFUNCTION("IFERROR(GOOGLEFINANCE(B13,""price""),"""")"),34.17)</f>
        <v>34.17</v>
      </c>
    </row>
    <row r="14">
      <c r="A14" s="7">
        <v>46069.62629396368</v>
      </c>
      <c r="B14" s="8" t="s">
        <v>1152</v>
      </c>
      <c r="C14" s="8" t="s">
        <v>1153</v>
      </c>
      <c r="D14" s="9">
        <v>46075.0</v>
      </c>
      <c r="E14" s="8" t="s">
        <v>1154</v>
      </c>
      <c r="F14" s="10">
        <v>26.66</v>
      </c>
      <c r="G14" s="11">
        <v>-2.7717</v>
      </c>
      <c r="H14" s="8" t="s">
        <v>93</v>
      </c>
      <c r="I14" s="12">
        <v>3315104.0</v>
      </c>
      <c r="J14" s="11">
        <v>22.362</v>
      </c>
      <c r="K14" s="13">
        <v>0.6813</v>
      </c>
      <c r="L14" s="13">
        <v>1.2816</v>
      </c>
      <c r="M14" s="8">
        <v>2769993.0</v>
      </c>
      <c r="N14" s="13">
        <v>1.2354</v>
      </c>
      <c r="O14" s="12">
        <v>5.964934547E9</v>
      </c>
      <c r="P14" s="13">
        <v>72.3611</v>
      </c>
      <c r="Q14" s="13">
        <v>70.3241</v>
      </c>
      <c r="R14" s="11">
        <v>45.0204</v>
      </c>
      <c r="S14" s="13">
        <v>26.9813</v>
      </c>
      <c r="T14" s="13">
        <v>27.0924</v>
      </c>
      <c r="U14" s="13">
        <v>27.3278</v>
      </c>
      <c r="V14" s="13">
        <v>27.5162</v>
      </c>
      <c r="W14" s="13">
        <v>27.5526</v>
      </c>
      <c r="X14" s="13">
        <v>27.6225</v>
      </c>
      <c r="Y14" s="13">
        <v>27.0762</v>
      </c>
      <c r="Z14" s="13">
        <v>27.3615</v>
      </c>
      <c r="AA14" s="13">
        <v>29.97</v>
      </c>
      <c r="AB14" s="13">
        <v>21.94</v>
      </c>
      <c r="AC14" s="13">
        <v>8.4899</v>
      </c>
      <c r="AD14" s="13">
        <v>3.1402</v>
      </c>
      <c r="AE14" s="13">
        <v>0.0</v>
      </c>
      <c r="AF14" s="13">
        <v>79.4395</v>
      </c>
      <c r="AG14" s="13">
        <v>0.4754</v>
      </c>
      <c r="AH14" s="13">
        <v>0.0</v>
      </c>
      <c r="AI14" s="13">
        <v>0.9163</v>
      </c>
      <c r="AJ14" s="13">
        <v>1.2998</v>
      </c>
      <c r="AK14" s="11">
        <v>1.06</v>
      </c>
      <c r="AL14" s="23"/>
      <c r="AM14" s="14">
        <f>IFERROR(__xludf.DUMMYFUNCTION("IFERROR(GOOGLEFINANCE(B14,""price""),"""")"),27.2)</f>
        <v>27.2</v>
      </c>
    </row>
    <row r="15">
      <c r="A15" s="15">
        <v>46069.62629396368</v>
      </c>
      <c r="B15" s="16" t="s">
        <v>1149</v>
      </c>
      <c r="C15" s="16" t="s">
        <v>1150</v>
      </c>
      <c r="D15" s="17">
        <v>46075.0</v>
      </c>
      <c r="E15" s="16" t="s">
        <v>1151</v>
      </c>
      <c r="F15" s="18">
        <v>32.82</v>
      </c>
      <c r="G15" s="19">
        <v>-4.3706</v>
      </c>
      <c r="H15" s="16" t="s">
        <v>93</v>
      </c>
      <c r="I15" s="20">
        <v>2920875.0</v>
      </c>
      <c r="J15" s="19">
        <v>24.6908</v>
      </c>
      <c r="K15" s="21">
        <v>0.9246</v>
      </c>
      <c r="L15" s="21">
        <v>1.7441</v>
      </c>
      <c r="M15" s="16">
        <v>1426211.0</v>
      </c>
      <c r="N15" s="21">
        <v>2.3487</v>
      </c>
      <c r="O15" s="20">
        <v>4.44675089E9</v>
      </c>
      <c r="P15" s="21">
        <v>79.0337</v>
      </c>
      <c r="Q15" s="21">
        <v>75.1504</v>
      </c>
      <c r="R15" s="19">
        <v>43.0786</v>
      </c>
      <c r="S15" s="21">
        <v>33.4323</v>
      </c>
      <c r="T15" s="21">
        <v>33.5692</v>
      </c>
      <c r="U15" s="21">
        <v>33.8679</v>
      </c>
      <c r="V15" s="21">
        <v>34.126</v>
      </c>
      <c r="W15" s="21">
        <v>34.1827</v>
      </c>
      <c r="X15" s="21">
        <v>34.3851</v>
      </c>
      <c r="Y15" s="21">
        <v>34.2718</v>
      </c>
      <c r="Z15" s="21">
        <v>34.5448</v>
      </c>
      <c r="AA15" s="21">
        <v>38.84</v>
      </c>
      <c r="AB15" s="21">
        <v>29.32</v>
      </c>
      <c r="AC15" s="21">
        <v>8.1948</v>
      </c>
      <c r="AD15" s="21">
        <v>4.005</v>
      </c>
      <c r="AE15" s="21">
        <v>12.564</v>
      </c>
      <c r="AF15" s="21">
        <v>68.6292</v>
      </c>
      <c r="AG15" s="21">
        <v>-3.676</v>
      </c>
      <c r="AH15" s="21">
        <v>0.3577</v>
      </c>
      <c r="AI15" s="21">
        <v>1.774</v>
      </c>
      <c r="AJ15" s="21">
        <v>1.3274</v>
      </c>
      <c r="AK15" s="19">
        <v>1.06</v>
      </c>
      <c r="AL15" s="16" t="s">
        <v>1155</v>
      </c>
      <c r="AM15" s="22">
        <f>IFERROR(__xludf.DUMMYFUNCTION("IFERROR(GOOGLEFINANCE(B15,""price""),"""")"),34.17)</f>
        <v>34.17</v>
      </c>
    </row>
    <row r="16">
      <c r="A16" s="7">
        <v>46072.866659273124</v>
      </c>
      <c r="B16" s="8" t="s">
        <v>1156</v>
      </c>
      <c r="C16" s="8" t="s">
        <v>1157</v>
      </c>
      <c r="D16" s="9">
        <v>46075.0</v>
      </c>
      <c r="E16" s="8" t="s">
        <v>1158</v>
      </c>
      <c r="F16" s="10">
        <v>4.5</v>
      </c>
      <c r="G16" s="11">
        <v>-0.6623</v>
      </c>
      <c r="H16" s="8" t="s">
        <v>88</v>
      </c>
      <c r="I16" s="12">
        <v>719103.0</v>
      </c>
      <c r="J16" s="11">
        <v>25.5123</v>
      </c>
      <c r="K16" s="13">
        <v>0.1391</v>
      </c>
      <c r="L16" s="13">
        <v>0.3028</v>
      </c>
      <c r="M16" s="13">
        <v>564373.5</v>
      </c>
      <c r="N16" s="13">
        <v>1.2392</v>
      </c>
      <c r="O16" s="12">
        <v>6.92058231E8</v>
      </c>
      <c r="P16" s="13">
        <v>81.0606</v>
      </c>
      <c r="Q16" s="13">
        <v>75.2346</v>
      </c>
      <c r="R16" s="11">
        <v>49.5991</v>
      </c>
      <c r="S16" s="13">
        <v>4.4555</v>
      </c>
      <c r="T16" s="13">
        <v>4.4772</v>
      </c>
      <c r="U16" s="13">
        <v>4.5418</v>
      </c>
      <c r="V16" s="13">
        <v>4.6011</v>
      </c>
      <c r="W16" s="13">
        <v>4.6152</v>
      </c>
      <c r="X16" s="13">
        <v>4.6804</v>
      </c>
      <c r="Y16" s="13">
        <v>4.7762</v>
      </c>
      <c r="Z16" s="13">
        <v>4.8346</v>
      </c>
      <c r="AA16" s="13">
        <v>5.68</v>
      </c>
      <c r="AB16" s="13">
        <v>3.94</v>
      </c>
      <c r="AC16" s="13">
        <v>0.0</v>
      </c>
      <c r="AD16" s="13">
        <v>-0.2337</v>
      </c>
      <c r="AE16" s="13">
        <v>-10.5401</v>
      </c>
      <c r="AF16" s="13">
        <v>-11.1357</v>
      </c>
      <c r="AG16" s="13">
        <v>6.5354</v>
      </c>
      <c r="AH16" s="13">
        <v>0.0812</v>
      </c>
      <c r="AI16" s="13">
        <v>6.0428</v>
      </c>
      <c r="AJ16" s="13">
        <v>1.9172</v>
      </c>
      <c r="AK16" s="11">
        <v>0.92</v>
      </c>
      <c r="AL16" s="23"/>
      <c r="AM16" s="14">
        <f>IFERROR(__xludf.DUMMYFUNCTION("IFERROR(GOOGLEFINANCE(B16,""price""),"""")"),4.0)</f>
        <v>4</v>
      </c>
    </row>
    <row r="17">
      <c r="A17" s="7">
        <v>46072.868118338636</v>
      </c>
      <c r="B17" s="8" t="s">
        <v>1156</v>
      </c>
      <c r="C17" s="8" t="s">
        <v>1157</v>
      </c>
      <c r="D17" s="9">
        <v>46075.0</v>
      </c>
      <c r="E17" s="8" t="s">
        <v>1158</v>
      </c>
      <c r="F17" s="10">
        <v>4.5</v>
      </c>
      <c r="G17" s="11">
        <v>-0.6623</v>
      </c>
      <c r="H17" s="8" t="s">
        <v>88</v>
      </c>
      <c r="I17" s="12">
        <v>719103.0</v>
      </c>
      <c r="J17" s="11">
        <v>25.5123</v>
      </c>
      <c r="K17" s="13">
        <v>0.1391</v>
      </c>
      <c r="L17" s="13">
        <v>0.3028</v>
      </c>
      <c r="M17" s="13">
        <v>564373.5</v>
      </c>
      <c r="N17" s="13">
        <v>1.2392</v>
      </c>
      <c r="O17" s="12">
        <v>6.92058231E8</v>
      </c>
      <c r="P17" s="13">
        <v>81.0606</v>
      </c>
      <c r="Q17" s="13">
        <v>75.2346</v>
      </c>
      <c r="R17" s="11">
        <v>49.5991</v>
      </c>
      <c r="S17" s="13">
        <v>4.4555</v>
      </c>
      <c r="T17" s="13">
        <v>4.4772</v>
      </c>
      <c r="U17" s="13">
        <v>4.5418</v>
      </c>
      <c r="V17" s="13">
        <v>4.6011</v>
      </c>
      <c r="W17" s="13">
        <v>4.6152</v>
      </c>
      <c r="X17" s="13">
        <v>4.6804</v>
      </c>
      <c r="Y17" s="13">
        <v>4.7762</v>
      </c>
      <c r="Z17" s="13">
        <v>4.8346</v>
      </c>
      <c r="AA17" s="13">
        <v>5.68</v>
      </c>
      <c r="AB17" s="13">
        <v>3.94</v>
      </c>
      <c r="AC17" s="13">
        <v>0.0</v>
      </c>
      <c r="AD17" s="13">
        <v>-0.2337</v>
      </c>
      <c r="AE17" s="13">
        <v>-10.5401</v>
      </c>
      <c r="AF17" s="13">
        <v>-11.1357</v>
      </c>
      <c r="AG17" s="13">
        <v>6.5354</v>
      </c>
      <c r="AH17" s="13">
        <v>0.0812</v>
      </c>
      <c r="AI17" s="13">
        <v>6.0428</v>
      </c>
      <c r="AJ17" s="13">
        <v>1.9172</v>
      </c>
      <c r="AK17" s="11">
        <v>0.92</v>
      </c>
      <c r="AL17" s="23"/>
      <c r="AM17" s="14">
        <f>IFERROR(__xludf.DUMMYFUNCTION("IFERROR(GOOGLEFINANCE(B17,""price""),"""")"),4.0)</f>
        <v>4</v>
      </c>
    </row>
    <row r="18">
      <c r="A18" s="7">
        <v>46072.8702371014</v>
      </c>
      <c r="B18" s="8" t="s">
        <v>1156</v>
      </c>
      <c r="C18" s="8" t="s">
        <v>1157</v>
      </c>
      <c r="D18" s="9">
        <v>46075.0</v>
      </c>
      <c r="E18" s="8" t="s">
        <v>1158</v>
      </c>
      <c r="F18" s="10">
        <v>4.5</v>
      </c>
      <c r="G18" s="11">
        <v>-0.6623</v>
      </c>
      <c r="H18" s="8" t="s">
        <v>88</v>
      </c>
      <c r="I18" s="12">
        <v>719103.0</v>
      </c>
      <c r="J18" s="11">
        <v>25.5123</v>
      </c>
      <c r="K18" s="13">
        <v>0.1391</v>
      </c>
      <c r="L18" s="13">
        <v>0.3028</v>
      </c>
      <c r="M18" s="13">
        <v>564373.5</v>
      </c>
      <c r="N18" s="13">
        <v>1.2392</v>
      </c>
      <c r="O18" s="12">
        <v>6.92058231E8</v>
      </c>
      <c r="P18" s="13">
        <v>81.0606</v>
      </c>
      <c r="Q18" s="13">
        <v>75.2346</v>
      </c>
      <c r="R18" s="11">
        <v>49.5991</v>
      </c>
      <c r="S18" s="13">
        <v>4.4555</v>
      </c>
      <c r="T18" s="13">
        <v>4.4772</v>
      </c>
      <c r="U18" s="13">
        <v>4.5418</v>
      </c>
      <c r="V18" s="13">
        <v>4.6011</v>
      </c>
      <c r="W18" s="13">
        <v>4.6152</v>
      </c>
      <c r="X18" s="13">
        <v>4.6804</v>
      </c>
      <c r="Y18" s="13">
        <v>4.7762</v>
      </c>
      <c r="Z18" s="13">
        <v>4.8346</v>
      </c>
      <c r="AA18" s="13">
        <v>5.68</v>
      </c>
      <c r="AB18" s="13">
        <v>3.94</v>
      </c>
      <c r="AC18" s="13">
        <v>0.0</v>
      </c>
      <c r="AD18" s="13">
        <v>-0.2337</v>
      </c>
      <c r="AE18" s="13">
        <v>-10.5401</v>
      </c>
      <c r="AF18" s="13">
        <v>-11.1357</v>
      </c>
      <c r="AG18" s="13">
        <v>6.5354</v>
      </c>
      <c r="AH18" s="13">
        <v>0.0812</v>
      </c>
      <c r="AI18" s="13">
        <v>6.0428</v>
      </c>
      <c r="AJ18" s="13">
        <v>1.9172</v>
      </c>
      <c r="AK18" s="11">
        <v>0.92</v>
      </c>
      <c r="AL18" s="23"/>
      <c r="AM18" s="14">
        <f>IFERROR(__xludf.DUMMYFUNCTION("IFERROR(GOOGLEFINANCE(B18,""price""),"""")"),4.0)</f>
        <v>4</v>
      </c>
    </row>
    <row r="19">
      <c r="A19" s="7">
        <v>46072.872394781814</v>
      </c>
      <c r="B19" s="8" t="s">
        <v>1156</v>
      </c>
      <c r="C19" s="8" t="s">
        <v>1157</v>
      </c>
      <c r="D19" s="9">
        <v>46075.0</v>
      </c>
      <c r="E19" s="8" t="s">
        <v>1158</v>
      </c>
      <c r="F19" s="10">
        <v>4.5</v>
      </c>
      <c r="G19" s="11">
        <v>-0.6623</v>
      </c>
      <c r="H19" s="8" t="s">
        <v>88</v>
      </c>
      <c r="I19" s="12">
        <v>719103.0</v>
      </c>
      <c r="J19" s="11">
        <v>25.5123</v>
      </c>
      <c r="K19" s="13">
        <v>0.1391</v>
      </c>
      <c r="L19" s="13">
        <v>0.3028</v>
      </c>
      <c r="M19" s="13">
        <v>564373.5</v>
      </c>
      <c r="N19" s="13">
        <v>1.2392</v>
      </c>
      <c r="O19" s="12">
        <v>6.92058231E8</v>
      </c>
      <c r="P19" s="13">
        <v>81.0606</v>
      </c>
      <c r="Q19" s="13">
        <v>75.2346</v>
      </c>
      <c r="R19" s="11">
        <v>49.5991</v>
      </c>
      <c r="S19" s="13">
        <v>4.4555</v>
      </c>
      <c r="T19" s="13">
        <v>4.4772</v>
      </c>
      <c r="U19" s="13">
        <v>4.5418</v>
      </c>
      <c r="V19" s="13">
        <v>4.6011</v>
      </c>
      <c r="W19" s="13">
        <v>4.6152</v>
      </c>
      <c r="X19" s="13">
        <v>4.6804</v>
      </c>
      <c r="Y19" s="13">
        <v>4.7762</v>
      </c>
      <c r="Z19" s="13">
        <v>4.8346</v>
      </c>
      <c r="AA19" s="13">
        <v>5.68</v>
      </c>
      <c r="AB19" s="13">
        <v>3.94</v>
      </c>
      <c r="AC19" s="13">
        <v>0.0</v>
      </c>
      <c r="AD19" s="13">
        <v>-0.2337</v>
      </c>
      <c r="AE19" s="13">
        <v>-10.5401</v>
      </c>
      <c r="AF19" s="13">
        <v>-11.1357</v>
      </c>
      <c r="AG19" s="13">
        <v>6.5354</v>
      </c>
      <c r="AH19" s="13">
        <v>0.0812</v>
      </c>
      <c r="AI19" s="13">
        <v>6.0428</v>
      </c>
      <c r="AJ19" s="13">
        <v>1.9172</v>
      </c>
      <c r="AK19" s="11">
        <v>0.92</v>
      </c>
      <c r="AL19" s="23"/>
      <c r="AM19" s="14">
        <f>IFERROR(__xludf.DUMMYFUNCTION("IFERROR(GOOGLEFINANCE(B19,""price""),"""")"),4.0)</f>
        <v>4</v>
      </c>
    </row>
    <row r="20">
      <c r="A20" s="7">
        <v>46073.62920416809</v>
      </c>
      <c r="B20" s="8" t="s">
        <v>617</v>
      </c>
      <c r="C20" s="8" t="s">
        <v>618</v>
      </c>
      <c r="D20" s="9">
        <v>46075.0</v>
      </c>
      <c r="E20" s="8" t="s">
        <v>619</v>
      </c>
      <c r="F20" s="10">
        <v>4.64</v>
      </c>
      <c r="G20" s="11">
        <v>0.0</v>
      </c>
      <c r="H20" s="8" t="s">
        <v>129</v>
      </c>
      <c r="I20" s="12">
        <v>563240.0</v>
      </c>
      <c r="J20" s="11">
        <v>20.3479</v>
      </c>
      <c r="K20" s="13">
        <v>0.1521</v>
      </c>
      <c r="L20" s="13">
        <v>0.4325</v>
      </c>
      <c r="M20" s="13">
        <v>441418.8</v>
      </c>
      <c r="N20" s="13">
        <v>1.3226</v>
      </c>
      <c r="O20" s="12">
        <v>9.82497308E8</v>
      </c>
      <c r="P20" s="13">
        <v>78.9474</v>
      </c>
      <c r="Q20" s="13">
        <v>77.5828</v>
      </c>
      <c r="R20" s="11">
        <v>51.5829</v>
      </c>
      <c r="S20" s="13">
        <v>4.6233</v>
      </c>
      <c r="T20" s="13">
        <v>4.6018</v>
      </c>
      <c r="U20" s="13">
        <v>4.641</v>
      </c>
      <c r="V20" s="13">
        <v>4.7139</v>
      </c>
      <c r="W20" s="13">
        <v>4.7386</v>
      </c>
      <c r="X20" s="13">
        <v>4.8997</v>
      </c>
      <c r="Y20" s="13">
        <v>5.2406</v>
      </c>
      <c r="Z20" s="13">
        <v>5.4878</v>
      </c>
      <c r="AA20" s="13">
        <v>7.33</v>
      </c>
      <c r="AB20" s="13">
        <v>3.94</v>
      </c>
      <c r="AC20" s="13">
        <v>12.3175</v>
      </c>
      <c r="AD20" s="13">
        <v>0.3767</v>
      </c>
      <c r="AE20" s="13">
        <v>19.3808</v>
      </c>
      <c r="AF20" s="13">
        <v>13.4325</v>
      </c>
      <c r="AG20" s="13">
        <v>-2.7207</v>
      </c>
      <c r="AH20" s="13">
        <v>0.0349</v>
      </c>
      <c r="AI20" s="13">
        <v>2.3583</v>
      </c>
      <c r="AJ20" s="13">
        <v>0.3825</v>
      </c>
      <c r="AK20" s="11">
        <v>0.7</v>
      </c>
      <c r="AL20" s="8" t="s">
        <v>1159</v>
      </c>
      <c r="AM20" s="14">
        <f>IFERROR(__xludf.DUMMYFUNCTION("IFERROR(GOOGLEFINANCE(B20,""price""),"""")"),4.18)</f>
        <v>4.18</v>
      </c>
    </row>
    <row r="21">
      <c r="A21" s="7">
        <v>46073.77979011059</v>
      </c>
      <c r="B21" s="8" t="s">
        <v>617</v>
      </c>
      <c r="C21" s="8" t="s">
        <v>618</v>
      </c>
      <c r="D21" s="9">
        <v>46075.0</v>
      </c>
      <c r="E21" s="8" t="s">
        <v>619</v>
      </c>
      <c r="F21" s="10">
        <v>4.62</v>
      </c>
      <c r="G21" s="11">
        <v>-0.431</v>
      </c>
      <c r="H21" s="8" t="s">
        <v>129</v>
      </c>
      <c r="I21" s="12">
        <v>1656460.0</v>
      </c>
      <c r="J21" s="11">
        <v>20.3479</v>
      </c>
      <c r="K21" s="13">
        <v>0.1524</v>
      </c>
      <c r="L21" s="13">
        <v>0.4325</v>
      </c>
      <c r="M21" s="13">
        <v>550740.8</v>
      </c>
      <c r="N21" s="13">
        <v>3.8897</v>
      </c>
      <c r="O21" s="12">
        <v>9.78262406E8</v>
      </c>
      <c r="P21" s="13">
        <v>77.7778</v>
      </c>
      <c r="Q21" s="13">
        <v>77.193</v>
      </c>
      <c r="R21" s="11">
        <v>50.3524</v>
      </c>
      <c r="S21" s="13">
        <v>4.6189</v>
      </c>
      <c r="T21" s="13">
        <v>4.5999</v>
      </c>
      <c r="U21" s="13">
        <v>4.6399</v>
      </c>
      <c r="V21" s="13">
        <v>4.7132</v>
      </c>
      <c r="W21" s="13">
        <v>4.7379</v>
      </c>
      <c r="X21" s="13">
        <v>4.8992</v>
      </c>
      <c r="Y21" s="13">
        <v>5.2404</v>
      </c>
      <c r="Z21" s="13">
        <v>5.4877</v>
      </c>
      <c r="AA21" s="13">
        <v>7.33</v>
      </c>
      <c r="AB21" s="13">
        <v>3.94</v>
      </c>
      <c r="AC21" s="13">
        <v>12.2644</v>
      </c>
      <c r="AD21" s="13">
        <v>0.3767</v>
      </c>
      <c r="AE21" s="13">
        <v>19.3808</v>
      </c>
      <c r="AF21" s="13">
        <v>13.4325</v>
      </c>
      <c r="AG21" s="13">
        <v>-2.7207</v>
      </c>
      <c r="AH21" s="13">
        <v>0.0349</v>
      </c>
      <c r="AI21" s="13">
        <v>2.3583</v>
      </c>
      <c r="AJ21" s="13">
        <v>0.4556</v>
      </c>
      <c r="AK21" s="11">
        <v>0.7</v>
      </c>
      <c r="AL21" s="8" t="s">
        <v>1160</v>
      </c>
      <c r="AM21" s="14">
        <f>IFERROR(__xludf.DUMMYFUNCTION("IFERROR(GOOGLEFINANCE(B21,""price""),"""")"),4.18)</f>
        <v>4.18</v>
      </c>
    </row>
    <row r="22">
      <c r="A22" s="7">
        <v>46077.62718112491</v>
      </c>
      <c r="B22" s="8" t="s">
        <v>1161</v>
      </c>
      <c r="C22" s="8" t="s">
        <v>1162</v>
      </c>
      <c r="D22" s="9">
        <v>46082.0</v>
      </c>
      <c r="E22" s="8" t="s">
        <v>1163</v>
      </c>
      <c r="F22" s="10">
        <v>5.86</v>
      </c>
      <c r="G22" s="11">
        <v>-32.721</v>
      </c>
      <c r="H22" s="8" t="s">
        <v>270</v>
      </c>
      <c r="I22" s="12">
        <v>1384363.0</v>
      </c>
      <c r="J22" s="11">
        <v>23.0339</v>
      </c>
      <c r="K22" s="13">
        <v>0.5863</v>
      </c>
      <c r="L22" s="13">
        <v>1.011</v>
      </c>
      <c r="M22" s="13">
        <v>354540.1</v>
      </c>
      <c r="N22" s="13">
        <v>5.5265</v>
      </c>
      <c r="O22" s="12">
        <v>1.20660229E8</v>
      </c>
      <c r="P22" s="13">
        <v>50.0388</v>
      </c>
      <c r="Q22" s="13">
        <v>63.1067</v>
      </c>
      <c r="R22" s="11">
        <v>26.4189</v>
      </c>
      <c r="S22" s="13">
        <v>7.9686</v>
      </c>
      <c r="T22" s="13">
        <v>8.1881</v>
      </c>
      <c r="U22" s="13">
        <v>8.06</v>
      </c>
      <c r="V22" s="13">
        <v>7.878</v>
      </c>
      <c r="W22" s="13">
        <v>7.831</v>
      </c>
      <c r="X22" s="13">
        <v>7.6291</v>
      </c>
      <c r="Y22" s="13">
        <v>7.7374</v>
      </c>
      <c r="Z22" s="13">
        <v>7.386</v>
      </c>
      <c r="AA22" s="13">
        <v>9.2</v>
      </c>
      <c r="AB22" s="13">
        <v>5.46</v>
      </c>
      <c r="AC22" s="13">
        <v>0.0</v>
      </c>
      <c r="AD22" s="13">
        <v>-0.8942</v>
      </c>
      <c r="AE22" s="13">
        <v>-7.2674</v>
      </c>
      <c r="AF22" s="13">
        <v>1.0098</v>
      </c>
      <c r="AG22" s="13">
        <v>-5.1351</v>
      </c>
      <c r="AH22" s="13">
        <v>0.3751</v>
      </c>
      <c r="AI22" s="13">
        <v>2.5049</v>
      </c>
      <c r="AJ22" s="13">
        <v>1.5598</v>
      </c>
      <c r="AK22" s="11">
        <v>1.16</v>
      </c>
      <c r="AL22" s="8" t="s">
        <v>1164</v>
      </c>
      <c r="AM22" s="14">
        <f>IFERROR(__xludf.DUMMYFUNCTION("IFERROR(GOOGLEFINANCE(B22,""price""),"""")"),5.09)</f>
        <v>5.09</v>
      </c>
    </row>
    <row r="23">
      <c r="A23" s="7">
        <v>46078.62884260232</v>
      </c>
      <c r="B23" s="8" t="s">
        <v>1165</v>
      </c>
      <c r="C23" s="8" t="s">
        <v>1166</v>
      </c>
      <c r="D23" s="9">
        <v>46082.0</v>
      </c>
      <c r="E23" s="8" t="s">
        <v>1167</v>
      </c>
      <c r="F23" s="10">
        <v>79.23</v>
      </c>
      <c r="G23" s="11">
        <v>-3.8821</v>
      </c>
      <c r="H23" s="8" t="s">
        <v>117</v>
      </c>
      <c r="I23" s="12">
        <v>915227.0</v>
      </c>
      <c r="J23" s="11">
        <v>20.4274</v>
      </c>
      <c r="K23" s="13">
        <v>2.5216</v>
      </c>
      <c r="L23" s="13">
        <v>4.8945</v>
      </c>
      <c r="M23" s="13">
        <v>694661.6</v>
      </c>
      <c r="N23" s="13">
        <v>1.3905</v>
      </c>
      <c r="O23" s="12">
        <v>4.697566133E9</v>
      </c>
      <c r="P23" s="13">
        <v>57.7836</v>
      </c>
      <c r="Q23" s="13">
        <v>69.1074</v>
      </c>
      <c r="R23" s="11">
        <v>41.9203</v>
      </c>
      <c r="S23" s="13">
        <v>81.2759</v>
      </c>
      <c r="T23" s="13">
        <v>81.7213</v>
      </c>
      <c r="U23" s="13">
        <v>82.384</v>
      </c>
      <c r="V23" s="13">
        <v>83.0376</v>
      </c>
      <c r="W23" s="13">
        <v>83.2051</v>
      </c>
      <c r="X23" s="13">
        <v>84.1728</v>
      </c>
      <c r="Y23" s="13">
        <v>86.7891</v>
      </c>
      <c r="Z23" s="13">
        <v>87.0547</v>
      </c>
      <c r="AA23" s="13">
        <v>107.27</v>
      </c>
      <c r="AB23" s="13">
        <v>77.62</v>
      </c>
      <c r="AC23" s="13">
        <v>40.5517</v>
      </c>
      <c r="AD23" s="13">
        <v>1.9538</v>
      </c>
      <c r="AE23" s="13">
        <v>8.3027</v>
      </c>
      <c r="AF23" s="13">
        <v>12.237</v>
      </c>
      <c r="AG23" s="13">
        <v>11.4898</v>
      </c>
      <c r="AH23" s="13">
        <v>0.5369</v>
      </c>
      <c r="AI23" s="13">
        <v>4.2761</v>
      </c>
      <c r="AJ23" s="13">
        <v>1.3985</v>
      </c>
      <c r="AK23" s="11">
        <v>1.03</v>
      </c>
      <c r="AL23" s="23"/>
      <c r="AM23" s="14">
        <f>IFERROR(__xludf.DUMMYFUNCTION("IFERROR(GOOGLEFINANCE(B23,""price""),"""")"),68.26)</f>
        <v>68.26</v>
      </c>
    </row>
    <row r="24">
      <c r="A24" s="7">
        <v>46079.62822257919</v>
      </c>
      <c r="B24" s="8" t="s">
        <v>1168</v>
      </c>
      <c r="C24" s="8" t="s">
        <v>1169</v>
      </c>
      <c r="D24" s="9">
        <v>46082.0</v>
      </c>
      <c r="E24" s="8" t="s">
        <v>1170</v>
      </c>
      <c r="F24" s="10">
        <v>87.97</v>
      </c>
      <c r="G24" s="11">
        <v>-1.4783</v>
      </c>
      <c r="H24" s="8" t="s">
        <v>88</v>
      </c>
      <c r="I24" s="12">
        <v>3291684.0</v>
      </c>
      <c r="J24" s="11">
        <v>21.6833</v>
      </c>
      <c r="K24" s="13">
        <v>2.6653</v>
      </c>
      <c r="L24" s="13">
        <v>5.2426</v>
      </c>
      <c r="M24" s="8">
        <v>2141237.0</v>
      </c>
      <c r="N24" s="13">
        <v>1.7088</v>
      </c>
      <c r="O24" s="12">
        <v>3.0356276336E10</v>
      </c>
      <c r="P24" s="13">
        <v>62.1548</v>
      </c>
      <c r="Q24" s="13">
        <v>64.2735</v>
      </c>
      <c r="R24" s="11">
        <v>48.6079</v>
      </c>
      <c r="S24" s="13">
        <v>88.1041</v>
      </c>
      <c r="T24" s="13">
        <v>88.0233</v>
      </c>
      <c r="U24" s="13">
        <v>88.8803</v>
      </c>
      <c r="V24" s="13">
        <v>90.1031</v>
      </c>
      <c r="W24" s="13">
        <v>90.4649</v>
      </c>
      <c r="X24" s="13">
        <v>92.414</v>
      </c>
      <c r="Y24" s="13">
        <v>93.8642</v>
      </c>
      <c r="Z24" s="13">
        <v>97.5203</v>
      </c>
      <c r="AA24" s="13">
        <v>109.3626</v>
      </c>
      <c r="AB24" s="13">
        <v>75.26</v>
      </c>
      <c r="AC24" s="13">
        <v>140.707</v>
      </c>
      <c r="AD24" s="13">
        <v>0.6252</v>
      </c>
      <c r="AE24" s="13">
        <v>2.2506</v>
      </c>
      <c r="AF24" s="13">
        <v>12.2525</v>
      </c>
      <c r="AG24" s="13">
        <v>9.8124</v>
      </c>
      <c r="AH24" s="13">
        <v>0.954</v>
      </c>
      <c r="AI24" s="13">
        <v>0.669</v>
      </c>
      <c r="AJ24" s="13">
        <v>0.8823</v>
      </c>
      <c r="AK24" s="11">
        <v>1.02</v>
      </c>
      <c r="AL24" s="8" t="s">
        <v>1133</v>
      </c>
      <c r="AM24" s="14">
        <f>IFERROR(__xludf.DUMMYFUNCTION("IFERROR(GOOGLEFINANCE(B24,""price""),"""")"),88.77)</f>
        <v>88.77</v>
      </c>
    </row>
    <row r="25">
      <c r="A25" s="15">
        <v>46079.62822257919</v>
      </c>
      <c r="B25" s="16" t="s">
        <v>1171</v>
      </c>
      <c r="C25" s="16" t="s">
        <v>1172</v>
      </c>
      <c r="D25" s="17">
        <v>46082.0</v>
      </c>
      <c r="E25" s="16" t="s">
        <v>1173</v>
      </c>
      <c r="F25" s="18">
        <v>10.6775</v>
      </c>
      <c r="G25" s="19">
        <v>-33.7624</v>
      </c>
      <c r="H25" s="16" t="s">
        <v>102</v>
      </c>
      <c r="I25" s="20">
        <v>3788190.0</v>
      </c>
      <c r="J25" s="19">
        <v>35.7226</v>
      </c>
      <c r="K25" s="21">
        <v>0.8324</v>
      </c>
      <c r="L25" s="21">
        <v>1.3527</v>
      </c>
      <c r="M25" s="21">
        <v>663672.8</v>
      </c>
      <c r="N25" s="21">
        <v>12.2385</v>
      </c>
      <c r="O25" s="20">
        <v>5.6560962E8</v>
      </c>
      <c r="P25" s="21">
        <v>59.9186</v>
      </c>
      <c r="Q25" s="21">
        <v>78.5195</v>
      </c>
      <c r="R25" s="19">
        <v>20.166</v>
      </c>
      <c r="S25" s="21">
        <v>14.7758</v>
      </c>
      <c r="T25" s="21">
        <v>15.0637</v>
      </c>
      <c r="U25" s="21">
        <v>14.9656</v>
      </c>
      <c r="V25" s="21">
        <v>14.8854</v>
      </c>
      <c r="W25" s="21">
        <v>14.8699</v>
      </c>
      <c r="X25" s="21">
        <v>14.8042</v>
      </c>
      <c r="Y25" s="21">
        <v>14.7782</v>
      </c>
      <c r="Z25" s="21">
        <v>14.3011</v>
      </c>
      <c r="AA25" s="21">
        <v>18.32</v>
      </c>
      <c r="AB25" s="21">
        <v>10.22</v>
      </c>
      <c r="AC25" s="21">
        <v>31.3767</v>
      </c>
      <c r="AD25" s="21">
        <v>0.3403</v>
      </c>
      <c r="AE25" s="21">
        <v>9.4134</v>
      </c>
      <c r="AF25" s="21">
        <v>15.9804</v>
      </c>
      <c r="AG25" s="21">
        <v>0.0955</v>
      </c>
      <c r="AH25" s="21">
        <v>0.0553</v>
      </c>
      <c r="AI25" s="21">
        <v>7.3347</v>
      </c>
      <c r="AJ25" s="21">
        <v>1.777</v>
      </c>
      <c r="AK25" s="19">
        <v>1.23</v>
      </c>
      <c r="AL25" s="16" t="s">
        <v>1174</v>
      </c>
      <c r="AM25" s="22">
        <f>IFERROR(__xludf.DUMMYFUNCTION("IFERROR(GOOGLEFINANCE(B25,""price""),"""")"),11.11)</f>
        <v>11.11</v>
      </c>
    </row>
    <row r="26">
      <c r="A26" s="7">
        <v>46083.628770724645</v>
      </c>
      <c r="B26" s="8" t="s">
        <v>1175</v>
      </c>
      <c r="C26" s="8" t="s">
        <v>1176</v>
      </c>
      <c r="D26" s="9">
        <v>46089.0</v>
      </c>
      <c r="E26" s="8" t="s">
        <v>1177</v>
      </c>
      <c r="F26" s="10">
        <v>481.85</v>
      </c>
      <c r="G26" s="11">
        <v>-4.5747</v>
      </c>
      <c r="H26" s="8" t="s">
        <v>93</v>
      </c>
      <c r="I26" s="12">
        <v>8390898.0</v>
      </c>
      <c r="J26" s="11">
        <v>23.5464</v>
      </c>
      <c r="K26" s="13">
        <v>8.8021</v>
      </c>
      <c r="L26" s="13">
        <v>16.7068</v>
      </c>
      <c r="M26" s="8">
        <v>4452191.0</v>
      </c>
      <c r="N26" s="13">
        <v>2.0557</v>
      </c>
      <c r="O26" s="12">
        <v>1.03929981925E12</v>
      </c>
      <c r="P26" s="13">
        <v>55.4559</v>
      </c>
      <c r="Q26" s="13">
        <v>51.8428</v>
      </c>
      <c r="R26" s="11">
        <v>39.0494</v>
      </c>
      <c r="S26" s="13">
        <v>495.4261</v>
      </c>
      <c r="T26" s="13">
        <v>495.7421</v>
      </c>
      <c r="U26" s="13">
        <v>495.4793</v>
      </c>
      <c r="V26" s="13">
        <v>495.4647</v>
      </c>
      <c r="W26" s="13">
        <v>495.4618</v>
      </c>
      <c r="X26" s="13">
        <v>495.2462</v>
      </c>
      <c r="Y26" s="13">
        <v>491.5957</v>
      </c>
      <c r="Z26" s="13">
        <v>492.311</v>
      </c>
      <c r="AA26" s="13">
        <v>542.07</v>
      </c>
      <c r="AB26" s="13">
        <v>455.185</v>
      </c>
      <c r="AC26" s="13">
        <v>15.5225</v>
      </c>
      <c r="AD26" s="13">
        <v>31.042</v>
      </c>
      <c r="AE26" s="13">
        <v>9.7993</v>
      </c>
      <c r="AF26" s="13">
        <v>15.7782</v>
      </c>
      <c r="AG26" s="13">
        <v>0.003</v>
      </c>
      <c r="AH26" s="13">
        <v>0.1869</v>
      </c>
      <c r="AI26" s="13">
        <v>6.7524</v>
      </c>
      <c r="AJ26" s="13">
        <v>0.0111</v>
      </c>
      <c r="AK26" s="11">
        <v>1.05</v>
      </c>
      <c r="AL26" s="8" t="s">
        <v>1178</v>
      </c>
      <c r="AM26" s="14">
        <f>IFERROR(__xludf.DUMMYFUNCTION("IFERROR(GOOGLEFINANCE(B26,""price""),"""")"),479.9)</f>
        <v>479.9</v>
      </c>
    </row>
    <row r="27">
      <c r="A27" s="15">
        <v>46083.628770724645</v>
      </c>
      <c r="B27" s="16" t="s">
        <v>1179</v>
      </c>
      <c r="C27" s="16" t="s">
        <v>1180</v>
      </c>
      <c r="D27" s="17">
        <v>46089.0</v>
      </c>
      <c r="E27" s="16" t="s">
        <v>1181</v>
      </c>
      <c r="F27" s="18">
        <v>176.805</v>
      </c>
      <c r="G27" s="19">
        <v>-4.5175</v>
      </c>
      <c r="H27" s="16" t="s">
        <v>286</v>
      </c>
      <c r="I27" s="20">
        <v>2392086.0</v>
      </c>
      <c r="J27" s="19">
        <v>20.199</v>
      </c>
      <c r="K27" s="21">
        <v>7.2797</v>
      </c>
      <c r="L27" s="21">
        <v>16.2524</v>
      </c>
      <c r="M27" s="16">
        <v>1944297.0</v>
      </c>
      <c r="N27" s="21">
        <v>1.26</v>
      </c>
      <c r="O27" s="20">
        <v>2.1644828673E10</v>
      </c>
      <c r="P27" s="21">
        <v>59.343</v>
      </c>
      <c r="Q27" s="21">
        <v>62.0217</v>
      </c>
      <c r="R27" s="19">
        <v>44.6159</v>
      </c>
      <c r="S27" s="21">
        <v>181.2321</v>
      </c>
      <c r="T27" s="21">
        <v>181.8943</v>
      </c>
      <c r="U27" s="21">
        <v>184.0228</v>
      </c>
      <c r="V27" s="21">
        <v>185.5761</v>
      </c>
      <c r="W27" s="21">
        <v>185.918</v>
      </c>
      <c r="X27" s="21">
        <v>188.8924</v>
      </c>
      <c r="Y27" s="21">
        <v>210.8096</v>
      </c>
      <c r="Z27" s="21">
        <v>204.7659</v>
      </c>
      <c r="AA27" s="21">
        <v>363.88</v>
      </c>
      <c r="AB27" s="21">
        <v>159.2515</v>
      </c>
      <c r="AC27" s="21">
        <v>12.3389</v>
      </c>
      <c r="AD27" s="21">
        <v>14.3291</v>
      </c>
      <c r="AE27" s="21">
        <v>41.0171</v>
      </c>
      <c r="AF27" s="21">
        <v>22.076</v>
      </c>
      <c r="AG27" s="21">
        <v>8.7565</v>
      </c>
      <c r="AH27" s="21">
        <v>0.3916</v>
      </c>
      <c r="AI27" s="21">
        <v>2.1299</v>
      </c>
      <c r="AJ27" s="21">
        <v>1.5784</v>
      </c>
      <c r="AK27" s="19">
        <v>0.9</v>
      </c>
      <c r="AL27" s="24"/>
      <c r="AM27" s="22">
        <f>IFERROR(__xludf.DUMMYFUNCTION("IFERROR(GOOGLEFINANCE(B27,""price""),"""")"),163.86)</f>
        <v>163.86</v>
      </c>
    </row>
    <row r="28">
      <c r="A28" s="7">
        <v>46084.62809860709</v>
      </c>
      <c r="B28" s="8" t="s">
        <v>661</v>
      </c>
      <c r="C28" s="8" t="s">
        <v>662</v>
      </c>
      <c r="D28" s="9">
        <v>46089.0</v>
      </c>
      <c r="E28" s="8" t="s">
        <v>663</v>
      </c>
      <c r="F28" s="10">
        <v>3.55</v>
      </c>
      <c r="G28" s="11">
        <v>-1.662</v>
      </c>
      <c r="H28" s="8" t="s">
        <v>186</v>
      </c>
      <c r="I28" s="12">
        <v>1066555.0</v>
      </c>
      <c r="J28" s="11">
        <v>25.0508</v>
      </c>
      <c r="K28" s="13">
        <v>0.1741</v>
      </c>
      <c r="L28" s="13">
        <v>0.3494</v>
      </c>
      <c r="M28" s="13">
        <v>801918.3</v>
      </c>
      <c r="N28" s="13">
        <v>1.4891</v>
      </c>
      <c r="O28" s="12">
        <v>3.30660638E8</v>
      </c>
      <c r="P28" s="13">
        <v>61.1111</v>
      </c>
      <c r="Q28" s="13">
        <v>61.1313</v>
      </c>
      <c r="R28" s="11">
        <v>51.8229</v>
      </c>
      <c r="S28" s="13">
        <v>3.4881</v>
      </c>
      <c r="T28" s="13">
        <v>3.4871</v>
      </c>
      <c r="U28" s="13">
        <v>3.5556</v>
      </c>
      <c r="V28" s="13">
        <v>3.6451</v>
      </c>
      <c r="W28" s="13">
        <v>3.6722</v>
      </c>
      <c r="X28" s="13">
        <v>3.8476</v>
      </c>
      <c r="Y28" s="13">
        <v>4.3436</v>
      </c>
      <c r="Z28" s="13">
        <v>4.3584</v>
      </c>
      <c r="AA28" s="13">
        <v>6.39</v>
      </c>
      <c r="AB28" s="13">
        <v>3.17</v>
      </c>
      <c r="AC28" s="13">
        <v>0.0</v>
      </c>
      <c r="AD28" s="13">
        <v>-0.1061</v>
      </c>
      <c r="AE28" s="13">
        <v>-2.6697</v>
      </c>
      <c r="AF28" s="13">
        <v>-5.7131</v>
      </c>
      <c r="AG28" s="13">
        <v>1.0382</v>
      </c>
      <c r="AH28" s="13">
        <v>0.0607</v>
      </c>
      <c r="AI28" s="13">
        <v>2.2238</v>
      </c>
      <c r="AJ28" s="13">
        <v>1.9025</v>
      </c>
      <c r="AK28" s="11">
        <v>1.0</v>
      </c>
      <c r="AL28" s="23"/>
      <c r="AM28" s="14">
        <f>IFERROR(__xludf.DUMMYFUNCTION("IFERROR(GOOGLEFINANCE(B28,""price""),"""")"),3.28)</f>
        <v>3.28</v>
      </c>
    </row>
    <row r="29">
      <c r="A29" s="7">
        <v>46086.626896403424</v>
      </c>
      <c r="B29" s="8" t="s">
        <v>1182</v>
      </c>
      <c r="C29" s="8" t="s">
        <v>1183</v>
      </c>
      <c r="D29" s="9">
        <v>46089.0</v>
      </c>
      <c r="E29" s="8" t="s">
        <v>1184</v>
      </c>
      <c r="F29" s="10">
        <v>25.475</v>
      </c>
      <c r="G29" s="11">
        <v>-1.4888</v>
      </c>
      <c r="H29" s="8" t="s">
        <v>93</v>
      </c>
      <c r="I29" s="12">
        <v>523304.0</v>
      </c>
      <c r="J29" s="11">
        <v>28.3125</v>
      </c>
      <c r="K29" s="13">
        <v>0.1478</v>
      </c>
      <c r="L29" s="13">
        <v>0.3292</v>
      </c>
      <c r="M29" s="13">
        <v>131320.3</v>
      </c>
      <c r="N29" s="13">
        <v>6.4821</v>
      </c>
      <c r="O29" s="12">
        <v>8.1322960585E10</v>
      </c>
      <c r="P29" s="13">
        <v>57.6644</v>
      </c>
      <c r="Q29" s="13">
        <v>71.9179</v>
      </c>
      <c r="R29" s="11">
        <v>32.6068</v>
      </c>
      <c r="S29" s="13">
        <v>25.7503</v>
      </c>
      <c r="T29" s="13">
        <v>25.7753</v>
      </c>
      <c r="U29" s="13">
        <v>25.7652</v>
      </c>
      <c r="V29" s="13">
        <v>25.7513</v>
      </c>
      <c r="W29" s="13">
        <v>25.7477</v>
      </c>
      <c r="X29" s="13">
        <v>25.7252</v>
      </c>
      <c r="Y29" s="13">
        <v>25.6212</v>
      </c>
      <c r="Z29" s="13">
        <v>25.6586</v>
      </c>
      <c r="AA29" s="13">
        <v>25.99</v>
      </c>
      <c r="AB29" s="13">
        <v>24.54</v>
      </c>
      <c r="AC29" s="13">
        <v>3.4363</v>
      </c>
      <c r="AD29" s="13">
        <v>7.4136</v>
      </c>
      <c r="AE29" s="13">
        <v>12.9603</v>
      </c>
      <c r="AF29" s="13">
        <v>16.9045</v>
      </c>
      <c r="AG29" s="13">
        <v>2.0861</v>
      </c>
      <c r="AH29" s="13">
        <v>1.7287</v>
      </c>
      <c r="AI29" s="13">
        <v>1.789</v>
      </c>
      <c r="AJ29" s="13">
        <v>0.0586</v>
      </c>
      <c r="AK29" s="11">
        <v>0.9</v>
      </c>
      <c r="AL29" s="8" t="s">
        <v>1185</v>
      </c>
      <c r="AM29" s="14" t="str">
        <f>IFERROR(__xludf.DUMMYFUNCTION("IFERROR(GOOGLEFINANCE(B29,""price""),"""")"),"")</f>
        <v/>
      </c>
    </row>
    <row r="30">
      <c r="A30" s="7">
        <v>46087.626035743495</v>
      </c>
      <c r="B30" s="8" t="s">
        <v>1186</v>
      </c>
      <c r="C30" s="8" t="s">
        <v>1187</v>
      </c>
      <c r="D30" s="9">
        <v>46089.0</v>
      </c>
      <c r="E30" s="8" t="s">
        <v>1188</v>
      </c>
      <c r="F30" s="10">
        <v>91.805</v>
      </c>
      <c r="G30" s="11">
        <v>2.0169</v>
      </c>
      <c r="H30" s="8" t="s">
        <v>308</v>
      </c>
      <c r="I30" s="12">
        <v>1078135.0</v>
      </c>
      <c r="J30" s="11">
        <v>25.3265</v>
      </c>
      <c r="K30" s="13">
        <v>2.6078</v>
      </c>
      <c r="L30" s="13">
        <v>6.2075</v>
      </c>
      <c r="M30" s="13">
        <v>857489.7</v>
      </c>
      <c r="N30" s="13">
        <v>1.2801</v>
      </c>
      <c r="O30" s="12">
        <v>1.2955684824E10</v>
      </c>
      <c r="P30" s="13">
        <v>61.6773</v>
      </c>
      <c r="Q30" s="13">
        <v>65.4752</v>
      </c>
      <c r="R30" s="11">
        <v>50.139</v>
      </c>
      <c r="S30" s="13">
        <v>91.1966</v>
      </c>
      <c r="T30" s="13">
        <v>91.2472</v>
      </c>
      <c r="U30" s="13">
        <v>92.5706</v>
      </c>
      <c r="V30" s="13">
        <v>94.6543</v>
      </c>
      <c r="W30" s="13">
        <v>95.254</v>
      </c>
      <c r="X30" s="13">
        <v>98.0269</v>
      </c>
      <c r="Y30" s="13">
        <v>98.5979</v>
      </c>
      <c r="Z30" s="13">
        <v>100.4622</v>
      </c>
      <c r="AA30" s="13">
        <v>123.01</v>
      </c>
      <c r="AB30" s="13">
        <v>64.73</v>
      </c>
      <c r="AC30" s="13">
        <v>18.467</v>
      </c>
      <c r="AD30" s="13">
        <v>4.9713</v>
      </c>
      <c r="AE30" s="13">
        <v>31.2797</v>
      </c>
      <c r="AF30" s="13">
        <v>16.0113</v>
      </c>
      <c r="AG30" s="13">
        <v>12.5866</v>
      </c>
      <c r="AH30" s="13">
        <v>0.0394</v>
      </c>
      <c r="AI30" s="13">
        <v>2.2136</v>
      </c>
      <c r="AJ30" s="13">
        <v>1.4967</v>
      </c>
      <c r="AK30" s="11">
        <v>0.84</v>
      </c>
      <c r="AL30" s="23"/>
      <c r="AM30" s="14">
        <f>IFERROR(__xludf.DUMMYFUNCTION("IFERROR(GOOGLEFINANCE(B30,""price""),"""")"),91.26)</f>
        <v>91.26</v>
      </c>
    </row>
    <row r="31">
      <c r="A31" s="7">
        <v>46090.66825730437</v>
      </c>
      <c r="B31" s="8" t="s">
        <v>1189</v>
      </c>
      <c r="C31" s="8" t="s">
        <v>1190</v>
      </c>
      <c r="D31" s="9">
        <v>46096.0</v>
      </c>
      <c r="E31" s="8" t="s">
        <v>1191</v>
      </c>
      <c r="F31" s="10">
        <v>21.48</v>
      </c>
      <c r="G31" s="11">
        <v>-1.196</v>
      </c>
      <c r="H31" s="8" t="s">
        <v>93</v>
      </c>
      <c r="I31" s="12">
        <v>376124.0</v>
      </c>
      <c r="J31" s="11">
        <v>20.5205</v>
      </c>
      <c r="K31" s="13">
        <v>0.1976</v>
      </c>
      <c r="L31" s="13">
        <v>0.4251</v>
      </c>
      <c r="M31" s="13">
        <v>112811.3</v>
      </c>
      <c r="N31" s="13">
        <v>4.6821</v>
      </c>
      <c r="O31" s="12">
        <v>4.6837032403E10</v>
      </c>
      <c r="P31" s="13">
        <v>52.7778</v>
      </c>
      <c r="Q31" s="13">
        <v>57.2707</v>
      </c>
      <c r="R31" s="11">
        <v>35.7929</v>
      </c>
      <c r="S31" s="13">
        <v>21.6701</v>
      </c>
      <c r="T31" s="13">
        <v>21.7137</v>
      </c>
      <c r="U31" s="13">
        <v>21.7589</v>
      </c>
      <c r="V31" s="13">
        <v>21.8618</v>
      </c>
      <c r="W31" s="13">
        <v>21.9009</v>
      </c>
      <c r="X31" s="13">
        <v>22.1846</v>
      </c>
      <c r="Y31" s="13">
        <v>22.865</v>
      </c>
      <c r="Z31" s="13">
        <v>23.1252</v>
      </c>
      <c r="AA31" s="13">
        <v>24.88</v>
      </c>
      <c r="AB31" s="13">
        <v>21.34</v>
      </c>
      <c r="AC31" s="13">
        <v>4.5595</v>
      </c>
      <c r="AD31" s="13">
        <v>4.711</v>
      </c>
      <c r="AE31" s="13">
        <v>12.1018</v>
      </c>
      <c r="AF31" s="13">
        <v>7.4231</v>
      </c>
      <c r="AG31" s="13">
        <v>8.5904</v>
      </c>
      <c r="AH31" s="13">
        <v>0.7231</v>
      </c>
      <c r="AI31" s="13">
        <v>5.3494</v>
      </c>
      <c r="AJ31" s="13">
        <v>0.4131</v>
      </c>
      <c r="AK31" s="11">
        <v>0.93</v>
      </c>
      <c r="AL31" s="8" t="s">
        <v>1192</v>
      </c>
      <c r="AM31" s="14" t="str">
        <f>IFERROR(__xludf.DUMMYFUNCTION("IFERROR(GOOGLEFINANCE(B31,""price""),"""")"),"")</f>
        <v/>
      </c>
    </row>
    <row r="32">
      <c r="A32" s="15">
        <v>46090.66825730437</v>
      </c>
      <c r="B32" s="16" t="s">
        <v>1116</v>
      </c>
      <c r="C32" s="16" t="s">
        <v>1117</v>
      </c>
      <c r="D32" s="17">
        <v>46096.0</v>
      </c>
      <c r="E32" s="16" t="s">
        <v>1118</v>
      </c>
      <c r="F32" s="18">
        <v>9.15</v>
      </c>
      <c r="G32" s="19">
        <v>-2.139</v>
      </c>
      <c r="H32" s="16" t="s">
        <v>1119</v>
      </c>
      <c r="I32" s="20">
        <v>2096448.0</v>
      </c>
      <c r="J32" s="19">
        <v>22.0383</v>
      </c>
      <c r="K32" s="21">
        <v>0.2356</v>
      </c>
      <c r="L32" s="21">
        <v>0.4238</v>
      </c>
      <c r="M32" s="16">
        <v>1732451.0</v>
      </c>
      <c r="N32" s="21">
        <v>1.2363</v>
      </c>
      <c r="O32" s="20">
        <v>1.030007022E9</v>
      </c>
      <c r="P32" s="21">
        <v>67.1569</v>
      </c>
      <c r="Q32" s="21">
        <v>68.677</v>
      </c>
      <c r="R32" s="19">
        <v>45.2503</v>
      </c>
      <c r="S32" s="21">
        <v>9.2294</v>
      </c>
      <c r="T32" s="21">
        <v>9.2436</v>
      </c>
      <c r="U32" s="21">
        <v>9.286</v>
      </c>
      <c r="V32" s="21">
        <v>9.3585</v>
      </c>
      <c r="W32" s="21">
        <v>9.3847</v>
      </c>
      <c r="X32" s="21">
        <v>9.5868</v>
      </c>
      <c r="Y32" s="21">
        <v>10.2894</v>
      </c>
      <c r="Z32" s="21">
        <v>10.4022</v>
      </c>
      <c r="AA32" s="21">
        <v>12.43</v>
      </c>
      <c r="AB32" s="21">
        <v>8.81</v>
      </c>
      <c r="AC32" s="21">
        <v>8.8792</v>
      </c>
      <c r="AD32" s="21">
        <v>1.0305</v>
      </c>
      <c r="AE32" s="21">
        <v>7.9625</v>
      </c>
      <c r="AF32" s="21">
        <v>98.3589</v>
      </c>
      <c r="AG32" s="21">
        <v>-12.0614</v>
      </c>
      <c r="AH32" s="21">
        <v>1.3197</v>
      </c>
      <c r="AI32" s="21">
        <v>0.8528</v>
      </c>
      <c r="AJ32" s="21">
        <v>0.6183</v>
      </c>
      <c r="AK32" s="19">
        <v>1.11</v>
      </c>
      <c r="AL32" s="16" t="s">
        <v>1133</v>
      </c>
      <c r="AM32" s="22">
        <f>IFERROR(__xludf.DUMMYFUNCTION("IFERROR(GOOGLEFINANCE(B32,""price""),"""")"),8.97)</f>
        <v>8.97</v>
      </c>
    </row>
    <row r="33">
      <c r="A33" s="7">
        <v>46090.66825730437</v>
      </c>
      <c r="B33" s="8" t="s">
        <v>1186</v>
      </c>
      <c r="C33" s="8" t="s">
        <v>1187</v>
      </c>
      <c r="D33" s="9">
        <v>46096.0</v>
      </c>
      <c r="E33" s="8" t="s">
        <v>1188</v>
      </c>
      <c r="F33" s="10">
        <v>92.4</v>
      </c>
      <c r="G33" s="11">
        <v>0.2387</v>
      </c>
      <c r="H33" s="8" t="s">
        <v>308</v>
      </c>
      <c r="I33" s="12">
        <v>2109332.0</v>
      </c>
      <c r="J33" s="11">
        <v>24.8371</v>
      </c>
      <c r="K33" s="13">
        <v>2.6058</v>
      </c>
      <c r="L33" s="13">
        <v>5.9426</v>
      </c>
      <c r="M33" s="8">
        <v>1025058.0</v>
      </c>
      <c r="N33" s="13">
        <v>2.374</v>
      </c>
      <c r="O33" s="12">
        <v>1.3039653019E10</v>
      </c>
      <c r="P33" s="13">
        <v>63.4477</v>
      </c>
      <c r="Q33" s="13">
        <v>63.3034</v>
      </c>
      <c r="R33" s="11">
        <v>51.5758</v>
      </c>
      <c r="S33" s="13">
        <v>91.5288</v>
      </c>
      <c r="T33" s="13">
        <v>91.383</v>
      </c>
      <c r="U33" s="13">
        <v>92.5811</v>
      </c>
      <c r="V33" s="13">
        <v>94.5801</v>
      </c>
      <c r="W33" s="13">
        <v>95.165</v>
      </c>
      <c r="X33" s="13">
        <v>97.91</v>
      </c>
      <c r="Y33" s="13">
        <v>98.5399</v>
      </c>
      <c r="Z33" s="13">
        <v>100.4933</v>
      </c>
      <c r="AA33" s="13">
        <v>123.01</v>
      </c>
      <c r="AB33" s="13">
        <v>64.73</v>
      </c>
      <c r="AC33" s="13">
        <v>18.5867</v>
      </c>
      <c r="AD33" s="13">
        <v>4.9713</v>
      </c>
      <c r="AE33" s="13">
        <v>31.2797</v>
      </c>
      <c r="AF33" s="13">
        <v>16.0113</v>
      </c>
      <c r="AG33" s="13">
        <v>12.5866</v>
      </c>
      <c r="AH33" s="13">
        <v>0.0394</v>
      </c>
      <c r="AI33" s="13">
        <v>2.2136</v>
      </c>
      <c r="AJ33" s="13">
        <v>1.1388</v>
      </c>
      <c r="AK33" s="11">
        <v>0.88</v>
      </c>
      <c r="AL33" s="8" t="s">
        <v>1193</v>
      </c>
      <c r="AM33" s="14">
        <f>IFERROR(__xludf.DUMMYFUNCTION("IFERROR(GOOGLEFINANCE(B33,""price""),"""")"),91.26)</f>
        <v>91.26</v>
      </c>
    </row>
    <row r="34">
      <c r="A34" s="15">
        <v>46090.66825730437</v>
      </c>
      <c r="B34" s="16" t="s">
        <v>1194</v>
      </c>
      <c r="C34" s="16" t="s">
        <v>1195</v>
      </c>
      <c r="D34" s="17">
        <v>46096.0</v>
      </c>
      <c r="E34" s="16" t="s">
        <v>1196</v>
      </c>
      <c r="F34" s="18">
        <v>189.01</v>
      </c>
      <c r="G34" s="19">
        <v>-3.9974</v>
      </c>
      <c r="H34" s="16" t="s">
        <v>88</v>
      </c>
      <c r="I34" s="20">
        <v>2404412.0</v>
      </c>
      <c r="J34" s="19">
        <v>36.1276</v>
      </c>
      <c r="K34" s="21">
        <v>5.9427</v>
      </c>
      <c r="L34" s="21">
        <v>11.0449</v>
      </c>
      <c r="M34" s="16">
        <v>1346823.0</v>
      </c>
      <c r="N34" s="21">
        <v>1.9247</v>
      </c>
      <c r="O34" s="20">
        <v>2.2066675786E10</v>
      </c>
      <c r="P34" s="21">
        <v>85.6902</v>
      </c>
      <c r="Q34" s="21">
        <v>91.4052</v>
      </c>
      <c r="R34" s="19">
        <v>50.4147</v>
      </c>
      <c r="S34" s="21">
        <v>188.3488</v>
      </c>
      <c r="T34" s="21">
        <v>187.0263</v>
      </c>
      <c r="U34" s="21">
        <v>191.031</v>
      </c>
      <c r="V34" s="21">
        <v>196.5261</v>
      </c>
      <c r="W34" s="21">
        <v>198.1125</v>
      </c>
      <c r="X34" s="21">
        <v>206.8778</v>
      </c>
      <c r="Y34" s="21">
        <v>219.5255</v>
      </c>
      <c r="Z34" s="21">
        <v>229.3641</v>
      </c>
      <c r="AA34" s="21">
        <v>271.91</v>
      </c>
      <c r="AB34" s="21">
        <v>163.71</v>
      </c>
      <c r="AC34" s="21">
        <v>20.9214</v>
      </c>
      <c r="AD34" s="21">
        <v>9.0343</v>
      </c>
      <c r="AE34" s="21">
        <v>41.7918</v>
      </c>
      <c r="AF34" s="21">
        <v>17.5589</v>
      </c>
      <c r="AG34" s="21">
        <v>7.4444</v>
      </c>
      <c r="AH34" s="21">
        <v>1.168</v>
      </c>
      <c r="AI34" s="21">
        <v>0.9719</v>
      </c>
      <c r="AJ34" s="21">
        <v>1.4191</v>
      </c>
      <c r="AK34" s="19">
        <v>1.08</v>
      </c>
      <c r="AL34" s="24"/>
      <c r="AM34" s="22">
        <f>IFERROR(__xludf.DUMMYFUNCTION("IFERROR(GOOGLEFINANCE(B34,""price""),"""")"),151.12)</f>
        <v>151.12</v>
      </c>
    </row>
    <row r="35">
      <c r="A35" s="7">
        <v>46091.66961460501</v>
      </c>
      <c r="B35" s="8" t="s">
        <v>1194</v>
      </c>
      <c r="C35" s="8" t="s">
        <v>1195</v>
      </c>
      <c r="D35" s="9">
        <v>46096.0</v>
      </c>
      <c r="E35" s="8" t="s">
        <v>1196</v>
      </c>
      <c r="F35" s="10">
        <v>186.63</v>
      </c>
      <c r="G35" s="11">
        <v>-1.2592</v>
      </c>
      <c r="H35" s="8" t="s">
        <v>88</v>
      </c>
      <c r="I35" s="12">
        <v>1660013.0</v>
      </c>
      <c r="J35" s="11">
        <v>33.5946</v>
      </c>
      <c r="K35" s="13">
        <v>5.9989</v>
      </c>
      <c r="L35" s="13">
        <v>11.3128</v>
      </c>
      <c r="M35" s="8">
        <v>1418668.0</v>
      </c>
      <c r="N35" s="13">
        <v>1.2282</v>
      </c>
      <c r="O35" s="12">
        <v>2.1788812656E10</v>
      </c>
      <c r="P35" s="13">
        <v>72.7762</v>
      </c>
      <c r="Q35" s="13">
        <v>84.4613</v>
      </c>
      <c r="R35" s="11">
        <v>47.7132</v>
      </c>
      <c r="S35" s="13">
        <v>187.9669</v>
      </c>
      <c r="T35" s="13">
        <v>186.9903</v>
      </c>
      <c r="U35" s="13">
        <v>190.7795</v>
      </c>
      <c r="V35" s="13">
        <v>196.138</v>
      </c>
      <c r="W35" s="13">
        <v>197.7024</v>
      </c>
      <c r="X35" s="13">
        <v>206.4279</v>
      </c>
      <c r="Y35" s="13">
        <v>219.1982</v>
      </c>
      <c r="Z35" s="13">
        <v>229.1019</v>
      </c>
      <c r="AA35" s="13">
        <v>271.91</v>
      </c>
      <c r="AB35" s="13">
        <v>163.71</v>
      </c>
      <c r="AC35" s="13">
        <v>20.6579</v>
      </c>
      <c r="AD35" s="13">
        <v>9.0343</v>
      </c>
      <c r="AE35" s="13">
        <v>41.7918</v>
      </c>
      <c r="AF35" s="13">
        <v>17.5589</v>
      </c>
      <c r="AG35" s="13">
        <v>7.4444</v>
      </c>
      <c r="AH35" s="13">
        <v>1.168</v>
      </c>
      <c r="AI35" s="13">
        <v>0.9719</v>
      </c>
      <c r="AJ35" s="13">
        <v>1.5071</v>
      </c>
      <c r="AK35" s="11">
        <v>1.06</v>
      </c>
      <c r="AL35" s="23"/>
      <c r="AM35" s="14">
        <f>IFERROR(__xludf.DUMMYFUNCTION("IFERROR(GOOGLEFINANCE(B35,""price""),"""")"),151.12)</f>
        <v>151.12</v>
      </c>
    </row>
    <row r="36">
      <c r="A36" s="7">
        <v>46092.668274659954</v>
      </c>
      <c r="B36" s="8" t="s">
        <v>1197</v>
      </c>
      <c r="C36" s="8" t="s">
        <v>1198</v>
      </c>
      <c r="D36" s="9">
        <v>46096.0</v>
      </c>
      <c r="E36" s="8" t="s">
        <v>1199</v>
      </c>
      <c r="F36" s="10">
        <v>56.09</v>
      </c>
      <c r="G36" s="11">
        <v>-2.3163</v>
      </c>
      <c r="H36" s="8" t="s">
        <v>88</v>
      </c>
      <c r="I36" s="12">
        <v>3598169.0</v>
      </c>
      <c r="J36" s="11">
        <v>22.4055</v>
      </c>
      <c r="K36" s="13">
        <v>2.8914</v>
      </c>
      <c r="L36" s="13">
        <v>6.2597</v>
      </c>
      <c r="M36" s="8">
        <v>2763745.0</v>
      </c>
      <c r="N36" s="13">
        <v>1.3399</v>
      </c>
      <c r="O36" s="12">
        <v>8.419135606E9</v>
      </c>
      <c r="P36" s="13">
        <v>80.3017</v>
      </c>
      <c r="Q36" s="13">
        <v>87.5834</v>
      </c>
      <c r="R36" s="11">
        <v>48.2543</v>
      </c>
      <c r="S36" s="13">
        <v>56.9497</v>
      </c>
      <c r="T36" s="13">
        <v>56.21</v>
      </c>
      <c r="U36" s="13">
        <v>57.5759</v>
      </c>
      <c r="V36" s="13">
        <v>59.685</v>
      </c>
      <c r="W36" s="13">
        <v>60.2827</v>
      </c>
      <c r="X36" s="13">
        <v>63.2828</v>
      </c>
      <c r="Y36" s="13">
        <v>66.8025</v>
      </c>
      <c r="Z36" s="13">
        <v>68.4242</v>
      </c>
      <c r="AA36" s="13">
        <v>82.315</v>
      </c>
      <c r="AB36" s="13">
        <v>46.08</v>
      </c>
      <c r="AC36" s="13">
        <v>0.0</v>
      </c>
      <c r="AD36" s="13">
        <v>-0.6704</v>
      </c>
      <c r="AE36" s="13">
        <v>-7.9026</v>
      </c>
      <c r="AF36" s="13">
        <v>-8.9047</v>
      </c>
      <c r="AG36" s="13">
        <v>14.8302</v>
      </c>
      <c r="AH36" s="13">
        <v>0.0627</v>
      </c>
      <c r="AI36" s="13">
        <v>1.3191</v>
      </c>
      <c r="AJ36" s="13">
        <v>1.1164</v>
      </c>
      <c r="AK36" s="11">
        <v>0.92</v>
      </c>
      <c r="AL36" s="23"/>
      <c r="AM36" s="14">
        <f>IFERROR(__xludf.DUMMYFUNCTION("IFERROR(GOOGLEFINANCE(B36,""price""),"""")"),47.19)</f>
        <v>47.19</v>
      </c>
    </row>
    <row r="37">
      <c r="A37" s="15">
        <v>46092.668274659954</v>
      </c>
      <c r="B37" s="16" t="s">
        <v>1200</v>
      </c>
      <c r="C37" s="16" t="s">
        <v>1201</v>
      </c>
      <c r="D37" s="17">
        <v>46096.0</v>
      </c>
      <c r="E37" s="16" t="s">
        <v>1202</v>
      </c>
      <c r="F37" s="18">
        <v>72.51</v>
      </c>
      <c r="G37" s="19">
        <v>-0.371</v>
      </c>
      <c r="H37" s="16" t="s">
        <v>93</v>
      </c>
      <c r="I37" s="20">
        <v>2353459.0</v>
      </c>
      <c r="J37" s="19">
        <v>21.4403</v>
      </c>
      <c r="K37" s="21">
        <v>2.2586</v>
      </c>
      <c r="L37" s="21">
        <v>4.0561</v>
      </c>
      <c r="M37" s="16">
        <v>1736118.0</v>
      </c>
      <c r="N37" s="21">
        <v>1.429</v>
      </c>
      <c r="O37" s="20">
        <v>1.1873788905E10</v>
      </c>
      <c r="P37" s="21">
        <v>67.4517</v>
      </c>
      <c r="Q37" s="21">
        <v>74.5572</v>
      </c>
      <c r="R37" s="19">
        <v>46.1162</v>
      </c>
      <c r="S37" s="21">
        <v>72.8146</v>
      </c>
      <c r="T37" s="21">
        <v>73.1255</v>
      </c>
      <c r="U37" s="21">
        <v>73.7367</v>
      </c>
      <c r="V37" s="21">
        <v>74.3133</v>
      </c>
      <c r="W37" s="21">
        <v>74.4483</v>
      </c>
      <c r="X37" s="21">
        <v>75.0265</v>
      </c>
      <c r="Y37" s="21">
        <v>74.9704</v>
      </c>
      <c r="Z37" s="21">
        <v>76.0789</v>
      </c>
      <c r="AA37" s="21">
        <v>84.48</v>
      </c>
      <c r="AB37" s="21">
        <v>66.81</v>
      </c>
      <c r="AC37" s="21">
        <v>17.0616</v>
      </c>
      <c r="AD37" s="21">
        <v>4.2499</v>
      </c>
      <c r="AE37" s="21">
        <v>6.6893</v>
      </c>
      <c r="AF37" s="21">
        <v>8.9078</v>
      </c>
      <c r="AG37" s="21">
        <v>1.2194</v>
      </c>
      <c r="AH37" s="21">
        <v>0.3459</v>
      </c>
      <c r="AI37" s="21">
        <v>0.0</v>
      </c>
      <c r="AJ37" s="21">
        <v>1.2716</v>
      </c>
      <c r="AK37" s="19">
        <v>1.11</v>
      </c>
      <c r="AL37" s="24"/>
      <c r="AM37" s="22">
        <f>IFERROR(__xludf.DUMMYFUNCTION("IFERROR(GOOGLEFINANCE(B37,""price""),"""")"),76.67)</f>
        <v>76.67</v>
      </c>
    </row>
    <row r="38">
      <c r="A38" s="7">
        <v>46093.67064860742</v>
      </c>
      <c r="B38" s="8" t="s">
        <v>1203</v>
      </c>
      <c r="C38" s="8" t="s">
        <v>1204</v>
      </c>
      <c r="D38" s="9">
        <v>46096.0</v>
      </c>
      <c r="E38" s="8" t="s">
        <v>1205</v>
      </c>
      <c r="F38" s="10">
        <v>21.18</v>
      </c>
      <c r="G38" s="11">
        <v>-0.7963</v>
      </c>
      <c r="H38" s="8" t="s">
        <v>88</v>
      </c>
      <c r="I38" s="12">
        <v>500853.0</v>
      </c>
      <c r="J38" s="11">
        <v>22.6903</v>
      </c>
      <c r="K38" s="13">
        <v>0.8214</v>
      </c>
      <c r="L38" s="13">
        <v>2.2098</v>
      </c>
      <c r="M38" s="13">
        <v>408620.9</v>
      </c>
      <c r="N38" s="13">
        <v>1.2792</v>
      </c>
      <c r="O38" s="12">
        <v>5.9543652E8</v>
      </c>
      <c r="P38" s="13">
        <v>72.7564</v>
      </c>
      <c r="Q38" s="13">
        <v>60.7119</v>
      </c>
      <c r="R38" s="11">
        <v>50.8592</v>
      </c>
      <c r="S38" s="13">
        <v>21.0057</v>
      </c>
      <c r="T38" s="13">
        <v>20.9785</v>
      </c>
      <c r="U38" s="13">
        <v>21.3034</v>
      </c>
      <c r="V38" s="13">
        <v>21.9162</v>
      </c>
      <c r="W38" s="13">
        <v>22.1191</v>
      </c>
      <c r="X38" s="13">
        <v>23.3365</v>
      </c>
      <c r="Y38" s="13">
        <v>24.8491</v>
      </c>
      <c r="Z38" s="13">
        <v>26.585</v>
      </c>
      <c r="AA38" s="13">
        <v>36.8616</v>
      </c>
      <c r="AB38" s="13">
        <v>18.75</v>
      </c>
      <c r="AC38" s="13">
        <v>0.0</v>
      </c>
      <c r="AD38" s="13">
        <v>-0.6235</v>
      </c>
      <c r="AE38" s="13">
        <v>-3.4504</v>
      </c>
      <c r="AF38" s="13">
        <v>-3.5558</v>
      </c>
      <c r="AG38" s="13">
        <v>3.8755</v>
      </c>
      <c r="AH38" s="13">
        <v>0.1023</v>
      </c>
      <c r="AI38" s="13">
        <v>2.6907</v>
      </c>
      <c r="AJ38" s="13">
        <v>1.4056</v>
      </c>
      <c r="AK38" s="11">
        <v>0.74</v>
      </c>
      <c r="AL38" s="8" t="s">
        <v>1206</v>
      </c>
      <c r="AM38" s="14">
        <f>IFERROR(__xludf.DUMMYFUNCTION("IFERROR(GOOGLEFINANCE(B38,""price""),"""")"),23.31)</f>
        <v>23.31</v>
      </c>
    </row>
    <row r="39">
      <c r="A39" s="15">
        <v>46093.67064860742</v>
      </c>
      <c r="B39" s="16" t="s">
        <v>1207</v>
      </c>
      <c r="C39" s="16" t="s">
        <v>1208</v>
      </c>
      <c r="D39" s="17">
        <v>46096.0</v>
      </c>
      <c r="E39" s="16" t="s">
        <v>1209</v>
      </c>
      <c r="F39" s="18">
        <v>269.78</v>
      </c>
      <c r="G39" s="19">
        <v>-1.434</v>
      </c>
      <c r="H39" s="16" t="s">
        <v>88</v>
      </c>
      <c r="I39" s="20">
        <v>9983849.0</v>
      </c>
      <c r="J39" s="19">
        <v>28.504</v>
      </c>
      <c r="K39" s="21">
        <v>9.6333</v>
      </c>
      <c r="L39" s="21">
        <v>21.9078</v>
      </c>
      <c r="M39" s="16">
        <v>5391150.0</v>
      </c>
      <c r="N39" s="21">
        <v>1.9914</v>
      </c>
      <c r="O39" s="20">
        <v>1.10744684567E11</v>
      </c>
      <c r="P39" s="21">
        <v>69.6</v>
      </c>
      <c r="Q39" s="21">
        <v>79.1302</v>
      </c>
      <c r="R39" s="19">
        <v>45.6597</v>
      </c>
      <c r="S39" s="21">
        <v>273.2398</v>
      </c>
      <c r="T39" s="21">
        <v>272.483</v>
      </c>
      <c r="U39" s="21">
        <v>278.1478</v>
      </c>
      <c r="V39" s="21">
        <v>286.3726</v>
      </c>
      <c r="W39" s="21">
        <v>288.7966</v>
      </c>
      <c r="X39" s="21">
        <v>302.9161</v>
      </c>
      <c r="Y39" s="21">
        <v>337.3384</v>
      </c>
      <c r="Z39" s="21">
        <v>340.2861</v>
      </c>
      <c r="AA39" s="21">
        <v>422.95</v>
      </c>
      <c r="AB39" s="21">
        <v>244.28</v>
      </c>
      <c r="AC39" s="21">
        <v>16.1492</v>
      </c>
      <c r="AD39" s="21">
        <v>16.7055</v>
      </c>
      <c r="AE39" s="21">
        <v>55.426</v>
      </c>
      <c r="AF39" s="21">
        <v>36.6275</v>
      </c>
      <c r="AG39" s="21">
        <v>10.5278</v>
      </c>
      <c r="AH39" s="21">
        <v>0.572</v>
      </c>
      <c r="AI39" s="21">
        <v>0.9712</v>
      </c>
      <c r="AJ39" s="21">
        <v>1.8193</v>
      </c>
      <c r="AK39" s="19">
        <v>0.88</v>
      </c>
      <c r="AL39" s="24"/>
      <c r="AM39" s="22">
        <f>IFERROR(__xludf.DUMMYFUNCTION("IFERROR(GOOGLEFINANCE(B39,""price""),"""")"),225.35)</f>
        <v>225.35</v>
      </c>
    </row>
    <row r="40">
      <c r="A40" s="7">
        <v>46094.66747155947</v>
      </c>
      <c r="B40" s="8" t="s">
        <v>1210</v>
      </c>
      <c r="C40" s="8" t="s">
        <v>1211</v>
      </c>
      <c r="D40" s="9">
        <v>46096.0</v>
      </c>
      <c r="E40" s="8" t="s">
        <v>1212</v>
      </c>
      <c r="F40" s="10">
        <v>70.8</v>
      </c>
      <c r="G40" s="11">
        <v>-6.4111</v>
      </c>
      <c r="H40" s="8" t="s">
        <v>88</v>
      </c>
      <c r="I40" s="12">
        <v>3283737.0</v>
      </c>
      <c r="J40" s="11">
        <v>25.6878</v>
      </c>
      <c r="K40" s="13">
        <v>4.8696</v>
      </c>
      <c r="L40" s="13">
        <v>11.2568</v>
      </c>
      <c r="M40" s="8">
        <v>1586590.0</v>
      </c>
      <c r="N40" s="13">
        <v>2.2504</v>
      </c>
      <c r="O40" s="12">
        <v>6.630181609E9</v>
      </c>
      <c r="P40" s="13">
        <v>60.1097</v>
      </c>
      <c r="Q40" s="13">
        <v>70.3134</v>
      </c>
      <c r="R40" s="11">
        <v>43.6577</v>
      </c>
      <c r="S40" s="13">
        <v>75.6119</v>
      </c>
      <c r="T40" s="13">
        <v>74.5155</v>
      </c>
      <c r="U40" s="13">
        <v>76.251</v>
      </c>
      <c r="V40" s="13">
        <v>79.2641</v>
      </c>
      <c r="W40" s="13">
        <v>80.1666</v>
      </c>
      <c r="X40" s="13">
        <v>85.2476</v>
      </c>
      <c r="Y40" s="13">
        <v>93.2096</v>
      </c>
      <c r="Z40" s="13">
        <v>98.317</v>
      </c>
      <c r="AA40" s="13">
        <v>131.33</v>
      </c>
      <c r="AB40" s="13">
        <v>58.01</v>
      </c>
      <c r="AC40" s="13">
        <v>0.0</v>
      </c>
      <c r="AD40" s="13">
        <v>-3.287</v>
      </c>
      <c r="AE40" s="13">
        <v>-36.4096</v>
      </c>
      <c r="AF40" s="13">
        <v>-23.641</v>
      </c>
      <c r="AG40" s="13">
        <v>26.492</v>
      </c>
      <c r="AH40" s="13">
        <v>0.1051</v>
      </c>
      <c r="AI40" s="13">
        <v>4.0495</v>
      </c>
      <c r="AJ40" s="13">
        <v>0.9028</v>
      </c>
      <c r="AK40" s="11">
        <v>0.87</v>
      </c>
      <c r="AL40" s="8" t="s">
        <v>1213</v>
      </c>
      <c r="AM40" s="14">
        <f>IFERROR(__xludf.DUMMYFUNCTION("IFERROR(GOOGLEFINANCE(B40,""price""),"""")"),55.29)</f>
        <v>55.29</v>
      </c>
    </row>
    <row r="41">
      <c r="A41" s="7">
        <v>46102.756234269094</v>
      </c>
      <c r="B41" s="8" t="s">
        <v>1214</v>
      </c>
      <c r="C41" s="8" t="s">
        <v>1215</v>
      </c>
      <c r="D41" s="9">
        <v>46103.0</v>
      </c>
      <c r="E41" s="8" t="s">
        <v>1216</v>
      </c>
      <c r="F41" s="10">
        <v>49.61</v>
      </c>
      <c r="G41" s="11">
        <v>-1.5284</v>
      </c>
      <c r="H41" s="8" t="s">
        <v>93</v>
      </c>
      <c r="I41" s="12">
        <v>927008.0</v>
      </c>
      <c r="J41" s="11">
        <v>20.2165</v>
      </c>
      <c r="K41" s="13">
        <v>1.285</v>
      </c>
      <c r="L41" s="13">
        <v>2.6833</v>
      </c>
      <c r="M41" s="13">
        <v>275089.3</v>
      </c>
      <c r="N41" s="13">
        <v>4.5462</v>
      </c>
      <c r="O41" s="12">
        <v>1.208004196E9</v>
      </c>
      <c r="P41" s="13">
        <v>51.145</v>
      </c>
      <c r="Q41" s="13">
        <v>50.1908</v>
      </c>
      <c r="R41" s="11">
        <v>41.0348</v>
      </c>
      <c r="S41" s="13">
        <v>50.18</v>
      </c>
      <c r="T41" s="13">
        <v>50.5986</v>
      </c>
      <c r="U41" s="13">
        <v>50.664</v>
      </c>
      <c r="V41" s="13">
        <v>50.5209</v>
      </c>
      <c r="W41" s="13">
        <v>50.461</v>
      </c>
      <c r="X41" s="13">
        <v>50.0833</v>
      </c>
      <c r="Y41" s="13">
        <v>49.6393</v>
      </c>
      <c r="Z41" s="13">
        <v>49.1565</v>
      </c>
      <c r="AA41" s="13">
        <v>53.4799</v>
      </c>
      <c r="AB41" s="13">
        <v>42.0</v>
      </c>
      <c r="AC41" s="13">
        <v>10.9708</v>
      </c>
      <c r="AD41" s="13">
        <v>4.522</v>
      </c>
      <c r="AE41" s="13">
        <v>12.742</v>
      </c>
      <c r="AF41" s="13">
        <v>57.6539</v>
      </c>
      <c r="AG41" s="13">
        <v>-12.6616</v>
      </c>
      <c r="AH41" s="13">
        <v>0.1709</v>
      </c>
      <c r="AI41" s="13">
        <v>0.2496</v>
      </c>
      <c r="AJ41" s="13">
        <v>0.9756</v>
      </c>
      <c r="AK41" s="11">
        <v>0.96</v>
      </c>
      <c r="AL41" s="8" t="s">
        <v>1217</v>
      </c>
      <c r="AM41" s="14">
        <f>IFERROR(__xludf.DUMMYFUNCTION("IFERROR(GOOGLEFINANCE(B41,""price""),"""")"),53.82)</f>
        <v>53.82</v>
      </c>
    </row>
    <row r="42">
      <c r="A42" s="15">
        <v>46102.756234269094</v>
      </c>
      <c r="B42" s="16" t="s">
        <v>1218</v>
      </c>
      <c r="C42" s="16" t="s">
        <v>1219</v>
      </c>
      <c r="D42" s="17">
        <v>46103.0</v>
      </c>
      <c r="E42" s="16" t="s">
        <v>1220</v>
      </c>
      <c r="F42" s="18">
        <v>455.56</v>
      </c>
      <c r="G42" s="19">
        <v>0.0703</v>
      </c>
      <c r="H42" s="16" t="s">
        <v>88</v>
      </c>
      <c r="I42" s="20">
        <v>4718502.0</v>
      </c>
      <c r="J42" s="19">
        <v>25.3801</v>
      </c>
      <c r="K42" s="21">
        <v>21.2414</v>
      </c>
      <c r="L42" s="21">
        <v>49.8009</v>
      </c>
      <c r="M42" s="16">
        <v>3311957.0</v>
      </c>
      <c r="N42" s="21">
        <v>1.3915</v>
      </c>
      <c r="O42" s="20">
        <v>1.25985111764E11</v>
      </c>
      <c r="P42" s="21">
        <v>63.4054</v>
      </c>
      <c r="Q42" s="21">
        <v>67.7427</v>
      </c>
      <c r="R42" s="19">
        <v>52.4886</v>
      </c>
      <c r="S42" s="21">
        <v>450.7696</v>
      </c>
      <c r="T42" s="21">
        <v>444.8592</v>
      </c>
      <c r="U42" s="21">
        <v>456.0511</v>
      </c>
      <c r="V42" s="21">
        <v>477.7511</v>
      </c>
      <c r="W42" s="21">
        <v>484.6347</v>
      </c>
      <c r="X42" s="21">
        <v>524.9678</v>
      </c>
      <c r="Y42" s="21">
        <v>588.4308</v>
      </c>
      <c r="Z42" s="21">
        <v>641.3907</v>
      </c>
      <c r="AA42" s="21">
        <v>813.7</v>
      </c>
      <c r="AB42" s="21">
        <v>349.0</v>
      </c>
      <c r="AC42" s="21">
        <v>29.5565</v>
      </c>
      <c r="AD42" s="21">
        <v>15.4132</v>
      </c>
      <c r="AE42" s="21">
        <v>23.4569</v>
      </c>
      <c r="AF42" s="21">
        <v>27.0861</v>
      </c>
      <c r="AG42" s="21">
        <v>17.2074</v>
      </c>
      <c r="AH42" s="21">
        <v>0.3615</v>
      </c>
      <c r="AI42" s="21">
        <v>1.3233</v>
      </c>
      <c r="AJ42" s="21">
        <v>1.1593</v>
      </c>
      <c r="AK42" s="19">
        <v>0.85</v>
      </c>
      <c r="AL42" s="24"/>
      <c r="AM42" s="22">
        <f>IFERROR(__xludf.DUMMYFUNCTION("IFERROR(GOOGLEFINANCE(B42,""price""),"""")"),350.94)</f>
        <v>350.94</v>
      </c>
    </row>
    <row r="43">
      <c r="A43" s="7">
        <v>46102.756234269094</v>
      </c>
      <c r="B43" s="8" t="s">
        <v>1124</v>
      </c>
      <c r="C43" s="8" t="s">
        <v>1125</v>
      </c>
      <c r="D43" s="9">
        <v>46103.0</v>
      </c>
      <c r="E43" s="8" t="s">
        <v>1126</v>
      </c>
      <c r="F43" s="10">
        <v>23.77</v>
      </c>
      <c r="G43" s="11">
        <v>-2.2213</v>
      </c>
      <c r="H43" s="8" t="s">
        <v>1119</v>
      </c>
      <c r="I43" s="12">
        <v>7055506.0</v>
      </c>
      <c r="J43" s="11">
        <v>29.278</v>
      </c>
      <c r="K43" s="13">
        <v>0.6302</v>
      </c>
      <c r="L43" s="13">
        <v>1.2316</v>
      </c>
      <c r="M43" s="8">
        <v>3287335.0</v>
      </c>
      <c r="N43" s="13">
        <v>2.4291</v>
      </c>
      <c r="O43" s="12">
        <v>5.521291272E9</v>
      </c>
      <c r="P43" s="13">
        <v>52.5003</v>
      </c>
      <c r="Q43" s="13">
        <v>57.1626</v>
      </c>
      <c r="R43" s="11">
        <v>42.8928</v>
      </c>
      <c r="S43" s="13">
        <v>24.0315</v>
      </c>
      <c r="T43" s="13">
        <v>24.1827</v>
      </c>
      <c r="U43" s="13">
        <v>24.4789</v>
      </c>
      <c r="V43" s="13">
        <v>24.8462</v>
      </c>
      <c r="W43" s="13">
        <v>24.9536</v>
      </c>
      <c r="X43" s="13">
        <v>25.6127</v>
      </c>
      <c r="Y43" s="13">
        <v>27.1854</v>
      </c>
      <c r="Z43" s="13">
        <v>27.7941</v>
      </c>
      <c r="AA43" s="13">
        <v>33.7331</v>
      </c>
      <c r="AB43" s="13">
        <v>23.3</v>
      </c>
      <c r="AC43" s="13">
        <v>9.6602</v>
      </c>
      <c r="AD43" s="13">
        <v>2.4606</v>
      </c>
      <c r="AE43" s="13">
        <v>9.1457</v>
      </c>
      <c r="AF43" s="13">
        <v>75.6691</v>
      </c>
      <c r="AG43" s="13">
        <v>-3.8373</v>
      </c>
      <c r="AH43" s="13">
        <v>1.2938</v>
      </c>
      <c r="AI43" s="13">
        <v>1.3202</v>
      </c>
      <c r="AJ43" s="13">
        <v>1.8825</v>
      </c>
      <c r="AK43" s="11">
        <v>1.02</v>
      </c>
      <c r="AL43" s="8" t="s">
        <v>1193</v>
      </c>
      <c r="AM43" s="14">
        <f>IFERROR(__xludf.DUMMYFUNCTION("IFERROR(GOOGLEFINANCE(B43,""price""),"""")"),23.13)</f>
        <v>23.13</v>
      </c>
    </row>
    <row r="44">
      <c r="A44" s="7">
        <v>46107.67014527788</v>
      </c>
      <c r="B44" s="8" t="s">
        <v>1221</v>
      </c>
      <c r="C44" s="8" t="s">
        <v>1222</v>
      </c>
      <c r="D44" s="9">
        <v>46110.0</v>
      </c>
      <c r="E44" s="8" t="s">
        <v>1223</v>
      </c>
      <c r="F44" s="10">
        <v>323.89</v>
      </c>
      <c r="G44" s="11">
        <v>-0.0123</v>
      </c>
      <c r="H44" s="8" t="s">
        <v>93</v>
      </c>
      <c r="I44" s="12">
        <v>412577.0</v>
      </c>
      <c r="J44" s="11">
        <v>29.8299</v>
      </c>
      <c r="K44" s="13">
        <v>6.8713</v>
      </c>
      <c r="L44" s="13">
        <v>15.7309</v>
      </c>
      <c r="M44" s="13">
        <v>346289.9</v>
      </c>
      <c r="N44" s="13">
        <v>1.2097</v>
      </c>
      <c r="O44" s="12">
        <v>1.3081966028E10</v>
      </c>
      <c r="P44" s="13">
        <v>51.7873</v>
      </c>
      <c r="Q44" s="13">
        <v>45.5308</v>
      </c>
      <c r="R44" s="11">
        <v>45.9492</v>
      </c>
      <c r="S44" s="13">
        <v>322.7049</v>
      </c>
      <c r="T44" s="13">
        <v>325.4863</v>
      </c>
      <c r="U44" s="13">
        <v>327.2091</v>
      </c>
      <c r="V44" s="13">
        <v>328.1117</v>
      </c>
      <c r="W44" s="13">
        <v>328.2937</v>
      </c>
      <c r="X44" s="13">
        <v>329.3876</v>
      </c>
      <c r="Y44" s="13">
        <v>334.509</v>
      </c>
      <c r="Z44" s="13">
        <v>332.8762</v>
      </c>
      <c r="AA44" s="13">
        <v>370.205</v>
      </c>
      <c r="AB44" s="13">
        <v>302.44</v>
      </c>
      <c r="AC44" s="13">
        <v>8.5658</v>
      </c>
      <c r="AD44" s="13">
        <v>37.8119</v>
      </c>
      <c r="AE44" s="13">
        <v>10.8467</v>
      </c>
      <c r="AF44" s="13">
        <v>11.6427</v>
      </c>
      <c r="AG44" s="13">
        <v>1.2441</v>
      </c>
      <c r="AH44" s="13">
        <v>0.2448</v>
      </c>
      <c r="AI44" s="13">
        <v>0.428</v>
      </c>
      <c r="AJ44" s="13">
        <v>1.3906</v>
      </c>
      <c r="AK44" s="11">
        <v>0.87</v>
      </c>
      <c r="AL44" s="23"/>
      <c r="AM44" s="14">
        <f>IFERROR(__xludf.DUMMYFUNCTION("IFERROR(GOOGLEFINANCE(B44,""price""),"""")"),329.87)</f>
        <v>329.87</v>
      </c>
    </row>
    <row r="45">
      <c r="A45" s="15">
        <v>46107.67014527788</v>
      </c>
      <c r="B45" s="16" t="s">
        <v>1224</v>
      </c>
      <c r="C45" s="16" t="s">
        <v>1225</v>
      </c>
      <c r="D45" s="17">
        <v>46110.0</v>
      </c>
      <c r="E45" s="16" t="s">
        <v>1226</v>
      </c>
      <c r="F45" s="18">
        <v>407.13</v>
      </c>
      <c r="G45" s="19">
        <v>-6.1912</v>
      </c>
      <c r="H45" s="16" t="s">
        <v>102</v>
      </c>
      <c r="I45" s="20">
        <v>1771478.0</v>
      </c>
      <c r="J45" s="19">
        <v>26.2851</v>
      </c>
      <c r="K45" s="21">
        <v>13.3791</v>
      </c>
      <c r="L45" s="21">
        <v>25.4135</v>
      </c>
      <c r="M45" s="16">
        <v>1392220.0</v>
      </c>
      <c r="N45" s="21">
        <v>1.3287</v>
      </c>
      <c r="O45" s="20">
        <v>9.0110860184E10</v>
      </c>
      <c r="P45" s="21">
        <v>52.0459</v>
      </c>
      <c r="Q45" s="21">
        <v>52.0921</v>
      </c>
      <c r="R45" s="19">
        <v>38.2938</v>
      </c>
      <c r="S45" s="21">
        <v>422.633</v>
      </c>
      <c r="T45" s="21">
        <v>429.4182</v>
      </c>
      <c r="U45" s="21">
        <v>430.6083</v>
      </c>
      <c r="V45" s="21">
        <v>428.9165</v>
      </c>
      <c r="W45" s="21">
        <v>428.263</v>
      </c>
      <c r="X45" s="21">
        <v>424.523</v>
      </c>
      <c r="Y45" s="21">
        <v>414.9084</v>
      </c>
      <c r="Z45" s="21">
        <v>422.221</v>
      </c>
      <c r="AA45" s="21">
        <v>479.37</v>
      </c>
      <c r="AB45" s="21">
        <v>298.15</v>
      </c>
      <c r="AC45" s="21">
        <v>31.3667</v>
      </c>
      <c r="AD45" s="21">
        <v>12.9797</v>
      </c>
      <c r="AE45" s="21">
        <v>36.8607</v>
      </c>
      <c r="AF45" s="21">
        <v>18.7727</v>
      </c>
      <c r="AG45" s="21">
        <v>7.4795</v>
      </c>
      <c r="AH45" s="21">
        <v>0.7302</v>
      </c>
      <c r="AI45" s="21">
        <v>1.2507</v>
      </c>
      <c r="AJ45" s="21">
        <v>1.9589</v>
      </c>
      <c r="AK45" s="19">
        <v>1.05</v>
      </c>
      <c r="AL45" s="24"/>
      <c r="AM45" s="22">
        <f>IFERROR(__xludf.DUMMYFUNCTION("IFERROR(GOOGLEFINANCE(B45,""price""),"""")"),465.71)</f>
        <v>465.71</v>
      </c>
    </row>
    <row r="46">
      <c r="A46" s="7">
        <v>46108.67009317226</v>
      </c>
      <c r="B46" s="8" t="s">
        <v>1227</v>
      </c>
      <c r="C46" s="8" t="s">
        <v>1228</v>
      </c>
      <c r="D46" s="9">
        <v>46110.0</v>
      </c>
      <c r="E46" s="8" t="s">
        <v>1229</v>
      </c>
      <c r="F46" s="10">
        <v>16.86</v>
      </c>
      <c r="G46" s="11">
        <v>-7.4135</v>
      </c>
      <c r="H46" s="8" t="s">
        <v>102</v>
      </c>
      <c r="I46" s="12">
        <v>1118304.0</v>
      </c>
      <c r="J46" s="11">
        <v>27.5319</v>
      </c>
      <c r="K46" s="13">
        <v>0.947</v>
      </c>
      <c r="L46" s="13">
        <v>2.0505</v>
      </c>
      <c r="M46" s="13">
        <v>919013.5</v>
      </c>
      <c r="N46" s="13">
        <v>1.2428</v>
      </c>
      <c r="O46" s="12">
        <v>7.04786412E8</v>
      </c>
      <c r="P46" s="13">
        <v>79.6217</v>
      </c>
      <c r="Q46" s="13">
        <v>82.5</v>
      </c>
      <c r="R46" s="11">
        <v>46.8767</v>
      </c>
      <c r="S46" s="13">
        <v>17.0804</v>
      </c>
      <c r="T46" s="13">
        <v>17.1134</v>
      </c>
      <c r="U46" s="13">
        <v>17.3841</v>
      </c>
      <c r="V46" s="13">
        <v>17.6636</v>
      </c>
      <c r="W46" s="13">
        <v>17.7532</v>
      </c>
      <c r="X46" s="13">
        <v>18.4717</v>
      </c>
      <c r="Y46" s="13">
        <v>21.4393</v>
      </c>
      <c r="Z46" s="13">
        <v>22.1287</v>
      </c>
      <c r="AA46" s="13">
        <v>31.18</v>
      </c>
      <c r="AB46" s="13">
        <v>13.08</v>
      </c>
      <c r="AC46" s="13">
        <v>0.0</v>
      </c>
      <c r="AD46" s="13">
        <v>-13.0386</v>
      </c>
      <c r="AE46" s="13">
        <v>-58.2012</v>
      </c>
      <c r="AF46" s="13">
        <v>4.4031</v>
      </c>
      <c r="AG46" s="13">
        <v>5.2657</v>
      </c>
      <c r="AH46" s="13">
        <v>1.1632</v>
      </c>
      <c r="AI46" s="13">
        <v>2.8644</v>
      </c>
      <c r="AJ46" s="13">
        <v>1.801</v>
      </c>
      <c r="AK46" s="11">
        <v>0.92</v>
      </c>
      <c r="AL46" s="23"/>
      <c r="AM46" s="14">
        <f>IFERROR(__xludf.DUMMYFUNCTION("IFERROR(GOOGLEFINANCE(B46,""price""),"""")"),16.83)</f>
        <v>16.83</v>
      </c>
    </row>
    <row r="47">
      <c r="A47" s="7">
        <v>46112.66779078346</v>
      </c>
      <c r="B47" s="8" t="s">
        <v>1230</v>
      </c>
      <c r="C47" s="8" t="s">
        <v>1231</v>
      </c>
      <c r="D47" s="9">
        <v>46117.0</v>
      </c>
      <c r="E47" s="8" t="s">
        <v>1232</v>
      </c>
      <c r="F47" s="10">
        <v>53.1</v>
      </c>
      <c r="G47" s="11">
        <v>-1.2644</v>
      </c>
      <c r="H47" s="8" t="s">
        <v>149</v>
      </c>
      <c r="I47" s="12">
        <v>7829713.0</v>
      </c>
      <c r="J47" s="11">
        <v>29.5424</v>
      </c>
      <c r="K47" s="13">
        <v>1.5432</v>
      </c>
      <c r="L47" s="13">
        <v>3.1114</v>
      </c>
      <c r="M47" s="8">
        <v>2667126.0</v>
      </c>
      <c r="N47" s="13">
        <v>3.7621</v>
      </c>
      <c r="O47" s="12">
        <v>2.3732476355E10</v>
      </c>
      <c r="P47" s="13">
        <v>71.5659</v>
      </c>
      <c r="Q47" s="13">
        <v>64.4696</v>
      </c>
      <c r="R47" s="11">
        <v>47.8902</v>
      </c>
      <c r="S47" s="13">
        <v>52.9002</v>
      </c>
      <c r="T47" s="13">
        <v>53.0288</v>
      </c>
      <c r="U47" s="13">
        <v>53.9607</v>
      </c>
      <c r="V47" s="13">
        <v>55.0847</v>
      </c>
      <c r="W47" s="13">
        <v>55.3598</v>
      </c>
      <c r="X47" s="13">
        <v>56.3482</v>
      </c>
      <c r="Y47" s="13">
        <v>55.2149</v>
      </c>
      <c r="Z47" s="13">
        <v>55.9855</v>
      </c>
      <c r="AA47" s="13">
        <v>68.175</v>
      </c>
      <c r="AB47" s="13">
        <v>43.18</v>
      </c>
      <c r="AC47" s="13">
        <v>12.7792</v>
      </c>
      <c r="AD47" s="13">
        <v>4.1552</v>
      </c>
      <c r="AE47" s="13">
        <v>16.8666</v>
      </c>
      <c r="AF47" s="13">
        <v>19.0312</v>
      </c>
      <c r="AG47" s="13">
        <v>9.2023</v>
      </c>
      <c r="AH47" s="13">
        <v>0.6859</v>
      </c>
      <c r="AI47" s="13">
        <v>2.7839</v>
      </c>
      <c r="AJ47" s="13">
        <v>1.9972</v>
      </c>
      <c r="AK47" s="11">
        <v>0.99</v>
      </c>
      <c r="AL47" s="8" t="s">
        <v>1233</v>
      </c>
      <c r="AM47" s="14">
        <f>IFERROR(__xludf.DUMMYFUNCTION("IFERROR(GOOGLEFINANCE(B47,""price""),"""")"),54.93)</f>
        <v>54.93</v>
      </c>
    </row>
    <row r="48">
      <c r="A48" s="7">
        <v>46118.67075089935</v>
      </c>
      <c r="B48" s="8" t="s">
        <v>1234</v>
      </c>
      <c r="C48" s="8" t="s">
        <v>1235</v>
      </c>
      <c r="D48" s="9">
        <v>46124.0</v>
      </c>
      <c r="E48" s="8" t="s">
        <v>1236</v>
      </c>
      <c r="F48" s="10">
        <v>168.22</v>
      </c>
      <c r="G48" s="11">
        <v>-3.2607</v>
      </c>
      <c r="H48" s="8" t="s">
        <v>186</v>
      </c>
      <c r="I48" s="12">
        <v>1265571.0</v>
      </c>
      <c r="J48" s="11">
        <v>28.0089</v>
      </c>
      <c r="K48" s="13">
        <v>8.1705</v>
      </c>
      <c r="L48" s="13">
        <v>17.6894</v>
      </c>
      <c r="M48" s="13">
        <v>941307.4</v>
      </c>
      <c r="N48" s="13">
        <v>1.4131</v>
      </c>
      <c r="O48" s="12">
        <v>8.281100516E9</v>
      </c>
      <c r="P48" s="13">
        <v>78.9947</v>
      </c>
      <c r="Q48" s="13">
        <v>84.0055</v>
      </c>
      <c r="R48" s="11">
        <v>50.5304</v>
      </c>
      <c r="S48" s="13">
        <v>167.6474</v>
      </c>
      <c r="T48" s="13">
        <v>166.3683</v>
      </c>
      <c r="U48" s="13">
        <v>169.4746</v>
      </c>
      <c r="V48" s="13">
        <v>173.239</v>
      </c>
      <c r="W48" s="13">
        <v>174.1297</v>
      </c>
      <c r="X48" s="13">
        <v>177.0575</v>
      </c>
      <c r="Y48" s="13">
        <v>175.9158</v>
      </c>
      <c r="Z48" s="13">
        <v>173.9635</v>
      </c>
      <c r="AA48" s="13">
        <v>228.88</v>
      </c>
      <c r="AB48" s="13">
        <v>91.8609</v>
      </c>
      <c r="AC48" s="13">
        <v>0.0</v>
      </c>
      <c r="AD48" s="13">
        <v>-2.9563</v>
      </c>
      <c r="AE48" s="13">
        <v>-4.3566</v>
      </c>
      <c r="AF48" s="13">
        <v>12.4758</v>
      </c>
      <c r="AG48" s="13">
        <v>-0.8545</v>
      </c>
      <c r="AH48" s="13">
        <v>0.8315</v>
      </c>
      <c r="AI48" s="13">
        <v>1.2916</v>
      </c>
      <c r="AJ48" s="13">
        <v>1.0862</v>
      </c>
      <c r="AK48" s="11">
        <v>0.92</v>
      </c>
      <c r="AL48" s="23"/>
      <c r="AM48" s="14">
        <f>IFERROR(__xludf.DUMMYFUNCTION("IFERROR(GOOGLEFINANCE(B48,""price""),"""")"),175.65)</f>
        <v>175.65</v>
      </c>
    </row>
    <row r="49">
      <c r="A49" s="7">
        <v>46119.668323851874</v>
      </c>
      <c r="B49" s="8" t="s">
        <v>1237</v>
      </c>
      <c r="C49" s="8" t="s">
        <v>1238</v>
      </c>
      <c r="D49" s="9">
        <v>46124.0</v>
      </c>
      <c r="E49" s="8" t="s">
        <v>1239</v>
      </c>
      <c r="F49" s="10">
        <v>35.24</v>
      </c>
      <c r="G49" s="11">
        <v>-2.0022</v>
      </c>
      <c r="H49" s="8" t="s">
        <v>137</v>
      </c>
      <c r="I49" s="12">
        <v>1023699.0</v>
      </c>
      <c r="J49" s="11">
        <v>22.2728</v>
      </c>
      <c r="K49" s="13">
        <v>1.5792</v>
      </c>
      <c r="L49" s="13">
        <v>3.5968</v>
      </c>
      <c r="M49" s="13">
        <v>759416.5</v>
      </c>
      <c r="N49" s="13">
        <v>1.3149</v>
      </c>
      <c r="O49" s="12">
        <v>1.282247503E9</v>
      </c>
      <c r="P49" s="13">
        <v>70.0624</v>
      </c>
      <c r="Q49" s="13">
        <v>73.1353</v>
      </c>
      <c r="R49" s="11">
        <v>47.9135</v>
      </c>
      <c r="S49" s="13">
        <v>35.3859</v>
      </c>
      <c r="T49" s="13">
        <v>35.4194</v>
      </c>
      <c r="U49" s="13">
        <v>35.6349</v>
      </c>
      <c r="V49" s="13">
        <v>35.6121</v>
      </c>
      <c r="W49" s="13">
        <v>35.5576</v>
      </c>
      <c r="X49" s="13">
        <v>35.0244</v>
      </c>
      <c r="Y49" s="13">
        <v>35.405</v>
      </c>
      <c r="Z49" s="13">
        <v>32.0438</v>
      </c>
      <c r="AA49" s="13">
        <v>44.44</v>
      </c>
      <c r="AB49" s="13">
        <v>23.3805</v>
      </c>
      <c r="AC49" s="13">
        <v>13.993</v>
      </c>
      <c r="AD49" s="13">
        <v>2.5184</v>
      </c>
      <c r="AE49" s="13">
        <v>10.0264</v>
      </c>
      <c r="AF49" s="13">
        <v>4.3414</v>
      </c>
      <c r="AG49" s="13">
        <v>1.9101</v>
      </c>
      <c r="AH49" s="13">
        <v>1.3103</v>
      </c>
      <c r="AI49" s="13">
        <v>2.5114</v>
      </c>
      <c r="AJ49" s="13">
        <v>0.7067</v>
      </c>
      <c r="AK49" s="11">
        <v>0.88</v>
      </c>
      <c r="AL49" s="8" t="s">
        <v>1133</v>
      </c>
      <c r="AM49" s="14">
        <f>IFERROR(__xludf.DUMMYFUNCTION("IFERROR(GOOGLEFINANCE(B49,""price""),"""")"),35.52)</f>
        <v>35.52</v>
      </c>
    </row>
    <row r="50">
      <c r="A50" s="15">
        <v>46119.668323851874</v>
      </c>
      <c r="B50" s="16" t="s">
        <v>1240</v>
      </c>
      <c r="C50" s="16" t="s">
        <v>1241</v>
      </c>
      <c r="D50" s="17">
        <v>46124.0</v>
      </c>
      <c r="E50" s="16" t="s">
        <v>1242</v>
      </c>
      <c r="F50" s="18">
        <v>53.83</v>
      </c>
      <c r="G50" s="19">
        <v>-2.0739</v>
      </c>
      <c r="H50" s="16" t="s">
        <v>93</v>
      </c>
      <c r="I50" s="20">
        <v>1726479.0</v>
      </c>
      <c r="J50" s="19">
        <v>40.4972</v>
      </c>
      <c r="K50" s="21">
        <v>1.8087</v>
      </c>
      <c r="L50" s="21">
        <v>3.6939</v>
      </c>
      <c r="M50" s="16">
        <v>1064086.0</v>
      </c>
      <c r="N50" s="21">
        <v>1.6489</v>
      </c>
      <c r="O50" s="20">
        <v>6.306295609E9</v>
      </c>
      <c r="P50" s="21">
        <v>89.621</v>
      </c>
      <c r="Q50" s="21">
        <v>92.8233</v>
      </c>
      <c r="R50" s="19">
        <v>49.0811</v>
      </c>
      <c r="S50" s="21">
        <v>53.6049</v>
      </c>
      <c r="T50" s="21">
        <v>53.5789</v>
      </c>
      <c r="U50" s="21">
        <v>54.6599</v>
      </c>
      <c r="V50" s="21">
        <v>56.0202</v>
      </c>
      <c r="W50" s="21">
        <v>56.372</v>
      </c>
      <c r="X50" s="21">
        <v>57.8537</v>
      </c>
      <c r="Y50" s="21">
        <v>57.9881</v>
      </c>
      <c r="Z50" s="21">
        <v>59.4698</v>
      </c>
      <c r="AA50" s="21">
        <v>71.93</v>
      </c>
      <c r="AB50" s="21">
        <v>38.765</v>
      </c>
      <c r="AC50" s="21">
        <v>8.1995</v>
      </c>
      <c r="AD50" s="21">
        <v>6.565</v>
      </c>
      <c r="AE50" s="21">
        <v>23.7561</v>
      </c>
      <c r="AF50" s="21">
        <v>60.7915</v>
      </c>
      <c r="AG50" s="21">
        <v>9.0893</v>
      </c>
      <c r="AH50" s="21">
        <v>6.6727</v>
      </c>
      <c r="AI50" s="21">
        <v>53.783</v>
      </c>
      <c r="AJ50" s="21">
        <v>1.9599</v>
      </c>
      <c r="AK50" s="19">
        <v>0.98</v>
      </c>
      <c r="AL50" s="16" t="s">
        <v>1243</v>
      </c>
      <c r="AM50" s="22">
        <f>IFERROR(__xludf.DUMMYFUNCTION("IFERROR(GOOGLEFINANCE(B50,""price""),"""")"),55.96)</f>
        <v>55.96</v>
      </c>
    </row>
    <row r="51">
      <c r="A51" s="7">
        <v>46120.6683827603</v>
      </c>
      <c r="B51" s="8" t="s">
        <v>1237</v>
      </c>
      <c r="C51" s="8" t="s">
        <v>1238</v>
      </c>
      <c r="D51" s="9">
        <v>46124.0</v>
      </c>
      <c r="E51" s="8" t="s">
        <v>1239</v>
      </c>
      <c r="F51" s="10">
        <v>34.58</v>
      </c>
      <c r="G51" s="11">
        <v>-1.8729</v>
      </c>
      <c r="H51" s="8" t="s">
        <v>137</v>
      </c>
      <c r="I51" s="12">
        <v>1674643.0</v>
      </c>
      <c r="J51" s="11">
        <v>22.0478</v>
      </c>
      <c r="K51" s="13">
        <v>1.67</v>
      </c>
      <c r="L51" s="13">
        <v>3.6361</v>
      </c>
      <c r="M51" s="13">
        <v>833919.9</v>
      </c>
      <c r="N51" s="13">
        <v>2.2052</v>
      </c>
      <c r="O51" s="12">
        <v>1.258232743E9</v>
      </c>
      <c r="P51" s="13">
        <v>52.1421</v>
      </c>
      <c r="Q51" s="13">
        <v>65.7503</v>
      </c>
      <c r="R51" s="11">
        <v>43.9159</v>
      </c>
      <c r="S51" s="13">
        <v>35.2068</v>
      </c>
      <c r="T51" s="13">
        <v>35.3431</v>
      </c>
      <c r="U51" s="13">
        <v>35.5746</v>
      </c>
      <c r="V51" s="13">
        <v>35.5717</v>
      </c>
      <c r="W51" s="13">
        <v>35.5227</v>
      </c>
      <c r="X51" s="13">
        <v>35.0145</v>
      </c>
      <c r="Y51" s="13">
        <v>35.3967</v>
      </c>
      <c r="Z51" s="13">
        <v>32.0628</v>
      </c>
      <c r="AA51" s="13">
        <v>44.44</v>
      </c>
      <c r="AB51" s="13">
        <v>23.3805</v>
      </c>
      <c r="AC51" s="13">
        <v>13.7309</v>
      </c>
      <c r="AD51" s="13">
        <v>2.5184</v>
      </c>
      <c r="AE51" s="13">
        <v>10.0264</v>
      </c>
      <c r="AF51" s="13">
        <v>4.3414</v>
      </c>
      <c r="AG51" s="13">
        <v>1.9101</v>
      </c>
      <c r="AH51" s="13">
        <v>1.3103</v>
      </c>
      <c r="AI51" s="13">
        <v>2.5114</v>
      </c>
      <c r="AJ51" s="13">
        <v>1.0638</v>
      </c>
      <c r="AK51" s="11">
        <v>0.92</v>
      </c>
      <c r="AL51" s="8" t="s">
        <v>1244</v>
      </c>
      <c r="AM51" s="14">
        <f>IFERROR(__xludf.DUMMYFUNCTION("IFERROR(GOOGLEFINANCE(B51,""price""),"""")"),35.52)</f>
        <v>35.52</v>
      </c>
    </row>
    <row r="52">
      <c r="A52" s="15">
        <v>46120.6683827603</v>
      </c>
      <c r="B52" s="16" t="s">
        <v>1245</v>
      </c>
      <c r="C52" s="16" t="s">
        <v>1246</v>
      </c>
      <c r="D52" s="17">
        <v>46124.0</v>
      </c>
      <c r="E52" s="16" t="s">
        <v>1247</v>
      </c>
      <c r="F52" s="18">
        <v>96.65</v>
      </c>
      <c r="G52" s="19">
        <v>-0.77</v>
      </c>
      <c r="H52" s="16" t="s">
        <v>93</v>
      </c>
      <c r="I52" s="20">
        <v>3360619.0</v>
      </c>
      <c r="J52" s="19">
        <v>27.4031</v>
      </c>
      <c r="K52" s="21">
        <v>2.4835</v>
      </c>
      <c r="L52" s="21">
        <v>5.0944</v>
      </c>
      <c r="M52" s="16">
        <v>1986493.0</v>
      </c>
      <c r="N52" s="21">
        <v>1.8468</v>
      </c>
      <c r="O52" s="20">
        <v>3.3634200527E10</v>
      </c>
      <c r="P52" s="21">
        <v>70.9478</v>
      </c>
      <c r="Q52" s="21">
        <v>76.4919</v>
      </c>
      <c r="R52" s="19">
        <v>48.6192</v>
      </c>
      <c r="S52" s="21">
        <v>96.6893</v>
      </c>
      <c r="T52" s="21">
        <v>96.5029</v>
      </c>
      <c r="U52" s="21">
        <v>97.7548</v>
      </c>
      <c r="V52" s="21">
        <v>99.4493</v>
      </c>
      <c r="W52" s="21">
        <v>99.9087</v>
      </c>
      <c r="X52" s="21">
        <v>102.1016</v>
      </c>
      <c r="Y52" s="21">
        <v>104.9856</v>
      </c>
      <c r="Z52" s="21">
        <v>105.227</v>
      </c>
      <c r="AA52" s="21">
        <v>119.76</v>
      </c>
      <c r="AB52" s="21">
        <v>91.89</v>
      </c>
      <c r="AC52" s="21">
        <v>9.6609</v>
      </c>
      <c r="AD52" s="21">
        <v>10.0042</v>
      </c>
      <c r="AE52" s="21">
        <v>11.8587</v>
      </c>
      <c r="AF52" s="21">
        <v>7.6612</v>
      </c>
      <c r="AG52" s="21">
        <v>-13.6794</v>
      </c>
      <c r="AH52" s="21">
        <v>1.0162</v>
      </c>
      <c r="AI52" s="21">
        <v>2.1441</v>
      </c>
      <c r="AJ52" s="21">
        <v>1.1025</v>
      </c>
      <c r="AK52" s="19">
        <v>0.97</v>
      </c>
      <c r="AL52" s="24"/>
      <c r="AM52" s="22">
        <f>IFERROR(__xludf.DUMMYFUNCTION("IFERROR(GOOGLEFINANCE(B52,""price""),"""")"),96.9)</f>
        <v>96.9</v>
      </c>
    </row>
    <row r="53">
      <c r="A53" s="7">
        <v>46120.6683827603</v>
      </c>
      <c r="B53" s="8" t="s">
        <v>1248</v>
      </c>
      <c r="C53" s="8" t="s">
        <v>1249</v>
      </c>
      <c r="D53" s="9">
        <v>46124.0</v>
      </c>
      <c r="E53" s="8" t="s">
        <v>1250</v>
      </c>
      <c r="F53" s="10">
        <v>83.2</v>
      </c>
      <c r="G53" s="11">
        <v>1.6245</v>
      </c>
      <c r="H53" s="8" t="s">
        <v>93</v>
      </c>
      <c r="I53" s="12">
        <v>385099.0</v>
      </c>
      <c r="J53" s="11">
        <v>20.375</v>
      </c>
      <c r="K53" s="13">
        <v>1.6249</v>
      </c>
      <c r="L53" s="13">
        <v>3.543</v>
      </c>
      <c r="M53" s="13">
        <v>286603.1</v>
      </c>
      <c r="N53" s="13">
        <v>1.4037</v>
      </c>
      <c r="O53" s="12">
        <v>3.739737674E9</v>
      </c>
      <c r="P53" s="13">
        <v>64.4527</v>
      </c>
      <c r="Q53" s="13">
        <v>48.1707</v>
      </c>
      <c r="R53" s="11">
        <v>52.2002</v>
      </c>
      <c r="S53" s="13">
        <v>81.7704</v>
      </c>
      <c r="T53" s="13">
        <v>82.3676</v>
      </c>
      <c r="U53" s="13">
        <v>83.2061</v>
      </c>
      <c r="V53" s="13">
        <v>83.9561</v>
      </c>
      <c r="W53" s="13">
        <v>84.129</v>
      </c>
      <c r="X53" s="13">
        <v>84.803</v>
      </c>
      <c r="Y53" s="13">
        <v>85.113</v>
      </c>
      <c r="Z53" s="13">
        <v>84.8722</v>
      </c>
      <c r="AA53" s="13">
        <v>92.395</v>
      </c>
      <c r="AB53" s="13">
        <v>78.6</v>
      </c>
      <c r="AC53" s="13">
        <v>8.1456</v>
      </c>
      <c r="AD53" s="13">
        <v>10.2141</v>
      </c>
      <c r="AE53" s="13">
        <v>9.016</v>
      </c>
      <c r="AF53" s="13">
        <v>62.9189</v>
      </c>
      <c r="AG53" s="13">
        <v>12.8049</v>
      </c>
      <c r="AH53" s="13">
        <v>0.3463</v>
      </c>
      <c r="AI53" s="13">
        <v>9.2887</v>
      </c>
      <c r="AJ53" s="13">
        <v>1.7256</v>
      </c>
      <c r="AK53" s="11">
        <v>0.92</v>
      </c>
      <c r="AL53" s="23"/>
      <c r="AM53" s="14">
        <f>IFERROR(__xludf.DUMMYFUNCTION("IFERROR(GOOGLEFINANCE(B53,""price""),"""")"),81.96)</f>
        <v>81.96</v>
      </c>
    </row>
    <row r="54">
      <c r="A54" s="15">
        <v>46120.6683827603</v>
      </c>
      <c r="B54" s="16" t="s">
        <v>1251</v>
      </c>
      <c r="C54" s="16" t="s">
        <v>1252</v>
      </c>
      <c r="D54" s="17">
        <v>46124.0</v>
      </c>
      <c r="E54" s="16" t="s">
        <v>1253</v>
      </c>
      <c r="F54" s="18">
        <v>31.45</v>
      </c>
      <c r="G54" s="19">
        <v>-1.0384</v>
      </c>
      <c r="H54" s="16" t="s">
        <v>93</v>
      </c>
      <c r="I54" s="20">
        <v>1063784.0</v>
      </c>
      <c r="J54" s="19">
        <v>31.3726</v>
      </c>
      <c r="K54" s="21">
        <v>1.0693</v>
      </c>
      <c r="L54" s="21">
        <v>2.6479</v>
      </c>
      <c r="M54" s="21">
        <v>745103.0</v>
      </c>
      <c r="N54" s="21">
        <v>1.4809</v>
      </c>
      <c r="O54" s="20">
        <v>1.846573837E9</v>
      </c>
      <c r="P54" s="21">
        <v>88.6947</v>
      </c>
      <c r="Q54" s="21">
        <v>82.0027</v>
      </c>
      <c r="R54" s="19">
        <v>52.1308</v>
      </c>
      <c r="S54" s="21">
        <v>30.9793</v>
      </c>
      <c r="T54" s="21">
        <v>30.9052</v>
      </c>
      <c r="U54" s="21">
        <v>31.5369</v>
      </c>
      <c r="V54" s="21">
        <v>32.6082</v>
      </c>
      <c r="W54" s="21">
        <v>32.9676</v>
      </c>
      <c r="X54" s="21">
        <v>35.5089</v>
      </c>
      <c r="Y54" s="21">
        <v>42.6629</v>
      </c>
      <c r="Z54" s="21">
        <v>44.8213</v>
      </c>
      <c r="AA54" s="21">
        <v>66.13</v>
      </c>
      <c r="AB54" s="21">
        <v>28.405</v>
      </c>
      <c r="AC54" s="21">
        <v>14.3719</v>
      </c>
      <c r="AD54" s="21">
        <v>2.1883</v>
      </c>
      <c r="AE54" s="21">
        <v>5.2397</v>
      </c>
      <c r="AF54" s="21">
        <v>5.1432</v>
      </c>
      <c r="AG54" s="21">
        <v>3.361</v>
      </c>
      <c r="AH54" s="21">
        <v>0.3748</v>
      </c>
      <c r="AI54" s="21">
        <v>0.26</v>
      </c>
      <c r="AJ54" s="21">
        <v>1.7731</v>
      </c>
      <c r="AK54" s="19">
        <v>0.81</v>
      </c>
      <c r="AL54" s="24"/>
      <c r="AM54" s="22">
        <f>IFERROR(__xludf.DUMMYFUNCTION("IFERROR(GOOGLEFINANCE(B54,""price""),"""")"),31.13)</f>
        <v>31.13</v>
      </c>
    </row>
    <row r="55">
      <c r="A55" s="7">
        <v>46121.670747369884</v>
      </c>
      <c r="B55" s="8" t="s">
        <v>1254</v>
      </c>
      <c r="C55" s="8" t="s">
        <v>1255</v>
      </c>
      <c r="D55" s="9">
        <v>46124.0</v>
      </c>
      <c r="E55" s="8" t="s">
        <v>1256</v>
      </c>
      <c r="F55" s="10">
        <v>17.44</v>
      </c>
      <c r="G55" s="11">
        <v>-5.423</v>
      </c>
      <c r="H55" s="8" t="s">
        <v>1119</v>
      </c>
      <c r="I55" s="12">
        <v>542754.0</v>
      </c>
      <c r="J55" s="11">
        <v>29.2255</v>
      </c>
      <c r="K55" s="13">
        <v>0.5674</v>
      </c>
      <c r="L55" s="13">
        <v>1.0697</v>
      </c>
      <c r="M55" s="13">
        <v>240608.0</v>
      </c>
      <c r="N55" s="13">
        <v>2.6448</v>
      </c>
      <c r="O55" s="12">
        <v>3.94023136E8</v>
      </c>
      <c r="P55" s="13">
        <v>69.6913</v>
      </c>
      <c r="Q55" s="13">
        <v>83.0025</v>
      </c>
      <c r="R55" s="11">
        <v>43.9028</v>
      </c>
      <c r="S55" s="13">
        <v>17.8365</v>
      </c>
      <c r="T55" s="13">
        <v>17.8329</v>
      </c>
      <c r="U55" s="13">
        <v>18.0673</v>
      </c>
      <c r="V55" s="13">
        <v>18.4042</v>
      </c>
      <c r="W55" s="13">
        <v>18.509</v>
      </c>
      <c r="X55" s="13">
        <v>19.2107</v>
      </c>
      <c r="Y55" s="13">
        <v>21.0871</v>
      </c>
      <c r="Z55" s="13">
        <v>21.9242</v>
      </c>
      <c r="AA55" s="13">
        <v>29.5</v>
      </c>
      <c r="AB55" s="13">
        <v>16.54</v>
      </c>
      <c r="AC55" s="13">
        <v>11.5696</v>
      </c>
      <c r="AD55" s="13">
        <v>1.5074</v>
      </c>
      <c r="AE55" s="13">
        <v>7.4003</v>
      </c>
      <c r="AF55" s="13">
        <v>67.4399</v>
      </c>
      <c r="AG55" s="13">
        <v>-43.478</v>
      </c>
      <c r="AH55" s="13">
        <v>0.8014</v>
      </c>
      <c r="AI55" s="13">
        <v>1.398</v>
      </c>
      <c r="AJ55" s="13">
        <v>1.3235</v>
      </c>
      <c r="AK55" s="11">
        <v>1.06</v>
      </c>
      <c r="AL55" s="8" t="s">
        <v>1257</v>
      </c>
      <c r="AM55" s="14">
        <f>IFERROR(__xludf.DUMMYFUNCTION("IFERROR(GOOGLEFINANCE(B55,""price""),"""")"),17.63)</f>
        <v>17.63</v>
      </c>
    </row>
    <row r="56">
      <c r="A56" s="15">
        <v>46121.670747369884</v>
      </c>
      <c r="B56" s="16" t="s">
        <v>1258</v>
      </c>
      <c r="C56" s="16" t="s">
        <v>1259</v>
      </c>
      <c r="D56" s="17">
        <v>46124.0</v>
      </c>
      <c r="E56" s="16" t="s">
        <v>1260</v>
      </c>
      <c r="F56" s="18">
        <v>44.68</v>
      </c>
      <c r="G56" s="19">
        <v>1.7768</v>
      </c>
      <c r="H56" s="16" t="s">
        <v>286</v>
      </c>
      <c r="I56" s="20">
        <v>3567914.0</v>
      </c>
      <c r="J56" s="19">
        <v>30.9574</v>
      </c>
      <c r="K56" s="21">
        <v>1.2472</v>
      </c>
      <c r="L56" s="21">
        <v>2.9171</v>
      </c>
      <c r="M56" s="16">
        <v>2752500.0</v>
      </c>
      <c r="N56" s="21">
        <v>1.3628</v>
      </c>
      <c r="O56" s="20">
        <v>8.866596735E9</v>
      </c>
      <c r="P56" s="21">
        <v>80.921</v>
      </c>
      <c r="Q56" s="21">
        <v>87.7499</v>
      </c>
      <c r="R56" s="19">
        <v>51.6279</v>
      </c>
      <c r="S56" s="21">
        <v>43.9517</v>
      </c>
      <c r="T56" s="21">
        <v>44.0292</v>
      </c>
      <c r="U56" s="21">
        <v>44.7847</v>
      </c>
      <c r="V56" s="21">
        <v>45.4875</v>
      </c>
      <c r="W56" s="21">
        <v>45.6497</v>
      </c>
      <c r="X56" s="21">
        <v>46.4051</v>
      </c>
      <c r="Y56" s="21">
        <v>48.27</v>
      </c>
      <c r="Z56" s="21">
        <v>47.562</v>
      </c>
      <c r="AA56" s="21">
        <v>61.41</v>
      </c>
      <c r="AB56" s="21">
        <v>41.04</v>
      </c>
      <c r="AC56" s="21">
        <v>0.0</v>
      </c>
      <c r="AD56" s="21">
        <v>-10.8518</v>
      </c>
      <c r="AE56" s="21">
        <v>-18.3478</v>
      </c>
      <c r="AF56" s="21">
        <v>13.7243</v>
      </c>
      <c r="AG56" s="21">
        <v>-4.1816</v>
      </c>
      <c r="AH56" s="21">
        <v>0.6366</v>
      </c>
      <c r="AI56" s="21">
        <v>0.5527</v>
      </c>
      <c r="AJ56" s="21">
        <v>1.8644</v>
      </c>
      <c r="AK56" s="19">
        <v>0.86</v>
      </c>
      <c r="AL56" s="24"/>
      <c r="AM56" s="22">
        <f>IFERROR(__xludf.DUMMYFUNCTION("IFERROR(GOOGLEFINANCE(B56,""price""),"""")"),45.05)</f>
        <v>45.05</v>
      </c>
    </row>
    <row r="57">
      <c r="A57" s="7">
        <v>46122.66777661119</v>
      </c>
      <c r="B57" s="8" t="s">
        <v>1261</v>
      </c>
      <c r="C57" s="8" t="s">
        <v>1262</v>
      </c>
      <c r="D57" s="9">
        <v>46124.0</v>
      </c>
      <c r="E57" s="8" t="s">
        <v>1263</v>
      </c>
      <c r="F57" s="10">
        <v>142.64</v>
      </c>
      <c r="G57" s="11">
        <v>-0.7653</v>
      </c>
      <c r="H57" s="8" t="s">
        <v>112</v>
      </c>
      <c r="I57" s="12">
        <v>3885903.0</v>
      </c>
      <c r="J57" s="11">
        <v>32.5892</v>
      </c>
      <c r="K57" s="13">
        <v>5.0271</v>
      </c>
      <c r="L57" s="13">
        <v>10.9169</v>
      </c>
      <c r="M57" s="8">
        <v>2871644.0</v>
      </c>
      <c r="N57" s="13">
        <v>1.4489</v>
      </c>
      <c r="O57" s="12">
        <v>4.1323294506E10</v>
      </c>
      <c r="P57" s="13">
        <v>74.828</v>
      </c>
      <c r="Q57" s="13">
        <v>70.8938</v>
      </c>
      <c r="R57" s="11">
        <v>50.4971</v>
      </c>
      <c r="S57" s="13">
        <v>140.7149</v>
      </c>
      <c r="T57" s="13">
        <v>141.2444</v>
      </c>
      <c r="U57" s="13">
        <v>143.538</v>
      </c>
      <c r="V57" s="13">
        <v>145.6796</v>
      </c>
      <c r="W57" s="13">
        <v>146.1893</v>
      </c>
      <c r="X57" s="13">
        <v>148.3361</v>
      </c>
      <c r="Y57" s="13">
        <v>149.2149</v>
      </c>
      <c r="Z57" s="13">
        <v>152.6082</v>
      </c>
      <c r="AA57" s="13">
        <v>184.545</v>
      </c>
      <c r="AB57" s="13">
        <v>114.17</v>
      </c>
      <c r="AC57" s="13">
        <v>12.9515</v>
      </c>
      <c r="AD57" s="13">
        <v>11.0134</v>
      </c>
      <c r="AE57" s="13">
        <v>13.6295</v>
      </c>
      <c r="AF57" s="13">
        <v>13.0729</v>
      </c>
      <c r="AG57" s="13">
        <v>-8.6242</v>
      </c>
      <c r="AH57" s="13">
        <v>0.2341</v>
      </c>
      <c r="AI57" s="13">
        <v>11.9208</v>
      </c>
      <c r="AJ57" s="13">
        <v>1.9792</v>
      </c>
      <c r="AK57" s="11">
        <v>0.92</v>
      </c>
      <c r="AL57" s="23"/>
      <c r="AM57" s="14">
        <f>IFERROR(__xludf.DUMMYFUNCTION("IFERROR(GOOGLEFINANCE(B57,""price""),"""")"),142.64)</f>
        <v>142.64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6.38"/>
    <col customWidth="1" min="3" max="3" width="25.5"/>
    <col customWidth="1" min="4" max="4" width="10.0"/>
    <col customWidth="1" min="5" max="5" width="12.13"/>
    <col customWidth="1" min="6" max="6" width="6.88"/>
    <col customWidth="1" min="7" max="7" width="6.25"/>
    <col customWidth="1" min="8" max="8" width="18.63"/>
    <col customWidth="1" min="9" max="9" width="8.88"/>
    <col customWidth="1" min="10" max="10" width="6.25"/>
    <col customWidth="1" min="11" max="11" width="5.88"/>
    <col customWidth="1" min="12" max="12" width="6.75"/>
    <col customWidth="1" min="13" max="13" width="20.0"/>
    <col customWidth="1" min="14" max="14" width="19.63"/>
    <col customWidth="1" min="15" max="15" width="14.13"/>
    <col customWidth="1" min="16" max="17" width="6.88"/>
    <col customWidth="1" min="18" max="18" width="6.25"/>
    <col customWidth="1" min="19" max="26" width="7.75"/>
    <col customWidth="1" min="27" max="27" width="15.63"/>
    <col customWidth="1" min="28" max="28" width="12.88"/>
    <col customWidth="1" min="29" max="29" width="11.0"/>
    <col customWidth="1" min="30" max="30" width="45.5"/>
    <col customWidth="1" min="31" max="38" width="10.25"/>
  </cols>
  <sheetData>
    <row r="1">
      <c r="A1" s="6" t="s">
        <v>0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68</v>
      </c>
      <c r="K1" s="6" t="s">
        <v>69</v>
      </c>
      <c r="L1" s="6" t="s">
        <v>70</v>
      </c>
      <c r="M1" s="6" t="s">
        <v>71</v>
      </c>
      <c r="N1" s="6" t="s">
        <v>72</v>
      </c>
      <c r="O1" s="6" t="s">
        <v>73</v>
      </c>
      <c r="P1" s="6" t="s">
        <v>1106</v>
      </c>
      <c r="Q1" s="6" t="s">
        <v>1107</v>
      </c>
      <c r="R1" s="6" t="s">
        <v>76</v>
      </c>
      <c r="S1" s="6" t="s">
        <v>1068</v>
      </c>
      <c r="T1" s="6" t="s">
        <v>1069</v>
      </c>
      <c r="U1" s="6" t="s">
        <v>1070</v>
      </c>
      <c r="V1" s="6" t="s">
        <v>1108</v>
      </c>
      <c r="W1" s="6" t="s">
        <v>1071</v>
      </c>
      <c r="X1" s="6" t="s">
        <v>1072</v>
      </c>
      <c r="Y1" s="6" t="s">
        <v>75</v>
      </c>
      <c r="Z1" s="6" t="s">
        <v>1109</v>
      </c>
      <c r="AA1" s="6" t="s">
        <v>77</v>
      </c>
      <c r="AB1" s="6" t="s">
        <v>1111</v>
      </c>
      <c r="AC1" s="6" t="s">
        <v>78</v>
      </c>
      <c r="AD1" s="6" t="s">
        <v>84</v>
      </c>
      <c r="AE1" s="6" t="s">
        <v>7</v>
      </c>
      <c r="AF1" s="6"/>
      <c r="AG1" s="6"/>
      <c r="AH1" s="6"/>
      <c r="AI1" s="6"/>
      <c r="AJ1" s="6"/>
      <c r="AK1" s="6"/>
      <c r="AL1" s="6"/>
    </row>
    <row r="2">
      <c r="A2" s="7">
        <v>46048.697954029005</v>
      </c>
      <c r="B2" s="8" t="s">
        <v>1264</v>
      </c>
      <c r="C2" s="8" t="s">
        <v>1265</v>
      </c>
      <c r="D2" s="9">
        <v>46054.0</v>
      </c>
      <c r="E2" s="8" t="s">
        <v>1266</v>
      </c>
      <c r="F2" s="10">
        <v>39.32</v>
      </c>
      <c r="G2" s="11">
        <v>-1.1812</v>
      </c>
      <c r="H2" s="8" t="s">
        <v>917</v>
      </c>
      <c r="I2" s="12">
        <v>1088694.0</v>
      </c>
      <c r="J2" s="11">
        <v>22.0901</v>
      </c>
      <c r="K2" s="13">
        <v>1.0328</v>
      </c>
      <c r="L2" s="13">
        <v>2.129</v>
      </c>
      <c r="M2" s="13">
        <v>930703.8</v>
      </c>
      <c r="N2" s="13">
        <v>1.2282</v>
      </c>
      <c r="O2" s="12">
        <v>5.696902114E9</v>
      </c>
      <c r="P2" s="13">
        <v>58.6932</v>
      </c>
      <c r="Q2" s="13">
        <v>53.7468</v>
      </c>
      <c r="R2" s="11">
        <v>51.1258</v>
      </c>
      <c r="S2" s="13">
        <v>39.2363</v>
      </c>
      <c r="T2" s="13">
        <v>39.1216</v>
      </c>
      <c r="U2" s="13">
        <v>39.2298</v>
      </c>
      <c r="V2" s="13">
        <v>39.2406</v>
      </c>
      <c r="W2" s="13">
        <v>39.2031</v>
      </c>
      <c r="X2" s="13">
        <v>38.6179</v>
      </c>
      <c r="Y2" s="13">
        <v>36.1175</v>
      </c>
      <c r="Z2" s="13">
        <v>35.2181</v>
      </c>
      <c r="AA2" s="13">
        <v>45.1</v>
      </c>
      <c r="AB2" s="13">
        <v>0.0166</v>
      </c>
      <c r="AC2" s="11">
        <v>0.97</v>
      </c>
      <c r="AD2" s="8" t="s">
        <v>1267</v>
      </c>
      <c r="AE2" s="14">
        <f>IFERROR(__xludf.DUMMYFUNCTION("IFERROR(GOOGLEFINANCE(B2,""price""),"""")"),42.56)</f>
        <v>42.56</v>
      </c>
      <c r="AF2" s="14"/>
      <c r="AG2" s="14"/>
      <c r="AH2" s="14"/>
      <c r="AI2" s="14"/>
      <c r="AJ2" s="14"/>
      <c r="AK2" s="14"/>
      <c r="AL2" s="14"/>
    </row>
    <row r="3">
      <c r="A3" s="15">
        <v>46048.697954029005</v>
      </c>
      <c r="B3" s="16" t="s">
        <v>1268</v>
      </c>
      <c r="C3" s="16" t="s">
        <v>1269</v>
      </c>
      <c r="D3" s="17">
        <v>46054.0</v>
      </c>
      <c r="E3" s="16" t="s">
        <v>1270</v>
      </c>
      <c r="F3" s="18">
        <v>10.44</v>
      </c>
      <c r="G3" s="19">
        <v>0.0</v>
      </c>
      <c r="H3" s="16" t="s">
        <v>93</v>
      </c>
      <c r="I3" s="20">
        <v>389828.0</v>
      </c>
      <c r="J3" s="19">
        <v>27.0268</v>
      </c>
      <c r="K3" s="21">
        <v>0.021</v>
      </c>
      <c r="L3" s="21">
        <v>0.0594</v>
      </c>
      <c r="M3" s="21">
        <v>92570.5</v>
      </c>
      <c r="N3" s="21">
        <v>6.3731</v>
      </c>
      <c r="O3" s="20">
        <v>3.2356169E8</v>
      </c>
      <c r="P3" s="21">
        <v>78.355</v>
      </c>
      <c r="Q3" s="21">
        <v>82.203</v>
      </c>
      <c r="R3" s="19">
        <v>58.3876</v>
      </c>
      <c r="S3" s="21">
        <v>10.4365</v>
      </c>
      <c r="T3" s="21">
        <v>10.4255</v>
      </c>
      <c r="U3" s="21">
        <v>10.4187</v>
      </c>
      <c r="V3" s="21">
        <v>10.4104</v>
      </c>
      <c r="W3" s="21">
        <v>10.4074</v>
      </c>
      <c r="X3" s="21">
        <v>10.3854</v>
      </c>
      <c r="Y3" s="21">
        <v>10.3325</v>
      </c>
      <c r="Z3" s="21">
        <v>10.2785</v>
      </c>
      <c r="AA3" s="21">
        <v>10.69</v>
      </c>
      <c r="AB3" s="21">
        <v>0.1703</v>
      </c>
      <c r="AC3" s="19">
        <v>0.71</v>
      </c>
      <c r="AD3" s="16" t="s">
        <v>1271</v>
      </c>
      <c r="AE3" s="22">
        <f>IFERROR(__xludf.DUMMYFUNCTION("IFERROR(GOOGLEFINANCE(B3,""price""),"""")"),10.56)</f>
        <v>10.56</v>
      </c>
      <c r="AF3" s="22"/>
      <c r="AG3" s="22"/>
      <c r="AH3" s="22"/>
      <c r="AI3" s="22"/>
      <c r="AJ3" s="22"/>
      <c r="AK3" s="22"/>
      <c r="AL3" s="22"/>
    </row>
    <row r="4">
      <c r="A4" s="7">
        <v>46048.697954029005</v>
      </c>
      <c r="B4" s="8" t="s">
        <v>1272</v>
      </c>
      <c r="C4" s="8" t="s">
        <v>1273</v>
      </c>
      <c r="D4" s="9">
        <v>46054.0</v>
      </c>
      <c r="E4" s="8" t="s">
        <v>1274</v>
      </c>
      <c r="F4" s="10">
        <v>31.86</v>
      </c>
      <c r="G4" s="11">
        <v>-0.0941</v>
      </c>
      <c r="H4" s="8" t="s">
        <v>102</v>
      </c>
      <c r="I4" s="12">
        <v>1274194.0</v>
      </c>
      <c r="J4" s="11">
        <v>34.1235</v>
      </c>
      <c r="K4" s="13">
        <v>0.0724</v>
      </c>
      <c r="L4" s="13">
        <v>1.0529</v>
      </c>
      <c r="M4" s="13">
        <v>680479.6</v>
      </c>
      <c r="N4" s="13">
        <v>2.0309</v>
      </c>
      <c r="O4" s="12">
        <v>2.246405844E9</v>
      </c>
      <c r="P4" s="13">
        <v>89.8148</v>
      </c>
      <c r="Q4" s="13">
        <v>85.571</v>
      </c>
      <c r="R4" s="11">
        <v>61.0598</v>
      </c>
      <c r="S4" s="13">
        <v>31.848</v>
      </c>
      <c r="T4" s="13">
        <v>31.8033</v>
      </c>
      <c r="U4" s="13">
        <v>31.6823</v>
      </c>
      <c r="V4" s="13">
        <v>31.3461</v>
      </c>
      <c r="W4" s="13">
        <v>31.2097</v>
      </c>
      <c r="X4" s="13">
        <v>30.1912</v>
      </c>
      <c r="Y4" s="13">
        <v>28.717</v>
      </c>
      <c r="Z4" s="13">
        <v>25.7134</v>
      </c>
      <c r="AA4" s="13">
        <v>35.48</v>
      </c>
      <c r="AB4" s="13">
        <v>0.5201</v>
      </c>
      <c r="AC4" s="11">
        <v>0.14</v>
      </c>
      <c r="AD4" s="8" t="s">
        <v>1275</v>
      </c>
      <c r="AE4" s="14">
        <f>IFERROR(__xludf.DUMMYFUNCTION("IFERROR(GOOGLEFINANCE(B4,""price""),"""")"),0.16)</f>
        <v>0.16</v>
      </c>
      <c r="AF4" s="14"/>
      <c r="AG4" s="14"/>
      <c r="AH4" s="14"/>
      <c r="AI4" s="14"/>
      <c r="AJ4" s="14"/>
      <c r="AK4" s="14"/>
      <c r="AL4" s="14"/>
    </row>
    <row r="5">
      <c r="A5" s="15">
        <v>46048.697954029005</v>
      </c>
      <c r="B5" s="16" t="s">
        <v>1276</v>
      </c>
      <c r="C5" s="16" t="s">
        <v>1277</v>
      </c>
      <c r="D5" s="17">
        <v>46054.0</v>
      </c>
      <c r="E5" s="16" t="s">
        <v>1278</v>
      </c>
      <c r="F5" s="18">
        <v>59.2</v>
      </c>
      <c r="G5" s="19">
        <v>-0.0675</v>
      </c>
      <c r="H5" s="16" t="s">
        <v>917</v>
      </c>
      <c r="I5" s="20">
        <v>3384777.0</v>
      </c>
      <c r="J5" s="19">
        <v>48.6852</v>
      </c>
      <c r="K5" s="21">
        <v>0.2236</v>
      </c>
      <c r="L5" s="21">
        <v>0.6301</v>
      </c>
      <c r="M5" s="21">
        <v>939764.8</v>
      </c>
      <c r="N5" s="21">
        <v>5.0109</v>
      </c>
      <c r="O5" s="20">
        <v>6.44814447E9</v>
      </c>
      <c r="P5" s="21">
        <v>63.8273</v>
      </c>
      <c r="Q5" s="21">
        <v>72.2985</v>
      </c>
      <c r="R5" s="19">
        <v>61.7013</v>
      </c>
      <c r="S5" s="21">
        <v>59.1978</v>
      </c>
      <c r="T5" s="21">
        <v>59.0426</v>
      </c>
      <c r="U5" s="21">
        <v>58.8441</v>
      </c>
      <c r="V5" s="21">
        <v>58.5955</v>
      </c>
      <c r="W5" s="21">
        <v>58.521</v>
      </c>
      <c r="X5" s="21">
        <v>58.0282</v>
      </c>
      <c r="Y5" s="21">
        <v>56.0207</v>
      </c>
      <c r="Z5" s="21">
        <v>56.6796</v>
      </c>
      <c r="AA5" s="21">
        <v>59.47</v>
      </c>
      <c r="AB5" s="21">
        <v>0.5975</v>
      </c>
      <c r="AC5" s="19">
        <v>0.71</v>
      </c>
      <c r="AD5" s="16" t="s">
        <v>1279</v>
      </c>
      <c r="AE5" s="22">
        <f>IFERROR(__xludf.DUMMYFUNCTION("IFERROR(GOOGLEFINANCE(B5,""price""),"""")"),59.18)</f>
        <v>59.18</v>
      </c>
      <c r="AF5" s="22"/>
      <c r="AG5" s="22"/>
      <c r="AH5" s="22"/>
      <c r="AI5" s="22"/>
      <c r="AJ5" s="22"/>
      <c r="AK5" s="22"/>
      <c r="AL5" s="22"/>
    </row>
    <row r="6">
      <c r="A6" s="7">
        <v>46048.697954029005</v>
      </c>
      <c r="B6" s="8" t="s">
        <v>1280</v>
      </c>
      <c r="C6" s="8" t="s">
        <v>1281</v>
      </c>
      <c r="D6" s="9">
        <v>46054.0</v>
      </c>
      <c r="E6" s="8" t="s">
        <v>1282</v>
      </c>
      <c r="F6" s="10">
        <v>113.52</v>
      </c>
      <c r="G6" s="11">
        <v>1.9488</v>
      </c>
      <c r="H6" s="8" t="s">
        <v>93</v>
      </c>
      <c r="I6" s="12">
        <v>2010033.0</v>
      </c>
      <c r="J6" s="11">
        <v>24.3924</v>
      </c>
      <c r="K6" s="13">
        <v>2.9697</v>
      </c>
      <c r="L6" s="13">
        <v>5.5396</v>
      </c>
      <c r="M6" s="8">
        <v>1564250.0</v>
      </c>
      <c r="N6" s="13">
        <v>1.4218</v>
      </c>
      <c r="O6" s="12">
        <v>1.5618717303E10</v>
      </c>
      <c r="P6" s="13">
        <v>27.1844</v>
      </c>
      <c r="Q6" s="13">
        <v>30.2933</v>
      </c>
      <c r="R6" s="11">
        <v>49.1442</v>
      </c>
      <c r="S6" s="13">
        <v>114.0369</v>
      </c>
      <c r="T6" s="13">
        <v>114.2671</v>
      </c>
      <c r="U6" s="13">
        <v>113.3011</v>
      </c>
      <c r="V6" s="13">
        <v>111.9434</v>
      </c>
      <c r="W6" s="13">
        <v>111.5492</v>
      </c>
      <c r="X6" s="13">
        <v>109.2488</v>
      </c>
      <c r="Y6" s="13">
        <v>103.8127</v>
      </c>
      <c r="Z6" s="13">
        <v>101.9569</v>
      </c>
      <c r="AA6" s="13">
        <v>119.73</v>
      </c>
      <c r="AB6" s="13">
        <v>0.6482</v>
      </c>
      <c r="AC6" s="11">
        <v>1.07</v>
      </c>
      <c r="AD6" s="8" t="s">
        <v>1283</v>
      </c>
      <c r="AE6" s="14">
        <f>IFERROR(__xludf.DUMMYFUNCTION("IFERROR(GOOGLEFINANCE(B6,""price""),"""")"),115.55)</f>
        <v>115.55</v>
      </c>
      <c r="AF6" s="14"/>
      <c r="AG6" s="14"/>
      <c r="AH6" s="14"/>
      <c r="AI6" s="14"/>
      <c r="AJ6" s="14"/>
      <c r="AK6" s="14"/>
      <c r="AL6" s="14"/>
    </row>
    <row r="7">
      <c r="A7" s="15">
        <v>46048.697954029005</v>
      </c>
      <c r="B7" s="16" t="s">
        <v>1284</v>
      </c>
      <c r="C7" s="16" t="s">
        <v>1285</v>
      </c>
      <c r="D7" s="17">
        <v>46054.0</v>
      </c>
      <c r="E7" s="16" t="s">
        <v>1286</v>
      </c>
      <c r="F7" s="18">
        <v>95.46</v>
      </c>
      <c r="G7" s="19">
        <v>11.2847</v>
      </c>
      <c r="H7" s="16" t="s">
        <v>88</v>
      </c>
      <c r="I7" s="20">
        <v>1.0278084E7</v>
      </c>
      <c r="J7" s="19">
        <v>23.0043</v>
      </c>
      <c r="K7" s="21">
        <v>2.8384</v>
      </c>
      <c r="L7" s="21">
        <v>5.7321</v>
      </c>
      <c r="M7" s="16">
        <v>3498823.0</v>
      </c>
      <c r="N7" s="21">
        <v>3.8586</v>
      </c>
      <c r="O7" s="20">
        <v>2.8265799689E10</v>
      </c>
      <c r="P7" s="21">
        <v>77.1053</v>
      </c>
      <c r="Q7" s="21">
        <v>53.1591</v>
      </c>
      <c r="R7" s="19">
        <v>70.5017</v>
      </c>
      <c r="S7" s="21">
        <v>86.2659</v>
      </c>
      <c r="T7" s="21">
        <v>85.5225</v>
      </c>
      <c r="U7" s="21">
        <v>85.4675</v>
      </c>
      <c r="V7" s="21">
        <v>85.1662</v>
      </c>
      <c r="W7" s="21">
        <v>85.0398</v>
      </c>
      <c r="X7" s="21">
        <v>84.0763</v>
      </c>
      <c r="Y7" s="21">
        <v>81.4111</v>
      </c>
      <c r="Z7" s="21">
        <v>80.5257</v>
      </c>
      <c r="AA7" s="21">
        <v>95.83</v>
      </c>
      <c r="AB7" s="21">
        <v>0.8363</v>
      </c>
      <c r="AC7" s="19">
        <v>0.99</v>
      </c>
      <c r="AD7" s="16" t="s">
        <v>1287</v>
      </c>
      <c r="AE7" s="22">
        <f>IFERROR(__xludf.DUMMYFUNCTION("IFERROR(GOOGLEFINANCE(B7,""price""),"""")"),79.24)</f>
        <v>79.24</v>
      </c>
      <c r="AF7" s="22"/>
      <c r="AG7" s="22"/>
      <c r="AH7" s="22"/>
      <c r="AI7" s="22"/>
      <c r="AJ7" s="22"/>
      <c r="AK7" s="22"/>
      <c r="AL7" s="22"/>
    </row>
    <row r="8">
      <c r="A8" s="7">
        <v>46048.697954029005</v>
      </c>
      <c r="B8" s="8" t="s">
        <v>1288</v>
      </c>
      <c r="C8" s="8" t="s">
        <v>1289</v>
      </c>
      <c r="D8" s="9">
        <v>46054.0</v>
      </c>
      <c r="E8" s="8" t="s">
        <v>1290</v>
      </c>
      <c r="F8" s="10">
        <v>41.88</v>
      </c>
      <c r="G8" s="11">
        <v>7.4949</v>
      </c>
      <c r="H8" s="8" t="s">
        <v>93</v>
      </c>
      <c r="I8" s="12">
        <v>1620912.0</v>
      </c>
      <c r="J8" s="11">
        <v>22.0747</v>
      </c>
      <c r="K8" s="13">
        <v>1.016</v>
      </c>
      <c r="L8" s="13">
        <v>1.7908</v>
      </c>
      <c r="M8" s="13">
        <v>441983.7</v>
      </c>
      <c r="N8" s="13">
        <v>5.4458</v>
      </c>
      <c r="O8" s="12">
        <v>3.8107972E9</v>
      </c>
      <c r="P8" s="13">
        <v>64.7189</v>
      </c>
      <c r="Q8" s="13">
        <v>69.2059</v>
      </c>
      <c r="R8" s="11">
        <v>63.8697</v>
      </c>
      <c r="S8" s="13">
        <v>39.9708</v>
      </c>
      <c r="T8" s="13">
        <v>39.5721</v>
      </c>
      <c r="U8" s="13">
        <v>39.5663</v>
      </c>
      <c r="V8" s="13">
        <v>39.5846</v>
      </c>
      <c r="W8" s="13">
        <v>39.5881</v>
      </c>
      <c r="X8" s="13">
        <v>39.5852</v>
      </c>
      <c r="Y8" s="13">
        <v>39.1902</v>
      </c>
      <c r="Z8" s="13">
        <v>39.6981</v>
      </c>
      <c r="AA8" s="13">
        <v>43.3</v>
      </c>
      <c r="AB8" s="13">
        <v>0.9659</v>
      </c>
      <c r="AC8" s="11">
        <v>1.13</v>
      </c>
      <c r="AD8" s="8" t="s">
        <v>1291</v>
      </c>
      <c r="AE8" s="14">
        <f>IFERROR(__xludf.DUMMYFUNCTION("IFERROR(GOOGLEFINANCE(B8,""price""),"""")"),38.03)</f>
        <v>38.03</v>
      </c>
      <c r="AF8" s="14"/>
      <c r="AG8" s="14"/>
      <c r="AH8" s="14"/>
      <c r="AI8" s="14"/>
      <c r="AJ8" s="14"/>
      <c r="AK8" s="14"/>
      <c r="AL8" s="14"/>
    </row>
    <row r="9">
      <c r="A9" s="15">
        <v>46048.697954029005</v>
      </c>
      <c r="B9" s="16" t="s">
        <v>1292</v>
      </c>
      <c r="C9" s="16" t="s">
        <v>1293</v>
      </c>
      <c r="D9" s="17">
        <v>46054.0</v>
      </c>
      <c r="E9" s="16" t="s">
        <v>1294</v>
      </c>
      <c r="F9" s="18">
        <v>109.7</v>
      </c>
      <c r="G9" s="19">
        <v>0.55</v>
      </c>
      <c r="H9" s="16" t="s">
        <v>917</v>
      </c>
      <c r="I9" s="20">
        <v>2614839.0</v>
      </c>
      <c r="J9" s="19">
        <v>27.4014</v>
      </c>
      <c r="K9" s="21">
        <v>1.5803</v>
      </c>
      <c r="L9" s="21">
        <v>3.2486</v>
      </c>
      <c r="M9" s="16">
        <v>2152441.0</v>
      </c>
      <c r="N9" s="21">
        <v>1.2648</v>
      </c>
      <c r="O9" s="20">
        <v>3.568477878E10</v>
      </c>
      <c r="P9" s="21">
        <v>83.5922</v>
      </c>
      <c r="Q9" s="21">
        <v>85.785</v>
      </c>
      <c r="R9" s="19">
        <v>65.0072</v>
      </c>
      <c r="S9" s="21">
        <v>108.6545</v>
      </c>
      <c r="T9" s="21">
        <v>107.4582</v>
      </c>
      <c r="U9" s="21">
        <v>107.4275</v>
      </c>
      <c r="V9" s="21">
        <v>107.8035</v>
      </c>
      <c r="W9" s="21">
        <v>107.9224</v>
      </c>
      <c r="X9" s="21">
        <v>108.399</v>
      </c>
      <c r="Y9" s="21">
        <v>107.1613</v>
      </c>
      <c r="Z9" s="21">
        <v>108.4884</v>
      </c>
      <c r="AA9" s="21">
        <v>118.185</v>
      </c>
      <c r="AB9" s="21">
        <v>1.1185</v>
      </c>
      <c r="AC9" s="19">
        <v>0.97</v>
      </c>
      <c r="AD9" s="24"/>
      <c r="AE9" s="22">
        <f>IFERROR(__xludf.DUMMYFUNCTION("IFERROR(GOOGLEFINANCE(B9,""price""),"""")"),117.54)</f>
        <v>117.54</v>
      </c>
      <c r="AF9" s="22"/>
      <c r="AG9" s="22"/>
      <c r="AH9" s="22"/>
      <c r="AI9" s="22"/>
      <c r="AJ9" s="22"/>
      <c r="AK9" s="22"/>
      <c r="AL9" s="22"/>
    </row>
    <row r="10">
      <c r="A10" s="7">
        <v>46048.697954029005</v>
      </c>
      <c r="B10" s="8" t="s">
        <v>1295</v>
      </c>
      <c r="C10" s="8" t="s">
        <v>1296</v>
      </c>
      <c r="D10" s="9">
        <v>46054.0</v>
      </c>
      <c r="E10" s="8" t="s">
        <v>1297</v>
      </c>
      <c r="F10" s="10">
        <v>167.32</v>
      </c>
      <c r="G10" s="11">
        <v>-1.4141</v>
      </c>
      <c r="H10" s="8" t="s">
        <v>93</v>
      </c>
      <c r="I10" s="12">
        <v>2382019.0</v>
      </c>
      <c r="J10" s="11">
        <v>35.413</v>
      </c>
      <c r="K10" s="13">
        <v>1.9587</v>
      </c>
      <c r="L10" s="13">
        <v>4.2726</v>
      </c>
      <c r="M10" s="8">
        <v>2037168.0</v>
      </c>
      <c r="N10" s="13">
        <v>1.2637</v>
      </c>
      <c r="O10" s="12">
        <v>2.34283484645E11</v>
      </c>
      <c r="P10" s="13">
        <v>29.3538</v>
      </c>
      <c r="Q10" s="13">
        <v>26.6041</v>
      </c>
      <c r="R10" s="11">
        <v>49.3995</v>
      </c>
      <c r="S10" s="13">
        <v>168.6094</v>
      </c>
      <c r="T10" s="13">
        <v>168.2822</v>
      </c>
      <c r="U10" s="13">
        <v>166.3304</v>
      </c>
      <c r="V10" s="13">
        <v>163.5155</v>
      </c>
      <c r="W10" s="13">
        <v>162.6545</v>
      </c>
      <c r="X10" s="13">
        <v>157.3476</v>
      </c>
      <c r="Y10" s="13">
        <v>145.3107</v>
      </c>
      <c r="Z10" s="13">
        <v>141.3568</v>
      </c>
      <c r="AA10" s="13">
        <v>174.61</v>
      </c>
      <c r="AB10" s="13">
        <v>1.3621</v>
      </c>
      <c r="AC10" s="11">
        <v>0.92</v>
      </c>
      <c r="AD10" s="23"/>
      <c r="AE10" s="14">
        <f>IFERROR(__xludf.DUMMYFUNCTION("IFERROR(GOOGLEFINANCE(B10,""price""),"""")"),171.91)</f>
        <v>171.91</v>
      </c>
      <c r="AF10" s="14"/>
      <c r="AG10" s="14"/>
      <c r="AH10" s="14"/>
      <c r="AI10" s="14"/>
      <c r="AJ10" s="14"/>
      <c r="AK10" s="14"/>
      <c r="AL10" s="14"/>
    </row>
    <row r="11">
      <c r="A11" s="15">
        <v>46048.697954029005</v>
      </c>
      <c r="B11" s="16" t="s">
        <v>1298</v>
      </c>
      <c r="C11" s="16" t="s">
        <v>1299</v>
      </c>
      <c r="D11" s="17">
        <v>46054.0</v>
      </c>
      <c r="E11" s="16" t="s">
        <v>1300</v>
      </c>
      <c r="F11" s="18">
        <v>54.87</v>
      </c>
      <c r="G11" s="19">
        <v>4.914</v>
      </c>
      <c r="H11" s="16" t="s">
        <v>286</v>
      </c>
      <c r="I11" s="20">
        <v>842284.0</v>
      </c>
      <c r="J11" s="19">
        <v>25.6866</v>
      </c>
      <c r="K11" s="21">
        <v>1.7976</v>
      </c>
      <c r="L11" s="21">
        <v>3.5691</v>
      </c>
      <c r="M11" s="21">
        <v>681054.0</v>
      </c>
      <c r="N11" s="21">
        <v>1.3227</v>
      </c>
      <c r="O11" s="20">
        <v>3.124750841E9</v>
      </c>
      <c r="P11" s="21">
        <v>33.7827</v>
      </c>
      <c r="Q11" s="21">
        <v>31.507</v>
      </c>
      <c r="R11" s="19">
        <v>57.0024</v>
      </c>
      <c r="S11" s="21">
        <v>53.5167</v>
      </c>
      <c r="T11" s="21">
        <v>53.4161</v>
      </c>
      <c r="U11" s="21">
        <v>52.6957</v>
      </c>
      <c r="V11" s="21">
        <v>51.42</v>
      </c>
      <c r="W11" s="21">
        <v>51.0024</v>
      </c>
      <c r="X11" s="21">
        <v>48.3822</v>
      </c>
      <c r="Y11" s="21">
        <v>42.9403</v>
      </c>
      <c r="Z11" s="21">
        <v>40.6655</v>
      </c>
      <c r="AA11" s="21">
        <v>56.46</v>
      </c>
      <c r="AB11" s="21">
        <v>1.4962</v>
      </c>
      <c r="AC11" s="19">
        <v>1.01</v>
      </c>
      <c r="AD11" s="24"/>
      <c r="AE11" s="22">
        <f>IFERROR(__xludf.DUMMYFUNCTION("IFERROR(GOOGLEFINANCE(B11,""price""),"""")"),51.0)</f>
        <v>51</v>
      </c>
      <c r="AF11" s="22"/>
      <c r="AG11" s="22"/>
      <c r="AH11" s="22"/>
      <c r="AI11" s="22"/>
      <c r="AJ11" s="22"/>
      <c r="AK11" s="22"/>
      <c r="AL11" s="22"/>
    </row>
    <row r="12">
      <c r="A12" s="7">
        <v>46048.697954029005</v>
      </c>
      <c r="B12" s="8" t="s">
        <v>1301</v>
      </c>
      <c r="C12" s="8" t="s">
        <v>1302</v>
      </c>
      <c r="D12" s="9">
        <v>46054.0</v>
      </c>
      <c r="E12" s="8" t="s">
        <v>1303</v>
      </c>
      <c r="F12" s="10">
        <v>66.64</v>
      </c>
      <c r="G12" s="11">
        <v>0.2256</v>
      </c>
      <c r="H12" s="8" t="s">
        <v>917</v>
      </c>
      <c r="I12" s="12">
        <v>708113.0</v>
      </c>
      <c r="J12" s="11">
        <v>21.8946</v>
      </c>
      <c r="K12" s="13">
        <v>1.4371</v>
      </c>
      <c r="L12" s="13">
        <v>2.8977</v>
      </c>
      <c r="M12" s="13">
        <v>509875.2</v>
      </c>
      <c r="N12" s="13">
        <v>1.4735</v>
      </c>
      <c r="O12" s="12">
        <v>4.092164228E9</v>
      </c>
      <c r="P12" s="13">
        <v>60.5873</v>
      </c>
      <c r="Q12" s="13">
        <v>71.3921</v>
      </c>
      <c r="R12" s="11">
        <v>51.441</v>
      </c>
      <c r="S12" s="13">
        <v>67.184</v>
      </c>
      <c r="T12" s="13">
        <v>66.6255</v>
      </c>
      <c r="U12" s="13">
        <v>66.1236</v>
      </c>
      <c r="V12" s="13">
        <v>65.4131</v>
      </c>
      <c r="W12" s="13">
        <v>65.1755</v>
      </c>
      <c r="X12" s="13">
        <v>63.6015</v>
      </c>
      <c r="Y12" s="13">
        <v>60.2239</v>
      </c>
      <c r="Z12" s="13">
        <v>58.6878</v>
      </c>
      <c r="AA12" s="13">
        <v>69.23</v>
      </c>
      <c r="AB12" s="13">
        <v>1.5912</v>
      </c>
      <c r="AC12" s="11">
        <v>0.99</v>
      </c>
      <c r="AD12" s="23"/>
      <c r="AE12" s="14">
        <f>IFERROR(__xludf.DUMMYFUNCTION("IFERROR(GOOGLEFINANCE(B12,""price""),"""")"),70.61)</f>
        <v>70.61</v>
      </c>
      <c r="AF12" s="14"/>
      <c r="AG12" s="14"/>
      <c r="AH12" s="14"/>
      <c r="AI12" s="14"/>
      <c r="AJ12" s="14"/>
      <c r="AK12" s="14"/>
      <c r="AL12" s="14"/>
    </row>
    <row r="13">
      <c r="A13" s="15">
        <v>46048.697954029005</v>
      </c>
      <c r="B13" s="16" t="s">
        <v>1304</v>
      </c>
      <c r="C13" s="16" t="s">
        <v>1305</v>
      </c>
      <c r="D13" s="17">
        <v>46054.0</v>
      </c>
      <c r="E13" s="16" t="s">
        <v>1306</v>
      </c>
      <c r="F13" s="18">
        <v>55.56</v>
      </c>
      <c r="G13" s="19">
        <v>1.5908</v>
      </c>
      <c r="H13" s="16" t="s">
        <v>137</v>
      </c>
      <c r="I13" s="20">
        <v>1.0026174E7</v>
      </c>
      <c r="J13" s="19">
        <v>21.9769</v>
      </c>
      <c r="K13" s="21">
        <v>1.3434</v>
      </c>
      <c r="L13" s="21">
        <v>2.7508</v>
      </c>
      <c r="M13" s="16">
        <v>7433052.0</v>
      </c>
      <c r="N13" s="21">
        <v>1.3704</v>
      </c>
      <c r="O13" s="20">
        <v>2.9358104695E10</v>
      </c>
      <c r="P13" s="21">
        <v>86.9288</v>
      </c>
      <c r="Q13" s="21">
        <v>83.2026</v>
      </c>
      <c r="R13" s="19">
        <v>67.7983</v>
      </c>
      <c r="S13" s="21">
        <v>53.1958</v>
      </c>
      <c r="T13" s="21">
        <v>52.2342</v>
      </c>
      <c r="U13" s="21">
        <v>52.308</v>
      </c>
      <c r="V13" s="21">
        <v>52.6891</v>
      </c>
      <c r="W13" s="21">
        <v>52.8199</v>
      </c>
      <c r="X13" s="21">
        <v>53.5574</v>
      </c>
      <c r="Y13" s="21">
        <v>54.2927</v>
      </c>
      <c r="Z13" s="21">
        <v>54.4884</v>
      </c>
      <c r="AA13" s="21">
        <v>63.9899</v>
      </c>
      <c r="AB13" s="21">
        <v>1.5979</v>
      </c>
      <c r="AC13" s="19">
        <v>0.98</v>
      </c>
      <c r="AD13" s="24"/>
      <c r="AE13" s="22">
        <f>IFERROR(__xludf.DUMMYFUNCTION("IFERROR(GOOGLEFINANCE(B13,""price""),"""")"),45.03)</f>
        <v>45.03</v>
      </c>
      <c r="AF13" s="22"/>
      <c r="AG13" s="22"/>
      <c r="AH13" s="22"/>
      <c r="AI13" s="22"/>
      <c r="AJ13" s="22"/>
      <c r="AK13" s="22"/>
      <c r="AL13" s="22"/>
    </row>
    <row r="14">
      <c r="A14" s="7">
        <v>46048.697954029005</v>
      </c>
      <c r="B14" s="8" t="s">
        <v>1307</v>
      </c>
      <c r="C14" s="8" t="s">
        <v>1308</v>
      </c>
      <c r="D14" s="9">
        <v>46054.0</v>
      </c>
      <c r="E14" s="8" t="s">
        <v>1309</v>
      </c>
      <c r="F14" s="10">
        <v>54.77</v>
      </c>
      <c r="G14" s="11">
        <v>-0.725</v>
      </c>
      <c r="H14" s="8" t="s">
        <v>270</v>
      </c>
      <c r="I14" s="12">
        <v>1855537.0</v>
      </c>
      <c r="J14" s="11">
        <v>21.2515</v>
      </c>
      <c r="K14" s="13">
        <v>1.0175</v>
      </c>
      <c r="L14" s="13">
        <v>1.978</v>
      </c>
      <c r="M14" s="8">
        <v>1486421.0</v>
      </c>
      <c r="N14" s="13">
        <v>1.3124</v>
      </c>
      <c r="O14" s="12">
        <v>5.5704655021E10</v>
      </c>
      <c r="P14" s="13">
        <v>64.2664</v>
      </c>
      <c r="Q14" s="13">
        <v>68.4068</v>
      </c>
      <c r="R14" s="11">
        <v>52.6511</v>
      </c>
      <c r="S14" s="13">
        <v>55.1341</v>
      </c>
      <c r="T14" s="13">
        <v>54.6209</v>
      </c>
      <c r="U14" s="13">
        <v>54.2582</v>
      </c>
      <c r="V14" s="13">
        <v>53.8357</v>
      </c>
      <c r="W14" s="13">
        <v>53.7132</v>
      </c>
      <c r="X14" s="13">
        <v>53.0402</v>
      </c>
      <c r="Y14" s="13">
        <v>51.622</v>
      </c>
      <c r="Z14" s="13">
        <v>51.5155</v>
      </c>
      <c r="AA14" s="13">
        <v>57.155</v>
      </c>
      <c r="AB14" s="13">
        <v>1.5992</v>
      </c>
      <c r="AC14" s="11">
        <v>1.03</v>
      </c>
      <c r="AD14" s="23"/>
      <c r="AE14" s="14">
        <f>IFERROR(__xludf.DUMMYFUNCTION("IFERROR(GOOGLEFINANCE(B14,""price""),"""")"),56.15)</f>
        <v>56.15</v>
      </c>
      <c r="AF14" s="14"/>
      <c r="AG14" s="14"/>
      <c r="AH14" s="14"/>
      <c r="AI14" s="14"/>
      <c r="AJ14" s="14"/>
      <c r="AK14" s="14"/>
      <c r="AL14" s="14"/>
    </row>
    <row r="15">
      <c r="A15" s="15">
        <v>46048.697954029005</v>
      </c>
      <c r="B15" s="16" t="s">
        <v>1230</v>
      </c>
      <c r="C15" s="16" t="s">
        <v>1231</v>
      </c>
      <c r="D15" s="17">
        <v>46054.0</v>
      </c>
      <c r="E15" s="16" t="s">
        <v>1232</v>
      </c>
      <c r="F15" s="18">
        <v>65.34</v>
      </c>
      <c r="G15" s="19">
        <v>-0.2899</v>
      </c>
      <c r="H15" s="16" t="s">
        <v>149</v>
      </c>
      <c r="I15" s="20">
        <v>1803862.0</v>
      </c>
      <c r="J15" s="19">
        <v>22.5778</v>
      </c>
      <c r="K15" s="21">
        <v>1.0955</v>
      </c>
      <c r="L15" s="21">
        <v>2.5519</v>
      </c>
      <c r="M15" s="16">
        <v>1390437.0</v>
      </c>
      <c r="N15" s="21">
        <v>1.3427</v>
      </c>
      <c r="O15" s="20">
        <v>3.0534235567E10</v>
      </c>
      <c r="P15" s="21">
        <v>20.4821</v>
      </c>
      <c r="Q15" s="21">
        <v>21.695</v>
      </c>
      <c r="R15" s="19">
        <v>53.6135</v>
      </c>
      <c r="S15" s="21">
        <v>65.5453</v>
      </c>
      <c r="T15" s="21">
        <v>65.3046</v>
      </c>
      <c r="U15" s="21">
        <v>64.3647</v>
      </c>
      <c r="V15" s="21">
        <v>63.109</v>
      </c>
      <c r="W15" s="21">
        <v>62.7371</v>
      </c>
      <c r="X15" s="21">
        <v>60.5585</v>
      </c>
      <c r="Y15" s="21">
        <v>55.7089</v>
      </c>
      <c r="Z15" s="21">
        <v>54.5282</v>
      </c>
      <c r="AA15" s="21">
        <v>68.175</v>
      </c>
      <c r="AB15" s="21">
        <v>1.8068</v>
      </c>
      <c r="AC15" s="19">
        <v>0.86</v>
      </c>
      <c r="AD15" s="24"/>
      <c r="AE15" s="22">
        <f>IFERROR(__xludf.DUMMYFUNCTION("IFERROR(GOOGLEFINANCE(B15,""price""),"""")"),54.93)</f>
        <v>54.93</v>
      </c>
      <c r="AF15" s="22"/>
      <c r="AG15" s="22"/>
      <c r="AH15" s="22"/>
      <c r="AI15" s="22"/>
      <c r="AJ15" s="22"/>
      <c r="AK15" s="22"/>
      <c r="AL15" s="22"/>
    </row>
    <row r="16">
      <c r="A16" s="7">
        <v>46048.697954029005</v>
      </c>
      <c r="B16" s="8" t="s">
        <v>1310</v>
      </c>
      <c r="C16" s="8" t="s">
        <v>1311</v>
      </c>
      <c r="D16" s="9">
        <v>46054.0</v>
      </c>
      <c r="E16" s="8" t="s">
        <v>1312</v>
      </c>
      <c r="F16" s="10">
        <v>75.31</v>
      </c>
      <c r="G16" s="11">
        <v>1.414</v>
      </c>
      <c r="H16" s="8" t="s">
        <v>270</v>
      </c>
      <c r="I16" s="12">
        <v>413623.0</v>
      </c>
      <c r="J16" s="11">
        <v>20.4445</v>
      </c>
      <c r="K16" s="13">
        <v>1.8746</v>
      </c>
      <c r="L16" s="13">
        <v>3.8481</v>
      </c>
      <c r="M16" s="13">
        <v>305383.9</v>
      </c>
      <c r="N16" s="13">
        <v>1.3676</v>
      </c>
      <c r="O16" s="12">
        <v>3.757007106E9</v>
      </c>
      <c r="P16" s="13">
        <v>73.6487</v>
      </c>
      <c r="Q16" s="13">
        <v>76.1647</v>
      </c>
      <c r="R16" s="11">
        <v>57.7765</v>
      </c>
      <c r="S16" s="13">
        <v>74.4928</v>
      </c>
      <c r="T16" s="13">
        <v>73.6716</v>
      </c>
      <c r="U16" s="13">
        <v>73.1181</v>
      </c>
      <c r="V16" s="13">
        <v>72.6089</v>
      </c>
      <c r="W16" s="13">
        <v>72.4913</v>
      </c>
      <c r="X16" s="13">
        <v>72.2096</v>
      </c>
      <c r="Y16" s="13">
        <v>74.747</v>
      </c>
      <c r="Z16" s="13">
        <v>72.9244</v>
      </c>
      <c r="AA16" s="13">
        <v>97.565</v>
      </c>
      <c r="AB16" s="13">
        <v>1.8254</v>
      </c>
      <c r="AC16" s="11">
        <v>0.97</v>
      </c>
      <c r="AD16" s="23"/>
      <c r="AE16" s="14">
        <f>IFERROR(__xludf.DUMMYFUNCTION("IFERROR(GOOGLEFINANCE(B16,""price""),"""")"),65.37)</f>
        <v>65.37</v>
      </c>
      <c r="AF16" s="14"/>
      <c r="AG16" s="14"/>
      <c r="AH16" s="14"/>
      <c r="AI16" s="14"/>
      <c r="AJ16" s="14"/>
      <c r="AK16" s="14"/>
      <c r="AL16" s="14"/>
    </row>
    <row r="17">
      <c r="A17" s="15">
        <v>46048.697954029005</v>
      </c>
      <c r="B17" s="16" t="s">
        <v>1313</v>
      </c>
      <c r="C17" s="16" t="s">
        <v>1314</v>
      </c>
      <c r="D17" s="17">
        <v>46054.0</v>
      </c>
      <c r="E17" s="16" t="s">
        <v>1315</v>
      </c>
      <c r="F17" s="18">
        <v>51.38</v>
      </c>
      <c r="G17" s="19">
        <v>1.082</v>
      </c>
      <c r="H17" s="16" t="s">
        <v>129</v>
      </c>
      <c r="I17" s="20">
        <v>1260865.0</v>
      </c>
      <c r="J17" s="19">
        <v>20.3326</v>
      </c>
      <c r="K17" s="21">
        <v>1.1287</v>
      </c>
      <c r="L17" s="21">
        <v>2.4658</v>
      </c>
      <c r="M17" s="21">
        <v>990540.9</v>
      </c>
      <c r="N17" s="21">
        <v>1.3569</v>
      </c>
      <c r="O17" s="20">
        <v>4.178708205E9</v>
      </c>
      <c r="P17" s="21">
        <v>85.034</v>
      </c>
      <c r="Q17" s="21">
        <v>77.3597</v>
      </c>
      <c r="R17" s="19">
        <v>60.0762</v>
      </c>
      <c r="S17" s="21">
        <v>50.6866</v>
      </c>
      <c r="T17" s="21">
        <v>50.0408</v>
      </c>
      <c r="U17" s="21">
        <v>49.7151</v>
      </c>
      <c r="V17" s="21">
        <v>49.6207</v>
      </c>
      <c r="W17" s="21">
        <v>49.6337</v>
      </c>
      <c r="X17" s="21">
        <v>49.8973</v>
      </c>
      <c r="Y17" s="21">
        <v>50.573</v>
      </c>
      <c r="Z17" s="21">
        <v>51.0186</v>
      </c>
      <c r="AA17" s="21">
        <v>57.24</v>
      </c>
      <c r="AB17" s="21">
        <v>1.8907</v>
      </c>
      <c r="AC17" s="19">
        <v>0.92</v>
      </c>
      <c r="AD17" s="24"/>
      <c r="AE17" s="22">
        <f>IFERROR(__xludf.DUMMYFUNCTION("IFERROR(GOOGLEFINANCE(B17,""price""),"""")"),67.03)</f>
        <v>67.03</v>
      </c>
      <c r="AF17" s="22"/>
      <c r="AG17" s="22"/>
      <c r="AH17" s="22"/>
      <c r="AI17" s="22"/>
      <c r="AJ17" s="22"/>
      <c r="AK17" s="22"/>
      <c r="AL17" s="22"/>
    </row>
    <row r="18">
      <c r="A18" s="7">
        <v>46048.697954029005</v>
      </c>
      <c r="B18" s="8" t="s">
        <v>1316</v>
      </c>
      <c r="C18" s="8" t="s">
        <v>1317</v>
      </c>
      <c r="D18" s="9">
        <v>46054.0</v>
      </c>
      <c r="E18" s="8" t="s">
        <v>1318</v>
      </c>
      <c r="F18" s="10">
        <v>72.68</v>
      </c>
      <c r="G18" s="11">
        <v>1.3951</v>
      </c>
      <c r="H18" s="8" t="s">
        <v>917</v>
      </c>
      <c r="I18" s="12">
        <v>991902.0</v>
      </c>
      <c r="J18" s="11">
        <v>24.148</v>
      </c>
      <c r="K18" s="13">
        <v>1.4778</v>
      </c>
      <c r="L18" s="13">
        <v>3.0503</v>
      </c>
      <c r="M18" s="13">
        <v>825748.9</v>
      </c>
      <c r="N18" s="13">
        <v>1.2008</v>
      </c>
      <c r="O18" s="12">
        <v>5.485405912E9</v>
      </c>
      <c r="P18" s="13">
        <v>71.3911</v>
      </c>
      <c r="Q18" s="13">
        <v>75.853</v>
      </c>
      <c r="R18" s="11">
        <v>58.0383</v>
      </c>
      <c r="S18" s="13">
        <v>72.2657</v>
      </c>
      <c r="T18" s="13">
        <v>71.4863</v>
      </c>
      <c r="U18" s="13">
        <v>70.872</v>
      </c>
      <c r="V18" s="13">
        <v>70.0209</v>
      </c>
      <c r="W18" s="13">
        <v>69.7419</v>
      </c>
      <c r="X18" s="13">
        <v>67.9531</v>
      </c>
      <c r="Y18" s="13">
        <v>64.4115</v>
      </c>
      <c r="Z18" s="13">
        <v>62.5033</v>
      </c>
      <c r="AA18" s="13">
        <v>74.02</v>
      </c>
      <c r="AB18" s="13">
        <v>1.9176</v>
      </c>
      <c r="AC18" s="11">
        <v>0.97</v>
      </c>
      <c r="AD18" s="23"/>
      <c r="AE18" s="14">
        <f>IFERROR(__xludf.DUMMYFUNCTION("IFERROR(GOOGLEFINANCE(B18,""price""),"""")"),73.8)</f>
        <v>73.8</v>
      </c>
      <c r="AF18" s="14"/>
      <c r="AG18" s="14"/>
      <c r="AH18" s="14"/>
      <c r="AI18" s="14"/>
      <c r="AJ18" s="14"/>
      <c r="AK18" s="14"/>
      <c r="AL18" s="14"/>
    </row>
    <row r="19">
      <c r="A19" s="15">
        <v>46048.697954029005</v>
      </c>
      <c r="B19" s="16" t="s">
        <v>1319</v>
      </c>
      <c r="C19" s="16" t="s">
        <v>1320</v>
      </c>
      <c r="D19" s="17">
        <v>46054.0</v>
      </c>
      <c r="E19" s="16" t="s">
        <v>1321</v>
      </c>
      <c r="F19" s="18">
        <v>39.79</v>
      </c>
      <c r="G19" s="19">
        <v>2.4196</v>
      </c>
      <c r="H19" s="16" t="s">
        <v>129</v>
      </c>
      <c r="I19" s="20">
        <v>3016064.0</v>
      </c>
      <c r="J19" s="19">
        <v>23.2042</v>
      </c>
      <c r="K19" s="21">
        <v>0.7472</v>
      </c>
      <c r="L19" s="21">
        <v>1.4664</v>
      </c>
      <c r="M19" s="16">
        <v>1784150.0</v>
      </c>
      <c r="N19" s="21">
        <v>1.6367</v>
      </c>
      <c r="O19" s="20">
        <v>8.547146181E9</v>
      </c>
      <c r="P19" s="21">
        <v>90.9736</v>
      </c>
      <c r="Q19" s="21">
        <v>84.8876</v>
      </c>
      <c r="R19" s="19">
        <v>71.7819</v>
      </c>
      <c r="S19" s="21">
        <v>38.3689</v>
      </c>
      <c r="T19" s="21">
        <v>37.8931</v>
      </c>
      <c r="U19" s="21">
        <v>37.6026</v>
      </c>
      <c r="V19" s="21">
        <v>37.2026</v>
      </c>
      <c r="W19" s="21">
        <v>37.0844</v>
      </c>
      <c r="X19" s="21">
        <v>36.4256</v>
      </c>
      <c r="Y19" s="21">
        <v>34.7961</v>
      </c>
      <c r="Z19" s="21">
        <v>35.2382</v>
      </c>
      <c r="AA19" s="21">
        <v>39.92</v>
      </c>
      <c r="AB19" s="21">
        <v>1.926</v>
      </c>
      <c r="AC19" s="19">
        <v>1.02</v>
      </c>
      <c r="AD19" s="24"/>
      <c r="AE19" s="22">
        <f>IFERROR(__xludf.DUMMYFUNCTION("IFERROR(GOOGLEFINANCE(B19,""price""),"""")"),37.94)</f>
        <v>37.94</v>
      </c>
      <c r="AF19" s="22"/>
      <c r="AG19" s="22"/>
      <c r="AH19" s="22"/>
      <c r="AI19" s="22"/>
      <c r="AJ19" s="22"/>
      <c r="AK19" s="22"/>
      <c r="AL19" s="22"/>
    </row>
    <row r="20">
      <c r="A20" s="7">
        <v>46048.697954029005</v>
      </c>
      <c r="B20" s="8" t="s">
        <v>1322</v>
      </c>
      <c r="C20" s="8" t="s">
        <v>1323</v>
      </c>
      <c r="D20" s="9">
        <v>46054.0</v>
      </c>
      <c r="E20" s="8" t="s">
        <v>1324</v>
      </c>
      <c r="F20" s="10">
        <v>12.13</v>
      </c>
      <c r="G20" s="11">
        <v>1.8472</v>
      </c>
      <c r="H20" s="8" t="s">
        <v>93</v>
      </c>
      <c r="I20" s="12">
        <v>9226951.0</v>
      </c>
      <c r="J20" s="11">
        <v>26.7658</v>
      </c>
      <c r="K20" s="13">
        <v>0.3043</v>
      </c>
      <c r="L20" s="13">
        <v>0.6259</v>
      </c>
      <c r="M20" s="8">
        <v>6868967.0</v>
      </c>
      <c r="N20" s="13">
        <v>1.3623</v>
      </c>
      <c r="O20" s="12">
        <v>6.764119245E9</v>
      </c>
      <c r="P20" s="13">
        <v>51.3035</v>
      </c>
      <c r="Q20" s="13">
        <v>60.5932</v>
      </c>
      <c r="R20" s="11">
        <v>55.256</v>
      </c>
      <c r="S20" s="13">
        <v>12.0528</v>
      </c>
      <c r="T20" s="13">
        <v>11.9445</v>
      </c>
      <c r="U20" s="13">
        <v>11.8184</v>
      </c>
      <c r="V20" s="13">
        <v>11.6519</v>
      </c>
      <c r="W20" s="13">
        <v>11.6004</v>
      </c>
      <c r="X20" s="13">
        <v>11.2731</v>
      </c>
      <c r="Y20" s="13">
        <v>10.5403</v>
      </c>
      <c r="Z20" s="13">
        <v>10.1467</v>
      </c>
      <c r="AA20" s="13">
        <v>12.675</v>
      </c>
      <c r="AB20" s="13">
        <v>1.9327</v>
      </c>
      <c r="AC20" s="11">
        <v>0.97</v>
      </c>
      <c r="AD20" s="23"/>
      <c r="AE20" s="14">
        <f>IFERROR(__xludf.DUMMYFUNCTION("IFERROR(GOOGLEFINANCE(B20,""price""),"""")"),13.06)</f>
        <v>13.06</v>
      </c>
      <c r="AF20" s="14"/>
      <c r="AG20" s="14"/>
      <c r="AH20" s="14"/>
      <c r="AI20" s="14"/>
      <c r="AJ20" s="14"/>
      <c r="AK20" s="14"/>
      <c r="AL20" s="14"/>
    </row>
    <row r="21">
      <c r="A21" s="7">
        <v>46049.62849245925</v>
      </c>
      <c r="B21" s="8" t="s">
        <v>1325</v>
      </c>
      <c r="C21" s="8" t="s">
        <v>1326</v>
      </c>
      <c r="D21" s="9">
        <v>46054.0</v>
      </c>
      <c r="E21" s="8" t="s">
        <v>1327</v>
      </c>
      <c r="F21" s="10">
        <v>16.02</v>
      </c>
      <c r="G21" s="11">
        <v>2.9563</v>
      </c>
      <c r="H21" s="8" t="s">
        <v>335</v>
      </c>
      <c r="I21" s="12">
        <v>843466.0</v>
      </c>
      <c r="J21" s="11">
        <v>23.4051</v>
      </c>
      <c r="K21" s="13">
        <v>1.5749</v>
      </c>
      <c r="L21" s="13">
        <v>4.7199</v>
      </c>
      <c r="M21" s="13">
        <v>636051.8</v>
      </c>
      <c r="N21" s="13">
        <v>1.4296</v>
      </c>
      <c r="O21" s="12">
        <v>1.46578489E9</v>
      </c>
      <c r="P21" s="13">
        <v>81.7236</v>
      </c>
      <c r="Q21" s="13">
        <v>85.8143</v>
      </c>
      <c r="R21" s="11">
        <v>61.5444</v>
      </c>
      <c r="S21" s="13">
        <v>14.1026</v>
      </c>
      <c r="T21" s="13">
        <v>13.1371</v>
      </c>
      <c r="U21" s="13">
        <v>14.082</v>
      </c>
      <c r="V21" s="13">
        <v>15.4519</v>
      </c>
      <c r="W21" s="13">
        <v>15.8063</v>
      </c>
      <c r="X21" s="13">
        <v>17.1364</v>
      </c>
      <c r="Y21" s="13">
        <v>15.9441</v>
      </c>
      <c r="Z21" s="13">
        <v>16.4603</v>
      </c>
      <c r="AA21" s="13">
        <v>36.0</v>
      </c>
      <c r="AB21" s="13">
        <v>0.1287</v>
      </c>
      <c r="AC21" s="11">
        <v>0.67</v>
      </c>
      <c r="AD21" s="8" t="s">
        <v>1328</v>
      </c>
      <c r="AE21" s="14">
        <f>IFERROR(__xludf.DUMMYFUNCTION("IFERROR(GOOGLEFINANCE(B21,""price""),"""")"),7.99)</f>
        <v>7.99</v>
      </c>
      <c r="AF21" s="14"/>
      <c r="AG21" s="14"/>
      <c r="AH21" s="14"/>
      <c r="AI21" s="14"/>
      <c r="AJ21" s="14"/>
      <c r="AK21" s="14"/>
      <c r="AL21" s="14"/>
    </row>
    <row r="22">
      <c r="A22" s="15">
        <v>46049.62849245925</v>
      </c>
      <c r="B22" s="16" t="s">
        <v>1268</v>
      </c>
      <c r="C22" s="16" t="s">
        <v>1269</v>
      </c>
      <c r="D22" s="17">
        <v>46054.0</v>
      </c>
      <c r="E22" s="16" t="s">
        <v>1270</v>
      </c>
      <c r="F22" s="18">
        <v>10.45</v>
      </c>
      <c r="G22" s="19">
        <v>0.0958</v>
      </c>
      <c r="H22" s="16" t="s">
        <v>93</v>
      </c>
      <c r="I22" s="20">
        <v>435362.0</v>
      </c>
      <c r="J22" s="19">
        <v>26.8209</v>
      </c>
      <c r="K22" s="21">
        <v>0.0216</v>
      </c>
      <c r="L22" s="21">
        <v>0.0604</v>
      </c>
      <c r="M22" s="21">
        <v>127923.4</v>
      </c>
      <c r="N22" s="21">
        <v>4.703</v>
      </c>
      <c r="O22" s="20">
        <v>3.23871615E8</v>
      </c>
      <c r="P22" s="21">
        <v>70.0216</v>
      </c>
      <c r="Q22" s="21">
        <v>78.6917</v>
      </c>
      <c r="R22" s="19">
        <v>61.9609</v>
      </c>
      <c r="S22" s="21">
        <v>10.4395</v>
      </c>
      <c r="T22" s="21">
        <v>10.4278</v>
      </c>
      <c r="U22" s="21">
        <v>10.4205</v>
      </c>
      <c r="V22" s="21">
        <v>10.4119</v>
      </c>
      <c r="W22" s="21">
        <v>10.4089</v>
      </c>
      <c r="X22" s="21">
        <v>10.3868</v>
      </c>
      <c r="Y22" s="21">
        <v>10.3336</v>
      </c>
      <c r="Z22" s="21">
        <v>10.2778</v>
      </c>
      <c r="AA22" s="21">
        <v>10.69</v>
      </c>
      <c r="AB22" s="21">
        <v>0.1818</v>
      </c>
      <c r="AC22" s="19">
        <v>0.72</v>
      </c>
      <c r="AD22" s="16" t="s">
        <v>1329</v>
      </c>
      <c r="AE22" s="22">
        <f>IFERROR(__xludf.DUMMYFUNCTION("IFERROR(GOOGLEFINANCE(B22,""price""),"""")"),10.56)</f>
        <v>10.56</v>
      </c>
      <c r="AF22" s="22"/>
      <c r="AG22" s="22"/>
      <c r="AH22" s="22"/>
      <c r="AI22" s="22"/>
      <c r="AJ22" s="22"/>
      <c r="AK22" s="22"/>
      <c r="AL22" s="22"/>
    </row>
    <row r="23">
      <c r="A23" s="7">
        <v>46049.62849245925</v>
      </c>
      <c r="B23" s="8" t="s">
        <v>1330</v>
      </c>
      <c r="C23" s="8" t="s">
        <v>1331</v>
      </c>
      <c r="D23" s="9">
        <v>46054.0</v>
      </c>
      <c r="E23" s="8" t="s">
        <v>1332</v>
      </c>
      <c r="F23" s="10">
        <v>10.62</v>
      </c>
      <c r="G23" s="11">
        <v>-0.188</v>
      </c>
      <c r="H23" s="8" t="s">
        <v>93</v>
      </c>
      <c r="I23" s="12">
        <v>683617.0</v>
      </c>
      <c r="J23" s="11">
        <v>60.9792</v>
      </c>
      <c r="K23" s="13">
        <v>0.0804</v>
      </c>
      <c r="L23" s="13">
        <v>0.1383</v>
      </c>
      <c r="M23" s="13">
        <v>103225.9</v>
      </c>
      <c r="N23" s="13">
        <v>19.4345</v>
      </c>
      <c r="O23" s="12">
        <v>2.70332108E8</v>
      </c>
      <c r="P23" s="13">
        <v>14.0292</v>
      </c>
      <c r="Q23" s="13">
        <v>13.7972</v>
      </c>
      <c r="R23" s="11">
        <v>56.0533</v>
      </c>
      <c r="S23" s="13">
        <v>10.6207</v>
      </c>
      <c r="T23" s="13">
        <v>10.6023</v>
      </c>
      <c r="U23" s="13">
        <v>10.5886</v>
      </c>
      <c r="V23" s="13">
        <v>10.5768</v>
      </c>
      <c r="W23" s="13">
        <v>10.574</v>
      </c>
      <c r="X23" s="13">
        <v>10.5581</v>
      </c>
      <c r="Y23" s="13">
        <v>10.4618</v>
      </c>
      <c r="Z23" s="13">
        <v>10.5389</v>
      </c>
      <c r="AA23" s="13">
        <v>11.64</v>
      </c>
      <c r="AB23" s="13">
        <v>0.3019</v>
      </c>
      <c r="AC23" s="11">
        <v>1.16</v>
      </c>
      <c r="AD23" s="8" t="s">
        <v>1333</v>
      </c>
      <c r="AE23" s="14">
        <f>IFERROR(__xludf.DUMMYFUNCTION("IFERROR(GOOGLEFINANCE(B23,""price""),"""")"),10.73)</f>
        <v>10.73</v>
      </c>
      <c r="AF23" s="14"/>
      <c r="AG23" s="14"/>
      <c r="AH23" s="14"/>
      <c r="AI23" s="14"/>
      <c r="AJ23" s="14"/>
      <c r="AK23" s="14"/>
      <c r="AL23" s="14"/>
    </row>
    <row r="24">
      <c r="A24" s="15">
        <v>46049.62849245925</v>
      </c>
      <c r="B24" s="16" t="s">
        <v>1334</v>
      </c>
      <c r="C24" s="16" t="s">
        <v>1335</v>
      </c>
      <c r="D24" s="17">
        <v>46054.0</v>
      </c>
      <c r="E24" s="16" t="s">
        <v>1336</v>
      </c>
      <c r="F24" s="18">
        <v>10.66</v>
      </c>
      <c r="G24" s="19">
        <v>0.0</v>
      </c>
      <c r="H24" s="16" t="s">
        <v>93</v>
      </c>
      <c r="I24" s="20">
        <v>545841.0</v>
      </c>
      <c r="J24" s="19">
        <v>37.4972</v>
      </c>
      <c r="K24" s="21">
        <v>0.0201</v>
      </c>
      <c r="L24" s="21">
        <v>0.0573</v>
      </c>
      <c r="M24" s="21">
        <v>224205.6</v>
      </c>
      <c r="N24" s="21">
        <v>3.2086</v>
      </c>
      <c r="O24" s="20">
        <v>3.37122487E8</v>
      </c>
      <c r="P24" s="21">
        <v>94.9109</v>
      </c>
      <c r="Q24" s="21">
        <v>78.8616</v>
      </c>
      <c r="R24" s="19">
        <v>65.9946</v>
      </c>
      <c r="S24" s="21">
        <v>10.6458</v>
      </c>
      <c r="T24" s="21">
        <v>10.6297</v>
      </c>
      <c r="U24" s="21">
        <v>10.6116</v>
      </c>
      <c r="V24" s="21">
        <v>10.5909</v>
      </c>
      <c r="W24" s="21">
        <v>10.5848</v>
      </c>
      <c r="X24" s="21">
        <v>10.5459</v>
      </c>
      <c r="Y24" s="21">
        <v>10.4172</v>
      </c>
      <c r="Z24" s="21">
        <v>10.4315</v>
      </c>
      <c r="AA24" s="21">
        <v>10.99</v>
      </c>
      <c r="AB24" s="21">
        <v>0.3209</v>
      </c>
      <c r="AC24" s="19">
        <v>0.7</v>
      </c>
      <c r="AD24" s="16" t="s">
        <v>1337</v>
      </c>
      <c r="AE24" s="22">
        <f>IFERROR(__xludf.DUMMYFUNCTION("IFERROR(GOOGLEFINANCE(B24,""price""),"""")"),12.12)</f>
        <v>12.12</v>
      </c>
      <c r="AF24" s="22"/>
      <c r="AG24" s="22"/>
      <c r="AH24" s="22"/>
      <c r="AI24" s="22"/>
      <c r="AJ24" s="22"/>
      <c r="AK24" s="22"/>
      <c r="AL24" s="22"/>
    </row>
    <row r="25">
      <c r="A25" s="7">
        <v>46049.62849245925</v>
      </c>
      <c r="B25" s="8" t="s">
        <v>1338</v>
      </c>
      <c r="C25" s="8" t="s">
        <v>1339</v>
      </c>
      <c r="D25" s="9">
        <v>46054.0</v>
      </c>
      <c r="E25" s="8" t="s">
        <v>1340</v>
      </c>
      <c r="F25" s="10">
        <v>10.54</v>
      </c>
      <c r="G25" s="11">
        <v>-0.0948</v>
      </c>
      <c r="H25" s="8" t="s">
        <v>93</v>
      </c>
      <c r="I25" s="12">
        <v>527895.0</v>
      </c>
      <c r="J25" s="11">
        <v>83.2985</v>
      </c>
      <c r="K25" s="13">
        <v>0.0275</v>
      </c>
      <c r="L25" s="13">
        <v>0.0632</v>
      </c>
      <c r="M25" s="13">
        <v>103840.8</v>
      </c>
      <c r="N25" s="13">
        <v>10.0259</v>
      </c>
      <c r="O25" s="12">
        <v>4.69794141E8</v>
      </c>
      <c r="P25" s="13">
        <v>53.3333</v>
      </c>
      <c r="Q25" s="13">
        <v>56.1728</v>
      </c>
      <c r="R25" s="11">
        <v>68.1553</v>
      </c>
      <c r="S25" s="13">
        <v>10.5414</v>
      </c>
      <c r="T25" s="13">
        <v>10.5222</v>
      </c>
      <c r="U25" s="13">
        <v>10.5066</v>
      </c>
      <c r="V25" s="13">
        <v>10.4919</v>
      </c>
      <c r="W25" s="13">
        <v>10.488</v>
      </c>
      <c r="X25" s="13">
        <v>10.4646</v>
      </c>
      <c r="Y25" s="13">
        <v>10.3608</v>
      </c>
      <c r="Z25" s="13">
        <v>10.4143</v>
      </c>
      <c r="AA25" s="13">
        <v>10.7412</v>
      </c>
      <c r="AB25" s="13">
        <v>0.3303</v>
      </c>
      <c r="AC25" s="11">
        <v>0.87</v>
      </c>
      <c r="AD25" s="8" t="s">
        <v>1341</v>
      </c>
      <c r="AE25" s="14">
        <f>IFERROR(__xludf.DUMMYFUNCTION("IFERROR(GOOGLEFINANCE(B25,""price""),"""")"),10.34)</f>
        <v>10.34</v>
      </c>
      <c r="AF25" s="14"/>
      <c r="AG25" s="14"/>
      <c r="AH25" s="14"/>
      <c r="AI25" s="14"/>
      <c r="AJ25" s="14"/>
      <c r="AK25" s="14"/>
      <c r="AL25" s="14"/>
    </row>
    <row r="26">
      <c r="A26" s="15">
        <v>46049.62849245925</v>
      </c>
      <c r="B26" s="16" t="s">
        <v>1342</v>
      </c>
      <c r="C26" s="16" t="s">
        <v>1343</v>
      </c>
      <c r="D26" s="17">
        <v>46054.0</v>
      </c>
      <c r="E26" s="16" t="s">
        <v>1344</v>
      </c>
      <c r="F26" s="18">
        <v>75.195</v>
      </c>
      <c r="G26" s="19">
        <v>0.0066</v>
      </c>
      <c r="H26" s="16" t="s">
        <v>117</v>
      </c>
      <c r="I26" s="20">
        <v>3991481.0</v>
      </c>
      <c r="J26" s="19">
        <v>21.6948</v>
      </c>
      <c r="K26" s="21">
        <v>0.2524</v>
      </c>
      <c r="L26" s="21">
        <v>1.5726</v>
      </c>
      <c r="M26" s="16">
        <v>2404689.0</v>
      </c>
      <c r="N26" s="21">
        <v>1.8503</v>
      </c>
      <c r="O26" s="20">
        <v>1.6786901069E10</v>
      </c>
      <c r="P26" s="21">
        <v>74.2839</v>
      </c>
      <c r="Q26" s="21">
        <v>75.5324</v>
      </c>
      <c r="R26" s="19">
        <v>63.2508</v>
      </c>
      <c r="S26" s="21">
        <v>75.0995</v>
      </c>
      <c r="T26" s="21">
        <v>74.9626</v>
      </c>
      <c r="U26" s="21">
        <v>74.7528</v>
      </c>
      <c r="V26" s="21">
        <v>74.2996</v>
      </c>
      <c r="W26" s="21">
        <v>74.1279</v>
      </c>
      <c r="X26" s="21">
        <v>72.874</v>
      </c>
      <c r="Y26" s="21">
        <v>70.6235</v>
      </c>
      <c r="Z26" s="21">
        <v>67.461</v>
      </c>
      <c r="AA26" s="21">
        <v>75.36</v>
      </c>
      <c r="AB26" s="21">
        <v>0.4611</v>
      </c>
      <c r="AC26" s="19">
        <v>0.32</v>
      </c>
      <c r="AD26" s="16" t="s">
        <v>1345</v>
      </c>
      <c r="AE26" s="22">
        <f>IFERROR(__xludf.DUMMYFUNCTION("IFERROR(GOOGLEFINANCE(B26,""price""),"""")"),1260.0)</f>
        <v>1260</v>
      </c>
      <c r="AF26" s="22"/>
      <c r="AG26" s="22"/>
      <c r="AH26" s="22"/>
      <c r="AI26" s="22"/>
      <c r="AJ26" s="22"/>
      <c r="AK26" s="22"/>
      <c r="AL26" s="22"/>
    </row>
    <row r="27">
      <c r="A27" s="7">
        <v>46049.62849245925</v>
      </c>
      <c r="B27" s="8" t="s">
        <v>1346</v>
      </c>
      <c r="C27" s="8" t="s">
        <v>1347</v>
      </c>
      <c r="D27" s="9">
        <v>46054.0</v>
      </c>
      <c r="E27" s="8" t="s">
        <v>1348</v>
      </c>
      <c r="F27" s="10">
        <v>30.56</v>
      </c>
      <c r="G27" s="11">
        <v>-0.4236</v>
      </c>
      <c r="H27" s="8" t="s">
        <v>93</v>
      </c>
      <c r="I27" s="12">
        <v>323476.0</v>
      </c>
      <c r="J27" s="11">
        <v>25.6965</v>
      </c>
      <c r="K27" s="13">
        <v>0.2506</v>
      </c>
      <c r="L27" s="13">
        <v>0.5025</v>
      </c>
      <c r="M27" s="13">
        <v>96120.2</v>
      </c>
      <c r="N27" s="13">
        <v>4.3757</v>
      </c>
      <c r="O27" s="12">
        <v>2.7571896E9</v>
      </c>
      <c r="P27" s="13">
        <v>73.9916</v>
      </c>
      <c r="Q27" s="13">
        <v>78.4457</v>
      </c>
      <c r="R27" s="11">
        <v>52.5576</v>
      </c>
      <c r="S27" s="13">
        <v>30.6747</v>
      </c>
      <c r="T27" s="13">
        <v>30.5527</v>
      </c>
      <c r="U27" s="13">
        <v>30.4621</v>
      </c>
      <c r="V27" s="13">
        <v>30.4026</v>
      </c>
      <c r="W27" s="13">
        <v>30.3897</v>
      </c>
      <c r="X27" s="13">
        <v>30.3262</v>
      </c>
      <c r="Y27" s="13">
        <v>30.1966</v>
      </c>
      <c r="Z27" s="13">
        <v>30.0724</v>
      </c>
      <c r="AA27" s="13">
        <v>31.13</v>
      </c>
      <c r="AB27" s="13">
        <v>0.6955</v>
      </c>
      <c r="AC27" s="11">
        <v>1.0</v>
      </c>
      <c r="AD27" s="8" t="s">
        <v>1349</v>
      </c>
      <c r="AE27" s="14" t="str">
        <f>IFERROR(__xludf.DUMMYFUNCTION("IFERROR(GOOGLEFINANCE(B27,""price""),"""")"),"")</f>
        <v/>
      </c>
      <c r="AF27" s="14"/>
      <c r="AG27" s="14"/>
      <c r="AH27" s="14"/>
      <c r="AI27" s="14"/>
      <c r="AJ27" s="14"/>
      <c r="AK27" s="14"/>
      <c r="AL27" s="14"/>
    </row>
    <row r="28">
      <c r="A28" s="15">
        <v>46049.62849245925</v>
      </c>
      <c r="B28" s="16" t="s">
        <v>1350</v>
      </c>
      <c r="C28" s="16" t="s">
        <v>1351</v>
      </c>
      <c r="D28" s="17">
        <v>46054.0</v>
      </c>
      <c r="E28" s="16" t="s">
        <v>1352</v>
      </c>
      <c r="F28" s="18">
        <v>8.99</v>
      </c>
      <c r="G28" s="19">
        <v>0.8979</v>
      </c>
      <c r="H28" s="16" t="s">
        <v>186</v>
      </c>
      <c r="I28" s="20">
        <v>2348429.0</v>
      </c>
      <c r="J28" s="19">
        <v>29.4281</v>
      </c>
      <c r="K28" s="21">
        <v>0.1621</v>
      </c>
      <c r="L28" s="21">
        <v>0.3791</v>
      </c>
      <c r="M28" s="16">
        <v>1809055.0</v>
      </c>
      <c r="N28" s="21">
        <v>1.3569</v>
      </c>
      <c r="O28" s="20">
        <v>1.758889298E9</v>
      </c>
      <c r="P28" s="21">
        <v>97.5506</v>
      </c>
      <c r="Q28" s="21">
        <v>96.787</v>
      </c>
      <c r="R28" s="19">
        <v>59.7066</v>
      </c>
      <c r="S28" s="21">
        <v>8.8273</v>
      </c>
      <c r="T28" s="21">
        <v>8.7418</v>
      </c>
      <c r="U28" s="21">
        <v>8.7509</v>
      </c>
      <c r="V28" s="21">
        <v>8.75</v>
      </c>
      <c r="W28" s="21">
        <v>8.7433</v>
      </c>
      <c r="X28" s="21">
        <v>8.6295</v>
      </c>
      <c r="Y28" s="21">
        <v>8.0557</v>
      </c>
      <c r="Z28" s="21">
        <v>7.8201</v>
      </c>
      <c r="AA28" s="21">
        <v>9.0</v>
      </c>
      <c r="AB28" s="21">
        <v>0.8502</v>
      </c>
      <c r="AC28" s="19">
        <v>0.86</v>
      </c>
      <c r="AD28" s="16" t="s">
        <v>1283</v>
      </c>
      <c r="AE28" s="22" t="str">
        <f>IFERROR(__xludf.DUMMYFUNCTION("IFERROR(GOOGLEFINANCE(B28,""price""),"""")"),"")</f>
        <v/>
      </c>
      <c r="AF28" s="22"/>
      <c r="AG28" s="22"/>
      <c r="AH28" s="22"/>
      <c r="AI28" s="22"/>
      <c r="AJ28" s="22"/>
      <c r="AK28" s="22"/>
      <c r="AL28" s="22"/>
    </row>
    <row r="29">
      <c r="A29" s="7">
        <v>46049.62849245925</v>
      </c>
      <c r="B29" s="8" t="s">
        <v>1353</v>
      </c>
      <c r="C29" s="8" t="s">
        <v>1354</v>
      </c>
      <c r="D29" s="9">
        <v>46054.0</v>
      </c>
      <c r="E29" s="8" t="s">
        <v>1355</v>
      </c>
      <c r="F29" s="10">
        <v>129.89</v>
      </c>
      <c r="G29" s="11">
        <v>5.7134</v>
      </c>
      <c r="H29" s="8" t="s">
        <v>93</v>
      </c>
      <c r="I29" s="12">
        <v>1018896.0</v>
      </c>
      <c r="J29" s="11">
        <v>26.1755</v>
      </c>
      <c r="K29" s="13">
        <v>3.621</v>
      </c>
      <c r="L29" s="13">
        <v>6.1982</v>
      </c>
      <c r="M29" s="13">
        <v>623543.3</v>
      </c>
      <c r="N29" s="13">
        <v>1.8039</v>
      </c>
      <c r="O29" s="12">
        <v>8.660396521E9</v>
      </c>
      <c r="P29" s="13">
        <v>35.6794</v>
      </c>
      <c r="Q29" s="13">
        <v>32.7362</v>
      </c>
      <c r="R29" s="11">
        <v>58.1341</v>
      </c>
      <c r="S29" s="13">
        <v>126.2952</v>
      </c>
      <c r="T29" s="13">
        <v>125.8238</v>
      </c>
      <c r="U29" s="13">
        <v>124.6005</v>
      </c>
      <c r="V29" s="13">
        <v>123.3338</v>
      </c>
      <c r="W29" s="13">
        <v>123.0046</v>
      </c>
      <c r="X29" s="13">
        <v>121.072</v>
      </c>
      <c r="Y29" s="13">
        <v>115.1726</v>
      </c>
      <c r="Z29" s="13">
        <v>114.49</v>
      </c>
      <c r="AA29" s="13">
        <v>133.095</v>
      </c>
      <c r="AB29" s="13">
        <v>1.3047</v>
      </c>
      <c r="AC29" s="11">
        <v>1.17</v>
      </c>
      <c r="AD29" s="23"/>
      <c r="AE29" s="14">
        <f>IFERROR(__xludf.DUMMYFUNCTION("IFERROR(GOOGLEFINANCE(B29,""price""),"""")"),144.82)</f>
        <v>144.82</v>
      </c>
      <c r="AF29" s="14"/>
      <c r="AG29" s="14"/>
      <c r="AH29" s="14"/>
      <c r="AI29" s="14"/>
      <c r="AJ29" s="14"/>
      <c r="AK29" s="14"/>
      <c r="AL29" s="14"/>
    </row>
    <row r="30">
      <c r="A30" s="15">
        <v>46049.62849245925</v>
      </c>
      <c r="B30" s="16" t="s">
        <v>1356</v>
      </c>
      <c r="C30" s="16" t="s">
        <v>1357</v>
      </c>
      <c r="D30" s="17">
        <v>46054.0</v>
      </c>
      <c r="E30" s="16" t="s">
        <v>1358</v>
      </c>
      <c r="F30" s="18">
        <v>26.475</v>
      </c>
      <c r="G30" s="19">
        <v>2.2991</v>
      </c>
      <c r="H30" s="16" t="s">
        <v>117</v>
      </c>
      <c r="I30" s="20">
        <v>6.6432221E7</v>
      </c>
      <c r="J30" s="19">
        <v>23.9329</v>
      </c>
      <c r="K30" s="21">
        <v>0.5306</v>
      </c>
      <c r="L30" s="21">
        <v>1.1935</v>
      </c>
      <c r="M30" s="16">
        <v>5.2197783E7</v>
      </c>
      <c r="N30" s="21">
        <v>1.3134</v>
      </c>
      <c r="O30" s="20">
        <v>1.50529101698E11</v>
      </c>
      <c r="P30" s="21">
        <v>66.7124</v>
      </c>
      <c r="Q30" s="21">
        <v>70.3014</v>
      </c>
      <c r="R30" s="19">
        <v>63.2573</v>
      </c>
      <c r="S30" s="21">
        <v>25.8967</v>
      </c>
      <c r="T30" s="21">
        <v>25.6237</v>
      </c>
      <c r="U30" s="21">
        <v>25.5067</v>
      </c>
      <c r="V30" s="21">
        <v>25.4071</v>
      </c>
      <c r="W30" s="21">
        <v>25.3801</v>
      </c>
      <c r="X30" s="21">
        <v>25.2311</v>
      </c>
      <c r="Y30" s="21">
        <v>25.2203</v>
      </c>
      <c r="Z30" s="21">
        <v>24.5544</v>
      </c>
      <c r="AA30" s="21">
        <v>27.69</v>
      </c>
      <c r="AB30" s="21">
        <v>1.4733</v>
      </c>
      <c r="AC30" s="19">
        <v>0.89</v>
      </c>
      <c r="AD30" s="24"/>
      <c r="AE30" s="22">
        <f>IFERROR(__xludf.DUMMYFUNCTION("IFERROR(GOOGLEFINANCE(B30,""price""),"""")"),26.92)</f>
        <v>26.92</v>
      </c>
      <c r="AF30" s="22"/>
      <c r="AG30" s="22"/>
      <c r="AH30" s="22"/>
      <c r="AI30" s="22"/>
      <c r="AJ30" s="22"/>
      <c r="AK30" s="22"/>
      <c r="AL30" s="22"/>
    </row>
    <row r="31">
      <c r="A31" s="7">
        <v>46049.62849245925</v>
      </c>
      <c r="B31" s="8" t="s">
        <v>1359</v>
      </c>
      <c r="C31" s="8" t="s">
        <v>1360</v>
      </c>
      <c r="D31" s="9">
        <v>46054.0</v>
      </c>
      <c r="E31" s="8" t="s">
        <v>1361</v>
      </c>
      <c r="F31" s="10">
        <v>6.13</v>
      </c>
      <c r="G31" s="11">
        <v>1.3223</v>
      </c>
      <c r="H31" s="8" t="s">
        <v>93</v>
      </c>
      <c r="I31" s="12">
        <v>996311.0</v>
      </c>
      <c r="J31" s="11">
        <v>23.2356</v>
      </c>
      <c r="K31" s="13">
        <v>0.2034</v>
      </c>
      <c r="L31" s="13">
        <v>0.4259</v>
      </c>
      <c r="M31" s="13">
        <v>798870.4</v>
      </c>
      <c r="N31" s="13">
        <v>1.3762</v>
      </c>
      <c r="O31" s="12">
        <v>5.08081384E8</v>
      </c>
      <c r="P31" s="13">
        <v>22.2489</v>
      </c>
      <c r="Q31" s="13">
        <v>36.2033</v>
      </c>
      <c r="R31" s="11">
        <v>50.8831</v>
      </c>
      <c r="S31" s="13">
        <v>6.1587</v>
      </c>
      <c r="T31" s="13">
        <v>6.1403</v>
      </c>
      <c r="U31" s="13">
        <v>6.0608</v>
      </c>
      <c r="V31" s="13">
        <v>5.9683</v>
      </c>
      <c r="W31" s="13">
        <v>5.9437</v>
      </c>
      <c r="X31" s="13">
        <v>5.8194</v>
      </c>
      <c r="Y31" s="13">
        <v>5.7246</v>
      </c>
      <c r="Z31" s="13">
        <v>5.4967</v>
      </c>
      <c r="AA31" s="13">
        <v>6.535</v>
      </c>
      <c r="AB31" s="13">
        <v>1.5969</v>
      </c>
      <c r="AC31" s="11">
        <v>0.96</v>
      </c>
      <c r="AD31" s="23"/>
      <c r="AE31" s="14">
        <f>IFERROR(__xludf.DUMMYFUNCTION("IFERROR(GOOGLEFINANCE(B31,""price""),"""")"),5.9)</f>
        <v>5.9</v>
      </c>
      <c r="AF31" s="14"/>
      <c r="AG31" s="14"/>
      <c r="AH31" s="14"/>
      <c r="AI31" s="14"/>
      <c r="AJ31" s="14"/>
      <c r="AK31" s="14"/>
      <c r="AL31" s="14"/>
    </row>
    <row r="32">
      <c r="A32" s="15">
        <v>46049.62849245925</v>
      </c>
      <c r="B32" s="16" t="s">
        <v>1362</v>
      </c>
      <c r="C32" s="16" t="s">
        <v>1363</v>
      </c>
      <c r="D32" s="17">
        <v>46054.0</v>
      </c>
      <c r="E32" s="16" t="s">
        <v>1364</v>
      </c>
      <c r="F32" s="18">
        <v>83.41</v>
      </c>
      <c r="G32" s="19">
        <v>-0.0599</v>
      </c>
      <c r="H32" s="16" t="s">
        <v>917</v>
      </c>
      <c r="I32" s="20">
        <v>743762.0</v>
      </c>
      <c r="J32" s="19">
        <v>21.5909</v>
      </c>
      <c r="K32" s="21">
        <v>1.5662</v>
      </c>
      <c r="L32" s="21">
        <v>3.2182</v>
      </c>
      <c r="M32" s="21">
        <v>585160.7</v>
      </c>
      <c r="N32" s="21">
        <v>1.3623</v>
      </c>
      <c r="O32" s="20">
        <v>6.02085958E9</v>
      </c>
      <c r="P32" s="21">
        <v>54.6785</v>
      </c>
      <c r="Q32" s="21">
        <v>59.9858</v>
      </c>
      <c r="R32" s="19">
        <v>55.6264</v>
      </c>
      <c r="S32" s="21">
        <v>83.6037</v>
      </c>
      <c r="T32" s="21">
        <v>82.7534</v>
      </c>
      <c r="U32" s="21">
        <v>82.149</v>
      </c>
      <c r="V32" s="21">
        <v>81.6197</v>
      </c>
      <c r="W32" s="21">
        <v>81.4755</v>
      </c>
      <c r="X32" s="21">
        <v>80.5962</v>
      </c>
      <c r="Y32" s="21">
        <v>78.4021</v>
      </c>
      <c r="Z32" s="21">
        <v>77.4893</v>
      </c>
      <c r="AA32" s="21">
        <v>86.75</v>
      </c>
      <c r="AB32" s="21">
        <v>1.744</v>
      </c>
      <c r="AC32" s="19">
        <v>0.97</v>
      </c>
      <c r="AD32" s="24"/>
      <c r="AE32" s="22">
        <f>IFERROR(__xludf.DUMMYFUNCTION("IFERROR(GOOGLEFINANCE(B32,""price""),"""")"),93.18)</f>
        <v>93.18</v>
      </c>
      <c r="AF32" s="22"/>
      <c r="AG32" s="22"/>
      <c r="AH32" s="22"/>
      <c r="AI32" s="22"/>
      <c r="AJ32" s="22"/>
      <c r="AK32" s="22"/>
      <c r="AL32" s="22"/>
    </row>
    <row r="33">
      <c r="A33" s="7">
        <v>46049.62849245925</v>
      </c>
      <c r="B33" s="8" t="s">
        <v>1288</v>
      </c>
      <c r="C33" s="8" t="s">
        <v>1289</v>
      </c>
      <c r="D33" s="9">
        <v>46054.0</v>
      </c>
      <c r="E33" s="8" t="s">
        <v>1290</v>
      </c>
      <c r="F33" s="10">
        <v>42.16</v>
      </c>
      <c r="G33" s="11">
        <v>0.6686</v>
      </c>
      <c r="H33" s="8" t="s">
        <v>93</v>
      </c>
      <c r="I33" s="12">
        <v>791285.0</v>
      </c>
      <c r="J33" s="11">
        <v>23.3902</v>
      </c>
      <c r="K33" s="13">
        <v>1.1098</v>
      </c>
      <c r="L33" s="13">
        <v>1.9151</v>
      </c>
      <c r="M33" s="13">
        <v>498803.4</v>
      </c>
      <c r="N33" s="13">
        <v>1.7863</v>
      </c>
      <c r="O33" s="12">
        <v>3.836275498E9</v>
      </c>
      <c r="P33" s="13">
        <v>66.7139</v>
      </c>
      <c r="Q33" s="13">
        <v>65.1937</v>
      </c>
      <c r="R33" s="11">
        <v>65.04</v>
      </c>
      <c r="S33" s="13">
        <v>40.4573</v>
      </c>
      <c r="T33" s="13">
        <v>39.8073</v>
      </c>
      <c r="U33" s="13">
        <v>39.7145</v>
      </c>
      <c r="V33" s="13">
        <v>39.6856</v>
      </c>
      <c r="W33" s="13">
        <v>39.68</v>
      </c>
      <c r="X33" s="13">
        <v>39.6424</v>
      </c>
      <c r="Y33" s="13">
        <v>39.2198</v>
      </c>
      <c r="Z33" s="13">
        <v>39.7294</v>
      </c>
      <c r="AA33" s="13">
        <v>43.9299</v>
      </c>
      <c r="AB33" s="13">
        <v>1.7618</v>
      </c>
      <c r="AC33" s="11">
        <v>1.16</v>
      </c>
      <c r="AD33" s="23"/>
      <c r="AE33" s="14">
        <f>IFERROR(__xludf.DUMMYFUNCTION("IFERROR(GOOGLEFINANCE(B33,""price""),"""")"),38.03)</f>
        <v>38.03</v>
      </c>
      <c r="AF33" s="14"/>
      <c r="AG33" s="14"/>
      <c r="AH33" s="14"/>
      <c r="AI33" s="14"/>
      <c r="AJ33" s="14"/>
      <c r="AK33" s="14"/>
      <c r="AL33" s="14"/>
    </row>
    <row r="34">
      <c r="A34" s="15">
        <v>46049.62849245925</v>
      </c>
      <c r="B34" s="16" t="s">
        <v>1365</v>
      </c>
      <c r="C34" s="16" t="s">
        <v>1366</v>
      </c>
      <c r="D34" s="17">
        <v>46054.0</v>
      </c>
      <c r="E34" s="16" t="s">
        <v>1367</v>
      </c>
      <c r="F34" s="18">
        <v>10.9708</v>
      </c>
      <c r="G34" s="19">
        <v>5.4885</v>
      </c>
      <c r="H34" s="16" t="s">
        <v>162</v>
      </c>
      <c r="I34" s="20">
        <v>319479.0</v>
      </c>
      <c r="J34" s="19">
        <v>20.8201</v>
      </c>
      <c r="K34" s="21">
        <v>0.3174</v>
      </c>
      <c r="L34" s="21">
        <v>0.6257</v>
      </c>
      <c r="M34" s="21">
        <v>150059.6</v>
      </c>
      <c r="N34" s="21">
        <v>2.4184</v>
      </c>
      <c r="O34" s="20">
        <v>3.80811698E8</v>
      </c>
      <c r="P34" s="21">
        <v>54.7763</v>
      </c>
      <c r="Q34" s="21">
        <v>50.8442</v>
      </c>
      <c r="R34" s="19">
        <v>60.8171</v>
      </c>
      <c r="S34" s="21">
        <v>10.6229</v>
      </c>
      <c r="T34" s="21">
        <v>10.5248</v>
      </c>
      <c r="U34" s="21">
        <v>10.4167</v>
      </c>
      <c r="V34" s="21">
        <v>10.2417</v>
      </c>
      <c r="W34" s="21">
        <v>10.181</v>
      </c>
      <c r="X34" s="21">
        <v>9.7511</v>
      </c>
      <c r="Y34" s="21">
        <v>8.6686</v>
      </c>
      <c r="Z34" s="21">
        <v>8.227</v>
      </c>
      <c r="AA34" s="21">
        <v>11.15</v>
      </c>
      <c r="AB34" s="21">
        <v>1.8796</v>
      </c>
      <c r="AC34" s="19">
        <v>1.01</v>
      </c>
      <c r="AD34" s="16" t="s">
        <v>1368</v>
      </c>
      <c r="AE34" s="22">
        <f>IFERROR(__xludf.DUMMYFUNCTION("IFERROR(GOOGLEFINANCE(B34,""price""),"""")"),10.18)</f>
        <v>10.18</v>
      </c>
      <c r="AF34" s="22"/>
      <c r="AG34" s="22"/>
      <c r="AH34" s="22"/>
      <c r="AI34" s="22"/>
      <c r="AJ34" s="22"/>
      <c r="AK34" s="22"/>
      <c r="AL34" s="22"/>
    </row>
    <row r="35">
      <c r="A35" s="7">
        <v>46049.62849245925</v>
      </c>
      <c r="B35" s="8" t="s">
        <v>1369</v>
      </c>
      <c r="C35" s="8" t="s">
        <v>1370</v>
      </c>
      <c r="D35" s="9">
        <v>46054.0</v>
      </c>
      <c r="E35" s="8" t="s">
        <v>1371</v>
      </c>
      <c r="F35" s="10">
        <v>86.435</v>
      </c>
      <c r="G35" s="11">
        <v>8.8191</v>
      </c>
      <c r="H35" s="8" t="s">
        <v>112</v>
      </c>
      <c r="I35" s="12">
        <v>1.9762536E7</v>
      </c>
      <c r="J35" s="11">
        <v>28.9796</v>
      </c>
      <c r="K35" s="13">
        <v>2.3708</v>
      </c>
      <c r="L35" s="13">
        <v>4.1821</v>
      </c>
      <c r="M35" s="8">
        <v>9447198.0</v>
      </c>
      <c r="N35" s="13">
        <v>2.4075</v>
      </c>
      <c r="O35" s="12">
        <v>8.0631869207E10</v>
      </c>
      <c r="P35" s="13">
        <v>49.1789</v>
      </c>
      <c r="Q35" s="13">
        <v>41.7938</v>
      </c>
      <c r="R35" s="11">
        <v>64.4139</v>
      </c>
      <c r="S35" s="13">
        <v>81.7592</v>
      </c>
      <c r="T35" s="13">
        <v>81.276</v>
      </c>
      <c r="U35" s="13">
        <v>80.0323</v>
      </c>
      <c r="V35" s="13">
        <v>78.0036</v>
      </c>
      <c r="W35" s="13">
        <v>77.3482</v>
      </c>
      <c r="X35" s="13">
        <v>73.2108</v>
      </c>
      <c r="Y35" s="13">
        <v>64.5855</v>
      </c>
      <c r="Z35" s="13">
        <v>60.4623</v>
      </c>
      <c r="AA35" s="13">
        <v>87.31</v>
      </c>
      <c r="AB35" s="13">
        <v>1.998</v>
      </c>
      <c r="AC35" s="11">
        <v>1.13</v>
      </c>
      <c r="AD35" s="8" t="s">
        <v>1368</v>
      </c>
      <c r="AE35" s="14">
        <f>IFERROR(__xludf.DUMMYFUNCTION("IFERROR(GOOGLEFINANCE(B35,""price""),"""")"),76.42)</f>
        <v>76.42</v>
      </c>
      <c r="AF35" s="14"/>
      <c r="AG35" s="14"/>
      <c r="AH35" s="14"/>
      <c r="AI35" s="14"/>
      <c r="AJ35" s="14"/>
      <c r="AK35" s="14"/>
      <c r="AL35" s="14"/>
    </row>
    <row r="36">
      <c r="A36" s="7">
        <v>46050.62702871627</v>
      </c>
      <c r="B36" s="8" t="s">
        <v>751</v>
      </c>
      <c r="C36" s="8" t="s">
        <v>752</v>
      </c>
      <c r="D36" s="9">
        <v>46054.0</v>
      </c>
      <c r="E36" s="8" t="s">
        <v>753</v>
      </c>
      <c r="F36" s="10">
        <v>2.685</v>
      </c>
      <c r="G36" s="11">
        <v>-0.9225</v>
      </c>
      <c r="H36" s="8" t="s">
        <v>117</v>
      </c>
      <c r="I36" s="12">
        <v>2272086.0</v>
      </c>
      <c r="J36" s="11">
        <v>21.1881</v>
      </c>
      <c r="K36" s="13">
        <v>0.1084</v>
      </c>
      <c r="L36" s="13">
        <v>0.2501</v>
      </c>
      <c r="M36" s="8">
        <v>1406346.0</v>
      </c>
      <c r="N36" s="13">
        <v>1.7706</v>
      </c>
      <c r="O36" s="12">
        <v>1.028068468E9</v>
      </c>
      <c r="P36" s="13">
        <v>59.0909</v>
      </c>
      <c r="Q36" s="13">
        <v>65.0842</v>
      </c>
      <c r="R36" s="11">
        <v>50.724</v>
      </c>
      <c r="S36" s="13">
        <v>2.6783</v>
      </c>
      <c r="T36" s="13">
        <v>2.6761</v>
      </c>
      <c r="U36" s="13">
        <v>2.6711</v>
      </c>
      <c r="V36" s="13">
        <v>2.6534</v>
      </c>
      <c r="W36" s="13">
        <v>2.6465</v>
      </c>
      <c r="X36" s="13">
        <v>2.5905</v>
      </c>
      <c r="Y36" s="13">
        <v>2.4289</v>
      </c>
      <c r="Z36" s="13">
        <v>2.3388</v>
      </c>
      <c r="AA36" s="13">
        <v>3.43</v>
      </c>
      <c r="AB36" s="13">
        <v>0.2693</v>
      </c>
      <c r="AC36" s="11">
        <v>0.87</v>
      </c>
      <c r="AD36" s="8" t="s">
        <v>1267</v>
      </c>
      <c r="AE36" s="14">
        <f>IFERROR(__xludf.DUMMYFUNCTION("IFERROR(GOOGLEFINANCE(B36,""price""),"""")"),2.58)</f>
        <v>2.58</v>
      </c>
      <c r="AF36" s="14"/>
      <c r="AG36" s="14"/>
      <c r="AH36" s="14"/>
      <c r="AI36" s="14"/>
      <c r="AJ36" s="14"/>
      <c r="AK36" s="14"/>
      <c r="AL36" s="14"/>
    </row>
    <row r="37">
      <c r="A37" s="15">
        <v>46050.62702871627</v>
      </c>
      <c r="B37" s="16" t="s">
        <v>1372</v>
      </c>
      <c r="C37" s="16" t="s">
        <v>1373</v>
      </c>
      <c r="D37" s="17">
        <v>46054.0</v>
      </c>
      <c r="E37" s="16" t="s">
        <v>1374</v>
      </c>
      <c r="F37" s="18">
        <v>142.485</v>
      </c>
      <c r="G37" s="19">
        <v>-0.9558</v>
      </c>
      <c r="H37" s="16" t="s">
        <v>93</v>
      </c>
      <c r="I37" s="20">
        <v>1179976.0</v>
      </c>
      <c r="J37" s="19">
        <v>21.0262</v>
      </c>
      <c r="K37" s="21">
        <v>2.3197</v>
      </c>
      <c r="L37" s="21">
        <v>4.9145</v>
      </c>
      <c r="M37" s="21">
        <v>876982.4</v>
      </c>
      <c r="N37" s="21">
        <v>1.3561</v>
      </c>
      <c r="O37" s="20">
        <v>2.5158086243E10</v>
      </c>
      <c r="P37" s="21">
        <v>26.6226</v>
      </c>
      <c r="Q37" s="21">
        <v>33.1059</v>
      </c>
      <c r="R37" s="19">
        <v>47.9999</v>
      </c>
      <c r="S37" s="21">
        <v>143.5435</v>
      </c>
      <c r="T37" s="21">
        <v>143.4861</v>
      </c>
      <c r="U37" s="21">
        <v>142.2954</v>
      </c>
      <c r="V37" s="21">
        <v>140.2744</v>
      </c>
      <c r="W37" s="21">
        <v>139.614</v>
      </c>
      <c r="X37" s="21">
        <v>135.3186</v>
      </c>
      <c r="Y37" s="21">
        <v>124.6506</v>
      </c>
      <c r="Z37" s="21">
        <v>122.4634</v>
      </c>
      <c r="AA37" s="21">
        <v>149.24</v>
      </c>
      <c r="AB37" s="21">
        <v>0.8759</v>
      </c>
      <c r="AC37" s="19">
        <v>0.94</v>
      </c>
      <c r="AD37" s="16" t="s">
        <v>1283</v>
      </c>
      <c r="AE37" s="22">
        <f>IFERROR(__xludf.DUMMYFUNCTION("IFERROR(GOOGLEFINANCE(B37,""price""),"""")"),145.53)</f>
        <v>145.53</v>
      </c>
      <c r="AF37" s="22"/>
      <c r="AG37" s="22"/>
      <c r="AH37" s="22"/>
      <c r="AI37" s="22"/>
      <c r="AJ37" s="22"/>
      <c r="AK37" s="22"/>
      <c r="AL37" s="22"/>
    </row>
    <row r="38">
      <c r="A38" s="7">
        <v>46050.62702871627</v>
      </c>
      <c r="B38" s="8" t="s">
        <v>1301</v>
      </c>
      <c r="C38" s="8" t="s">
        <v>1302</v>
      </c>
      <c r="D38" s="9">
        <v>46054.0</v>
      </c>
      <c r="E38" s="8" t="s">
        <v>1303</v>
      </c>
      <c r="F38" s="10">
        <v>66.67</v>
      </c>
      <c r="G38" s="11">
        <v>-1.1418</v>
      </c>
      <c r="H38" s="8" t="s">
        <v>917</v>
      </c>
      <c r="I38" s="12">
        <v>681884.0</v>
      </c>
      <c r="J38" s="11">
        <v>20.0177</v>
      </c>
      <c r="K38" s="13">
        <v>1.4164</v>
      </c>
      <c r="L38" s="13">
        <v>2.9081</v>
      </c>
      <c r="M38" s="13">
        <v>562235.4</v>
      </c>
      <c r="N38" s="13">
        <v>1.2987</v>
      </c>
      <c r="O38" s="12">
        <v>4.094006719E9</v>
      </c>
      <c r="P38" s="13">
        <v>51.0163</v>
      </c>
      <c r="Q38" s="13">
        <v>56.0306</v>
      </c>
      <c r="R38" s="11">
        <v>51.0613</v>
      </c>
      <c r="S38" s="13">
        <v>67.114</v>
      </c>
      <c r="T38" s="13">
        <v>66.6968</v>
      </c>
      <c r="U38" s="13">
        <v>66.2257</v>
      </c>
      <c r="V38" s="13">
        <v>65.5388</v>
      </c>
      <c r="W38" s="13">
        <v>65.3069</v>
      </c>
      <c r="X38" s="13">
        <v>63.7531</v>
      </c>
      <c r="Y38" s="13">
        <v>60.3591</v>
      </c>
      <c r="Z38" s="13">
        <v>58.8016</v>
      </c>
      <c r="AA38" s="13">
        <v>69.23</v>
      </c>
      <c r="AB38" s="13">
        <v>1.3323</v>
      </c>
      <c r="AC38" s="11">
        <v>0.97</v>
      </c>
      <c r="AD38" s="23"/>
      <c r="AE38" s="14">
        <f>IFERROR(__xludf.DUMMYFUNCTION("IFERROR(GOOGLEFINANCE(B38,""price""),"""")"),70.61)</f>
        <v>70.61</v>
      </c>
      <c r="AF38" s="14"/>
      <c r="AG38" s="14"/>
      <c r="AH38" s="14"/>
      <c r="AI38" s="14"/>
      <c r="AJ38" s="14"/>
      <c r="AK38" s="14"/>
      <c r="AL38" s="14"/>
    </row>
    <row r="39">
      <c r="A39" s="15">
        <v>46050.62702871627</v>
      </c>
      <c r="B39" s="16" t="s">
        <v>1375</v>
      </c>
      <c r="C39" s="16" t="s">
        <v>1376</v>
      </c>
      <c r="D39" s="17">
        <v>46054.0</v>
      </c>
      <c r="E39" s="16" t="s">
        <v>1377</v>
      </c>
      <c r="F39" s="18">
        <v>72.65</v>
      </c>
      <c r="G39" s="19">
        <v>3.4606</v>
      </c>
      <c r="H39" s="16" t="s">
        <v>117</v>
      </c>
      <c r="I39" s="20">
        <v>1875255.0</v>
      </c>
      <c r="J39" s="19">
        <v>26.367</v>
      </c>
      <c r="K39" s="21">
        <v>2.1575</v>
      </c>
      <c r="L39" s="21">
        <v>4.5519</v>
      </c>
      <c r="M39" s="16">
        <v>1366559.0</v>
      </c>
      <c r="N39" s="21">
        <v>1.4693</v>
      </c>
      <c r="O39" s="20">
        <v>8.543422207E9</v>
      </c>
      <c r="P39" s="21">
        <v>30.8393</v>
      </c>
      <c r="Q39" s="21">
        <v>21.7557</v>
      </c>
      <c r="R39" s="19">
        <v>58.2705</v>
      </c>
      <c r="S39" s="21">
        <v>71.069</v>
      </c>
      <c r="T39" s="21">
        <v>70.5728</v>
      </c>
      <c r="U39" s="21">
        <v>69.9486</v>
      </c>
      <c r="V39" s="21">
        <v>69.4593</v>
      </c>
      <c r="W39" s="21">
        <v>69.3355</v>
      </c>
      <c r="X39" s="21">
        <v>68.4892</v>
      </c>
      <c r="Y39" s="21">
        <v>65.2479</v>
      </c>
      <c r="Z39" s="21">
        <v>64.461</v>
      </c>
      <c r="AA39" s="21">
        <v>79.5</v>
      </c>
      <c r="AB39" s="21">
        <v>1.5422</v>
      </c>
      <c r="AC39" s="19">
        <v>0.95</v>
      </c>
      <c r="AD39" s="24"/>
      <c r="AE39" s="22">
        <f>IFERROR(__xludf.DUMMYFUNCTION("IFERROR(GOOGLEFINANCE(B39,""price""),"""")"),67.82)</f>
        <v>67.82</v>
      </c>
      <c r="AF39" s="22"/>
      <c r="AG39" s="22"/>
      <c r="AH39" s="22"/>
      <c r="AI39" s="22"/>
      <c r="AJ39" s="22"/>
      <c r="AK39" s="22"/>
      <c r="AL39" s="22"/>
    </row>
    <row r="40">
      <c r="A40" s="7">
        <v>46050.62702871627</v>
      </c>
      <c r="B40" s="8" t="s">
        <v>1378</v>
      </c>
      <c r="C40" s="8" t="s">
        <v>1379</v>
      </c>
      <c r="D40" s="9">
        <v>46054.0</v>
      </c>
      <c r="E40" s="8" t="s">
        <v>1380</v>
      </c>
      <c r="F40" s="10">
        <v>21.135</v>
      </c>
      <c r="G40" s="11">
        <v>0.595</v>
      </c>
      <c r="H40" s="8" t="s">
        <v>93</v>
      </c>
      <c r="I40" s="12">
        <v>982365.0</v>
      </c>
      <c r="J40" s="11">
        <v>22.9914</v>
      </c>
      <c r="K40" s="13">
        <v>0.5454</v>
      </c>
      <c r="L40" s="13">
        <v>1.1912</v>
      </c>
      <c r="M40" s="13">
        <v>382238.4</v>
      </c>
      <c r="N40" s="13">
        <v>3.2963</v>
      </c>
      <c r="O40" s="12">
        <v>9.0146963E8</v>
      </c>
      <c r="P40" s="13">
        <v>71.7225</v>
      </c>
      <c r="Q40" s="13">
        <v>66.9794</v>
      </c>
      <c r="R40" s="11">
        <v>63.3763</v>
      </c>
      <c r="S40" s="13">
        <v>20.595</v>
      </c>
      <c r="T40" s="13">
        <v>20.3352</v>
      </c>
      <c r="U40" s="13">
        <v>20.1888</v>
      </c>
      <c r="V40" s="13">
        <v>19.9762</v>
      </c>
      <c r="W40" s="13">
        <v>19.9097</v>
      </c>
      <c r="X40" s="13">
        <v>19.5168</v>
      </c>
      <c r="Y40" s="13">
        <v>18.7817</v>
      </c>
      <c r="Z40" s="13">
        <v>18.3426</v>
      </c>
      <c r="AA40" s="13">
        <v>21.78</v>
      </c>
      <c r="AB40" s="13">
        <v>1.9222</v>
      </c>
      <c r="AC40" s="11">
        <v>0.92</v>
      </c>
      <c r="AD40" s="8" t="s">
        <v>1381</v>
      </c>
      <c r="AE40" s="14">
        <f>IFERROR(__xludf.DUMMYFUNCTION("IFERROR(GOOGLEFINANCE(B40,""price""),"""")"),22.4)</f>
        <v>22.4</v>
      </c>
      <c r="AF40" s="14"/>
      <c r="AG40" s="14"/>
      <c r="AH40" s="14"/>
      <c r="AI40" s="14"/>
      <c r="AJ40" s="14"/>
      <c r="AK40" s="14"/>
      <c r="AL40" s="14"/>
    </row>
    <row r="41">
      <c r="A41" s="7">
        <v>46050.650743397084</v>
      </c>
      <c r="B41" s="8" t="s">
        <v>1382</v>
      </c>
      <c r="C41" s="8" t="s">
        <v>1383</v>
      </c>
      <c r="D41" s="9">
        <v>46054.0</v>
      </c>
      <c r="E41" s="8" t="s">
        <v>1384</v>
      </c>
      <c r="F41" s="10">
        <v>13.94</v>
      </c>
      <c r="G41" s="11">
        <v>0.9413</v>
      </c>
      <c r="H41" s="8" t="s">
        <v>917</v>
      </c>
      <c r="I41" s="12">
        <v>2547829.0</v>
      </c>
      <c r="J41" s="11">
        <v>25.4068</v>
      </c>
      <c r="K41" s="13">
        <v>0.5137</v>
      </c>
      <c r="L41" s="13">
        <v>1.1429</v>
      </c>
      <c r="M41" s="8">
        <v>2025229.0</v>
      </c>
      <c r="N41" s="13">
        <v>1.3494</v>
      </c>
      <c r="O41" s="12">
        <v>4.13599812E9</v>
      </c>
      <c r="P41" s="13">
        <v>86.0807</v>
      </c>
      <c r="Q41" s="13">
        <v>69.1641</v>
      </c>
      <c r="R41" s="11">
        <v>64.3626</v>
      </c>
      <c r="S41" s="13">
        <v>13.1041</v>
      </c>
      <c r="T41" s="13">
        <v>12.9018</v>
      </c>
      <c r="U41" s="13">
        <v>13.0835</v>
      </c>
      <c r="V41" s="13">
        <v>13.3163</v>
      </c>
      <c r="W41" s="13">
        <v>13.3676</v>
      </c>
      <c r="X41" s="13">
        <v>13.4638</v>
      </c>
      <c r="Y41" s="13">
        <v>12.7962</v>
      </c>
      <c r="Z41" s="13">
        <v>12.4524</v>
      </c>
      <c r="AA41" s="13">
        <v>17.8754</v>
      </c>
      <c r="AB41" s="13">
        <v>0.1483</v>
      </c>
      <c r="AC41" s="11">
        <v>0.9</v>
      </c>
      <c r="AD41" s="8" t="s">
        <v>1267</v>
      </c>
      <c r="AE41" s="14">
        <f>IFERROR(__xludf.DUMMYFUNCTION("IFERROR(GOOGLEFINANCE(B41,""price""),"""")"),14.0)</f>
        <v>14</v>
      </c>
      <c r="AF41" s="14"/>
      <c r="AG41" s="14"/>
      <c r="AH41" s="14"/>
      <c r="AI41" s="14"/>
      <c r="AJ41" s="14"/>
      <c r="AK41" s="14"/>
      <c r="AL41" s="14"/>
    </row>
    <row r="42">
      <c r="A42" s="15">
        <v>46050.650743397084</v>
      </c>
      <c r="B42" s="16" t="s">
        <v>1272</v>
      </c>
      <c r="C42" s="16" t="s">
        <v>1273</v>
      </c>
      <c r="D42" s="17">
        <v>46054.0</v>
      </c>
      <c r="E42" s="16" t="s">
        <v>1274</v>
      </c>
      <c r="F42" s="18">
        <v>31.86</v>
      </c>
      <c r="G42" s="19">
        <v>-0.1254</v>
      </c>
      <c r="H42" s="16" t="s">
        <v>102</v>
      </c>
      <c r="I42" s="20">
        <v>983929.0</v>
      </c>
      <c r="J42" s="19">
        <v>36.5887</v>
      </c>
      <c r="K42" s="21">
        <v>0.0727</v>
      </c>
      <c r="L42" s="21">
        <v>1.0569</v>
      </c>
      <c r="M42" s="21">
        <v>740416.6</v>
      </c>
      <c r="N42" s="21">
        <v>1.4246</v>
      </c>
      <c r="O42" s="20">
        <v>2.246405861E9</v>
      </c>
      <c r="P42" s="21">
        <v>70.8333</v>
      </c>
      <c r="Q42" s="21">
        <v>81.4043</v>
      </c>
      <c r="R42" s="19">
        <v>58.9815</v>
      </c>
      <c r="S42" s="21">
        <v>31.8596</v>
      </c>
      <c r="T42" s="21">
        <v>31.8164</v>
      </c>
      <c r="U42" s="21">
        <v>31.7042</v>
      </c>
      <c r="V42" s="21">
        <v>31.3872</v>
      </c>
      <c r="W42" s="21">
        <v>31.2567</v>
      </c>
      <c r="X42" s="21">
        <v>30.2654</v>
      </c>
      <c r="Y42" s="21">
        <v>28.7796</v>
      </c>
      <c r="Z42" s="21">
        <v>25.8105</v>
      </c>
      <c r="AA42" s="21">
        <v>35.48</v>
      </c>
      <c r="AB42" s="21">
        <v>0.488</v>
      </c>
      <c r="AC42" s="19">
        <v>0.14</v>
      </c>
      <c r="AD42" s="16" t="s">
        <v>1385</v>
      </c>
      <c r="AE42" s="22">
        <f>IFERROR(__xludf.DUMMYFUNCTION("IFERROR(GOOGLEFINANCE(B42,""price""),"""")"),0.16)</f>
        <v>0.16</v>
      </c>
      <c r="AF42" s="22"/>
      <c r="AG42" s="22"/>
      <c r="AH42" s="22"/>
      <c r="AI42" s="22"/>
      <c r="AJ42" s="22"/>
      <c r="AK42" s="22"/>
      <c r="AL42" s="22"/>
    </row>
    <row r="43">
      <c r="A43" s="7">
        <v>46050.650743397084</v>
      </c>
      <c r="B43" s="8" t="s">
        <v>1386</v>
      </c>
      <c r="C43" s="8" t="s">
        <v>1387</v>
      </c>
      <c r="D43" s="9">
        <v>46054.0</v>
      </c>
      <c r="E43" s="8" t="s">
        <v>1388</v>
      </c>
      <c r="F43" s="10">
        <v>207.27</v>
      </c>
      <c r="G43" s="11">
        <v>0.0097</v>
      </c>
      <c r="H43" s="8" t="s">
        <v>102</v>
      </c>
      <c r="I43" s="12">
        <v>711777.0</v>
      </c>
      <c r="J43" s="11">
        <v>48.5305</v>
      </c>
      <c r="K43" s="13">
        <v>0.4393</v>
      </c>
      <c r="L43" s="13">
        <v>3.5169</v>
      </c>
      <c r="M43" s="13">
        <v>597765.1</v>
      </c>
      <c r="N43" s="13">
        <v>1.2136</v>
      </c>
      <c r="O43" s="12">
        <v>9.905719713E9</v>
      </c>
      <c r="P43" s="13">
        <v>68.7664</v>
      </c>
      <c r="Q43" s="13">
        <v>72.5851</v>
      </c>
      <c r="R43" s="11">
        <v>70.8518</v>
      </c>
      <c r="S43" s="13">
        <v>207.246</v>
      </c>
      <c r="T43" s="13">
        <v>206.822</v>
      </c>
      <c r="U43" s="13">
        <v>206.2234</v>
      </c>
      <c r="V43" s="13">
        <v>205.2671</v>
      </c>
      <c r="W43" s="13">
        <v>204.9062</v>
      </c>
      <c r="X43" s="13">
        <v>201.7891</v>
      </c>
      <c r="Y43" s="13">
        <v>190.692</v>
      </c>
      <c r="Z43" s="13">
        <v>184.6949</v>
      </c>
      <c r="AA43" s="13">
        <v>216.44</v>
      </c>
      <c r="AB43" s="13">
        <v>0.4934</v>
      </c>
      <c r="AC43" s="11">
        <v>0.25</v>
      </c>
      <c r="AD43" s="8" t="s">
        <v>1389</v>
      </c>
      <c r="AE43" s="14">
        <f>IFERROR(__xludf.DUMMYFUNCTION("IFERROR(GOOGLEFINANCE(B43,""price""),"""")"),207.79)</f>
        <v>207.79</v>
      </c>
      <c r="AF43" s="14"/>
      <c r="AG43" s="14"/>
      <c r="AH43" s="14"/>
      <c r="AI43" s="14"/>
      <c r="AJ43" s="14"/>
      <c r="AK43" s="14"/>
      <c r="AL43" s="14"/>
    </row>
    <row r="44">
      <c r="A44" s="15">
        <v>46050.650743397084</v>
      </c>
      <c r="B44" s="16" t="s">
        <v>1372</v>
      </c>
      <c r="C44" s="16" t="s">
        <v>1373</v>
      </c>
      <c r="D44" s="17">
        <v>46054.0</v>
      </c>
      <c r="E44" s="16" t="s">
        <v>1374</v>
      </c>
      <c r="F44" s="18">
        <v>142.64</v>
      </c>
      <c r="G44" s="19">
        <v>-0.848</v>
      </c>
      <c r="H44" s="16" t="s">
        <v>93</v>
      </c>
      <c r="I44" s="20">
        <v>1601167.0</v>
      </c>
      <c r="J44" s="19">
        <v>21.0262</v>
      </c>
      <c r="K44" s="21">
        <v>2.3197</v>
      </c>
      <c r="L44" s="21">
        <v>4.9145</v>
      </c>
      <c r="M44" s="21">
        <v>919101.5</v>
      </c>
      <c r="N44" s="21">
        <v>1.8402</v>
      </c>
      <c r="O44" s="20">
        <v>2.5185454059E10</v>
      </c>
      <c r="P44" s="21">
        <v>27.3333</v>
      </c>
      <c r="Q44" s="21">
        <v>33.3428</v>
      </c>
      <c r="R44" s="19">
        <v>48.5133</v>
      </c>
      <c r="S44" s="21">
        <v>143.5779</v>
      </c>
      <c r="T44" s="21">
        <v>143.5001</v>
      </c>
      <c r="U44" s="21">
        <v>142.3043</v>
      </c>
      <c r="V44" s="21">
        <v>140.2805</v>
      </c>
      <c r="W44" s="21">
        <v>139.6196</v>
      </c>
      <c r="X44" s="21">
        <v>135.3221</v>
      </c>
      <c r="Y44" s="21">
        <v>124.6522</v>
      </c>
      <c r="Z44" s="21">
        <v>122.4642</v>
      </c>
      <c r="AA44" s="21">
        <v>149.24</v>
      </c>
      <c r="AB44" s="21">
        <v>0.8929</v>
      </c>
      <c r="AC44" s="19">
        <v>0.94</v>
      </c>
      <c r="AD44" s="16" t="s">
        <v>1283</v>
      </c>
      <c r="AE44" s="22">
        <f>IFERROR(__xludf.DUMMYFUNCTION("IFERROR(GOOGLEFINANCE(B44,""price""),"""")"),145.53)</f>
        <v>145.53</v>
      </c>
      <c r="AF44" s="22"/>
      <c r="AG44" s="22"/>
      <c r="AH44" s="22"/>
      <c r="AI44" s="22"/>
      <c r="AJ44" s="22"/>
      <c r="AK44" s="22"/>
      <c r="AL44" s="22"/>
    </row>
    <row r="45">
      <c r="A45" s="7">
        <v>46050.650743397084</v>
      </c>
      <c r="B45" s="8" t="s">
        <v>1350</v>
      </c>
      <c r="C45" s="8" t="s">
        <v>1351</v>
      </c>
      <c r="D45" s="9">
        <v>46054.0</v>
      </c>
      <c r="E45" s="8" t="s">
        <v>1352</v>
      </c>
      <c r="F45" s="10">
        <v>8.99</v>
      </c>
      <c r="G45" s="11">
        <v>-0.1111</v>
      </c>
      <c r="H45" s="8" t="s">
        <v>186</v>
      </c>
      <c r="I45" s="12">
        <v>3475730.0</v>
      </c>
      <c r="J45" s="11">
        <v>27.861</v>
      </c>
      <c r="K45" s="13">
        <v>0.1512</v>
      </c>
      <c r="L45" s="13">
        <v>0.3791</v>
      </c>
      <c r="M45" s="8">
        <v>2112791.0</v>
      </c>
      <c r="N45" s="13">
        <v>1.8597</v>
      </c>
      <c r="O45" s="12">
        <v>1.758889328E9</v>
      </c>
      <c r="P45" s="13">
        <v>98.6944</v>
      </c>
      <c r="Q45" s="13">
        <v>97.7129</v>
      </c>
      <c r="R45" s="11">
        <v>59.5329</v>
      </c>
      <c r="S45" s="13">
        <v>8.8652</v>
      </c>
      <c r="T45" s="13">
        <v>8.7652</v>
      </c>
      <c r="U45" s="13">
        <v>8.7651</v>
      </c>
      <c r="V45" s="13">
        <v>8.7598</v>
      </c>
      <c r="W45" s="13">
        <v>8.7524</v>
      </c>
      <c r="X45" s="13">
        <v>8.6377</v>
      </c>
      <c r="Y45" s="13">
        <v>8.0651</v>
      </c>
      <c r="Z45" s="13">
        <v>7.8396</v>
      </c>
      <c r="AA45" s="13">
        <v>9.0</v>
      </c>
      <c r="AB45" s="13">
        <v>1.1137</v>
      </c>
      <c r="AC45" s="11">
        <v>0.8</v>
      </c>
      <c r="AD45" s="23"/>
      <c r="AE45" s="14" t="str">
        <f>IFERROR(__xludf.DUMMYFUNCTION("IFERROR(GOOGLEFINANCE(B45,""price""),"""")"),"")</f>
        <v/>
      </c>
      <c r="AF45" s="14"/>
      <c r="AG45" s="14"/>
      <c r="AH45" s="14"/>
      <c r="AI45" s="14"/>
      <c r="AJ45" s="14"/>
      <c r="AK45" s="14"/>
      <c r="AL45" s="14"/>
    </row>
    <row r="46">
      <c r="A46" s="15">
        <v>46050.650743397084</v>
      </c>
      <c r="B46" s="16" t="s">
        <v>1390</v>
      </c>
      <c r="C46" s="16" t="s">
        <v>1391</v>
      </c>
      <c r="D46" s="17">
        <v>46054.0</v>
      </c>
      <c r="E46" s="16" t="s">
        <v>1392</v>
      </c>
      <c r="F46" s="18">
        <v>257.72</v>
      </c>
      <c r="G46" s="19">
        <v>0.8689</v>
      </c>
      <c r="H46" s="16" t="s">
        <v>117</v>
      </c>
      <c r="I46" s="20">
        <v>1403055.0</v>
      </c>
      <c r="J46" s="19">
        <v>23.3609</v>
      </c>
      <c r="K46" s="21">
        <v>5.4493</v>
      </c>
      <c r="L46" s="21">
        <v>11.9159</v>
      </c>
      <c r="M46" s="21">
        <v>971118.2</v>
      </c>
      <c r="N46" s="21">
        <v>1.4959</v>
      </c>
      <c r="O46" s="20">
        <v>3.7618433118E10</v>
      </c>
      <c r="P46" s="21">
        <v>58.3096</v>
      </c>
      <c r="Q46" s="21">
        <v>55.5537</v>
      </c>
      <c r="R46" s="19">
        <v>56.5622</v>
      </c>
      <c r="S46" s="21">
        <v>255.7694</v>
      </c>
      <c r="T46" s="21">
        <v>253.6022</v>
      </c>
      <c r="U46" s="21">
        <v>252.7752</v>
      </c>
      <c r="V46" s="21">
        <v>253.1984</v>
      </c>
      <c r="W46" s="21">
        <v>253.4677</v>
      </c>
      <c r="X46" s="21">
        <v>255.1464</v>
      </c>
      <c r="Y46" s="21">
        <v>253.4781</v>
      </c>
      <c r="Z46" s="21">
        <v>257.5004</v>
      </c>
      <c r="AA46" s="21">
        <v>293.81</v>
      </c>
      <c r="AB46" s="21">
        <v>1.1618</v>
      </c>
      <c r="AC46" s="19">
        <v>0.91</v>
      </c>
      <c r="AD46" s="24"/>
      <c r="AE46" s="22">
        <f>IFERROR(__xludf.DUMMYFUNCTION("IFERROR(GOOGLEFINANCE(B46,""price""),"""")"),228.87)</f>
        <v>228.87</v>
      </c>
      <c r="AF46" s="22"/>
      <c r="AG46" s="22"/>
      <c r="AH46" s="22"/>
      <c r="AI46" s="22"/>
      <c r="AJ46" s="22"/>
      <c r="AK46" s="22"/>
      <c r="AL46" s="22"/>
    </row>
    <row r="47">
      <c r="A47" s="7">
        <v>46050.650743397084</v>
      </c>
      <c r="B47" s="8" t="s">
        <v>1301</v>
      </c>
      <c r="C47" s="8" t="s">
        <v>1302</v>
      </c>
      <c r="D47" s="9">
        <v>46054.0</v>
      </c>
      <c r="E47" s="8" t="s">
        <v>1303</v>
      </c>
      <c r="F47" s="10">
        <v>66.5</v>
      </c>
      <c r="G47" s="11">
        <v>-1.3938</v>
      </c>
      <c r="H47" s="8" t="s">
        <v>917</v>
      </c>
      <c r="I47" s="12">
        <v>872821.0</v>
      </c>
      <c r="J47" s="11">
        <v>20.0177</v>
      </c>
      <c r="K47" s="13">
        <v>1.4164</v>
      </c>
      <c r="L47" s="13">
        <v>2.9081</v>
      </c>
      <c r="M47" s="13">
        <v>581329.1</v>
      </c>
      <c r="N47" s="13">
        <v>1.6623</v>
      </c>
      <c r="O47" s="12">
        <v>4.083567523E9</v>
      </c>
      <c r="P47" s="13">
        <v>49.5092</v>
      </c>
      <c r="Q47" s="13">
        <v>55.5282</v>
      </c>
      <c r="R47" s="11">
        <v>50.1464</v>
      </c>
      <c r="S47" s="13">
        <v>67.0762</v>
      </c>
      <c r="T47" s="13">
        <v>66.6814</v>
      </c>
      <c r="U47" s="13">
        <v>66.216</v>
      </c>
      <c r="V47" s="13">
        <v>65.5321</v>
      </c>
      <c r="W47" s="13">
        <v>65.3008</v>
      </c>
      <c r="X47" s="13">
        <v>63.7493</v>
      </c>
      <c r="Y47" s="13">
        <v>60.3574</v>
      </c>
      <c r="Z47" s="13">
        <v>58.8007</v>
      </c>
      <c r="AA47" s="13">
        <v>69.23</v>
      </c>
      <c r="AB47" s="13">
        <v>1.2935</v>
      </c>
      <c r="AC47" s="11">
        <v>0.97</v>
      </c>
      <c r="AD47" s="23"/>
      <c r="AE47" s="14">
        <f>IFERROR(__xludf.DUMMYFUNCTION("IFERROR(GOOGLEFINANCE(B47,""price""),"""")"),70.61)</f>
        <v>70.61</v>
      </c>
      <c r="AF47" s="14"/>
      <c r="AG47" s="14"/>
      <c r="AH47" s="14"/>
      <c r="AI47" s="14"/>
      <c r="AJ47" s="14"/>
      <c r="AK47" s="14"/>
      <c r="AL47" s="14"/>
    </row>
    <row r="48">
      <c r="A48" s="15">
        <v>46050.650743397084</v>
      </c>
      <c r="B48" s="16" t="s">
        <v>1393</v>
      </c>
      <c r="C48" s="16" t="s">
        <v>1394</v>
      </c>
      <c r="D48" s="17">
        <v>46054.0</v>
      </c>
      <c r="E48" s="16" t="s">
        <v>1395</v>
      </c>
      <c r="F48" s="18">
        <v>29.0</v>
      </c>
      <c r="G48" s="19">
        <v>0.6595</v>
      </c>
      <c r="H48" s="16" t="s">
        <v>917</v>
      </c>
      <c r="I48" s="20">
        <v>655558.0</v>
      </c>
      <c r="J48" s="19">
        <v>21.6013</v>
      </c>
      <c r="K48" s="21">
        <v>0.7044</v>
      </c>
      <c r="L48" s="21">
        <v>1.5131</v>
      </c>
      <c r="M48" s="21">
        <v>506202.4</v>
      </c>
      <c r="N48" s="21">
        <v>1.229</v>
      </c>
      <c r="O48" s="20">
        <v>8.873651271E9</v>
      </c>
      <c r="P48" s="21">
        <v>82.9815</v>
      </c>
      <c r="Q48" s="21">
        <v>75.7189</v>
      </c>
      <c r="R48" s="19">
        <v>61.9725</v>
      </c>
      <c r="S48" s="21">
        <v>28.4119</v>
      </c>
      <c r="T48" s="21">
        <v>28.0588</v>
      </c>
      <c r="U48" s="21">
        <v>27.9995</v>
      </c>
      <c r="V48" s="21">
        <v>27.9671</v>
      </c>
      <c r="W48" s="21">
        <v>27.9473</v>
      </c>
      <c r="X48" s="21">
        <v>27.6959</v>
      </c>
      <c r="Y48" s="21">
        <v>26.71</v>
      </c>
      <c r="Z48" s="21">
        <v>26.2927</v>
      </c>
      <c r="AA48" s="21">
        <v>32.72</v>
      </c>
      <c r="AB48" s="21">
        <v>1.422</v>
      </c>
      <c r="AC48" s="19">
        <v>0.93</v>
      </c>
      <c r="AD48" s="24"/>
      <c r="AE48" s="22">
        <f>IFERROR(__xludf.DUMMYFUNCTION("IFERROR(GOOGLEFINANCE(B48,""price""),"""")"),34.66)</f>
        <v>34.66</v>
      </c>
      <c r="AF48" s="22"/>
      <c r="AG48" s="22"/>
      <c r="AH48" s="22"/>
      <c r="AI48" s="22"/>
      <c r="AJ48" s="22"/>
      <c r="AK48" s="22"/>
      <c r="AL48" s="22"/>
    </row>
    <row r="49">
      <c r="A49" s="7">
        <v>46050.650743397084</v>
      </c>
      <c r="B49" s="8" t="s">
        <v>1375</v>
      </c>
      <c r="C49" s="8" t="s">
        <v>1376</v>
      </c>
      <c r="D49" s="9">
        <v>46054.0</v>
      </c>
      <c r="E49" s="8" t="s">
        <v>1377</v>
      </c>
      <c r="F49" s="10">
        <v>72.83</v>
      </c>
      <c r="G49" s="11">
        <v>3.7169</v>
      </c>
      <c r="H49" s="8" t="s">
        <v>117</v>
      </c>
      <c r="I49" s="12">
        <v>2541414.0</v>
      </c>
      <c r="J49" s="11">
        <v>26.367</v>
      </c>
      <c r="K49" s="13">
        <v>2.1575</v>
      </c>
      <c r="L49" s="13">
        <v>4.5519</v>
      </c>
      <c r="M49" s="8">
        <v>1433175.0</v>
      </c>
      <c r="N49" s="13">
        <v>1.9913</v>
      </c>
      <c r="O49" s="12">
        <v>8.564589668E9</v>
      </c>
      <c r="P49" s="13">
        <v>31.7402</v>
      </c>
      <c r="Q49" s="13">
        <v>22.056</v>
      </c>
      <c r="R49" s="11">
        <v>58.7467</v>
      </c>
      <c r="S49" s="13">
        <v>71.109</v>
      </c>
      <c r="T49" s="13">
        <v>70.5891</v>
      </c>
      <c r="U49" s="13">
        <v>69.9589</v>
      </c>
      <c r="V49" s="13">
        <v>69.4664</v>
      </c>
      <c r="W49" s="13">
        <v>69.3419</v>
      </c>
      <c r="X49" s="13">
        <v>68.4932</v>
      </c>
      <c r="Y49" s="13">
        <v>65.2497</v>
      </c>
      <c r="Z49" s="13">
        <v>64.4619</v>
      </c>
      <c r="AA49" s="13">
        <v>79.5</v>
      </c>
      <c r="AB49" s="13">
        <v>1.5792</v>
      </c>
      <c r="AC49" s="11">
        <v>0.95</v>
      </c>
      <c r="AD49" s="23"/>
      <c r="AE49" s="14">
        <f>IFERROR(__xludf.DUMMYFUNCTION("IFERROR(GOOGLEFINANCE(B49,""price""),"""")"),67.82)</f>
        <v>67.82</v>
      </c>
      <c r="AF49" s="14"/>
      <c r="AG49" s="14"/>
      <c r="AH49" s="14"/>
      <c r="AI49" s="14"/>
      <c r="AJ49" s="14"/>
      <c r="AK49" s="14"/>
      <c r="AL49" s="14"/>
    </row>
    <row r="50">
      <c r="A50" s="15">
        <v>46050.650743397084</v>
      </c>
      <c r="B50" s="16" t="s">
        <v>1396</v>
      </c>
      <c r="C50" s="16" t="s">
        <v>1397</v>
      </c>
      <c r="D50" s="17">
        <v>46054.0</v>
      </c>
      <c r="E50" s="16" t="s">
        <v>1398</v>
      </c>
      <c r="F50" s="18">
        <v>98.71</v>
      </c>
      <c r="G50" s="19">
        <v>0.2132</v>
      </c>
      <c r="H50" s="16" t="s">
        <v>93</v>
      </c>
      <c r="I50" s="20">
        <v>3925042.0</v>
      </c>
      <c r="J50" s="19">
        <v>21.5851</v>
      </c>
      <c r="K50" s="21">
        <v>1.7025</v>
      </c>
      <c r="L50" s="21">
        <v>3.6959</v>
      </c>
      <c r="M50" s="16">
        <v>3084129.0</v>
      </c>
      <c r="N50" s="21">
        <v>1.3079</v>
      </c>
      <c r="O50" s="20">
        <v>5.6362958142E10</v>
      </c>
      <c r="P50" s="21">
        <v>33.7272</v>
      </c>
      <c r="Q50" s="21">
        <v>35.7006</v>
      </c>
      <c r="R50" s="19">
        <v>54.6172</v>
      </c>
      <c r="S50" s="21">
        <v>98.7575</v>
      </c>
      <c r="T50" s="21">
        <v>98.2029</v>
      </c>
      <c r="U50" s="21">
        <v>96.9708</v>
      </c>
      <c r="V50" s="21">
        <v>95.651</v>
      </c>
      <c r="W50" s="21">
        <v>95.3111</v>
      </c>
      <c r="X50" s="21">
        <v>93.5407</v>
      </c>
      <c r="Y50" s="21">
        <v>89.2048</v>
      </c>
      <c r="Z50" s="21">
        <v>89.2138</v>
      </c>
      <c r="AA50" s="21">
        <v>101.785</v>
      </c>
      <c r="AB50" s="21">
        <v>1.81</v>
      </c>
      <c r="AC50" s="19">
        <v>0.92</v>
      </c>
      <c r="AD50" s="24"/>
      <c r="AE50" s="22">
        <f>IFERROR(__xludf.DUMMYFUNCTION("IFERROR(GOOGLEFINANCE(B50,""price""),"""")"),83.16)</f>
        <v>83.16</v>
      </c>
      <c r="AF50" s="22"/>
      <c r="AG50" s="22"/>
      <c r="AH50" s="22"/>
      <c r="AI50" s="22"/>
      <c r="AJ50" s="22"/>
      <c r="AK50" s="22"/>
      <c r="AL50" s="22"/>
    </row>
    <row r="51">
      <c r="A51" s="7">
        <v>46050.650743397084</v>
      </c>
      <c r="B51" s="8" t="s">
        <v>1378</v>
      </c>
      <c r="C51" s="8" t="s">
        <v>1379</v>
      </c>
      <c r="D51" s="9">
        <v>46054.0</v>
      </c>
      <c r="E51" s="8" t="s">
        <v>1380</v>
      </c>
      <c r="F51" s="10">
        <v>21.11</v>
      </c>
      <c r="G51" s="11">
        <v>0.476</v>
      </c>
      <c r="H51" s="8" t="s">
        <v>93</v>
      </c>
      <c r="I51" s="12">
        <v>1104130.0</v>
      </c>
      <c r="J51" s="11">
        <v>22.9914</v>
      </c>
      <c r="K51" s="13">
        <v>0.5454</v>
      </c>
      <c r="L51" s="13">
        <v>1.1912</v>
      </c>
      <c r="M51" s="13">
        <v>394414.9</v>
      </c>
      <c r="N51" s="13">
        <v>3.7049</v>
      </c>
      <c r="O51" s="12">
        <v>9.00403307E8</v>
      </c>
      <c r="P51" s="13">
        <v>71.3586</v>
      </c>
      <c r="Q51" s="13">
        <v>66.8581</v>
      </c>
      <c r="R51" s="11">
        <v>63.1108</v>
      </c>
      <c r="S51" s="13">
        <v>20.5895</v>
      </c>
      <c r="T51" s="13">
        <v>20.333</v>
      </c>
      <c r="U51" s="13">
        <v>20.1874</v>
      </c>
      <c r="V51" s="13">
        <v>19.9752</v>
      </c>
      <c r="W51" s="13">
        <v>19.9088</v>
      </c>
      <c r="X51" s="13">
        <v>19.5163</v>
      </c>
      <c r="Y51" s="13">
        <v>18.7815</v>
      </c>
      <c r="Z51" s="13">
        <v>18.3425</v>
      </c>
      <c r="AA51" s="13">
        <v>21.78</v>
      </c>
      <c r="AB51" s="13">
        <v>1.9049</v>
      </c>
      <c r="AC51" s="11">
        <v>0.92</v>
      </c>
      <c r="AD51" s="8" t="s">
        <v>1399</v>
      </c>
      <c r="AE51" s="14">
        <f>IFERROR(__xludf.DUMMYFUNCTION("IFERROR(GOOGLEFINANCE(B51,""price""),"""")"),22.4)</f>
        <v>22.4</v>
      </c>
      <c r="AF51" s="14"/>
      <c r="AG51" s="14"/>
      <c r="AH51" s="14"/>
      <c r="AI51" s="14"/>
      <c r="AJ51" s="14"/>
      <c r="AK51" s="14"/>
      <c r="AL51" s="14"/>
    </row>
    <row r="52">
      <c r="A52" s="15">
        <v>46050.650743397084</v>
      </c>
      <c r="B52" s="16" t="s">
        <v>1316</v>
      </c>
      <c r="C52" s="16" t="s">
        <v>1317</v>
      </c>
      <c r="D52" s="17">
        <v>46054.0</v>
      </c>
      <c r="E52" s="16" t="s">
        <v>1318</v>
      </c>
      <c r="F52" s="18">
        <v>72.16</v>
      </c>
      <c r="G52" s="19">
        <v>-1.9832</v>
      </c>
      <c r="H52" s="16" t="s">
        <v>917</v>
      </c>
      <c r="I52" s="20">
        <v>1107296.0</v>
      </c>
      <c r="J52" s="19">
        <v>24.4299</v>
      </c>
      <c r="K52" s="21">
        <v>1.5115</v>
      </c>
      <c r="L52" s="21">
        <v>3.1367</v>
      </c>
      <c r="M52" s="21">
        <v>891699.0</v>
      </c>
      <c r="N52" s="21">
        <v>1.2844</v>
      </c>
      <c r="O52" s="20">
        <v>5.446159929E9</v>
      </c>
      <c r="P52" s="21">
        <v>72.7446</v>
      </c>
      <c r="Q52" s="21">
        <v>73.357</v>
      </c>
      <c r="R52" s="19">
        <v>53.6009</v>
      </c>
      <c r="S52" s="21">
        <v>72.4763</v>
      </c>
      <c r="T52" s="21">
        <v>71.7239</v>
      </c>
      <c r="U52" s="21">
        <v>71.0937</v>
      </c>
      <c r="V52" s="21">
        <v>70.2404</v>
      </c>
      <c r="W52" s="21">
        <v>69.9618</v>
      </c>
      <c r="X52" s="21">
        <v>68.1697</v>
      </c>
      <c r="Y52" s="21">
        <v>64.5793</v>
      </c>
      <c r="Z52" s="21">
        <v>62.651</v>
      </c>
      <c r="AA52" s="21">
        <v>74.23</v>
      </c>
      <c r="AB52" s="21">
        <v>1.9161</v>
      </c>
      <c r="AC52" s="19">
        <v>0.96</v>
      </c>
      <c r="AD52" s="24"/>
      <c r="AE52" s="22">
        <f>IFERROR(__xludf.DUMMYFUNCTION("IFERROR(GOOGLEFINANCE(B52,""price""),"""")"),73.8)</f>
        <v>73.8</v>
      </c>
      <c r="AF52" s="22"/>
      <c r="AG52" s="22"/>
      <c r="AH52" s="22"/>
      <c r="AI52" s="22"/>
      <c r="AJ52" s="22"/>
      <c r="AK52" s="22"/>
      <c r="AL52" s="22"/>
    </row>
    <row r="53">
      <c r="A53" s="7">
        <v>46050.650743397084</v>
      </c>
      <c r="B53" s="8" t="s">
        <v>1400</v>
      </c>
      <c r="C53" s="8" t="s">
        <v>1401</v>
      </c>
      <c r="D53" s="9">
        <v>46054.0</v>
      </c>
      <c r="E53" s="8" t="s">
        <v>1402</v>
      </c>
      <c r="F53" s="10">
        <v>88.68</v>
      </c>
      <c r="G53" s="11">
        <v>-0.8608</v>
      </c>
      <c r="H53" s="8" t="s">
        <v>93</v>
      </c>
      <c r="I53" s="12">
        <v>1178802.0</v>
      </c>
      <c r="J53" s="11">
        <v>20.722</v>
      </c>
      <c r="K53" s="13">
        <v>2.6527</v>
      </c>
      <c r="L53" s="13">
        <v>5.7414</v>
      </c>
      <c r="M53" s="8">
        <v>1007086.0</v>
      </c>
      <c r="N53" s="13">
        <v>1.247</v>
      </c>
      <c r="O53" s="12">
        <v>9.759558694E9</v>
      </c>
      <c r="P53" s="13">
        <v>46.6426</v>
      </c>
      <c r="Q53" s="13">
        <v>46.394</v>
      </c>
      <c r="R53" s="11">
        <v>53.2</v>
      </c>
      <c r="S53" s="13">
        <v>88.7113</v>
      </c>
      <c r="T53" s="13">
        <v>87.9354</v>
      </c>
      <c r="U53" s="13">
        <v>86.9472</v>
      </c>
      <c r="V53" s="13">
        <v>85.9631</v>
      </c>
      <c r="W53" s="13">
        <v>85.7163</v>
      </c>
      <c r="X53" s="13">
        <v>84.4939</v>
      </c>
      <c r="Y53" s="13">
        <v>82.3082</v>
      </c>
      <c r="Z53" s="13">
        <v>80.662</v>
      </c>
      <c r="AA53" s="13">
        <v>93.81</v>
      </c>
      <c r="AB53" s="13">
        <v>1.9893</v>
      </c>
      <c r="AC53" s="11">
        <v>0.92</v>
      </c>
      <c r="AD53" s="23"/>
      <c r="AE53" s="14">
        <f>IFERROR(__xludf.DUMMYFUNCTION("IFERROR(GOOGLEFINANCE(B53,""price""),"""")"),76.21)</f>
        <v>76.21</v>
      </c>
      <c r="AF53" s="14"/>
      <c r="AG53" s="14"/>
      <c r="AH53" s="14"/>
      <c r="AI53" s="14"/>
      <c r="AJ53" s="14"/>
      <c r="AK53" s="14"/>
      <c r="AL53" s="14"/>
    </row>
    <row r="54">
      <c r="A54" s="7">
        <v>46051.62861574667</v>
      </c>
      <c r="B54" s="8" t="s">
        <v>1403</v>
      </c>
      <c r="C54" s="8" t="s">
        <v>1404</v>
      </c>
      <c r="D54" s="9">
        <v>46054.0</v>
      </c>
      <c r="E54" s="8" t="s">
        <v>1405</v>
      </c>
      <c r="F54" s="10">
        <v>31.3</v>
      </c>
      <c r="G54" s="11">
        <v>8.9833</v>
      </c>
      <c r="H54" s="8" t="s">
        <v>149</v>
      </c>
      <c r="I54" s="12">
        <v>3.3270586E7</v>
      </c>
      <c r="J54" s="11">
        <v>25.8681</v>
      </c>
      <c r="K54" s="13">
        <v>0.9921</v>
      </c>
      <c r="L54" s="13">
        <v>2.292</v>
      </c>
      <c r="M54" s="8">
        <v>1.8553001E7</v>
      </c>
      <c r="N54" s="13">
        <v>1.8898</v>
      </c>
      <c r="O54" s="12">
        <v>4.3236688398E10</v>
      </c>
      <c r="P54" s="13">
        <v>40.1029</v>
      </c>
      <c r="Q54" s="13">
        <v>25.7741</v>
      </c>
      <c r="R54" s="11">
        <v>62.0737</v>
      </c>
      <c r="S54" s="13">
        <v>29.4268</v>
      </c>
      <c r="T54" s="13">
        <v>29.5762</v>
      </c>
      <c r="U54" s="13">
        <v>29.4097</v>
      </c>
      <c r="V54" s="13">
        <v>29.1847</v>
      </c>
      <c r="W54" s="13">
        <v>29.1277</v>
      </c>
      <c r="X54" s="13">
        <v>28.7865</v>
      </c>
      <c r="Y54" s="13">
        <v>27.3378</v>
      </c>
      <c r="Z54" s="13">
        <v>27.2759</v>
      </c>
      <c r="AA54" s="13">
        <v>32.89</v>
      </c>
      <c r="AB54" s="13">
        <v>0.0544</v>
      </c>
      <c r="AC54" s="11">
        <v>0.87</v>
      </c>
      <c r="AD54" s="8" t="s">
        <v>1267</v>
      </c>
      <c r="AE54" s="14">
        <f>IFERROR(__xludf.DUMMYFUNCTION("IFERROR(GOOGLEFINANCE(B54,""price""),"""")"),27.98)</f>
        <v>27.98</v>
      </c>
      <c r="AF54" s="14"/>
      <c r="AG54" s="14"/>
      <c r="AH54" s="14"/>
      <c r="AI54" s="14"/>
      <c r="AJ54" s="14"/>
      <c r="AK54" s="14"/>
      <c r="AL54" s="14"/>
    </row>
    <row r="55">
      <c r="A55" s="15">
        <v>46051.62861574667</v>
      </c>
      <c r="B55" s="16" t="s">
        <v>1406</v>
      </c>
      <c r="C55" s="16" t="s">
        <v>1407</v>
      </c>
      <c r="D55" s="17">
        <v>46054.0</v>
      </c>
      <c r="E55" s="16" t="s">
        <v>1408</v>
      </c>
      <c r="F55" s="18">
        <v>10.575</v>
      </c>
      <c r="G55" s="19">
        <v>0.142</v>
      </c>
      <c r="H55" s="16" t="s">
        <v>93</v>
      </c>
      <c r="I55" s="20">
        <v>385102.0</v>
      </c>
      <c r="J55" s="19">
        <v>45.9981</v>
      </c>
      <c r="K55" s="21">
        <v>0.045</v>
      </c>
      <c r="L55" s="21">
        <v>0.167</v>
      </c>
      <c r="M55" s="21">
        <v>191174.0</v>
      </c>
      <c r="N55" s="21">
        <v>2.4404</v>
      </c>
      <c r="O55" s="20">
        <v>3.5250001E8</v>
      </c>
      <c r="P55" s="21">
        <v>26.8116</v>
      </c>
      <c r="Q55" s="21">
        <v>23.913</v>
      </c>
      <c r="R55" s="19">
        <v>57.8489</v>
      </c>
      <c r="S55" s="21">
        <v>10.5573</v>
      </c>
      <c r="T55" s="21">
        <v>10.5482</v>
      </c>
      <c r="U55" s="21">
        <v>10.5474</v>
      </c>
      <c r="V55" s="21">
        <v>10.551</v>
      </c>
      <c r="W55" s="21">
        <v>10.5513</v>
      </c>
      <c r="X55" s="21">
        <v>10.5373</v>
      </c>
      <c r="Y55" s="21">
        <v>10.4193</v>
      </c>
      <c r="Z55" s="21">
        <v>10.3996</v>
      </c>
      <c r="AA55" s="21">
        <v>12.5</v>
      </c>
      <c r="AB55" s="21">
        <v>0.0937</v>
      </c>
      <c r="AC55" s="19">
        <v>0.54</v>
      </c>
      <c r="AD55" s="16" t="s">
        <v>1409</v>
      </c>
      <c r="AE55" s="22">
        <f>IFERROR(__xludf.DUMMYFUNCTION("IFERROR(GOOGLEFINANCE(B55,""price""),"""")"),10.66)</f>
        <v>10.66</v>
      </c>
      <c r="AF55" s="22"/>
      <c r="AG55" s="22"/>
      <c r="AH55" s="22"/>
      <c r="AI55" s="22"/>
      <c r="AJ55" s="22"/>
      <c r="AK55" s="22"/>
      <c r="AL55" s="22"/>
    </row>
    <row r="56">
      <c r="A56" s="7">
        <v>46051.62861574667</v>
      </c>
      <c r="B56" s="8" t="s">
        <v>1268</v>
      </c>
      <c r="C56" s="8" t="s">
        <v>1269</v>
      </c>
      <c r="D56" s="9">
        <v>46054.0</v>
      </c>
      <c r="E56" s="8" t="s">
        <v>1270</v>
      </c>
      <c r="F56" s="10">
        <v>10.45</v>
      </c>
      <c r="G56" s="11">
        <v>0.0</v>
      </c>
      <c r="H56" s="8" t="s">
        <v>93</v>
      </c>
      <c r="I56" s="12">
        <v>353407.0</v>
      </c>
      <c r="J56" s="11">
        <v>27.4018</v>
      </c>
      <c r="K56" s="13">
        <v>0.0221</v>
      </c>
      <c r="L56" s="13">
        <v>0.0611</v>
      </c>
      <c r="M56" s="13">
        <v>157513.3</v>
      </c>
      <c r="N56" s="13">
        <v>2.8493</v>
      </c>
      <c r="O56" s="12">
        <v>3.23871622E8</v>
      </c>
      <c r="P56" s="13">
        <v>75.0</v>
      </c>
      <c r="Q56" s="13">
        <v>72.0779</v>
      </c>
      <c r="R56" s="11">
        <v>61.9609</v>
      </c>
      <c r="S56" s="13">
        <v>10.4436</v>
      </c>
      <c r="T56" s="13">
        <v>10.4316</v>
      </c>
      <c r="U56" s="13">
        <v>10.4238</v>
      </c>
      <c r="V56" s="13">
        <v>10.4149</v>
      </c>
      <c r="W56" s="13">
        <v>10.4118</v>
      </c>
      <c r="X56" s="13">
        <v>10.3896</v>
      </c>
      <c r="Y56" s="13">
        <v>10.336</v>
      </c>
      <c r="Z56" s="13">
        <v>10.2765</v>
      </c>
      <c r="AA56" s="13">
        <v>10.69</v>
      </c>
      <c r="AB56" s="13">
        <v>0.1901</v>
      </c>
      <c r="AC56" s="11">
        <v>0.72</v>
      </c>
      <c r="AD56" s="8" t="s">
        <v>1410</v>
      </c>
      <c r="AE56" s="14">
        <f>IFERROR(__xludf.DUMMYFUNCTION("IFERROR(GOOGLEFINANCE(B56,""price""),"""")"),10.56)</f>
        <v>10.56</v>
      </c>
      <c r="AF56" s="14"/>
      <c r="AG56" s="14"/>
      <c r="AH56" s="14"/>
      <c r="AI56" s="14"/>
      <c r="AJ56" s="14"/>
      <c r="AK56" s="14"/>
      <c r="AL56" s="14"/>
    </row>
    <row r="57">
      <c r="A57" s="15">
        <v>46051.62861574667</v>
      </c>
      <c r="B57" s="16" t="s">
        <v>1411</v>
      </c>
      <c r="C57" s="16" t="s">
        <v>1412</v>
      </c>
      <c r="D57" s="17">
        <v>46054.0</v>
      </c>
      <c r="E57" s="16" t="s">
        <v>1413</v>
      </c>
      <c r="F57" s="18">
        <v>10.59</v>
      </c>
      <c r="G57" s="19">
        <v>-0.0943</v>
      </c>
      <c r="H57" s="16" t="s">
        <v>93</v>
      </c>
      <c r="I57" s="20">
        <v>394838.0</v>
      </c>
      <c r="J57" s="19">
        <v>49.4104</v>
      </c>
      <c r="K57" s="21">
        <v>0.0245</v>
      </c>
      <c r="L57" s="21">
        <v>0.0777</v>
      </c>
      <c r="M57" s="21">
        <v>100465.6</v>
      </c>
      <c r="N57" s="21">
        <v>6.47</v>
      </c>
      <c r="O57" s="20">
        <v>3.12510914E8</v>
      </c>
      <c r="P57" s="21">
        <v>86.9048</v>
      </c>
      <c r="Q57" s="21">
        <v>87.6102</v>
      </c>
      <c r="R57" s="19">
        <v>57.6143</v>
      </c>
      <c r="S57" s="21">
        <v>10.5829</v>
      </c>
      <c r="T57" s="21">
        <v>10.5632</v>
      </c>
      <c r="U57" s="21">
        <v>10.5542</v>
      </c>
      <c r="V57" s="21">
        <v>10.5445</v>
      </c>
      <c r="W57" s="21">
        <v>10.5408</v>
      </c>
      <c r="X57" s="21">
        <v>10.5069</v>
      </c>
      <c r="Y57" s="21">
        <v>10.3388</v>
      </c>
      <c r="Z57" s="21">
        <v>10.3526</v>
      </c>
      <c r="AA57" s="21">
        <v>10.9</v>
      </c>
      <c r="AB57" s="21">
        <v>0.2702</v>
      </c>
      <c r="AC57" s="19">
        <v>0.63</v>
      </c>
      <c r="AD57" s="16" t="s">
        <v>1414</v>
      </c>
      <c r="AE57" s="22">
        <f>IFERROR(__xludf.DUMMYFUNCTION("IFERROR(GOOGLEFINANCE(B57,""price""),"""")"),10.66)</f>
        <v>10.66</v>
      </c>
      <c r="AF57" s="22"/>
      <c r="AG57" s="22"/>
      <c r="AH57" s="22"/>
      <c r="AI57" s="22"/>
      <c r="AJ57" s="22"/>
      <c r="AK57" s="22"/>
      <c r="AL57" s="22"/>
    </row>
    <row r="58">
      <c r="A58" s="7">
        <v>46051.62861574667</v>
      </c>
      <c r="B58" s="8" t="s">
        <v>1386</v>
      </c>
      <c r="C58" s="8" t="s">
        <v>1387</v>
      </c>
      <c r="D58" s="9">
        <v>46054.0</v>
      </c>
      <c r="E58" s="8" t="s">
        <v>1388</v>
      </c>
      <c r="F58" s="10">
        <v>207.025</v>
      </c>
      <c r="G58" s="11">
        <v>-0.1182</v>
      </c>
      <c r="H58" s="8" t="s">
        <v>102</v>
      </c>
      <c r="I58" s="12">
        <v>954331.0</v>
      </c>
      <c r="J58" s="11">
        <v>47.1512</v>
      </c>
      <c r="K58" s="13">
        <v>0.4493</v>
      </c>
      <c r="L58" s="13">
        <v>3.5319</v>
      </c>
      <c r="M58" s="13">
        <v>652275.5</v>
      </c>
      <c r="N58" s="13">
        <v>1.5965</v>
      </c>
      <c r="O58" s="12">
        <v>9.894011028E9</v>
      </c>
      <c r="P58" s="13">
        <v>56.2631</v>
      </c>
      <c r="Q58" s="13">
        <v>65.6328</v>
      </c>
      <c r="R58" s="11">
        <v>61.9051</v>
      </c>
      <c r="S58" s="13">
        <v>207.1969</v>
      </c>
      <c r="T58" s="13">
        <v>206.8405</v>
      </c>
      <c r="U58" s="13">
        <v>206.2692</v>
      </c>
      <c r="V58" s="13">
        <v>205.336</v>
      </c>
      <c r="W58" s="13">
        <v>204.9819</v>
      </c>
      <c r="X58" s="13">
        <v>201.9055</v>
      </c>
      <c r="Y58" s="13">
        <v>190.8546</v>
      </c>
      <c r="Z58" s="13">
        <v>185.1038</v>
      </c>
      <c r="AA58" s="13">
        <v>216.44</v>
      </c>
      <c r="AB58" s="13">
        <v>0.4481</v>
      </c>
      <c r="AC58" s="11">
        <v>0.25</v>
      </c>
      <c r="AD58" s="8" t="s">
        <v>1415</v>
      </c>
      <c r="AE58" s="14">
        <f>IFERROR(__xludf.DUMMYFUNCTION("IFERROR(GOOGLEFINANCE(B58,""price""),"""")"),207.79)</f>
        <v>207.79</v>
      </c>
      <c r="AF58" s="14"/>
      <c r="AG58" s="14"/>
      <c r="AH58" s="14"/>
      <c r="AI58" s="14"/>
      <c r="AJ58" s="14"/>
      <c r="AK58" s="14"/>
      <c r="AL58" s="14"/>
    </row>
    <row r="59">
      <c r="A59" s="15">
        <v>46051.62861574667</v>
      </c>
      <c r="B59" s="16" t="s">
        <v>1272</v>
      </c>
      <c r="C59" s="16" t="s">
        <v>1273</v>
      </c>
      <c r="D59" s="17">
        <v>46054.0</v>
      </c>
      <c r="E59" s="16" t="s">
        <v>1274</v>
      </c>
      <c r="F59" s="18">
        <v>31.89</v>
      </c>
      <c r="G59" s="19">
        <v>0.0942</v>
      </c>
      <c r="H59" s="16" t="s">
        <v>102</v>
      </c>
      <c r="I59" s="20">
        <v>1156622.0</v>
      </c>
      <c r="J59" s="19">
        <v>37.6909</v>
      </c>
      <c r="K59" s="21">
        <v>0.0711</v>
      </c>
      <c r="L59" s="21">
        <v>1.0569</v>
      </c>
      <c r="M59" s="21">
        <v>823392.9</v>
      </c>
      <c r="N59" s="21">
        <v>1.5621</v>
      </c>
      <c r="O59" s="20">
        <v>2.24852119E9</v>
      </c>
      <c r="P59" s="21">
        <v>70.2778</v>
      </c>
      <c r="Q59" s="21">
        <v>74.892</v>
      </c>
      <c r="R59" s="19">
        <v>61.572</v>
      </c>
      <c r="S59" s="21">
        <v>31.8664</v>
      </c>
      <c r="T59" s="21">
        <v>31.8231</v>
      </c>
      <c r="U59" s="21">
        <v>31.7148</v>
      </c>
      <c r="V59" s="21">
        <v>31.4069</v>
      </c>
      <c r="W59" s="21">
        <v>31.2793</v>
      </c>
      <c r="X59" s="21">
        <v>30.3015</v>
      </c>
      <c r="Y59" s="21">
        <v>28.8106</v>
      </c>
      <c r="Z59" s="21">
        <v>25.8634</v>
      </c>
      <c r="AA59" s="21">
        <v>35.48</v>
      </c>
      <c r="AB59" s="21">
        <v>0.4754</v>
      </c>
      <c r="AC59" s="19">
        <v>0.13</v>
      </c>
      <c r="AD59" s="16" t="s">
        <v>1416</v>
      </c>
      <c r="AE59" s="22">
        <f>IFERROR(__xludf.DUMMYFUNCTION("IFERROR(GOOGLEFINANCE(B59,""price""),"""")"),0.16)</f>
        <v>0.16</v>
      </c>
      <c r="AF59" s="22"/>
      <c r="AG59" s="22"/>
      <c r="AH59" s="22"/>
      <c r="AI59" s="22"/>
      <c r="AJ59" s="22"/>
      <c r="AK59" s="22"/>
      <c r="AL59" s="22"/>
    </row>
    <row r="60">
      <c r="A60" s="7">
        <v>46051.62861574667</v>
      </c>
      <c r="B60" s="8" t="s">
        <v>1417</v>
      </c>
      <c r="C60" s="8" t="s">
        <v>1418</v>
      </c>
      <c r="D60" s="9">
        <v>46054.0</v>
      </c>
      <c r="E60" s="8" t="s">
        <v>1419</v>
      </c>
      <c r="F60" s="10">
        <v>13.05</v>
      </c>
      <c r="G60" s="11">
        <v>0.4619</v>
      </c>
      <c r="H60" s="8" t="s">
        <v>88</v>
      </c>
      <c r="I60" s="12">
        <v>1.360007E7</v>
      </c>
      <c r="J60" s="11">
        <v>35.7511</v>
      </c>
      <c r="K60" s="13">
        <v>0.0297</v>
      </c>
      <c r="L60" s="13">
        <v>0.4495</v>
      </c>
      <c r="M60" s="8">
        <v>3001006.0</v>
      </c>
      <c r="N60" s="13">
        <v>7.4149</v>
      </c>
      <c r="O60" s="12">
        <v>1.74969461E9</v>
      </c>
      <c r="P60" s="13">
        <v>41.6667</v>
      </c>
      <c r="Q60" s="13">
        <v>31.9444</v>
      </c>
      <c r="R60" s="11">
        <v>66.6105</v>
      </c>
      <c r="S60" s="13">
        <v>13.0157</v>
      </c>
      <c r="T60" s="13">
        <v>13.0038</v>
      </c>
      <c r="U60" s="13">
        <v>12.9353</v>
      </c>
      <c r="V60" s="13">
        <v>12.763</v>
      </c>
      <c r="W60" s="13">
        <v>12.6984</v>
      </c>
      <c r="X60" s="13">
        <v>12.2795</v>
      </c>
      <c r="Y60" s="13">
        <v>12.0268</v>
      </c>
      <c r="Z60" s="13">
        <v>10.8339</v>
      </c>
      <c r="AA60" s="13">
        <v>16.12</v>
      </c>
      <c r="AB60" s="13">
        <v>0.6163</v>
      </c>
      <c r="AC60" s="11">
        <v>0.13</v>
      </c>
      <c r="AD60" s="8" t="s">
        <v>1420</v>
      </c>
      <c r="AE60" s="14" t="str">
        <f>IFERROR(__xludf.DUMMYFUNCTION("IFERROR(GOOGLEFINANCE(B60,""price""),"""")"),"")</f>
        <v/>
      </c>
      <c r="AF60" s="14"/>
      <c r="AG60" s="14"/>
      <c r="AH60" s="14"/>
      <c r="AI60" s="14"/>
      <c r="AJ60" s="14"/>
      <c r="AK60" s="14"/>
      <c r="AL60" s="14"/>
    </row>
    <row r="61">
      <c r="A61" s="15">
        <v>46051.62861574667</v>
      </c>
      <c r="B61" s="16" t="s">
        <v>1421</v>
      </c>
      <c r="C61" s="16" t="s">
        <v>1422</v>
      </c>
      <c r="D61" s="17">
        <v>46054.0</v>
      </c>
      <c r="E61" s="16" t="s">
        <v>1423</v>
      </c>
      <c r="F61" s="18">
        <v>24.96</v>
      </c>
      <c r="G61" s="19">
        <v>0.0</v>
      </c>
      <c r="H61" s="16" t="s">
        <v>917</v>
      </c>
      <c r="I61" s="20">
        <v>507767.0</v>
      </c>
      <c r="J61" s="19">
        <v>25.0231</v>
      </c>
      <c r="K61" s="21">
        <v>0.1103</v>
      </c>
      <c r="L61" s="21">
        <v>0.3951</v>
      </c>
      <c r="M61" s="21">
        <v>78388.5</v>
      </c>
      <c r="N61" s="21">
        <v>17.1218</v>
      </c>
      <c r="O61" s="20">
        <v>4.958022179E9</v>
      </c>
      <c r="P61" s="21">
        <v>4.5753</v>
      </c>
      <c r="Q61" s="21">
        <v>13.5233</v>
      </c>
      <c r="R61" s="19">
        <v>52.5472</v>
      </c>
      <c r="S61" s="21">
        <v>25.0576</v>
      </c>
      <c r="T61" s="21">
        <v>24.9723</v>
      </c>
      <c r="U61" s="21">
        <v>24.854</v>
      </c>
      <c r="V61" s="21">
        <v>24.7687</v>
      </c>
      <c r="W61" s="21">
        <v>24.7502</v>
      </c>
      <c r="X61" s="21">
        <v>24.6624</v>
      </c>
      <c r="Y61" s="21">
        <v>24.5188</v>
      </c>
      <c r="Z61" s="21">
        <v>24.3628</v>
      </c>
      <c r="AA61" s="21">
        <v>25.305</v>
      </c>
      <c r="AB61" s="21">
        <v>0.8159</v>
      </c>
      <c r="AC61" s="19">
        <v>0.56</v>
      </c>
      <c r="AD61" s="16" t="s">
        <v>1424</v>
      </c>
      <c r="AE61" s="22" t="str">
        <f>IFERROR(__xludf.DUMMYFUNCTION("IFERROR(GOOGLEFINANCE(B61,""price""),"""")"),"")</f>
        <v/>
      </c>
      <c r="AF61" s="22"/>
      <c r="AG61" s="22"/>
      <c r="AH61" s="22"/>
      <c r="AI61" s="22"/>
      <c r="AJ61" s="22"/>
      <c r="AK61" s="22"/>
      <c r="AL61" s="22"/>
    </row>
    <row r="62">
      <c r="A62" s="7">
        <v>46051.62861574667</v>
      </c>
      <c r="B62" s="8" t="s">
        <v>1224</v>
      </c>
      <c r="C62" s="8" t="s">
        <v>1225</v>
      </c>
      <c r="D62" s="9">
        <v>46054.0</v>
      </c>
      <c r="E62" s="8" t="s">
        <v>1226</v>
      </c>
      <c r="F62" s="10">
        <v>425.905</v>
      </c>
      <c r="G62" s="11">
        <v>8.0429</v>
      </c>
      <c r="H62" s="8" t="s">
        <v>102</v>
      </c>
      <c r="I62" s="12">
        <v>3473838.0</v>
      </c>
      <c r="J62" s="11">
        <v>25.2288</v>
      </c>
      <c r="K62" s="13">
        <v>11.5609</v>
      </c>
      <c r="L62" s="13">
        <v>22.8959</v>
      </c>
      <c r="M62" s="8">
        <v>2053216.0</v>
      </c>
      <c r="N62" s="13">
        <v>1.8378</v>
      </c>
      <c r="O62" s="12">
        <v>9.4439751043E10</v>
      </c>
      <c r="P62" s="13">
        <v>79.3849</v>
      </c>
      <c r="Q62" s="13">
        <v>77.9659</v>
      </c>
      <c r="R62" s="11">
        <v>69.9403</v>
      </c>
      <c r="S62" s="13">
        <v>398.9092</v>
      </c>
      <c r="T62" s="13">
        <v>393.8763</v>
      </c>
      <c r="U62" s="13">
        <v>395.0847</v>
      </c>
      <c r="V62" s="13">
        <v>398.0096</v>
      </c>
      <c r="W62" s="13">
        <v>398.9133</v>
      </c>
      <c r="X62" s="13">
        <v>403.4564</v>
      </c>
      <c r="Y62" s="13">
        <v>402.3738</v>
      </c>
      <c r="Z62" s="13">
        <v>413.4597</v>
      </c>
      <c r="AA62" s="13">
        <v>476.185</v>
      </c>
      <c r="AB62" s="13">
        <v>0.898</v>
      </c>
      <c r="AC62" s="11">
        <v>1.01</v>
      </c>
      <c r="AD62" s="8" t="s">
        <v>1283</v>
      </c>
      <c r="AE62" s="14">
        <f>IFERROR(__xludf.DUMMYFUNCTION("IFERROR(GOOGLEFINANCE(B62,""price""),"""")"),465.71)</f>
        <v>465.71</v>
      </c>
      <c r="AF62" s="14"/>
      <c r="AG62" s="14"/>
      <c r="AH62" s="14"/>
      <c r="AI62" s="14"/>
      <c r="AJ62" s="14"/>
      <c r="AK62" s="14"/>
      <c r="AL62" s="14"/>
    </row>
    <row r="63">
      <c r="A63" s="15">
        <v>46051.62861574667</v>
      </c>
      <c r="B63" s="16" t="s">
        <v>1359</v>
      </c>
      <c r="C63" s="16" t="s">
        <v>1360</v>
      </c>
      <c r="D63" s="17">
        <v>46054.0</v>
      </c>
      <c r="E63" s="16" t="s">
        <v>1361</v>
      </c>
      <c r="F63" s="18">
        <v>6.095</v>
      </c>
      <c r="G63" s="19">
        <v>1.4143</v>
      </c>
      <c r="H63" s="16" t="s">
        <v>93</v>
      </c>
      <c r="I63" s="20">
        <v>1879555.0</v>
      </c>
      <c r="J63" s="19">
        <v>20.3625</v>
      </c>
      <c r="K63" s="21">
        <v>0.2114</v>
      </c>
      <c r="L63" s="21">
        <v>0.4259</v>
      </c>
      <c r="M63" s="16">
        <v>1099633.0</v>
      </c>
      <c r="N63" s="21">
        <v>1.99</v>
      </c>
      <c r="O63" s="20">
        <v>5.05180433E8</v>
      </c>
      <c r="P63" s="21">
        <v>33.3333</v>
      </c>
      <c r="Q63" s="21">
        <v>30.0659</v>
      </c>
      <c r="R63" s="19">
        <v>49.7416</v>
      </c>
      <c r="S63" s="21">
        <v>6.1282</v>
      </c>
      <c r="T63" s="21">
        <v>6.1307</v>
      </c>
      <c r="U63" s="21">
        <v>6.0636</v>
      </c>
      <c r="V63" s="21">
        <v>5.9774</v>
      </c>
      <c r="W63" s="21">
        <v>5.9537</v>
      </c>
      <c r="X63" s="21">
        <v>5.8312</v>
      </c>
      <c r="Y63" s="21">
        <v>5.7318</v>
      </c>
      <c r="Z63" s="21">
        <v>5.5113</v>
      </c>
      <c r="AA63" s="21">
        <v>6.535</v>
      </c>
      <c r="AB63" s="21">
        <v>1.0611</v>
      </c>
      <c r="AC63" s="19">
        <v>0.99</v>
      </c>
      <c r="AD63" s="24"/>
      <c r="AE63" s="22">
        <f>IFERROR(__xludf.DUMMYFUNCTION("IFERROR(GOOGLEFINANCE(B63,""price""),"""")"),5.9)</f>
        <v>5.9</v>
      </c>
      <c r="AF63" s="22"/>
      <c r="AG63" s="22"/>
      <c r="AH63" s="22"/>
      <c r="AI63" s="22"/>
      <c r="AJ63" s="22"/>
      <c r="AK63" s="22"/>
      <c r="AL63" s="22"/>
    </row>
    <row r="64">
      <c r="A64" s="7">
        <v>46051.62861574667</v>
      </c>
      <c r="B64" s="8" t="s">
        <v>1393</v>
      </c>
      <c r="C64" s="8" t="s">
        <v>1394</v>
      </c>
      <c r="D64" s="9">
        <v>46054.0</v>
      </c>
      <c r="E64" s="8" t="s">
        <v>1395</v>
      </c>
      <c r="F64" s="10">
        <v>28.62</v>
      </c>
      <c r="G64" s="11">
        <v>-1.3103</v>
      </c>
      <c r="H64" s="8" t="s">
        <v>917</v>
      </c>
      <c r="I64" s="12">
        <v>691237.0</v>
      </c>
      <c r="J64" s="11">
        <v>22.9432</v>
      </c>
      <c r="K64" s="13">
        <v>0.7062</v>
      </c>
      <c r="L64" s="13">
        <v>1.5267</v>
      </c>
      <c r="M64" s="13">
        <v>524990.3</v>
      </c>
      <c r="N64" s="13">
        <v>1.3583</v>
      </c>
      <c r="O64" s="12">
        <v>8.757375536E9</v>
      </c>
      <c r="P64" s="13">
        <v>84.1805</v>
      </c>
      <c r="Q64" s="13">
        <v>81.0161</v>
      </c>
      <c r="R64" s="11">
        <v>56.7247</v>
      </c>
      <c r="S64" s="13">
        <v>28.4581</v>
      </c>
      <c r="T64" s="13">
        <v>28.1098</v>
      </c>
      <c r="U64" s="13">
        <v>28.0349</v>
      </c>
      <c r="V64" s="13">
        <v>27.9927</v>
      </c>
      <c r="W64" s="13">
        <v>27.9713</v>
      </c>
      <c r="X64" s="13">
        <v>27.7164</v>
      </c>
      <c r="Y64" s="13">
        <v>26.729</v>
      </c>
      <c r="Z64" s="13">
        <v>26.3291</v>
      </c>
      <c r="AA64" s="13">
        <v>32.72</v>
      </c>
      <c r="AB64" s="13">
        <v>1.4786</v>
      </c>
      <c r="AC64" s="11">
        <v>0.93</v>
      </c>
      <c r="AD64" s="23"/>
      <c r="AE64" s="14">
        <f>IFERROR(__xludf.DUMMYFUNCTION("IFERROR(GOOGLEFINANCE(B64,""price""),"""")"),34.66)</f>
        <v>34.66</v>
      </c>
      <c r="AF64" s="14"/>
      <c r="AG64" s="14"/>
      <c r="AH64" s="14"/>
      <c r="AI64" s="14"/>
      <c r="AJ64" s="14"/>
      <c r="AK64" s="14"/>
      <c r="AL64" s="14"/>
    </row>
    <row r="65">
      <c r="A65" s="15">
        <v>46051.62861574667</v>
      </c>
      <c r="B65" s="16" t="s">
        <v>1396</v>
      </c>
      <c r="C65" s="16" t="s">
        <v>1397</v>
      </c>
      <c r="D65" s="17">
        <v>46054.0</v>
      </c>
      <c r="E65" s="16" t="s">
        <v>1398</v>
      </c>
      <c r="F65" s="18">
        <v>97.59</v>
      </c>
      <c r="G65" s="19">
        <v>-1.1346</v>
      </c>
      <c r="H65" s="16" t="s">
        <v>93</v>
      </c>
      <c r="I65" s="20">
        <v>4156413.0</v>
      </c>
      <c r="J65" s="19">
        <v>21.6463</v>
      </c>
      <c r="K65" s="21">
        <v>1.9359</v>
      </c>
      <c r="L65" s="21">
        <v>3.9437</v>
      </c>
      <c r="M65" s="16">
        <v>3200643.0</v>
      </c>
      <c r="N65" s="21">
        <v>1.3475</v>
      </c>
      <c r="O65" s="20">
        <v>5.5723442752E10</v>
      </c>
      <c r="P65" s="21">
        <v>27.7973</v>
      </c>
      <c r="Q65" s="21">
        <v>31.6061</v>
      </c>
      <c r="R65" s="19">
        <v>49.7883</v>
      </c>
      <c r="S65" s="21">
        <v>98.4981</v>
      </c>
      <c r="T65" s="21">
        <v>98.1472</v>
      </c>
      <c r="U65" s="21">
        <v>97.0062</v>
      </c>
      <c r="V65" s="21">
        <v>95.727</v>
      </c>
      <c r="W65" s="21">
        <v>95.3925</v>
      </c>
      <c r="X65" s="21">
        <v>93.6307</v>
      </c>
      <c r="Y65" s="21">
        <v>89.2882</v>
      </c>
      <c r="Z65" s="21">
        <v>89.3441</v>
      </c>
      <c r="AA65" s="21">
        <v>101.785</v>
      </c>
      <c r="AB65" s="21">
        <v>1.5287</v>
      </c>
      <c r="AC65" s="19">
        <v>0.98</v>
      </c>
      <c r="AD65" s="24"/>
      <c r="AE65" s="22">
        <f>IFERROR(__xludf.DUMMYFUNCTION("IFERROR(GOOGLEFINANCE(B65,""price""),"""")"),83.16)</f>
        <v>83.16</v>
      </c>
      <c r="AF65" s="22"/>
      <c r="AG65" s="22"/>
      <c r="AH65" s="22"/>
      <c r="AI65" s="22"/>
      <c r="AJ65" s="22"/>
      <c r="AK65" s="22"/>
      <c r="AL65" s="22"/>
    </row>
    <row r="66">
      <c r="A66" s="7">
        <v>46051.62861574667</v>
      </c>
      <c r="B66" s="8" t="s">
        <v>1425</v>
      </c>
      <c r="C66" s="8" t="s">
        <v>1426</v>
      </c>
      <c r="D66" s="9">
        <v>46054.0</v>
      </c>
      <c r="E66" s="8" t="s">
        <v>1427</v>
      </c>
      <c r="F66" s="10">
        <v>518.56</v>
      </c>
      <c r="G66" s="11">
        <v>3.7805</v>
      </c>
      <c r="H66" s="8" t="s">
        <v>93</v>
      </c>
      <c r="I66" s="12">
        <v>791976.0</v>
      </c>
      <c r="J66" s="11">
        <v>21.4952</v>
      </c>
      <c r="K66" s="13">
        <v>12.9861</v>
      </c>
      <c r="L66" s="13">
        <v>25.0257</v>
      </c>
      <c r="M66" s="13">
        <v>557948.3</v>
      </c>
      <c r="N66" s="13">
        <v>1.4964</v>
      </c>
      <c r="O66" s="12">
        <v>4.8177185397E10</v>
      </c>
      <c r="P66" s="13">
        <v>38.2601</v>
      </c>
      <c r="Q66" s="13">
        <v>33.2469</v>
      </c>
      <c r="R66" s="11">
        <v>61.103</v>
      </c>
      <c r="S66" s="13">
        <v>504.7588</v>
      </c>
      <c r="T66" s="13">
        <v>501.1652</v>
      </c>
      <c r="U66" s="13">
        <v>496.8022</v>
      </c>
      <c r="V66" s="13">
        <v>493.0339</v>
      </c>
      <c r="W66" s="13">
        <v>492.2877</v>
      </c>
      <c r="X66" s="13">
        <v>490.566</v>
      </c>
      <c r="Y66" s="13">
        <v>492.02</v>
      </c>
      <c r="Z66" s="13">
        <v>496.3114</v>
      </c>
      <c r="AA66" s="13">
        <v>552.43</v>
      </c>
      <c r="AB66" s="13">
        <v>1.5344</v>
      </c>
      <c r="AC66" s="11">
        <v>1.04</v>
      </c>
      <c r="AD66" s="23"/>
      <c r="AE66" s="14">
        <f>IFERROR(__xludf.DUMMYFUNCTION("IFERROR(GOOGLEFINANCE(B66,""price""),"""")"),446.34)</f>
        <v>446.34</v>
      </c>
      <c r="AF66" s="14"/>
      <c r="AG66" s="14"/>
      <c r="AH66" s="14"/>
      <c r="AI66" s="14"/>
      <c r="AJ66" s="14"/>
      <c r="AK66" s="14"/>
      <c r="AL66" s="14"/>
    </row>
    <row r="67">
      <c r="A67" s="15">
        <v>46051.62861574667</v>
      </c>
      <c r="B67" s="16" t="s">
        <v>1428</v>
      </c>
      <c r="C67" s="16" t="s">
        <v>1429</v>
      </c>
      <c r="D67" s="17">
        <v>46054.0</v>
      </c>
      <c r="E67" s="16" t="s">
        <v>1430</v>
      </c>
      <c r="F67" s="18">
        <v>48.68</v>
      </c>
      <c r="G67" s="19">
        <v>4.8234</v>
      </c>
      <c r="H67" s="16" t="s">
        <v>917</v>
      </c>
      <c r="I67" s="20">
        <v>1141233.0</v>
      </c>
      <c r="J67" s="19">
        <v>20.2711</v>
      </c>
      <c r="K67" s="21">
        <v>1.1193</v>
      </c>
      <c r="L67" s="21">
        <v>2.314</v>
      </c>
      <c r="M67" s="21">
        <v>750482.4</v>
      </c>
      <c r="N67" s="21">
        <v>1.5883</v>
      </c>
      <c r="O67" s="20">
        <v>5.793810314E9</v>
      </c>
      <c r="P67" s="21">
        <v>95.2605</v>
      </c>
      <c r="Q67" s="21">
        <v>88.0633</v>
      </c>
      <c r="R67" s="19">
        <v>70.1944</v>
      </c>
      <c r="S67" s="21">
        <v>46.2498</v>
      </c>
      <c r="T67" s="21">
        <v>45.5767</v>
      </c>
      <c r="U67" s="21">
        <v>45.4334</v>
      </c>
      <c r="V67" s="21">
        <v>45.2422</v>
      </c>
      <c r="W67" s="21">
        <v>45.167</v>
      </c>
      <c r="X67" s="21">
        <v>44.5617</v>
      </c>
      <c r="Y67" s="21">
        <v>42.876</v>
      </c>
      <c r="Z67" s="21">
        <v>42.0975</v>
      </c>
      <c r="AA67" s="21">
        <v>49.06</v>
      </c>
      <c r="AB67" s="21">
        <v>1.677</v>
      </c>
      <c r="AC67" s="19">
        <v>0.97</v>
      </c>
      <c r="AD67" s="24"/>
      <c r="AE67" s="22">
        <f>IFERROR(__xludf.DUMMYFUNCTION("IFERROR(GOOGLEFINANCE(B67,""price""),"""")"),42.02)</f>
        <v>42.02</v>
      </c>
      <c r="AF67" s="22"/>
      <c r="AG67" s="22"/>
      <c r="AH67" s="22"/>
      <c r="AI67" s="22"/>
      <c r="AJ67" s="22"/>
      <c r="AK67" s="22"/>
      <c r="AL67" s="22"/>
    </row>
    <row r="68">
      <c r="A68" s="7">
        <v>46051.62861574667</v>
      </c>
      <c r="B68" s="8" t="s">
        <v>1431</v>
      </c>
      <c r="C68" s="8" t="s">
        <v>1432</v>
      </c>
      <c r="D68" s="9">
        <v>46054.0</v>
      </c>
      <c r="E68" s="8" t="s">
        <v>1433</v>
      </c>
      <c r="F68" s="10">
        <v>109.26</v>
      </c>
      <c r="G68" s="11">
        <v>3.9779</v>
      </c>
      <c r="H68" s="8" t="s">
        <v>93</v>
      </c>
      <c r="I68" s="12">
        <v>333615.0</v>
      </c>
      <c r="J68" s="11">
        <v>48.2164</v>
      </c>
      <c r="K68" s="13">
        <v>4.3411</v>
      </c>
      <c r="L68" s="13">
        <v>7.9163</v>
      </c>
      <c r="M68" s="13">
        <v>123196.2</v>
      </c>
      <c r="N68" s="13">
        <v>3.5459</v>
      </c>
      <c r="O68" s="12">
        <v>9.35865637E8</v>
      </c>
      <c r="P68" s="13">
        <v>15.3903</v>
      </c>
      <c r="Q68" s="13">
        <v>16.8693</v>
      </c>
      <c r="R68" s="11">
        <v>55.3487</v>
      </c>
      <c r="S68" s="13">
        <v>107.9888</v>
      </c>
      <c r="T68" s="13">
        <v>107.0557</v>
      </c>
      <c r="U68" s="13">
        <v>106.1192</v>
      </c>
      <c r="V68" s="13">
        <v>105.0944</v>
      </c>
      <c r="W68" s="13">
        <v>104.8025</v>
      </c>
      <c r="X68" s="13">
        <v>102.9551</v>
      </c>
      <c r="Y68" s="13">
        <v>96.5711</v>
      </c>
      <c r="Z68" s="13">
        <v>97.5627</v>
      </c>
      <c r="AA68" s="13">
        <v>134.815</v>
      </c>
      <c r="AB68" s="13">
        <v>1.7112</v>
      </c>
      <c r="AC68" s="11">
        <v>1.1</v>
      </c>
      <c r="AD68" s="8" t="s">
        <v>1434</v>
      </c>
      <c r="AE68" s="14">
        <f>IFERROR(__xludf.DUMMYFUNCTION("IFERROR(GOOGLEFINANCE(B68,""price""),"""")"),113.14)</f>
        <v>113.14</v>
      </c>
      <c r="AF68" s="14"/>
      <c r="AG68" s="14"/>
      <c r="AH68" s="14"/>
      <c r="AI68" s="14"/>
      <c r="AJ68" s="14"/>
      <c r="AK68" s="14"/>
      <c r="AL68" s="14"/>
    </row>
    <row r="69">
      <c r="A69" s="15">
        <v>46051.62861574667</v>
      </c>
      <c r="B69" s="16" t="s">
        <v>1435</v>
      </c>
      <c r="C69" s="16" t="s">
        <v>1436</v>
      </c>
      <c r="D69" s="17">
        <v>46054.0</v>
      </c>
      <c r="E69" s="16" t="s">
        <v>1437</v>
      </c>
      <c r="F69" s="18">
        <v>126.275</v>
      </c>
      <c r="G69" s="19">
        <v>0.0198</v>
      </c>
      <c r="H69" s="16" t="s">
        <v>102</v>
      </c>
      <c r="I69" s="20">
        <v>1036337.0</v>
      </c>
      <c r="J69" s="19">
        <v>24.9044</v>
      </c>
      <c r="K69" s="21">
        <v>2.6001</v>
      </c>
      <c r="L69" s="21">
        <v>5.2706</v>
      </c>
      <c r="M69" s="21">
        <v>704374.0</v>
      </c>
      <c r="N69" s="21">
        <v>1.5314</v>
      </c>
      <c r="O69" s="20">
        <v>9.592525193E9</v>
      </c>
      <c r="P69" s="21">
        <v>60.5622</v>
      </c>
      <c r="Q69" s="21">
        <v>64.6448</v>
      </c>
      <c r="R69" s="19">
        <v>54.5539</v>
      </c>
      <c r="S69" s="21">
        <v>126.5781</v>
      </c>
      <c r="T69" s="21">
        <v>125.2834</v>
      </c>
      <c r="U69" s="21">
        <v>124.0546</v>
      </c>
      <c r="V69" s="21">
        <v>123.045</v>
      </c>
      <c r="W69" s="21">
        <v>122.7926</v>
      </c>
      <c r="X69" s="21">
        <v>121.2054</v>
      </c>
      <c r="Y69" s="21">
        <v>116.0042</v>
      </c>
      <c r="Z69" s="21">
        <v>115.0922</v>
      </c>
      <c r="AA69" s="21">
        <v>130.14</v>
      </c>
      <c r="AB69" s="21">
        <v>1.9984</v>
      </c>
      <c r="AC69" s="19">
        <v>0.99</v>
      </c>
      <c r="AD69" s="24"/>
      <c r="AE69" s="22">
        <f>IFERROR(__xludf.DUMMYFUNCTION("IFERROR(GOOGLEFINANCE(B69,""price""),"""")"),110.14)</f>
        <v>110.14</v>
      </c>
      <c r="AF69" s="22"/>
      <c r="AG69" s="22"/>
      <c r="AH69" s="22"/>
      <c r="AI69" s="22"/>
      <c r="AJ69" s="22"/>
      <c r="AK69" s="22"/>
      <c r="AL69" s="22"/>
    </row>
    <row r="70">
      <c r="A70" s="7">
        <v>46052.47015149425</v>
      </c>
      <c r="B70" s="8" t="s">
        <v>1411</v>
      </c>
      <c r="C70" s="8" t="s">
        <v>1412</v>
      </c>
      <c r="D70" s="9">
        <v>46054.0</v>
      </c>
      <c r="E70" s="8" t="s">
        <v>1413</v>
      </c>
      <c r="F70" s="10">
        <v>10.6</v>
      </c>
      <c r="G70" s="11">
        <v>0.0</v>
      </c>
      <c r="H70" s="8" t="s">
        <v>93</v>
      </c>
      <c r="I70" s="12">
        <v>396453.0</v>
      </c>
      <c r="J70" s="11">
        <v>49.4104</v>
      </c>
      <c r="K70" s="13">
        <v>0.0245</v>
      </c>
      <c r="L70" s="13">
        <v>0.0777</v>
      </c>
      <c r="M70" s="13">
        <v>100627.1</v>
      </c>
      <c r="N70" s="13">
        <v>6.4965</v>
      </c>
      <c r="O70" s="12">
        <v>3.12806014E8</v>
      </c>
      <c r="P70" s="13">
        <v>91.6667</v>
      </c>
      <c r="Q70" s="13">
        <v>89.1975</v>
      </c>
      <c r="R70" s="11">
        <v>60.3178</v>
      </c>
      <c r="S70" s="13">
        <v>10.5851</v>
      </c>
      <c r="T70" s="13">
        <v>10.5641</v>
      </c>
      <c r="U70" s="13">
        <v>10.5548</v>
      </c>
      <c r="V70" s="13">
        <v>10.5449</v>
      </c>
      <c r="W70" s="13">
        <v>10.5412</v>
      </c>
      <c r="X70" s="13">
        <v>10.5072</v>
      </c>
      <c r="Y70" s="13">
        <v>10.3389</v>
      </c>
      <c r="Z70" s="13">
        <v>10.3526</v>
      </c>
      <c r="AA70" s="13">
        <v>10.9</v>
      </c>
      <c r="AB70" s="13">
        <v>0.2855</v>
      </c>
      <c r="AC70" s="11">
        <v>0.63</v>
      </c>
      <c r="AD70" s="8" t="s">
        <v>1414</v>
      </c>
      <c r="AE70" s="14">
        <f>IFERROR(__xludf.DUMMYFUNCTION("IFERROR(GOOGLEFINANCE(B70,""price""),"""")"),10.66)</f>
        <v>10.66</v>
      </c>
      <c r="AF70" s="14"/>
      <c r="AG70" s="14"/>
      <c r="AH70" s="14"/>
      <c r="AI70" s="14"/>
      <c r="AJ70" s="14"/>
      <c r="AK70" s="14"/>
      <c r="AL70" s="14"/>
    </row>
    <row r="71">
      <c r="A71" s="15">
        <v>46052.47015149425</v>
      </c>
      <c r="B71" s="16" t="s">
        <v>1417</v>
      </c>
      <c r="C71" s="16" t="s">
        <v>1418</v>
      </c>
      <c r="D71" s="17">
        <v>46054.0</v>
      </c>
      <c r="E71" s="16" t="s">
        <v>1419</v>
      </c>
      <c r="F71" s="18">
        <v>13.05</v>
      </c>
      <c r="G71" s="19">
        <v>0.4619</v>
      </c>
      <c r="H71" s="16" t="s">
        <v>88</v>
      </c>
      <c r="I71" s="20">
        <v>1.6769144E7</v>
      </c>
      <c r="J71" s="19">
        <v>35.7511</v>
      </c>
      <c r="K71" s="21">
        <v>0.0297</v>
      </c>
      <c r="L71" s="21">
        <v>0.4495</v>
      </c>
      <c r="M71" s="16">
        <v>3317914.0</v>
      </c>
      <c r="N71" s="21">
        <v>9.1427</v>
      </c>
      <c r="O71" s="20">
        <v>1.749694666E9</v>
      </c>
      <c r="P71" s="21">
        <v>41.6667</v>
      </c>
      <c r="Q71" s="21">
        <v>31.9444</v>
      </c>
      <c r="R71" s="19">
        <v>66.6105</v>
      </c>
      <c r="S71" s="21">
        <v>13.0157</v>
      </c>
      <c r="T71" s="21">
        <v>13.0038</v>
      </c>
      <c r="U71" s="21">
        <v>12.9353</v>
      </c>
      <c r="V71" s="21">
        <v>12.763</v>
      </c>
      <c r="W71" s="21">
        <v>12.6984</v>
      </c>
      <c r="X71" s="21">
        <v>12.2795</v>
      </c>
      <c r="Y71" s="21">
        <v>12.0268</v>
      </c>
      <c r="Z71" s="21">
        <v>10.8339</v>
      </c>
      <c r="AA71" s="21">
        <v>16.12</v>
      </c>
      <c r="AB71" s="21">
        <v>0.6163</v>
      </c>
      <c r="AC71" s="19">
        <v>0.13</v>
      </c>
      <c r="AD71" s="16" t="s">
        <v>1438</v>
      </c>
      <c r="AE71" s="22" t="str">
        <f>IFERROR(__xludf.DUMMYFUNCTION("IFERROR(GOOGLEFINANCE(B71,""price""),"""")"),"")</f>
        <v/>
      </c>
      <c r="AF71" s="22"/>
      <c r="AG71" s="22"/>
      <c r="AH71" s="22"/>
      <c r="AI71" s="22"/>
      <c r="AJ71" s="22"/>
      <c r="AK71" s="22"/>
      <c r="AL71" s="22"/>
    </row>
    <row r="72">
      <c r="A72" s="7">
        <v>46052.47015149425</v>
      </c>
      <c r="B72" s="8" t="s">
        <v>1439</v>
      </c>
      <c r="C72" s="8" t="s">
        <v>1440</v>
      </c>
      <c r="D72" s="9">
        <v>46054.0</v>
      </c>
      <c r="E72" s="8" t="s">
        <v>1441</v>
      </c>
      <c r="F72" s="10">
        <v>43.88</v>
      </c>
      <c r="G72" s="11">
        <v>10.2236</v>
      </c>
      <c r="H72" s="8" t="s">
        <v>873</v>
      </c>
      <c r="I72" s="12">
        <v>6.5474378E7</v>
      </c>
      <c r="J72" s="11">
        <v>22.5015</v>
      </c>
      <c r="K72" s="13">
        <v>0.8348</v>
      </c>
      <c r="L72" s="13">
        <v>1.7434</v>
      </c>
      <c r="M72" s="8">
        <v>3.1294477E7</v>
      </c>
      <c r="N72" s="13">
        <v>2.39</v>
      </c>
      <c r="O72" s="12">
        <v>1.85016748237E11</v>
      </c>
      <c r="P72" s="13">
        <v>62.7608</v>
      </c>
      <c r="Q72" s="13">
        <v>46.391</v>
      </c>
      <c r="R72" s="11">
        <v>75.614</v>
      </c>
      <c r="S72" s="13">
        <v>40.4966</v>
      </c>
      <c r="T72" s="13">
        <v>40.1121</v>
      </c>
      <c r="U72" s="13">
        <v>40.1673</v>
      </c>
      <c r="V72" s="13">
        <v>40.3152</v>
      </c>
      <c r="W72" s="13">
        <v>40.3691</v>
      </c>
      <c r="X72" s="13">
        <v>40.7436</v>
      </c>
      <c r="Y72" s="13">
        <v>41.4197</v>
      </c>
      <c r="Z72" s="13">
        <v>42.0618</v>
      </c>
      <c r="AA72" s="13">
        <v>47.355</v>
      </c>
      <c r="AB72" s="13">
        <v>0.7504</v>
      </c>
      <c r="AC72" s="11">
        <v>0.96</v>
      </c>
      <c r="AD72" s="8" t="s">
        <v>1442</v>
      </c>
      <c r="AE72" s="14">
        <f>IFERROR(__xludf.DUMMYFUNCTION("IFERROR(GOOGLEFINANCE(B72,""price""),"""")"),46.04)</f>
        <v>46.04</v>
      </c>
      <c r="AF72" s="14"/>
      <c r="AG72" s="14"/>
      <c r="AH72" s="14"/>
      <c r="AI72" s="14"/>
      <c r="AJ72" s="14"/>
      <c r="AK72" s="14"/>
      <c r="AL72" s="14"/>
    </row>
    <row r="73">
      <c r="A73" s="7">
        <v>46052.62658217527</v>
      </c>
      <c r="B73" s="8" t="s">
        <v>1443</v>
      </c>
      <c r="C73" s="8" t="s">
        <v>1444</v>
      </c>
      <c r="D73" s="9">
        <v>46054.0</v>
      </c>
      <c r="E73" s="8" t="s">
        <v>1445</v>
      </c>
      <c r="F73" s="10">
        <v>203.85</v>
      </c>
      <c r="G73" s="11">
        <v>-0.049</v>
      </c>
      <c r="H73" s="8" t="s">
        <v>88</v>
      </c>
      <c r="I73" s="12">
        <v>3454228.0</v>
      </c>
      <c r="J73" s="11">
        <v>26.6982</v>
      </c>
      <c r="K73" s="13">
        <v>0.5108</v>
      </c>
      <c r="L73" s="13">
        <v>3.5515</v>
      </c>
      <c r="M73" s="8">
        <v>2083915.0</v>
      </c>
      <c r="N73" s="13">
        <v>1.8571</v>
      </c>
      <c r="O73" s="12">
        <v>5.0984132794E10</v>
      </c>
      <c r="P73" s="13">
        <v>37.3177</v>
      </c>
      <c r="Q73" s="13">
        <v>46.5864</v>
      </c>
      <c r="R73" s="11">
        <v>48.0295</v>
      </c>
      <c r="S73" s="13">
        <v>204.0708</v>
      </c>
      <c r="T73" s="13">
        <v>204.0799</v>
      </c>
      <c r="U73" s="13">
        <v>203.6788</v>
      </c>
      <c r="V73" s="13">
        <v>202.463</v>
      </c>
      <c r="W73" s="13">
        <v>201.9333</v>
      </c>
      <c r="X73" s="13">
        <v>197.2696</v>
      </c>
      <c r="Y73" s="13">
        <v>182.2959</v>
      </c>
      <c r="Z73" s="13">
        <v>176.8056</v>
      </c>
      <c r="AA73" s="13">
        <v>204.885</v>
      </c>
      <c r="AB73" s="13">
        <v>0.1923</v>
      </c>
      <c r="AC73" s="11">
        <v>0.29</v>
      </c>
      <c r="AD73" s="8" t="s">
        <v>1446</v>
      </c>
      <c r="AE73" s="14">
        <f>IFERROR(__xludf.DUMMYFUNCTION("IFERROR(GOOGLEFINANCE(B73,""price""),"""")"),202.74)</f>
        <v>202.74</v>
      </c>
      <c r="AF73" s="14"/>
      <c r="AG73" s="14"/>
      <c r="AH73" s="14"/>
      <c r="AI73" s="14"/>
      <c r="AJ73" s="14"/>
      <c r="AK73" s="14"/>
      <c r="AL73" s="14"/>
    </row>
    <row r="74">
      <c r="A74" s="15">
        <v>46052.62658217527</v>
      </c>
      <c r="B74" s="16" t="s">
        <v>1411</v>
      </c>
      <c r="C74" s="16" t="s">
        <v>1412</v>
      </c>
      <c r="D74" s="17">
        <v>46054.0</v>
      </c>
      <c r="E74" s="16" t="s">
        <v>1413</v>
      </c>
      <c r="F74" s="18">
        <v>10.6</v>
      </c>
      <c r="G74" s="19">
        <v>0.0</v>
      </c>
      <c r="H74" s="16" t="s">
        <v>93</v>
      </c>
      <c r="I74" s="20">
        <v>396453.0</v>
      </c>
      <c r="J74" s="19">
        <v>49.4104</v>
      </c>
      <c r="K74" s="21">
        <v>0.0245</v>
      </c>
      <c r="L74" s="21">
        <v>0.0777</v>
      </c>
      <c r="M74" s="21">
        <v>100627.1</v>
      </c>
      <c r="N74" s="21">
        <v>6.4965</v>
      </c>
      <c r="O74" s="20">
        <v>3.12806014E8</v>
      </c>
      <c r="P74" s="21">
        <v>91.6667</v>
      </c>
      <c r="Q74" s="21">
        <v>89.1975</v>
      </c>
      <c r="R74" s="19">
        <v>60.3178</v>
      </c>
      <c r="S74" s="21">
        <v>10.5851</v>
      </c>
      <c r="T74" s="21">
        <v>10.5641</v>
      </c>
      <c r="U74" s="21">
        <v>10.5548</v>
      </c>
      <c r="V74" s="21">
        <v>10.5449</v>
      </c>
      <c r="W74" s="21">
        <v>10.5412</v>
      </c>
      <c r="X74" s="21">
        <v>10.5072</v>
      </c>
      <c r="Y74" s="21">
        <v>10.3389</v>
      </c>
      <c r="Z74" s="21">
        <v>10.3526</v>
      </c>
      <c r="AA74" s="21">
        <v>10.9</v>
      </c>
      <c r="AB74" s="21">
        <v>0.2855</v>
      </c>
      <c r="AC74" s="19">
        <v>0.63</v>
      </c>
      <c r="AD74" s="16" t="s">
        <v>1414</v>
      </c>
      <c r="AE74" s="22">
        <f>IFERROR(__xludf.DUMMYFUNCTION("IFERROR(GOOGLEFINANCE(B74,""price""),"""")"),10.66)</f>
        <v>10.66</v>
      </c>
      <c r="AF74" s="22"/>
      <c r="AG74" s="22"/>
      <c r="AH74" s="22"/>
      <c r="AI74" s="22"/>
      <c r="AJ74" s="22"/>
      <c r="AK74" s="22"/>
      <c r="AL74" s="22"/>
    </row>
    <row r="75">
      <c r="A75" s="7">
        <v>46052.62658217527</v>
      </c>
      <c r="B75" s="8" t="s">
        <v>1386</v>
      </c>
      <c r="C75" s="8" t="s">
        <v>1387</v>
      </c>
      <c r="D75" s="9">
        <v>46054.0</v>
      </c>
      <c r="E75" s="8" t="s">
        <v>1388</v>
      </c>
      <c r="F75" s="10">
        <v>207.32</v>
      </c>
      <c r="G75" s="11">
        <v>0.0579</v>
      </c>
      <c r="H75" s="8" t="s">
        <v>102</v>
      </c>
      <c r="I75" s="12">
        <v>1002930.0</v>
      </c>
      <c r="J75" s="11">
        <v>45.98</v>
      </c>
      <c r="K75" s="13">
        <v>0.4622</v>
      </c>
      <c r="L75" s="13">
        <v>3.5326</v>
      </c>
      <c r="M75" s="13">
        <v>725838.1</v>
      </c>
      <c r="N75" s="13">
        <v>1.4737</v>
      </c>
      <c r="O75" s="12">
        <v>9.908109137E9</v>
      </c>
      <c r="P75" s="13">
        <v>58.6014</v>
      </c>
      <c r="Q75" s="13">
        <v>62.9159</v>
      </c>
      <c r="R75" s="11">
        <v>70.2222</v>
      </c>
      <c r="S75" s="13">
        <v>207.2545</v>
      </c>
      <c r="T75" s="13">
        <v>206.8985</v>
      </c>
      <c r="U75" s="13">
        <v>206.3387</v>
      </c>
      <c r="V75" s="13">
        <v>205.4204</v>
      </c>
      <c r="W75" s="13">
        <v>205.0714</v>
      </c>
      <c r="X75" s="13">
        <v>202.0296</v>
      </c>
      <c r="Y75" s="13">
        <v>191.0201</v>
      </c>
      <c r="Z75" s="13">
        <v>185.5082</v>
      </c>
      <c r="AA75" s="13">
        <v>216.44</v>
      </c>
      <c r="AB75" s="13">
        <v>0.4417</v>
      </c>
      <c r="AC75" s="11">
        <v>0.26</v>
      </c>
      <c r="AD75" s="8" t="s">
        <v>1447</v>
      </c>
      <c r="AE75" s="14">
        <f>IFERROR(__xludf.DUMMYFUNCTION("IFERROR(GOOGLEFINANCE(B75,""price""),"""")"),207.79)</f>
        <v>207.79</v>
      </c>
      <c r="AF75" s="14"/>
      <c r="AG75" s="14"/>
      <c r="AH75" s="14"/>
      <c r="AI75" s="14"/>
      <c r="AJ75" s="14"/>
      <c r="AK75" s="14"/>
      <c r="AL75" s="14"/>
    </row>
    <row r="76">
      <c r="A76" s="15">
        <v>46052.62658217527</v>
      </c>
      <c r="B76" s="16" t="s">
        <v>1448</v>
      </c>
      <c r="C76" s="16" t="s">
        <v>1449</v>
      </c>
      <c r="D76" s="17">
        <v>46054.0</v>
      </c>
      <c r="E76" s="16" t="s">
        <v>1450</v>
      </c>
      <c r="F76" s="18">
        <v>10.72</v>
      </c>
      <c r="G76" s="19">
        <v>-0.1862</v>
      </c>
      <c r="H76" s="16" t="s">
        <v>93</v>
      </c>
      <c r="I76" s="20">
        <v>421906.0</v>
      </c>
      <c r="J76" s="19">
        <v>78.2733</v>
      </c>
      <c r="K76" s="21">
        <v>0.0531</v>
      </c>
      <c r="L76" s="21">
        <v>0.1116</v>
      </c>
      <c r="M76" s="21">
        <v>77598.9</v>
      </c>
      <c r="N76" s="21">
        <v>11.5613</v>
      </c>
      <c r="O76" s="20">
        <v>8.3937597E7</v>
      </c>
      <c r="P76" s="21">
        <v>47.9167</v>
      </c>
      <c r="Q76" s="21">
        <v>48.0801</v>
      </c>
      <c r="R76" s="19">
        <v>54.3029</v>
      </c>
      <c r="S76" s="21">
        <v>10.7273</v>
      </c>
      <c r="T76" s="21">
        <v>10.7055</v>
      </c>
      <c r="U76" s="21">
        <v>10.6797</v>
      </c>
      <c r="V76" s="21">
        <v>10.648</v>
      </c>
      <c r="W76" s="21">
        <v>10.6381</v>
      </c>
      <c r="X76" s="21">
        <v>10.5715</v>
      </c>
      <c r="Y76" s="21">
        <v>10.3533</v>
      </c>
      <c r="Z76" s="21">
        <v>10.3482</v>
      </c>
      <c r="AA76" s="21">
        <v>11.44</v>
      </c>
      <c r="AB76" s="21">
        <v>0.4441</v>
      </c>
      <c r="AC76" s="19">
        <v>0.95</v>
      </c>
      <c r="AD76" s="16" t="s">
        <v>1451</v>
      </c>
      <c r="AE76" s="22">
        <f>IFERROR(__xludf.DUMMYFUNCTION("IFERROR(GOOGLEFINANCE(B76,""price""),"""")"),10.97)</f>
        <v>10.97</v>
      </c>
      <c r="AF76" s="22"/>
      <c r="AG76" s="22"/>
      <c r="AH76" s="22"/>
      <c r="AI76" s="22"/>
      <c r="AJ76" s="22"/>
      <c r="AK76" s="22"/>
      <c r="AL76" s="22"/>
    </row>
    <row r="77">
      <c r="A77" s="7">
        <v>46052.62658217527</v>
      </c>
      <c r="B77" s="8" t="s">
        <v>1417</v>
      </c>
      <c r="C77" s="8" t="s">
        <v>1418</v>
      </c>
      <c r="D77" s="9">
        <v>46054.0</v>
      </c>
      <c r="E77" s="8" t="s">
        <v>1419</v>
      </c>
      <c r="F77" s="10">
        <v>13.05</v>
      </c>
      <c r="G77" s="11">
        <v>0.4619</v>
      </c>
      <c r="H77" s="8" t="s">
        <v>88</v>
      </c>
      <c r="I77" s="12">
        <v>1.6769144E7</v>
      </c>
      <c r="J77" s="11">
        <v>35.7511</v>
      </c>
      <c r="K77" s="13">
        <v>0.0297</v>
      </c>
      <c r="L77" s="13">
        <v>0.4495</v>
      </c>
      <c r="M77" s="8">
        <v>3317914.0</v>
      </c>
      <c r="N77" s="13">
        <v>9.1427</v>
      </c>
      <c r="O77" s="12">
        <v>1.749694666E9</v>
      </c>
      <c r="P77" s="13">
        <v>41.6667</v>
      </c>
      <c r="Q77" s="13">
        <v>31.9444</v>
      </c>
      <c r="R77" s="11">
        <v>66.6105</v>
      </c>
      <c r="S77" s="13">
        <v>13.0157</v>
      </c>
      <c r="T77" s="13">
        <v>13.0038</v>
      </c>
      <c r="U77" s="13">
        <v>12.9353</v>
      </c>
      <c r="V77" s="13">
        <v>12.763</v>
      </c>
      <c r="W77" s="13">
        <v>12.6984</v>
      </c>
      <c r="X77" s="13">
        <v>12.2795</v>
      </c>
      <c r="Y77" s="13">
        <v>12.0268</v>
      </c>
      <c r="Z77" s="13">
        <v>10.8339</v>
      </c>
      <c r="AA77" s="13">
        <v>16.12</v>
      </c>
      <c r="AB77" s="13">
        <v>0.6163</v>
      </c>
      <c r="AC77" s="11">
        <v>0.13</v>
      </c>
      <c r="AD77" s="8" t="s">
        <v>1438</v>
      </c>
      <c r="AE77" s="14" t="str">
        <f>IFERROR(__xludf.DUMMYFUNCTION("IFERROR(GOOGLEFINANCE(B77,""price""),"""")"),"")</f>
        <v/>
      </c>
      <c r="AF77" s="14"/>
      <c r="AG77" s="14"/>
      <c r="AH77" s="14"/>
      <c r="AI77" s="14"/>
      <c r="AJ77" s="14"/>
      <c r="AK77" s="14"/>
      <c r="AL77" s="14"/>
    </row>
    <row r="78">
      <c r="A78" s="15">
        <v>46052.62658217527</v>
      </c>
      <c r="B78" s="16" t="s">
        <v>1421</v>
      </c>
      <c r="C78" s="16" t="s">
        <v>1422</v>
      </c>
      <c r="D78" s="17">
        <v>46054.0</v>
      </c>
      <c r="E78" s="16" t="s">
        <v>1423</v>
      </c>
      <c r="F78" s="18">
        <v>25.0</v>
      </c>
      <c r="G78" s="19">
        <v>0.1603</v>
      </c>
      <c r="H78" s="16" t="s">
        <v>917</v>
      </c>
      <c r="I78" s="20">
        <v>334920.0</v>
      </c>
      <c r="J78" s="19">
        <v>24.0383</v>
      </c>
      <c r="K78" s="21">
        <v>0.1124</v>
      </c>
      <c r="L78" s="21">
        <v>0.3951</v>
      </c>
      <c r="M78" s="21">
        <v>111372.8</v>
      </c>
      <c r="N78" s="21">
        <v>4.1467</v>
      </c>
      <c r="O78" s="20">
        <v>5.00997557E9</v>
      </c>
      <c r="P78" s="21">
        <v>9.1324</v>
      </c>
      <c r="Q78" s="21">
        <v>5.4855</v>
      </c>
      <c r="R78" s="19">
        <v>54.4583</v>
      </c>
      <c r="S78" s="21">
        <v>25.0448</v>
      </c>
      <c r="T78" s="21">
        <v>24.9748</v>
      </c>
      <c r="U78" s="21">
        <v>24.8623</v>
      </c>
      <c r="V78" s="21">
        <v>24.7778</v>
      </c>
      <c r="W78" s="21">
        <v>24.7591</v>
      </c>
      <c r="X78" s="21">
        <v>24.6699</v>
      </c>
      <c r="Y78" s="21">
        <v>24.5236</v>
      </c>
      <c r="Z78" s="21">
        <v>24.3686</v>
      </c>
      <c r="AA78" s="21">
        <v>25.305</v>
      </c>
      <c r="AB78" s="21">
        <v>0.73</v>
      </c>
      <c r="AC78" s="19">
        <v>0.57</v>
      </c>
      <c r="AD78" s="16" t="s">
        <v>1452</v>
      </c>
      <c r="AE78" s="22" t="str">
        <f>IFERROR(__xludf.DUMMYFUNCTION("IFERROR(GOOGLEFINANCE(B78,""price""),"""")"),"")</f>
        <v/>
      </c>
      <c r="AF78" s="22"/>
      <c r="AG78" s="22"/>
      <c r="AH78" s="22"/>
      <c r="AI78" s="22"/>
      <c r="AJ78" s="22"/>
      <c r="AK78" s="22"/>
      <c r="AL78" s="22"/>
    </row>
    <row r="79">
      <c r="A79" s="7">
        <v>46052.62658217527</v>
      </c>
      <c r="B79" s="8" t="s">
        <v>1439</v>
      </c>
      <c r="C79" s="8" t="s">
        <v>1440</v>
      </c>
      <c r="D79" s="9">
        <v>46054.0</v>
      </c>
      <c r="E79" s="8" t="s">
        <v>1441</v>
      </c>
      <c r="F79" s="10">
        <v>44.42</v>
      </c>
      <c r="G79" s="11">
        <v>11.58</v>
      </c>
      <c r="H79" s="8" t="s">
        <v>873</v>
      </c>
      <c r="I79" s="12">
        <v>1.04998797E8</v>
      </c>
      <c r="J79" s="11">
        <v>22.7814</v>
      </c>
      <c r="K79" s="13">
        <v>0.8758</v>
      </c>
      <c r="L79" s="13">
        <v>1.7845</v>
      </c>
      <c r="M79" s="8">
        <v>3.5246919E7</v>
      </c>
      <c r="N79" s="13">
        <v>3.8327</v>
      </c>
      <c r="O79" s="12">
        <v>1.87293617974E11</v>
      </c>
      <c r="P79" s="13">
        <v>62.5983</v>
      </c>
      <c r="Q79" s="13">
        <v>46.3368</v>
      </c>
      <c r="R79" s="11">
        <v>77.1753</v>
      </c>
      <c r="S79" s="13">
        <v>40.6166</v>
      </c>
      <c r="T79" s="13">
        <v>40.1612</v>
      </c>
      <c r="U79" s="13">
        <v>40.1982</v>
      </c>
      <c r="V79" s="13">
        <v>40.3363</v>
      </c>
      <c r="W79" s="13">
        <v>40.3883</v>
      </c>
      <c r="X79" s="13">
        <v>40.7556</v>
      </c>
      <c r="Y79" s="13">
        <v>41.4251</v>
      </c>
      <c r="Z79" s="13">
        <v>42.0645</v>
      </c>
      <c r="AA79" s="13">
        <v>47.355</v>
      </c>
      <c r="AB79" s="13">
        <v>0.9419</v>
      </c>
      <c r="AC79" s="11">
        <v>0.98</v>
      </c>
      <c r="AD79" s="8" t="s">
        <v>1453</v>
      </c>
      <c r="AE79" s="14">
        <f>IFERROR(__xludf.DUMMYFUNCTION("IFERROR(GOOGLEFINANCE(B79,""price""),"""")"),46.04)</f>
        <v>46.04</v>
      </c>
      <c r="AF79" s="14"/>
      <c r="AG79" s="14"/>
      <c r="AH79" s="14"/>
      <c r="AI79" s="14"/>
      <c r="AJ79" s="14"/>
      <c r="AK79" s="14"/>
      <c r="AL79" s="14"/>
    </row>
    <row r="80">
      <c r="A80" s="15">
        <v>46052.62658217527</v>
      </c>
      <c r="B80" s="16" t="s">
        <v>1390</v>
      </c>
      <c r="C80" s="16" t="s">
        <v>1391</v>
      </c>
      <c r="D80" s="17">
        <v>46054.0</v>
      </c>
      <c r="E80" s="16" t="s">
        <v>1392</v>
      </c>
      <c r="F80" s="18">
        <v>256.96</v>
      </c>
      <c r="G80" s="19">
        <v>-0.2523</v>
      </c>
      <c r="H80" s="16" t="s">
        <v>117</v>
      </c>
      <c r="I80" s="20">
        <v>1551891.0</v>
      </c>
      <c r="J80" s="19">
        <v>22.3668</v>
      </c>
      <c r="K80" s="21">
        <v>6.0121</v>
      </c>
      <c r="L80" s="21">
        <v>12.598</v>
      </c>
      <c r="M80" s="16">
        <v>1103109.0</v>
      </c>
      <c r="N80" s="21">
        <v>1.4895</v>
      </c>
      <c r="O80" s="20">
        <v>3.7507496603E10</v>
      </c>
      <c r="P80" s="21">
        <v>59.567</v>
      </c>
      <c r="Q80" s="21">
        <v>58.2042</v>
      </c>
      <c r="R80" s="19">
        <v>55.3076</v>
      </c>
      <c r="S80" s="21">
        <v>256.3521</v>
      </c>
      <c r="T80" s="21">
        <v>254.2387</v>
      </c>
      <c r="U80" s="21">
        <v>253.2748</v>
      </c>
      <c r="V80" s="21">
        <v>253.5121</v>
      </c>
      <c r="W80" s="21">
        <v>253.7351</v>
      </c>
      <c r="X80" s="21">
        <v>255.2402</v>
      </c>
      <c r="Y80" s="21">
        <v>253.5535</v>
      </c>
      <c r="Z80" s="21">
        <v>257.9307</v>
      </c>
      <c r="AA80" s="21">
        <v>293.81</v>
      </c>
      <c r="AB80" s="21">
        <v>1.1976</v>
      </c>
      <c r="AC80" s="19">
        <v>0.95</v>
      </c>
      <c r="AD80" s="24"/>
      <c r="AE80" s="22">
        <f>IFERROR(__xludf.DUMMYFUNCTION("IFERROR(GOOGLEFINANCE(B80,""price""),"""")"),228.87)</f>
        <v>228.87</v>
      </c>
      <c r="AF80" s="22"/>
      <c r="AG80" s="22"/>
      <c r="AH80" s="22"/>
      <c r="AI80" s="22"/>
      <c r="AJ80" s="22"/>
      <c r="AK80" s="22"/>
      <c r="AL80" s="22"/>
    </row>
    <row r="81">
      <c r="A81" s="7">
        <v>46052.62658217527</v>
      </c>
      <c r="B81" s="8" t="s">
        <v>1264</v>
      </c>
      <c r="C81" s="8" t="s">
        <v>1265</v>
      </c>
      <c r="D81" s="9">
        <v>46054.0</v>
      </c>
      <c r="E81" s="8" t="s">
        <v>1266</v>
      </c>
      <c r="F81" s="10">
        <v>41.77</v>
      </c>
      <c r="G81" s="11">
        <v>6.2309</v>
      </c>
      <c r="H81" s="8" t="s">
        <v>917</v>
      </c>
      <c r="I81" s="12">
        <v>1794054.0</v>
      </c>
      <c r="J81" s="11">
        <v>26.5677</v>
      </c>
      <c r="K81" s="13">
        <v>1.2556</v>
      </c>
      <c r="L81" s="13">
        <v>2.3097</v>
      </c>
      <c r="M81" s="8">
        <v>1014124.0</v>
      </c>
      <c r="N81" s="13">
        <v>1.9626</v>
      </c>
      <c r="O81" s="12">
        <v>6.051871668E9</v>
      </c>
      <c r="P81" s="13">
        <v>75.6433</v>
      </c>
      <c r="Q81" s="13">
        <v>76.0079</v>
      </c>
      <c r="R81" s="11">
        <v>62.054</v>
      </c>
      <c r="S81" s="13">
        <v>40.1082</v>
      </c>
      <c r="T81" s="13">
        <v>39.5698</v>
      </c>
      <c r="U81" s="13">
        <v>39.5003</v>
      </c>
      <c r="V81" s="13">
        <v>39.4286</v>
      </c>
      <c r="W81" s="13">
        <v>39.3801</v>
      </c>
      <c r="X81" s="13">
        <v>38.78</v>
      </c>
      <c r="Y81" s="13">
        <v>36.2893</v>
      </c>
      <c r="Z81" s="13">
        <v>35.4988</v>
      </c>
      <c r="AA81" s="13">
        <v>45.1</v>
      </c>
      <c r="AB81" s="13">
        <v>1.4554</v>
      </c>
      <c r="AC81" s="11">
        <v>1.09</v>
      </c>
      <c r="AD81" s="23"/>
      <c r="AE81" s="14">
        <f>IFERROR(__xludf.DUMMYFUNCTION("IFERROR(GOOGLEFINANCE(B81,""price""),"""")"),42.56)</f>
        <v>42.56</v>
      </c>
      <c r="AF81" s="14"/>
      <c r="AG81" s="14"/>
      <c r="AH81" s="14"/>
      <c r="AI81" s="14"/>
      <c r="AJ81" s="14"/>
      <c r="AK81" s="14"/>
      <c r="AL81" s="14"/>
    </row>
    <row r="82">
      <c r="A82" s="7">
        <v>46052.892219108406</v>
      </c>
      <c r="B82" s="8" t="s">
        <v>1454</v>
      </c>
      <c r="C82" s="8" t="s">
        <v>1455</v>
      </c>
      <c r="D82" s="9">
        <v>46054.0</v>
      </c>
      <c r="E82" s="8" t="s">
        <v>1456</v>
      </c>
      <c r="F82" s="10">
        <v>25.14</v>
      </c>
      <c r="G82" s="11">
        <v>0.7212</v>
      </c>
      <c r="H82" s="8" t="s">
        <v>93</v>
      </c>
      <c r="I82" s="12">
        <v>793703.0</v>
      </c>
      <c r="J82" s="11">
        <v>20.1172</v>
      </c>
      <c r="K82" s="13">
        <v>0.1223</v>
      </c>
      <c r="L82" s="13">
        <v>0.412</v>
      </c>
      <c r="M82" s="13">
        <v>104526.5</v>
      </c>
      <c r="N82" s="13">
        <v>30.0366</v>
      </c>
      <c r="O82" s="12">
        <v>0.0</v>
      </c>
      <c r="P82" s="13">
        <v>41.4141</v>
      </c>
      <c r="Q82" s="13">
        <v>33.0995</v>
      </c>
      <c r="R82" s="11">
        <v>59.1987</v>
      </c>
      <c r="S82" s="13">
        <v>25.0231</v>
      </c>
      <c r="T82" s="13">
        <v>25.0236</v>
      </c>
      <c r="U82" s="13">
        <v>24.9885</v>
      </c>
      <c r="V82" s="13">
        <v>24.8993</v>
      </c>
      <c r="W82" s="13">
        <v>24.8668</v>
      </c>
      <c r="X82" s="13">
        <v>24.6445</v>
      </c>
      <c r="Y82" s="13">
        <v>24.2301</v>
      </c>
      <c r="Z82" s="13">
        <v>23.8234</v>
      </c>
      <c r="AA82" s="13">
        <v>25.39</v>
      </c>
      <c r="AB82" s="13">
        <v>0.1375</v>
      </c>
      <c r="AC82" s="11">
        <v>0.59</v>
      </c>
      <c r="AD82" s="8" t="s">
        <v>1457</v>
      </c>
      <c r="AE82" s="14" t="str">
        <f>IFERROR(__xludf.DUMMYFUNCTION("IFERROR(GOOGLEFINANCE(B82,""price""),"""")"),"")</f>
        <v/>
      </c>
      <c r="AF82" s="14"/>
      <c r="AG82" s="14"/>
      <c r="AH82" s="14"/>
      <c r="AI82" s="14"/>
      <c r="AJ82" s="14"/>
      <c r="AK82" s="14"/>
      <c r="AL82" s="14"/>
    </row>
    <row r="83">
      <c r="A83" s="15">
        <v>46052.892219108406</v>
      </c>
      <c r="B83" s="16" t="s">
        <v>1443</v>
      </c>
      <c r="C83" s="16" t="s">
        <v>1444</v>
      </c>
      <c r="D83" s="17">
        <v>46054.0</v>
      </c>
      <c r="E83" s="16" t="s">
        <v>1445</v>
      </c>
      <c r="F83" s="18">
        <v>203.92</v>
      </c>
      <c r="G83" s="19">
        <v>-0.0147</v>
      </c>
      <c r="H83" s="16" t="s">
        <v>88</v>
      </c>
      <c r="I83" s="20">
        <v>4233663.0</v>
      </c>
      <c r="J83" s="19">
        <v>26.6982</v>
      </c>
      <c r="K83" s="21">
        <v>0.514</v>
      </c>
      <c r="L83" s="21">
        <v>3.5515</v>
      </c>
      <c r="M83" s="16">
        <v>2161858.0</v>
      </c>
      <c r="N83" s="21">
        <v>2.2762</v>
      </c>
      <c r="O83" s="20">
        <v>5.1001640222E10</v>
      </c>
      <c r="P83" s="21">
        <v>38.8231</v>
      </c>
      <c r="Q83" s="21">
        <v>47.0882</v>
      </c>
      <c r="R83" s="19">
        <v>49.2241</v>
      </c>
      <c r="S83" s="21">
        <v>204.0863</v>
      </c>
      <c r="T83" s="21">
        <v>204.0862</v>
      </c>
      <c r="U83" s="21">
        <v>203.6828</v>
      </c>
      <c r="V83" s="21">
        <v>202.4657</v>
      </c>
      <c r="W83" s="21">
        <v>201.9358</v>
      </c>
      <c r="X83" s="21">
        <v>197.2712</v>
      </c>
      <c r="Y83" s="21">
        <v>182.2966</v>
      </c>
      <c r="Z83" s="21">
        <v>176.806</v>
      </c>
      <c r="AA83" s="21">
        <v>204.885</v>
      </c>
      <c r="AB83" s="21">
        <v>0.1979</v>
      </c>
      <c r="AC83" s="19">
        <v>0.29</v>
      </c>
      <c r="AD83" s="16" t="s">
        <v>1458</v>
      </c>
      <c r="AE83" s="22">
        <f>IFERROR(__xludf.DUMMYFUNCTION("IFERROR(GOOGLEFINANCE(B83,""price""),"""")"),202.74)</f>
        <v>202.74</v>
      </c>
      <c r="AF83" s="22"/>
      <c r="AG83" s="22"/>
      <c r="AH83" s="22"/>
      <c r="AI83" s="22"/>
      <c r="AJ83" s="22"/>
      <c r="AK83" s="22"/>
      <c r="AL83" s="22"/>
    </row>
    <row r="84">
      <c r="A84" s="7">
        <v>46052.892219108406</v>
      </c>
      <c r="B84" s="8" t="s">
        <v>1459</v>
      </c>
      <c r="C84" s="8" t="s">
        <v>1460</v>
      </c>
      <c r="D84" s="9">
        <v>46054.0</v>
      </c>
      <c r="E84" s="8" t="s">
        <v>1461</v>
      </c>
      <c r="F84" s="10">
        <v>24.22</v>
      </c>
      <c r="G84" s="11">
        <v>-0.0825</v>
      </c>
      <c r="H84" s="8" t="s">
        <v>93</v>
      </c>
      <c r="I84" s="12">
        <v>538111.0</v>
      </c>
      <c r="J84" s="11">
        <v>23.6515</v>
      </c>
      <c r="K84" s="13">
        <v>0.082</v>
      </c>
      <c r="L84" s="13">
        <v>0.2706</v>
      </c>
      <c r="M84" s="13">
        <v>446910.4</v>
      </c>
      <c r="N84" s="13">
        <v>1.2498</v>
      </c>
      <c r="O84" s="12">
        <v>1.245238419E9</v>
      </c>
      <c r="P84" s="13">
        <v>76.3199</v>
      </c>
      <c r="Q84" s="13">
        <v>74.5779</v>
      </c>
      <c r="R84" s="11">
        <v>57.8743</v>
      </c>
      <c r="S84" s="13">
        <v>24.1898</v>
      </c>
      <c r="T84" s="13">
        <v>24.1538</v>
      </c>
      <c r="U84" s="13">
        <v>24.1286</v>
      </c>
      <c r="V84" s="13">
        <v>24.0999</v>
      </c>
      <c r="W84" s="13">
        <v>24.0896</v>
      </c>
      <c r="X84" s="13">
        <v>23.9661</v>
      </c>
      <c r="Y84" s="13">
        <v>22.8712</v>
      </c>
      <c r="Z84" s="13">
        <v>23.7172</v>
      </c>
      <c r="AA84" s="13">
        <v>24.41</v>
      </c>
      <c r="AB84" s="13">
        <v>0.2525</v>
      </c>
      <c r="AC84" s="11">
        <v>0.61</v>
      </c>
      <c r="AD84" s="8" t="s">
        <v>1462</v>
      </c>
      <c r="AE84" s="14">
        <f>IFERROR(__xludf.DUMMYFUNCTION("IFERROR(GOOGLEFINANCE(B84,""price""),"""")"),24.38)</f>
        <v>24.38</v>
      </c>
      <c r="AF84" s="14"/>
      <c r="AG84" s="14"/>
      <c r="AH84" s="14"/>
      <c r="AI84" s="14"/>
      <c r="AJ84" s="14"/>
      <c r="AK84" s="14"/>
      <c r="AL84" s="14"/>
    </row>
    <row r="85">
      <c r="A85" s="15">
        <v>46052.892219108406</v>
      </c>
      <c r="B85" s="16" t="s">
        <v>1386</v>
      </c>
      <c r="C85" s="16" t="s">
        <v>1387</v>
      </c>
      <c r="D85" s="17">
        <v>46054.0</v>
      </c>
      <c r="E85" s="16" t="s">
        <v>1388</v>
      </c>
      <c r="F85" s="18">
        <v>207.34</v>
      </c>
      <c r="G85" s="19">
        <v>0.0676</v>
      </c>
      <c r="H85" s="16" t="s">
        <v>102</v>
      </c>
      <c r="I85" s="20">
        <v>1205241.0</v>
      </c>
      <c r="J85" s="19">
        <v>45.98</v>
      </c>
      <c r="K85" s="21">
        <v>0.4622</v>
      </c>
      <c r="L85" s="21">
        <v>3.5326</v>
      </c>
      <c r="M85" s="21">
        <v>746185.8</v>
      </c>
      <c r="N85" s="21">
        <v>1.7731</v>
      </c>
      <c r="O85" s="20">
        <v>9.909064964E9</v>
      </c>
      <c r="P85" s="21">
        <v>59.1862</v>
      </c>
      <c r="Q85" s="21">
        <v>63.1109</v>
      </c>
      <c r="R85" s="19">
        <v>70.5569</v>
      </c>
      <c r="S85" s="21">
        <v>207.2589</v>
      </c>
      <c r="T85" s="21">
        <v>206.9003</v>
      </c>
      <c r="U85" s="21">
        <v>206.3398</v>
      </c>
      <c r="V85" s="21">
        <v>205.4212</v>
      </c>
      <c r="W85" s="21">
        <v>205.0721</v>
      </c>
      <c r="X85" s="21">
        <v>202.03</v>
      </c>
      <c r="Y85" s="21">
        <v>191.0203</v>
      </c>
      <c r="Z85" s="21">
        <v>185.5083</v>
      </c>
      <c r="AA85" s="21">
        <v>216.44</v>
      </c>
      <c r="AB85" s="21">
        <v>0.4433</v>
      </c>
      <c r="AC85" s="19">
        <v>0.26</v>
      </c>
      <c r="AD85" s="16" t="s">
        <v>1447</v>
      </c>
      <c r="AE85" s="22">
        <f>IFERROR(__xludf.DUMMYFUNCTION("IFERROR(GOOGLEFINANCE(B85,""price""),"""")"),207.79)</f>
        <v>207.79</v>
      </c>
      <c r="AF85" s="22"/>
      <c r="AG85" s="22"/>
      <c r="AH85" s="22"/>
      <c r="AI85" s="22"/>
      <c r="AJ85" s="22"/>
      <c r="AK85" s="22"/>
      <c r="AL85" s="22"/>
    </row>
    <row r="86">
      <c r="A86" s="7">
        <v>46052.892219108406</v>
      </c>
      <c r="B86" s="8" t="s">
        <v>1448</v>
      </c>
      <c r="C86" s="8" t="s">
        <v>1449</v>
      </c>
      <c r="D86" s="9">
        <v>46054.0</v>
      </c>
      <c r="E86" s="8" t="s">
        <v>1450</v>
      </c>
      <c r="F86" s="10">
        <v>10.72</v>
      </c>
      <c r="G86" s="11">
        <v>-0.1862</v>
      </c>
      <c r="H86" s="8" t="s">
        <v>93</v>
      </c>
      <c r="I86" s="12">
        <v>422062.0</v>
      </c>
      <c r="J86" s="11">
        <v>78.2733</v>
      </c>
      <c r="K86" s="13">
        <v>0.0531</v>
      </c>
      <c r="L86" s="13">
        <v>0.1116</v>
      </c>
      <c r="M86" s="13">
        <v>77614.5</v>
      </c>
      <c r="N86" s="13">
        <v>11.5655</v>
      </c>
      <c r="O86" s="12">
        <v>8.3937597E7</v>
      </c>
      <c r="P86" s="13">
        <v>47.9167</v>
      </c>
      <c r="Q86" s="13">
        <v>48.0801</v>
      </c>
      <c r="R86" s="11">
        <v>54.3029</v>
      </c>
      <c r="S86" s="13">
        <v>10.7273</v>
      </c>
      <c r="T86" s="13">
        <v>10.7055</v>
      </c>
      <c r="U86" s="13">
        <v>10.6797</v>
      </c>
      <c r="V86" s="13">
        <v>10.648</v>
      </c>
      <c r="W86" s="13">
        <v>10.6381</v>
      </c>
      <c r="X86" s="13">
        <v>10.5715</v>
      </c>
      <c r="Y86" s="13">
        <v>10.3533</v>
      </c>
      <c r="Z86" s="13">
        <v>10.3482</v>
      </c>
      <c r="AA86" s="13">
        <v>11.44</v>
      </c>
      <c r="AB86" s="13">
        <v>0.4441</v>
      </c>
      <c r="AC86" s="11">
        <v>0.95</v>
      </c>
      <c r="AD86" s="8" t="s">
        <v>1451</v>
      </c>
      <c r="AE86" s="14">
        <f>IFERROR(__xludf.DUMMYFUNCTION("IFERROR(GOOGLEFINANCE(B86,""price""),"""")"),10.97)</f>
        <v>10.97</v>
      </c>
      <c r="AF86" s="14"/>
      <c r="AG86" s="14"/>
      <c r="AH86" s="14"/>
      <c r="AI86" s="14"/>
      <c r="AJ86" s="14"/>
      <c r="AK86" s="14"/>
      <c r="AL86" s="14"/>
    </row>
    <row r="87">
      <c r="A87" s="15">
        <v>46052.892219108406</v>
      </c>
      <c r="B87" s="16" t="s">
        <v>1463</v>
      </c>
      <c r="C87" s="16" t="s">
        <v>1464</v>
      </c>
      <c r="D87" s="17">
        <v>46054.0</v>
      </c>
      <c r="E87" s="16" t="s">
        <v>1465</v>
      </c>
      <c r="F87" s="18">
        <v>26.21</v>
      </c>
      <c r="G87" s="19">
        <v>4.2977</v>
      </c>
      <c r="H87" s="16" t="s">
        <v>873</v>
      </c>
      <c r="I87" s="20">
        <v>7.822745E7</v>
      </c>
      <c r="J87" s="19">
        <v>29.8158</v>
      </c>
      <c r="K87" s="21">
        <v>0.5547</v>
      </c>
      <c r="L87" s="21">
        <v>1.1663</v>
      </c>
      <c r="M87" s="16">
        <v>5.5754801E7</v>
      </c>
      <c r="N87" s="21">
        <v>1.5183</v>
      </c>
      <c r="O87" s="20">
        <v>1.85814470616E11</v>
      </c>
      <c r="P87" s="21">
        <v>92.9214</v>
      </c>
      <c r="Q87" s="21">
        <v>62.949</v>
      </c>
      <c r="R87" s="19">
        <v>70.8198</v>
      </c>
      <c r="S87" s="21">
        <v>24.4414</v>
      </c>
      <c r="T87" s="21">
        <v>24.1758</v>
      </c>
      <c r="U87" s="21">
        <v>24.3097</v>
      </c>
      <c r="V87" s="21">
        <v>24.5659</v>
      </c>
      <c r="W87" s="21">
        <v>24.6513</v>
      </c>
      <c r="X87" s="21">
        <v>25.1728</v>
      </c>
      <c r="Y87" s="21">
        <v>25.6056</v>
      </c>
      <c r="Z87" s="21">
        <v>26.7692</v>
      </c>
      <c r="AA87" s="21">
        <v>29.79</v>
      </c>
      <c r="AB87" s="21">
        <v>0.5022</v>
      </c>
      <c r="AC87" s="19">
        <v>0.95</v>
      </c>
      <c r="AD87" s="16" t="s">
        <v>1283</v>
      </c>
      <c r="AE87" s="22">
        <f>IFERROR(__xludf.DUMMYFUNCTION("IFERROR(GOOGLEFINANCE(B87,""price""),"""")"),26.46)</f>
        <v>26.46</v>
      </c>
      <c r="AF87" s="22"/>
      <c r="AG87" s="22"/>
      <c r="AH87" s="22"/>
      <c r="AI87" s="22"/>
      <c r="AJ87" s="22"/>
      <c r="AK87" s="22"/>
      <c r="AL87" s="22"/>
    </row>
    <row r="88">
      <c r="A88" s="7">
        <v>46052.892219108406</v>
      </c>
      <c r="B88" s="8" t="s">
        <v>1417</v>
      </c>
      <c r="C88" s="8" t="s">
        <v>1418</v>
      </c>
      <c r="D88" s="9">
        <v>46054.0</v>
      </c>
      <c r="E88" s="8" t="s">
        <v>1419</v>
      </c>
      <c r="F88" s="10">
        <v>13.05</v>
      </c>
      <c r="G88" s="11">
        <v>0.4619</v>
      </c>
      <c r="H88" s="8" t="s">
        <v>88</v>
      </c>
      <c r="I88" s="12">
        <v>1.6769144E7</v>
      </c>
      <c r="J88" s="11">
        <v>35.7511</v>
      </c>
      <c r="K88" s="13">
        <v>0.0297</v>
      </c>
      <c r="L88" s="13">
        <v>0.4495</v>
      </c>
      <c r="M88" s="8">
        <v>3317914.0</v>
      </c>
      <c r="N88" s="13">
        <v>9.1427</v>
      </c>
      <c r="O88" s="12">
        <v>1.749694666E9</v>
      </c>
      <c r="P88" s="13">
        <v>41.6667</v>
      </c>
      <c r="Q88" s="13">
        <v>31.9444</v>
      </c>
      <c r="R88" s="11">
        <v>66.6105</v>
      </c>
      <c r="S88" s="13">
        <v>13.0157</v>
      </c>
      <c r="T88" s="13">
        <v>13.0038</v>
      </c>
      <c r="U88" s="13">
        <v>12.9353</v>
      </c>
      <c r="V88" s="13">
        <v>12.763</v>
      </c>
      <c r="W88" s="13">
        <v>12.6984</v>
      </c>
      <c r="X88" s="13">
        <v>12.2795</v>
      </c>
      <c r="Y88" s="13">
        <v>12.0268</v>
      </c>
      <c r="Z88" s="13">
        <v>10.8339</v>
      </c>
      <c r="AA88" s="13">
        <v>16.12</v>
      </c>
      <c r="AB88" s="13">
        <v>0.6163</v>
      </c>
      <c r="AC88" s="11">
        <v>0.13</v>
      </c>
      <c r="AD88" s="8" t="s">
        <v>1438</v>
      </c>
      <c r="AE88" s="14" t="str">
        <f>IFERROR(__xludf.DUMMYFUNCTION("IFERROR(GOOGLEFINANCE(B88,""price""),"""")"),"")</f>
        <v/>
      </c>
      <c r="AF88" s="14"/>
      <c r="AG88" s="14"/>
      <c r="AH88" s="14"/>
      <c r="AI88" s="14"/>
      <c r="AJ88" s="14"/>
      <c r="AK88" s="14"/>
      <c r="AL88" s="14"/>
    </row>
    <row r="89">
      <c r="A89" s="15">
        <v>46052.892219108406</v>
      </c>
      <c r="B89" s="16" t="s">
        <v>1421</v>
      </c>
      <c r="C89" s="16" t="s">
        <v>1422</v>
      </c>
      <c r="D89" s="17">
        <v>46054.0</v>
      </c>
      <c r="E89" s="16" t="s">
        <v>1423</v>
      </c>
      <c r="F89" s="18">
        <v>25.0</v>
      </c>
      <c r="G89" s="19">
        <v>0.1603</v>
      </c>
      <c r="H89" s="16" t="s">
        <v>917</v>
      </c>
      <c r="I89" s="20">
        <v>362619.0</v>
      </c>
      <c r="J89" s="19">
        <v>24.0383</v>
      </c>
      <c r="K89" s="21">
        <v>0.1124</v>
      </c>
      <c r="L89" s="21">
        <v>0.3951</v>
      </c>
      <c r="M89" s="21">
        <v>114152.7</v>
      </c>
      <c r="N89" s="21">
        <v>4.491</v>
      </c>
      <c r="O89" s="20">
        <v>5.00997557E9</v>
      </c>
      <c r="P89" s="21">
        <v>9.1324</v>
      </c>
      <c r="Q89" s="21">
        <v>5.4855</v>
      </c>
      <c r="R89" s="19">
        <v>54.4583</v>
      </c>
      <c r="S89" s="21">
        <v>25.0448</v>
      </c>
      <c r="T89" s="21">
        <v>24.9748</v>
      </c>
      <c r="U89" s="21">
        <v>24.8623</v>
      </c>
      <c r="V89" s="21">
        <v>24.7778</v>
      </c>
      <c r="W89" s="21">
        <v>24.7591</v>
      </c>
      <c r="X89" s="21">
        <v>24.6699</v>
      </c>
      <c r="Y89" s="21">
        <v>24.5236</v>
      </c>
      <c r="Z89" s="21">
        <v>24.3686</v>
      </c>
      <c r="AA89" s="21">
        <v>25.305</v>
      </c>
      <c r="AB89" s="21">
        <v>0.73</v>
      </c>
      <c r="AC89" s="19">
        <v>0.57</v>
      </c>
      <c r="AD89" s="16" t="s">
        <v>1466</v>
      </c>
      <c r="AE89" s="22" t="str">
        <f>IFERROR(__xludf.DUMMYFUNCTION("IFERROR(GOOGLEFINANCE(B89,""price""),"""")"),"")</f>
        <v/>
      </c>
      <c r="AF89" s="22"/>
      <c r="AG89" s="22"/>
      <c r="AH89" s="22"/>
      <c r="AI89" s="22"/>
      <c r="AJ89" s="22"/>
      <c r="AK89" s="22"/>
      <c r="AL89" s="22"/>
    </row>
    <row r="90">
      <c r="A90" s="7">
        <v>46052.892219108406</v>
      </c>
      <c r="B90" s="8" t="s">
        <v>1467</v>
      </c>
      <c r="C90" s="8" t="s">
        <v>1468</v>
      </c>
      <c r="D90" s="9">
        <v>46054.0</v>
      </c>
      <c r="E90" s="8" t="s">
        <v>1469</v>
      </c>
      <c r="F90" s="10">
        <v>119.26</v>
      </c>
      <c r="G90" s="11">
        <v>-0.848</v>
      </c>
      <c r="H90" s="8" t="s">
        <v>102</v>
      </c>
      <c r="I90" s="12">
        <v>6034411.0</v>
      </c>
      <c r="J90" s="11">
        <v>20.8084</v>
      </c>
      <c r="K90" s="13">
        <v>2.5496</v>
      </c>
      <c r="L90" s="13">
        <v>5.8347</v>
      </c>
      <c r="M90" s="8">
        <v>4520884.0</v>
      </c>
      <c r="N90" s="13">
        <v>1.3249</v>
      </c>
      <c r="O90" s="12">
        <v>7.2884033316E10</v>
      </c>
      <c r="P90" s="13">
        <v>89.1913</v>
      </c>
      <c r="Q90" s="13">
        <v>88.592</v>
      </c>
      <c r="R90" s="11">
        <v>59.3054</v>
      </c>
      <c r="S90" s="13">
        <v>117.0519</v>
      </c>
      <c r="T90" s="13">
        <v>116.1382</v>
      </c>
      <c r="U90" s="13">
        <v>116.0453</v>
      </c>
      <c r="V90" s="13">
        <v>115.6856</v>
      </c>
      <c r="W90" s="13">
        <v>115.5159</v>
      </c>
      <c r="X90" s="13">
        <v>113.8897</v>
      </c>
      <c r="Y90" s="13">
        <v>106.6978</v>
      </c>
      <c r="Z90" s="13">
        <v>107.1381</v>
      </c>
      <c r="AA90" s="13">
        <v>124.07</v>
      </c>
      <c r="AB90" s="13">
        <v>0.8441</v>
      </c>
      <c r="AC90" s="11">
        <v>0.87</v>
      </c>
      <c r="AD90" s="8" t="s">
        <v>1283</v>
      </c>
      <c r="AE90" s="14">
        <f>IFERROR(__xludf.DUMMYFUNCTION("IFERROR(GOOGLEFINANCE(B90,""price""),"""")"),142.53)</f>
        <v>142.53</v>
      </c>
      <c r="AF90" s="14"/>
      <c r="AG90" s="14"/>
      <c r="AH90" s="14"/>
      <c r="AI90" s="14"/>
      <c r="AJ90" s="14"/>
      <c r="AK90" s="14"/>
      <c r="AL90" s="14"/>
    </row>
    <row r="91">
      <c r="A91" s="15">
        <v>46052.892219108406</v>
      </c>
      <c r="B91" s="16" t="s">
        <v>1470</v>
      </c>
      <c r="C91" s="16" t="s">
        <v>1471</v>
      </c>
      <c r="D91" s="17">
        <v>46054.0</v>
      </c>
      <c r="E91" s="16" t="s">
        <v>1472</v>
      </c>
      <c r="F91" s="18">
        <v>41.88</v>
      </c>
      <c r="G91" s="19">
        <v>0.0239</v>
      </c>
      <c r="H91" s="16" t="s">
        <v>107</v>
      </c>
      <c r="I91" s="20">
        <v>3520841.0</v>
      </c>
      <c r="J91" s="19">
        <v>25.6205</v>
      </c>
      <c r="K91" s="21">
        <v>0.193</v>
      </c>
      <c r="L91" s="21">
        <v>1.4875</v>
      </c>
      <c r="M91" s="16">
        <v>2289636.0</v>
      </c>
      <c r="N91" s="21">
        <v>1.6151</v>
      </c>
      <c r="O91" s="20">
        <v>6.16771491E9</v>
      </c>
      <c r="P91" s="21">
        <v>77.8928</v>
      </c>
      <c r="Q91" s="21">
        <v>83.2116</v>
      </c>
      <c r="R91" s="19">
        <v>61.41</v>
      </c>
      <c r="S91" s="21">
        <v>41.8313</v>
      </c>
      <c r="T91" s="21">
        <v>41.7126</v>
      </c>
      <c r="U91" s="21">
        <v>41.456</v>
      </c>
      <c r="V91" s="21">
        <v>40.9057</v>
      </c>
      <c r="W91" s="21">
        <v>40.706</v>
      </c>
      <c r="X91" s="21">
        <v>39.3332</v>
      </c>
      <c r="Y91" s="21">
        <v>36.6449</v>
      </c>
      <c r="Z91" s="21">
        <v>34.6633</v>
      </c>
      <c r="AA91" s="21">
        <v>44.27</v>
      </c>
      <c r="AB91" s="21">
        <v>0.8961</v>
      </c>
      <c r="AC91" s="19">
        <v>0.26</v>
      </c>
      <c r="AD91" s="16" t="s">
        <v>1473</v>
      </c>
      <c r="AE91" s="22">
        <f>IFERROR(__xludf.DUMMYFUNCTION("IFERROR(GOOGLEFINANCE(B91,""price""),"""")"),42.15)</f>
        <v>42.15</v>
      </c>
      <c r="AF91" s="22"/>
      <c r="AG91" s="22"/>
      <c r="AH91" s="22"/>
      <c r="AI91" s="22"/>
      <c r="AJ91" s="22"/>
      <c r="AK91" s="22"/>
      <c r="AL91" s="22"/>
    </row>
    <row r="92">
      <c r="A92" s="7">
        <v>46052.892219108406</v>
      </c>
      <c r="B92" s="8" t="s">
        <v>1439</v>
      </c>
      <c r="C92" s="8" t="s">
        <v>1440</v>
      </c>
      <c r="D92" s="9">
        <v>46054.0</v>
      </c>
      <c r="E92" s="8" t="s">
        <v>1441</v>
      </c>
      <c r="F92" s="10">
        <v>44.52</v>
      </c>
      <c r="G92" s="11">
        <v>11.8312</v>
      </c>
      <c r="H92" s="8" t="s">
        <v>873</v>
      </c>
      <c r="I92" s="12">
        <v>1.23583676E8</v>
      </c>
      <c r="J92" s="11">
        <v>22.8325</v>
      </c>
      <c r="K92" s="13">
        <v>0.8841</v>
      </c>
      <c r="L92" s="13">
        <v>1.7927</v>
      </c>
      <c r="M92" s="8">
        <v>3.7105407E7</v>
      </c>
      <c r="N92" s="13">
        <v>4.5111</v>
      </c>
      <c r="O92" s="12">
        <v>1.87715260518E11</v>
      </c>
      <c r="P92" s="13">
        <v>62.5248</v>
      </c>
      <c r="Q92" s="13">
        <v>46.3123</v>
      </c>
      <c r="R92" s="11">
        <v>77.4427</v>
      </c>
      <c r="S92" s="13">
        <v>40.6388</v>
      </c>
      <c r="T92" s="13">
        <v>40.1703</v>
      </c>
      <c r="U92" s="13">
        <v>40.2039</v>
      </c>
      <c r="V92" s="13">
        <v>40.3403</v>
      </c>
      <c r="W92" s="13">
        <v>40.3919</v>
      </c>
      <c r="X92" s="13">
        <v>40.7578</v>
      </c>
      <c r="Y92" s="13">
        <v>41.4261</v>
      </c>
      <c r="Z92" s="13">
        <v>42.065</v>
      </c>
      <c r="AA92" s="13">
        <v>47.355</v>
      </c>
      <c r="AB92" s="13">
        <v>0.9769</v>
      </c>
      <c r="AC92" s="11">
        <v>0.99</v>
      </c>
      <c r="AD92" s="8" t="s">
        <v>1474</v>
      </c>
      <c r="AE92" s="14">
        <f>IFERROR(__xludf.DUMMYFUNCTION("IFERROR(GOOGLEFINANCE(B92,""price""),"""")"),46.04)</f>
        <v>46.04</v>
      </c>
      <c r="AF92" s="14"/>
      <c r="AG92" s="14"/>
      <c r="AH92" s="14"/>
      <c r="AI92" s="14"/>
      <c r="AJ92" s="14"/>
      <c r="AK92" s="14"/>
      <c r="AL92" s="14"/>
    </row>
    <row r="93">
      <c r="A93" s="15">
        <v>46052.892219108406</v>
      </c>
      <c r="B93" s="16" t="s">
        <v>1475</v>
      </c>
      <c r="C93" s="16" t="s">
        <v>1476</v>
      </c>
      <c r="D93" s="17">
        <v>46054.0</v>
      </c>
      <c r="E93" s="16" t="s">
        <v>1477</v>
      </c>
      <c r="F93" s="18">
        <v>55.2</v>
      </c>
      <c r="G93" s="19">
        <v>-0.6479</v>
      </c>
      <c r="H93" s="16" t="s">
        <v>93</v>
      </c>
      <c r="I93" s="20">
        <v>300798.0</v>
      </c>
      <c r="J93" s="19">
        <v>23.1883</v>
      </c>
      <c r="K93" s="21">
        <v>1.4271</v>
      </c>
      <c r="L93" s="21">
        <v>3.2048</v>
      </c>
      <c r="M93" s="21">
        <v>154795.3</v>
      </c>
      <c r="N93" s="21">
        <v>2.1151</v>
      </c>
      <c r="O93" s="20">
        <v>1.231162979E9</v>
      </c>
      <c r="P93" s="21">
        <v>33.3333</v>
      </c>
      <c r="Q93" s="21">
        <v>28.6592</v>
      </c>
      <c r="R93" s="19">
        <v>51.116</v>
      </c>
      <c r="S93" s="21">
        <v>55.2517</v>
      </c>
      <c r="T93" s="21">
        <v>55.2395</v>
      </c>
      <c r="U93" s="21">
        <v>54.5832</v>
      </c>
      <c r="V93" s="21">
        <v>53.4455</v>
      </c>
      <c r="W93" s="21">
        <v>53.0764</v>
      </c>
      <c r="X93" s="21">
        <v>50.7972</v>
      </c>
      <c r="Y93" s="21">
        <v>46.9423</v>
      </c>
      <c r="Z93" s="21">
        <v>43.8127</v>
      </c>
      <c r="AA93" s="21">
        <v>57.805</v>
      </c>
      <c r="AB93" s="21">
        <v>1.2109</v>
      </c>
      <c r="AC93" s="19">
        <v>0.89</v>
      </c>
      <c r="AD93" s="16" t="s">
        <v>1478</v>
      </c>
      <c r="AE93" s="22">
        <f>IFERROR(__xludf.DUMMYFUNCTION("IFERROR(GOOGLEFINANCE(B93,""price""),"""")"),75.43)</f>
        <v>75.43</v>
      </c>
      <c r="AF93" s="22"/>
      <c r="AG93" s="22"/>
      <c r="AH93" s="22"/>
      <c r="AI93" s="22"/>
      <c r="AJ93" s="22"/>
      <c r="AK93" s="22"/>
      <c r="AL93" s="22"/>
    </row>
    <row r="94">
      <c r="A94" s="7">
        <v>46052.892219108406</v>
      </c>
      <c r="B94" s="8" t="s">
        <v>1479</v>
      </c>
      <c r="C94" s="8" t="s">
        <v>1480</v>
      </c>
      <c r="D94" s="9">
        <v>46054.0</v>
      </c>
      <c r="E94" s="8" t="s">
        <v>1481</v>
      </c>
      <c r="F94" s="10">
        <v>63.18</v>
      </c>
      <c r="G94" s="11">
        <v>-1.3737</v>
      </c>
      <c r="H94" s="8" t="s">
        <v>93</v>
      </c>
      <c r="I94" s="12">
        <v>1799669.0</v>
      </c>
      <c r="J94" s="11">
        <v>21.4094</v>
      </c>
      <c r="K94" s="13">
        <v>1.7667</v>
      </c>
      <c r="L94" s="13">
        <v>3.3325</v>
      </c>
      <c r="M94" s="8">
        <v>1211772.0</v>
      </c>
      <c r="N94" s="13">
        <v>1.5517</v>
      </c>
      <c r="O94" s="12">
        <v>6.438041851E9</v>
      </c>
      <c r="P94" s="13">
        <v>63.2114</v>
      </c>
      <c r="Q94" s="13">
        <v>68.4824</v>
      </c>
      <c r="R94" s="11">
        <v>51.9871</v>
      </c>
      <c r="S94" s="13">
        <v>63.5163</v>
      </c>
      <c r="T94" s="13">
        <v>62.8144</v>
      </c>
      <c r="U94" s="13">
        <v>62.7103</v>
      </c>
      <c r="V94" s="13">
        <v>62.7355</v>
      </c>
      <c r="W94" s="13">
        <v>62.7457</v>
      </c>
      <c r="X94" s="13">
        <v>62.7491</v>
      </c>
      <c r="Y94" s="13">
        <v>62.474</v>
      </c>
      <c r="Z94" s="13">
        <v>61.7814</v>
      </c>
      <c r="AA94" s="13">
        <v>68.64</v>
      </c>
      <c r="AB94" s="13">
        <v>1.2758</v>
      </c>
      <c r="AC94" s="11">
        <v>1.06</v>
      </c>
      <c r="AD94" s="23"/>
      <c r="AE94" s="14">
        <f>IFERROR(__xludf.DUMMYFUNCTION("IFERROR(GOOGLEFINANCE(B94,""price""),"""")"),63.31)</f>
        <v>63.31</v>
      </c>
      <c r="AF94" s="14"/>
      <c r="AG94" s="14"/>
      <c r="AH94" s="14"/>
      <c r="AI94" s="14"/>
      <c r="AJ94" s="14"/>
      <c r="AK94" s="14"/>
      <c r="AL94" s="14"/>
    </row>
    <row r="95">
      <c r="A95" s="15">
        <v>46052.892219108406</v>
      </c>
      <c r="B95" s="16" t="s">
        <v>1390</v>
      </c>
      <c r="C95" s="16" t="s">
        <v>1391</v>
      </c>
      <c r="D95" s="17">
        <v>46054.0</v>
      </c>
      <c r="E95" s="16" t="s">
        <v>1392</v>
      </c>
      <c r="F95" s="18">
        <v>258.31</v>
      </c>
      <c r="G95" s="19">
        <v>0.2717</v>
      </c>
      <c r="H95" s="16" t="s">
        <v>117</v>
      </c>
      <c r="I95" s="20">
        <v>2258222.0</v>
      </c>
      <c r="J95" s="19">
        <v>22.3668</v>
      </c>
      <c r="K95" s="21">
        <v>6.0857</v>
      </c>
      <c r="L95" s="21">
        <v>12.598</v>
      </c>
      <c r="M95" s="16">
        <v>1173742.0</v>
      </c>
      <c r="N95" s="21">
        <v>2.1674</v>
      </c>
      <c r="O95" s="20">
        <v>3.7704551088E10</v>
      </c>
      <c r="P95" s="21">
        <v>61.9505</v>
      </c>
      <c r="Q95" s="21">
        <v>58.9987</v>
      </c>
      <c r="R95" s="19">
        <v>57.2875</v>
      </c>
      <c r="S95" s="21">
        <v>256.6521</v>
      </c>
      <c r="T95" s="21">
        <v>254.3614</v>
      </c>
      <c r="U95" s="21">
        <v>253.352</v>
      </c>
      <c r="V95" s="21">
        <v>253.565</v>
      </c>
      <c r="W95" s="21">
        <v>253.7833</v>
      </c>
      <c r="X95" s="21">
        <v>255.2702</v>
      </c>
      <c r="Y95" s="21">
        <v>253.5669</v>
      </c>
      <c r="Z95" s="21">
        <v>257.9374</v>
      </c>
      <c r="AA95" s="21">
        <v>293.81</v>
      </c>
      <c r="AB95" s="21">
        <v>1.2776</v>
      </c>
      <c r="AC95" s="19">
        <v>0.97</v>
      </c>
      <c r="AD95" s="16" t="s">
        <v>1482</v>
      </c>
      <c r="AE95" s="22">
        <f>IFERROR(__xludf.DUMMYFUNCTION("IFERROR(GOOGLEFINANCE(B95,""price""),"""")"),228.87)</f>
        <v>228.87</v>
      </c>
      <c r="AF95" s="22"/>
      <c r="AG95" s="22"/>
      <c r="AH95" s="22"/>
      <c r="AI95" s="22"/>
      <c r="AJ95" s="22"/>
      <c r="AK95" s="22"/>
      <c r="AL95" s="22"/>
    </row>
    <row r="96">
      <c r="A96" s="7">
        <v>46052.892219108406</v>
      </c>
      <c r="B96" s="8" t="s">
        <v>1483</v>
      </c>
      <c r="C96" s="8" t="s">
        <v>1484</v>
      </c>
      <c r="D96" s="9">
        <v>46054.0</v>
      </c>
      <c r="E96" s="8" t="s">
        <v>1485</v>
      </c>
      <c r="F96" s="10">
        <v>134.38</v>
      </c>
      <c r="G96" s="11">
        <v>-0.0446</v>
      </c>
      <c r="H96" s="8" t="s">
        <v>917</v>
      </c>
      <c r="I96" s="12">
        <v>3240656.0</v>
      </c>
      <c r="J96" s="11">
        <v>21.8494</v>
      </c>
      <c r="K96" s="13">
        <v>2.2304</v>
      </c>
      <c r="L96" s="13">
        <v>4.4105</v>
      </c>
      <c r="M96" s="8">
        <v>1963349.0</v>
      </c>
      <c r="N96" s="13">
        <v>1.8338</v>
      </c>
      <c r="O96" s="12">
        <v>2.7908443917E10</v>
      </c>
      <c r="P96" s="13">
        <v>65.4104</v>
      </c>
      <c r="Q96" s="13">
        <v>75.8587</v>
      </c>
      <c r="R96" s="11">
        <v>53.8662</v>
      </c>
      <c r="S96" s="13">
        <v>135.013</v>
      </c>
      <c r="T96" s="13">
        <v>133.7047</v>
      </c>
      <c r="U96" s="13">
        <v>133.258</v>
      </c>
      <c r="V96" s="13">
        <v>133.4104</v>
      </c>
      <c r="W96" s="13">
        <v>133.51</v>
      </c>
      <c r="X96" s="13">
        <v>134.1338</v>
      </c>
      <c r="Y96" s="13">
        <v>133.6317</v>
      </c>
      <c r="Z96" s="13">
        <v>135.6699</v>
      </c>
      <c r="AA96" s="13">
        <v>143.79</v>
      </c>
      <c r="AB96" s="13">
        <v>1.306</v>
      </c>
      <c r="AC96" s="11">
        <v>1.01</v>
      </c>
      <c r="AD96" s="23"/>
      <c r="AE96" s="14">
        <f>IFERROR(__xludf.DUMMYFUNCTION("IFERROR(GOOGLEFINANCE(B96,""price""),"""")"),149.68)</f>
        <v>149.68</v>
      </c>
      <c r="AF96" s="14"/>
      <c r="AG96" s="14"/>
      <c r="AH96" s="14"/>
      <c r="AI96" s="14"/>
      <c r="AJ96" s="14"/>
      <c r="AK96" s="14"/>
      <c r="AL96" s="14"/>
    </row>
    <row r="97">
      <c r="A97" s="15">
        <v>46052.892219108406</v>
      </c>
      <c r="B97" s="16" t="s">
        <v>1486</v>
      </c>
      <c r="C97" s="16" t="s">
        <v>1487</v>
      </c>
      <c r="D97" s="17">
        <v>46054.0</v>
      </c>
      <c r="E97" s="16" t="s">
        <v>1488</v>
      </c>
      <c r="F97" s="18">
        <v>63.04</v>
      </c>
      <c r="G97" s="19">
        <v>-1.1757</v>
      </c>
      <c r="H97" s="16" t="s">
        <v>93</v>
      </c>
      <c r="I97" s="20">
        <v>607026.0</v>
      </c>
      <c r="J97" s="19">
        <v>28.8608</v>
      </c>
      <c r="K97" s="21">
        <v>0.9002</v>
      </c>
      <c r="L97" s="21">
        <v>1.8656</v>
      </c>
      <c r="M97" s="21">
        <v>440680.6</v>
      </c>
      <c r="N97" s="21">
        <v>1.4648</v>
      </c>
      <c r="O97" s="20">
        <v>3.5139698008E10</v>
      </c>
      <c r="P97" s="21">
        <v>71.0636</v>
      </c>
      <c r="Q97" s="21">
        <v>67.142</v>
      </c>
      <c r="R97" s="19">
        <v>54.991</v>
      </c>
      <c r="S97" s="21">
        <v>63.0843</v>
      </c>
      <c r="T97" s="21">
        <v>62.6648</v>
      </c>
      <c r="U97" s="21">
        <v>62.2168</v>
      </c>
      <c r="V97" s="21">
        <v>61.7961</v>
      </c>
      <c r="W97" s="21">
        <v>61.6951</v>
      </c>
      <c r="X97" s="21">
        <v>61.2443</v>
      </c>
      <c r="Y97" s="21">
        <v>60.3582</v>
      </c>
      <c r="Z97" s="21">
        <v>61.0787</v>
      </c>
      <c r="AA97" s="21">
        <v>66.81</v>
      </c>
      <c r="AB97" s="21">
        <v>1.3761</v>
      </c>
      <c r="AC97" s="19">
        <v>0.97</v>
      </c>
      <c r="AD97" s="24"/>
      <c r="AE97" s="22">
        <f>IFERROR(__xludf.DUMMYFUNCTION("IFERROR(GOOGLEFINANCE(B97,""price""),"""")"),65.27)</f>
        <v>65.27</v>
      </c>
      <c r="AF97" s="22"/>
      <c r="AG97" s="22"/>
      <c r="AH97" s="22"/>
      <c r="AI97" s="22"/>
      <c r="AJ97" s="22"/>
      <c r="AK97" s="22"/>
      <c r="AL97" s="22"/>
    </row>
    <row r="98">
      <c r="A98" s="7">
        <v>46052.892219108406</v>
      </c>
      <c r="B98" s="8" t="s">
        <v>1489</v>
      </c>
      <c r="C98" s="8" t="s">
        <v>1490</v>
      </c>
      <c r="D98" s="9">
        <v>46054.0</v>
      </c>
      <c r="E98" s="8" t="s">
        <v>1491</v>
      </c>
      <c r="F98" s="10">
        <v>78.32</v>
      </c>
      <c r="G98" s="11">
        <v>-0.1403</v>
      </c>
      <c r="H98" s="8" t="s">
        <v>308</v>
      </c>
      <c r="I98" s="12">
        <v>2.6458381E7</v>
      </c>
      <c r="J98" s="11">
        <v>22.8666</v>
      </c>
      <c r="K98" s="13">
        <v>1.4573</v>
      </c>
      <c r="L98" s="13">
        <v>3.1605</v>
      </c>
      <c r="M98" s="8">
        <v>1.995539E7</v>
      </c>
      <c r="N98" s="13">
        <v>1.383</v>
      </c>
      <c r="O98" s="12">
        <v>3.09449721067E11</v>
      </c>
      <c r="P98" s="13">
        <v>88.578</v>
      </c>
      <c r="Q98" s="13">
        <v>92.3553</v>
      </c>
      <c r="R98" s="11">
        <v>60.6026</v>
      </c>
      <c r="S98" s="13">
        <v>77.258</v>
      </c>
      <c r="T98" s="13">
        <v>76.395</v>
      </c>
      <c r="U98" s="13">
        <v>76.1757</v>
      </c>
      <c r="V98" s="13">
        <v>75.7363</v>
      </c>
      <c r="W98" s="13">
        <v>75.5649</v>
      </c>
      <c r="X98" s="13">
        <v>74.2424</v>
      </c>
      <c r="Y98" s="13">
        <v>70.066</v>
      </c>
      <c r="Z98" s="13">
        <v>69.3007</v>
      </c>
      <c r="AA98" s="13">
        <v>80.815</v>
      </c>
      <c r="AB98" s="13">
        <v>1.3819</v>
      </c>
      <c r="AC98" s="11">
        <v>0.92</v>
      </c>
      <c r="AD98" s="23"/>
      <c r="AE98" s="14">
        <f>IFERROR(__xludf.DUMMYFUNCTION("IFERROR(GOOGLEFINANCE(B98,""price""),"""")"),82.22)</f>
        <v>82.22</v>
      </c>
      <c r="AF98" s="14"/>
      <c r="AG98" s="14"/>
      <c r="AH98" s="14"/>
      <c r="AI98" s="14"/>
      <c r="AJ98" s="14"/>
      <c r="AK98" s="14"/>
      <c r="AL98" s="14"/>
    </row>
    <row r="99">
      <c r="A99" s="15">
        <v>46052.892219108406</v>
      </c>
      <c r="B99" s="16" t="s">
        <v>1492</v>
      </c>
      <c r="C99" s="16" t="s">
        <v>1493</v>
      </c>
      <c r="D99" s="17">
        <v>46054.0</v>
      </c>
      <c r="E99" s="16" t="s">
        <v>1494</v>
      </c>
      <c r="F99" s="18">
        <v>24.49</v>
      </c>
      <c r="G99" s="19">
        <v>0.2867</v>
      </c>
      <c r="H99" s="16" t="s">
        <v>93</v>
      </c>
      <c r="I99" s="20">
        <v>1.0270538E7</v>
      </c>
      <c r="J99" s="19">
        <v>21.1962</v>
      </c>
      <c r="K99" s="21">
        <v>0.5229</v>
      </c>
      <c r="L99" s="21">
        <v>1.1097</v>
      </c>
      <c r="M99" s="16">
        <v>7068772.0</v>
      </c>
      <c r="N99" s="21">
        <v>1.4366</v>
      </c>
      <c r="O99" s="20">
        <v>1.1877650037E10</v>
      </c>
      <c r="P99" s="21">
        <v>47.503</v>
      </c>
      <c r="Q99" s="21">
        <v>43.2666</v>
      </c>
      <c r="R99" s="19">
        <v>55.3055</v>
      </c>
      <c r="S99" s="21">
        <v>24.3438</v>
      </c>
      <c r="T99" s="21">
        <v>24.2373</v>
      </c>
      <c r="U99" s="21">
        <v>24.0016</v>
      </c>
      <c r="V99" s="21">
        <v>23.6989</v>
      </c>
      <c r="W99" s="21">
        <v>23.613</v>
      </c>
      <c r="X99" s="21">
        <v>23.1237</v>
      </c>
      <c r="Y99" s="21">
        <v>21.9479</v>
      </c>
      <c r="Z99" s="21">
        <v>21.7149</v>
      </c>
      <c r="AA99" s="21">
        <v>25.2099</v>
      </c>
      <c r="AB99" s="21">
        <v>1.3975</v>
      </c>
      <c r="AC99" s="19">
        <v>0.94</v>
      </c>
      <c r="AD99" s="24"/>
      <c r="AE99" s="22">
        <f>IFERROR(__xludf.DUMMYFUNCTION("IFERROR(GOOGLEFINANCE(B99,""price""),"""")"),24.05)</f>
        <v>24.05</v>
      </c>
      <c r="AF99" s="22"/>
      <c r="AG99" s="22"/>
      <c r="AH99" s="22"/>
      <c r="AI99" s="22"/>
      <c r="AJ99" s="22"/>
      <c r="AK99" s="22"/>
      <c r="AL99" s="22"/>
    </row>
    <row r="100">
      <c r="A100" s="7">
        <v>46052.892219108406</v>
      </c>
      <c r="B100" s="8" t="s">
        <v>1264</v>
      </c>
      <c r="C100" s="8" t="s">
        <v>1265</v>
      </c>
      <c r="D100" s="9">
        <v>46054.0</v>
      </c>
      <c r="E100" s="8" t="s">
        <v>1266</v>
      </c>
      <c r="F100" s="10">
        <v>41.64</v>
      </c>
      <c r="G100" s="11">
        <v>5.9003</v>
      </c>
      <c r="H100" s="8" t="s">
        <v>917</v>
      </c>
      <c r="I100" s="12">
        <v>2251084.0</v>
      </c>
      <c r="J100" s="11">
        <v>26.5677</v>
      </c>
      <c r="K100" s="13">
        <v>1.2556</v>
      </c>
      <c r="L100" s="13">
        <v>2.3097</v>
      </c>
      <c r="M100" s="8">
        <v>1059827.0</v>
      </c>
      <c r="N100" s="13">
        <v>2.4626</v>
      </c>
      <c r="O100" s="12">
        <v>6.03303654E9</v>
      </c>
      <c r="P100" s="13">
        <v>74.6738</v>
      </c>
      <c r="Q100" s="13">
        <v>75.6848</v>
      </c>
      <c r="R100" s="11">
        <v>61.5572</v>
      </c>
      <c r="S100" s="13">
        <v>40.0793</v>
      </c>
      <c r="T100" s="13">
        <v>39.558</v>
      </c>
      <c r="U100" s="13">
        <v>39.4928</v>
      </c>
      <c r="V100" s="13">
        <v>39.4235</v>
      </c>
      <c r="W100" s="13">
        <v>39.3754</v>
      </c>
      <c r="X100" s="13">
        <v>38.7772</v>
      </c>
      <c r="Y100" s="13">
        <v>36.288</v>
      </c>
      <c r="Z100" s="13">
        <v>35.4982</v>
      </c>
      <c r="AA100" s="13">
        <v>45.1</v>
      </c>
      <c r="AB100" s="13">
        <v>1.4084</v>
      </c>
      <c r="AC100" s="11">
        <v>1.09</v>
      </c>
      <c r="AD100" s="8" t="s">
        <v>1495</v>
      </c>
      <c r="AE100" s="14">
        <f>IFERROR(__xludf.DUMMYFUNCTION("IFERROR(GOOGLEFINANCE(B100,""price""),"""")"),42.56)</f>
        <v>42.56</v>
      </c>
      <c r="AF100" s="14"/>
      <c r="AG100" s="14"/>
      <c r="AH100" s="14"/>
      <c r="AI100" s="14"/>
      <c r="AJ100" s="14"/>
      <c r="AK100" s="14"/>
      <c r="AL100" s="14"/>
    </row>
    <row r="101">
      <c r="A101" s="15">
        <v>46052.892219108406</v>
      </c>
      <c r="B101" s="16" t="s">
        <v>1496</v>
      </c>
      <c r="C101" s="16" t="s">
        <v>1497</v>
      </c>
      <c r="D101" s="17">
        <v>46054.0</v>
      </c>
      <c r="E101" s="16" t="s">
        <v>1498</v>
      </c>
      <c r="F101" s="18">
        <v>83.75</v>
      </c>
      <c r="G101" s="19">
        <v>-0.2976</v>
      </c>
      <c r="H101" s="16" t="s">
        <v>245</v>
      </c>
      <c r="I101" s="20">
        <v>1214851.0</v>
      </c>
      <c r="J101" s="19">
        <v>21.0602</v>
      </c>
      <c r="K101" s="21">
        <v>1.7494</v>
      </c>
      <c r="L101" s="21">
        <v>3.3592</v>
      </c>
      <c r="M101" s="21">
        <v>878993.5</v>
      </c>
      <c r="N101" s="21">
        <v>1.4561</v>
      </c>
      <c r="O101" s="20">
        <v>7.95816369E9</v>
      </c>
      <c r="P101" s="21">
        <v>86.6292</v>
      </c>
      <c r="Q101" s="21">
        <v>87.3731</v>
      </c>
      <c r="R101" s="19">
        <v>61.1508</v>
      </c>
      <c r="S101" s="21">
        <v>82.8654</v>
      </c>
      <c r="T101" s="21">
        <v>81.8846</v>
      </c>
      <c r="U101" s="21">
        <v>81.6736</v>
      </c>
      <c r="V101" s="21">
        <v>81.78</v>
      </c>
      <c r="W101" s="21">
        <v>81.8475</v>
      </c>
      <c r="X101" s="21">
        <v>82.2578</v>
      </c>
      <c r="Y101" s="21">
        <v>80.8418</v>
      </c>
      <c r="Z101" s="21">
        <v>83.6023</v>
      </c>
      <c r="AA101" s="21">
        <v>94.13</v>
      </c>
      <c r="AB101" s="21">
        <v>1.423</v>
      </c>
      <c r="AC101" s="19">
        <v>1.04</v>
      </c>
      <c r="AD101" s="24"/>
      <c r="AE101" s="22">
        <f>IFERROR(__xludf.DUMMYFUNCTION("IFERROR(GOOGLEFINANCE(B101,""price""),"""")"),93.95)</f>
        <v>93.95</v>
      </c>
      <c r="AF101" s="22"/>
      <c r="AG101" s="22"/>
      <c r="AH101" s="22"/>
      <c r="AI101" s="22"/>
      <c r="AJ101" s="22"/>
      <c r="AK101" s="22"/>
      <c r="AL101" s="22"/>
    </row>
    <row r="102">
      <c r="A102" s="7">
        <v>46052.892219108406</v>
      </c>
      <c r="B102" s="8" t="s">
        <v>1499</v>
      </c>
      <c r="C102" s="8" t="s">
        <v>1500</v>
      </c>
      <c r="D102" s="9">
        <v>46054.0</v>
      </c>
      <c r="E102" s="8" t="s">
        <v>1501</v>
      </c>
      <c r="F102" s="10">
        <v>30.04</v>
      </c>
      <c r="G102" s="11">
        <v>-0.4309</v>
      </c>
      <c r="H102" s="8" t="s">
        <v>88</v>
      </c>
      <c r="I102" s="12">
        <v>918428.0</v>
      </c>
      <c r="J102" s="11">
        <v>22.9598</v>
      </c>
      <c r="K102" s="13">
        <v>0.7917</v>
      </c>
      <c r="L102" s="13">
        <v>1.6457</v>
      </c>
      <c r="M102" s="13">
        <v>779226.0</v>
      </c>
      <c r="N102" s="13">
        <v>1.2404</v>
      </c>
      <c r="O102" s="12">
        <v>3.192146272E9</v>
      </c>
      <c r="P102" s="13">
        <v>34.6014</v>
      </c>
      <c r="Q102" s="13">
        <v>32.8245</v>
      </c>
      <c r="R102" s="11">
        <v>51.0123</v>
      </c>
      <c r="S102" s="13">
        <v>30.1548</v>
      </c>
      <c r="T102" s="13">
        <v>30.107</v>
      </c>
      <c r="U102" s="13">
        <v>29.7145</v>
      </c>
      <c r="V102" s="13">
        <v>29.2351</v>
      </c>
      <c r="W102" s="13">
        <v>29.1036</v>
      </c>
      <c r="X102" s="13">
        <v>28.3414</v>
      </c>
      <c r="Y102" s="13">
        <v>26.2326</v>
      </c>
      <c r="Z102" s="13">
        <v>26.0239</v>
      </c>
      <c r="AA102" s="13">
        <v>31.78</v>
      </c>
      <c r="AB102" s="13">
        <v>1.4657</v>
      </c>
      <c r="AC102" s="11">
        <v>0.96</v>
      </c>
      <c r="AD102" s="23"/>
      <c r="AE102" s="14">
        <f>IFERROR(__xludf.DUMMYFUNCTION("IFERROR(GOOGLEFINANCE(B102,""price""),"""")"),29.69)</f>
        <v>29.69</v>
      </c>
      <c r="AF102" s="14"/>
      <c r="AG102" s="14"/>
      <c r="AH102" s="14"/>
      <c r="AI102" s="14"/>
      <c r="AJ102" s="14"/>
      <c r="AK102" s="14"/>
      <c r="AL102" s="14"/>
    </row>
    <row r="103">
      <c r="A103" s="15">
        <v>46052.892219108406</v>
      </c>
      <c r="B103" s="16" t="s">
        <v>1502</v>
      </c>
      <c r="C103" s="16" t="s">
        <v>1503</v>
      </c>
      <c r="D103" s="17">
        <v>46054.0</v>
      </c>
      <c r="E103" s="16" t="s">
        <v>1504</v>
      </c>
      <c r="F103" s="18">
        <v>79.75</v>
      </c>
      <c r="G103" s="19">
        <v>0.1255</v>
      </c>
      <c r="H103" s="16" t="s">
        <v>88</v>
      </c>
      <c r="I103" s="20">
        <v>575907.0</v>
      </c>
      <c r="J103" s="19">
        <v>45.1613</v>
      </c>
      <c r="K103" s="21">
        <v>0.3737</v>
      </c>
      <c r="L103" s="21">
        <v>2.0663</v>
      </c>
      <c r="M103" s="21">
        <v>423436.9</v>
      </c>
      <c r="N103" s="21">
        <v>1.4157</v>
      </c>
      <c r="O103" s="20">
        <v>2.274484227E9</v>
      </c>
      <c r="P103" s="21">
        <v>41.4363</v>
      </c>
      <c r="Q103" s="21">
        <v>52.975</v>
      </c>
      <c r="R103" s="19">
        <v>70.591</v>
      </c>
      <c r="S103" s="21">
        <v>79.702</v>
      </c>
      <c r="T103" s="21">
        <v>79.149</v>
      </c>
      <c r="U103" s="21">
        <v>78.4945</v>
      </c>
      <c r="V103" s="21">
        <v>77.5225</v>
      </c>
      <c r="W103" s="21">
        <v>77.1961</v>
      </c>
      <c r="X103" s="21">
        <v>75.0047</v>
      </c>
      <c r="Y103" s="21">
        <v>69.4884</v>
      </c>
      <c r="Z103" s="21">
        <v>68.3182</v>
      </c>
      <c r="AA103" s="21">
        <v>80.28</v>
      </c>
      <c r="AB103" s="21">
        <v>1.5141</v>
      </c>
      <c r="AC103" s="19">
        <v>0.36</v>
      </c>
      <c r="AD103" s="16" t="s">
        <v>1505</v>
      </c>
      <c r="AE103" s="22">
        <f>IFERROR(__xludf.DUMMYFUNCTION("IFERROR(GOOGLEFINANCE(B103,""price""),"""")"),80.04)</f>
        <v>80.04</v>
      </c>
      <c r="AF103" s="22"/>
      <c r="AG103" s="22"/>
      <c r="AH103" s="22"/>
      <c r="AI103" s="22"/>
      <c r="AJ103" s="22"/>
      <c r="AK103" s="22"/>
      <c r="AL103" s="22"/>
    </row>
    <row r="104">
      <c r="A104" s="7">
        <v>46052.892219108406</v>
      </c>
      <c r="B104" s="8" t="s">
        <v>1292</v>
      </c>
      <c r="C104" s="8" t="s">
        <v>1293</v>
      </c>
      <c r="D104" s="9">
        <v>46054.0</v>
      </c>
      <c r="E104" s="8" t="s">
        <v>1294</v>
      </c>
      <c r="F104" s="10">
        <v>110.67</v>
      </c>
      <c r="G104" s="11">
        <v>0.2355</v>
      </c>
      <c r="H104" s="8" t="s">
        <v>917</v>
      </c>
      <c r="I104" s="12">
        <v>3270210.0</v>
      </c>
      <c r="J104" s="11">
        <v>31.6473</v>
      </c>
      <c r="K104" s="13">
        <v>1.5901</v>
      </c>
      <c r="L104" s="13">
        <v>3.3079</v>
      </c>
      <c r="M104" s="8">
        <v>2538457.0</v>
      </c>
      <c r="N104" s="13">
        <v>1.3533</v>
      </c>
      <c r="O104" s="12">
        <v>3.6000315896E10</v>
      </c>
      <c r="P104" s="13">
        <v>87.0998</v>
      </c>
      <c r="Q104" s="13">
        <v>87.9966</v>
      </c>
      <c r="R104" s="11">
        <v>67.8858</v>
      </c>
      <c r="S104" s="13">
        <v>109.7694</v>
      </c>
      <c r="T104" s="13">
        <v>108.3856</v>
      </c>
      <c r="U104" s="13">
        <v>108.0462</v>
      </c>
      <c r="V104" s="13">
        <v>108.1837</v>
      </c>
      <c r="W104" s="13">
        <v>108.2543</v>
      </c>
      <c r="X104" s="13">
        <v>108.5685</v>
      </c>
      <c r="Y104" s="13">
        <v>107.2871</v>
      </c>
      <c r="Z104" s="13">
        <v>108.5692</v>
      </c>
      <c r="AA104" s="13">
        <v>118.185</v>
      </c>
      <c r="AB104" s="13">
        <v>1.557</v>
      </c>
      <c r="AC104" s="11">
        <v>0.96</v>
      </c>
      <c r="AD104" s="23"/>
      <c r="AE104" s="14">
        <f>IFERROR(__xludf.DUMMYFUNCTION("IFERROR(GOOGLEFINANCE(B104,""price""),"""")"),117.54)</f>
        <v>117.54</v>
      </c>
      <c r="AF104" s="14"/>
      <c r="AG104" s="14"/>
      <c r="AH104" s="14"/>
      <c r="AI104" s="14"/>
      <c r="AJ104" s="14"/>
      <c r="AK104" s="14"/>
      <c r="AL104" s="14"/>
    </row>
    <row r="105">
      <c r="A105" s="15">
        <v>46052.892219108406</v>
      </c>
      <c r="B105" s="16" t="s">
        <v>1506</v>
      </c>
      <c r="C105" s="16" t="s">
        <v>1507</v>
      </c>
      <c r="D105" s="17">
        <v>46054.0</v>
      </c>
      <c r="E105" s="16" t="s">
        <v>1508</v>
      </c>
      <c r="F105" s="18">
        <v>34.3</v>
      </c>
      <c r="G105" s="19">
        <v>-0.0583</v>
      </c>
      <c r="H105" s="16" t="s">
        <v>186</v>
      </c>
      <c r="I105" s="20">
        <v>1423937.0</v>
      </c>
      <c r="J105" s="19">
        <v>20.4628</v>
      </c>
      <c r="K105" s="21">
        <v>0.8745</v>
      </c>
      <c r="L105" s="21">
        <v>1.8749</v>
      </c>
      <c r="M105" s="21">
        <v>963227.3</v>
      </c>
      <c r="N105" s="21">
        <v>1.5855</v>
      </c>
      <c r="O105" s="20">
        <v>5.054762002E9</v>
      </c>
      <c r="P105" s="21">
        <v>19.164</v>
      </c>
      <c r="Q105" s="21">
        <v>17.7188</v>
      </c>
      <c r="R105" s="19">
        <v>50.559</v>
      </c>
      <c r="S105" s="21">
        <v>34.5181</v>
      </c>
      <c r="T105" s="21">
        <v>34.4454</v>
      </c>
      <c r="U105" s="21">
        <v>33.9662</v>
      </c>
      <c r="V105" s="21">
        <v>33.3152</v>
      </c>
      <c r="W105" s="21">
        <v>33.1137</v>
      </c>
      <c r="X105" s="21">
        <v>31.7928</v>
      </c>
      <c r="Y105" s="21">
        <v>28.2238</v>
      </c>
      <c r="Z105" s="21">
        <v>27.4165</v>
      </c>
      <c r="AA105" s="21">
        <v>36.34</v>
      </c>
      <c r="AB105" s="21">
        <v>1.6089</v>
      </c>
      <c r="AC105" s="19">
        <v>0.93</v>
      </c>
      <c r="AD105" s="24"/>
      <c r="AE105" s="22">
        <f>IFERROR(__xludf.DUMMYFUNCTION("IFERROR(GOOGLEFINANCE(B105,""price""),"""")"),32.91)</f>
        <v>32.91</v>
      </c>
      <c r="AF105" s="22"/>
      <c r="AG105" s="22"/>
      <c r="AH105" s="22"/>
      <c r="AI105" s="22"/>
      <c r="AJ105" s="22"/>
      <c r="AK105" s="22"/>
      <c r="AL105" s="22"/>
    </row>
    <row r="106">
      <c r="A106" s="7">
        <v>46052.892219108406</v>
      </c>
      <c r="B106" s="8" t="s">
        <v>1509</v>
      </c>
      <c r="C106" s="8" t="s">
        <v>1510</v>
      </c>
      <c r="D106" s="9">
        <v>46054.0</v>
      </c>
      <c r="E106" s="8" t="s">
        <v>1511</v>
      </c>
      <c r="F106" s="10">
        <v>55.05</v>
      </c>
      <c r="G106" s="11">
        <v>1.4186</v>
      </c>
      <c r="H106" s="8" t="s">
        <v>117</v>
      </c>
      <c r="I106" s="12">
        <v>1.6199328E7</v>
      </c>
      <c r="J106" s="11">
        <v>26.471</v>
      </c>
      <c r="K106" s="13">
        <v>1.1527</v>
      </c>
      <c r="L106" s="13">
        <v>2.6098</v>
      </c>
      <c r="M106" s="8">
        <v>1.2741046E7</v>
      </c>
      <c r="N106" s="13">
        <v>1.3164</v>
      </c>
      <c r="O106" s="12">
        <v>1.12068202979E11</v>
      </c>
      <c r="P106" s="13">
        <v>31.6166</v>
      </c>
      <c r="Q106" s="13">
        <v>36.6643</v>
      </c>
      <c r="R106" s="11">
        <v>54.0573</v>
      </c>
      <c r="S106" s="13">
        <v>54.8758</v>
      </c>
      <c r="T106" s="13">
        <v>54.7011</v>
      </c>
      <c r="U106" s="13">
        <v>53.9568</v>
      </c>
      <c r="V106" s="13">
        <v>52.9436</v>
      </c>
      <c r="W106" s="13">
        <v>52.6574</v>
      </c>
      <c r="X106" s="13">
        <v>51.2561</v>
      </c>
      <c r="Y106" s="13">
        <v>50.2487</v>
      </c>
      <c r="Z106" s="13">
        <v>48.3345</v>
      </c>
      <c r="AA106" s="13">
        <v>63.33</v>
      </c>
      <c r="AB106" s="13">
        <v>1.6693</v>
      </c>
      <c r="AC106" s="11">
        <v>0.88</v>
      </c>
      <c r="AD106" s="23"/>
      <c r="AE106" s="14">
        <f>IFERROR(__xludf.DUMMYFUNCTION("IFERROR(GOOGLEFINANCE(B106,""price""),"""")"),58.62)</f>
        <v>58.62</v>
      </c>
      <c r="AF106" s="14"/>
      <c r="AG106" s="14"/>
      <c r="AH106" s="14"/>
      <c r="AI106" s="14"/>
      <c r="AJ106" s="14"/>
      <c r="AK106" s="14"/>
      <c r="AL106" s="14"/>
    </row>
    <row r="107">
      <c r="A107" s="15">
        <v>46052.892219108406</v>
      </c>
      <c r="B107" s="16" t="s">
        <v>1512</v>
      </c>
      <c r="C107" s="16" t="s">
        <v>1513</v>
      </c>
      <c r="D107" s="17">
        <v>46054.0</v>
      </c>
      <c r="E107" s="16" t="s">
        <v>1514</v>
      </c>
      <c r="F107" s="18">
        <v>76.73</v>
      </c>
      <c r="G107" s="19">
        <v>0.4714</v>
      </c>
      <c r="H107" s="16" t="s">
        <v>917</v>
      </c>
      <c r="I107" s="20">
        <v>3549704.0</v>
      </c>
      <c r="J107" s="19">
        <v>22.6714</v>
      </c>
      <c r="K107" s="21">
        <v>1.1201</v>
      </c>
      <c r="L107" s="21">
        <v>2.3538</v>
      </c>
      <c r="M107" s="16">
        <v>2184694.0</v>
      </c>
      <c r="N107" s="21">
        <v>1.7406</v>
      </c>
      <c r="O107" s="20">
        <v>1.7664331739E10</v>
      </c>
      <c r="P107" s="21">
        <v>82.1384</v>
      </c>
      <c r="Q107" s="21">
        <v>86.3465</v>
      </c>
      <c r="R107" s="19">
        <v>61.0487</v>
      </c>
      <c r="S107" s="21">
        <v>76.3627</v>
      </c>
      <c r="T107" s="21">
        <v>75.4267</v>
      </c>
      <c r="U107" s="21">
        <v>75.0703</v>
      </c>
      <c r="V107" s="21">
        <v>74.9234</v>
      </c>
      <c r="W107" s="21">
        <v>74.885</v>
      </c>
      <c r="X107" s="21">
        <v>74.4748</v>
      </c>
      <c r="Y107" s="21">
        <v>72.0943</v>
      </c>
      <c r="Z107" s="21">
        <v>72.0786</v>
      </c>
      <c r="AA107" s="21">
        <v>79.32</v>
      </c>
      <c r="AB107" s="21">
        <v>1.6844</v>
      </c>
      <c r="AC107" s="19">
        <v>0.95</v>
      </c>
      <c r="AD107" s="24"/>
      <c r="AE107" s="22">
        <f>IFERROR(__xludf.DUMMYFUNCTION("IFERROR(GOOGLEFINANCE(B107,""price""),"""")"),83.58)</f>
        <v>83.58</v>
      </c>
      <c r="AF107" s="22"/>
      <c r="AG107" s="22"/>
      <c r="AH107" s="22"/>
      <c r="AI107" s="22"/>
      <c r="AJ107" s="22"/>
      <c r="AK107" s="22"/>
      <c r="AL107" s="22"/>
    </row>
    <row r="108">
      <c r="A108" s="7">
        <v>46052.892219108406</v>
      </c>
      <c r="B108" s="8" t="s">
        <v>1224</v>
      </c>
      <c r="C108" s="8" t="s">
        <v>1225</v>
      </c>
      <c r="D108" s="9">
        <v>46054.0</v>
      </c>
      <c r="E108" s="8" t="s">
        <v>1226</v>
      </c>
      <c r="F108" s="10">
        <v>420.58</v>
      </c>
      <c r="G108" s="11">
        <v>-1.2885</v>
      </c>
      <c r="H108" s="8" t="s">
        <v>102</v>
      </c>
      <c r="I108" s="12">
        <v>3313120.0</v>
      </c>
      <c r="J108" s="11">
        <v>25.354</v>
      </c>
      <c r="K108" s="13">
        <v>11.7561</v>
      </c>
      <c r="L108" s="13">
        <v>22.9577</v>
      </c>
      <c r="M108" s="8">
        <v>2357251.0</v>
      </c>
      <c r="N108" s="13">
        <v>1.5434</v>
      </c>
      <c r="O108" s="12">
        <v>9.3258989556E10</v>
      </c>
      <c r="P108" s="13">
        <v>81.903</v>
      </c>
      <c r="Q108" s="13">
        <v>79.5324</v>
      </c>
      <c r="R108" s="11">
        <v>65.4937</v>
      </c>
      <c r="S108" s="13">
        <v>403.7534</v>
      </c>
      <c r="T108" s="13">
        <v>396.3176</v>
      </c>
      <c r="U108" s="13">
        <v>396.5505</v>
      </c>
      <c r="V108" s="13">
        <v>398.901</v>
      </c>
      <c r="W108" s="13">
        <v>399.6928</v>
      </c>
      <c r="X108" s="13">
        <v>403.8405</v>
      </c>
      <c r="Y108" s="13">
        <v>402.5566</v>
      </c>
      <c r="Z108" s="13">
        <v>413.826</v>
      </c>
      <c r="AA108" s="13">
        <v>476.185</v>
      </c>
      <c r="AB108" s="13">
        <v>1.7126</v>
      </c>
      <c r="AC108" s="11">
        <v>1.02</v>
      </c>
      <c r="AD108" s="23"/>
      <c r="AE108" s="14">
        <f>IFERROR(__xludf.DUMMYFUNCTION("IFERROR(GOOGLEFINANCE(B108,""price""),"""")"),465.71)</f>
        <v>465.71</v>
      </c>
      <c r="AF108" s="14"/>
      <c r="AG108" s="14"/>
      <c r="AH108" s="14"/>
      <c r="AI108" s="14"/>
      <c r="AJ108" s="14"/>
      <c r="AK108" s="14"/>
      <c r="AL108" s="14"/>
    </row>
    <row r="109">
      <c r="A109" s="15">
        <v>46052.892219108406</v>
      </c>
      <c r="B109" s="16" t="s">
        <v>1316</v>
      </c>
      <c r="C109" s="16" t="s">
        <v>1317</v>
      </c>
      <c r="D109" s="17">
        <v>46054.0</v>
      </c>
      <c r="E109" s="16" t="s">
        <v>1318</v>
      </c>
      <c r="F109" s="18">
        <v>72.98</v>
      </c>
      <c r="G109" s="19">
        <v>0.2335</v>
      </c>
      <c r="H109" s="16" t="s">
        <v>917</v>
      </c>
      <c r="I109" s="20">
        <v>1663628.0</v>
      </c>
      <c r="J109" s="19">
        <v>23.5468</v>
      </c>
      <c r="K109" s="21">
        <v>1.4793</v>
      </c>
      <c r="L109" s="21">
        <v>3.1367</v>
      </c>
      <c r="M109" s="16">
        <v>1034638.0</v>
      </c>
      <c r="N109" s="21">
        <v>1.7626</v>
      </c>
      <c r="O109" s="20">
        <v>5.508047721E9</v>
      </c>
      <c r="P109" s="21">
        <v>62.7583</v>
      </c>
      <c r="Q109" s="21">
        <v>68.1407</v>
      </c>
      <c r="R109" s="19">
        <v>57.147</v>
      </c>
      <c r="S109" s="21">
        <v>72.6459</v>
      </c>
      <c r="T109" s="21">
        <v>71.9279</v>
      </c>
      <c r="U109" s="21">
        <v>71.2939</v>
      </c>
      <c r="V109" s="21">
        <v>70.4447</v>
      </c>
      <c r="W109" s="21">
        <v>70.1677</v>
      </c>
      <c r="X109" s="21">
        <v>68.3774</v>
      </c>
      <c r="Y109" s="21">
        <v>64.744</v>
      </c>
      <c r="Z109" s="21">
        <v>62.7889</v>
      </c>
      <c r="AA109" s="21">
        <v>74.23</v>
      </c>
      <c r="AB109" s="21">
        <v>1.8525</v>
      </c>
      <c r="AC109" s="19">
        <v>0.94</v>
      </c>
      <c r="AD109" s="24"/>
      <c r="AE109" s="22">
        <f>IFERROR(__xludf.DUMMYFUNCTION("IFERROR(GOOGLEFINANCE(B109,""price""),"""")"),73.8)</f>
        <v>73.8</v>
      </c>
      <c r="AF109" s="22"/>
      <c r="AG109" s="22"/>
      <c r="AH109" s="22"/>
      <c r="AI109" s="22"/>
      <c r="AJ109" s="22"/>
      <c r="AK109" s="22"/>
      <c r="AL109" s="22"/>
    </row>
    <row r="110">
      <c r="A110" s="7">
        <v>46052.892219108406</v>
      </c>
      <c r="B110" s="8" t="s">
        <v>1515</v>
      </c>
      <c r="C110" s="8" t="s">
        <v>1516</v>
      </c>
      <c r="D110" s="9">
        <v>46054.0</v>
      </c>
      <c r="E110" s="8" t="s">
        <v>1517</v>
      </c>
      <c r="F110" s="10">
        <v>35.0</v>
      </c>
      <c r="G110" s="11">
        <v>-1.4085</v>
      </c>
      <c r="H110" s="8" t="s">
        <v>93</v>
      </c>
      <c r="I110" s="12">
        <v>721934.0</v>
      </c>
      <c r="J110" s="11">
        <v>24.4518</v>
      </c>
      <c r="K110" s="13">
        <v>0.9368</v>
      </c>
      <c r="L110" s="13">
        <v>1.7434</v>
      </c>
      <c r="M110" s="13">
        <v>614180.9</v>
      </c>
      <c r="N110" s="13">
        <v>1.2271</v>
      </c>
      <c r="O110" s="12">
        <v>3.228658677E9</v>
      </c>
      <c r="P110" s="13">
        <v>47.4032</v>
      </c>
      <c r="Q110" s="13">
        <v>57.5911</v>
      </c>
      <c r="R110" s="11">
        <v>49.0508</v>
      </c>
      <c r="S110" s="13">
        <v>35.6393</v>
      </c>
      <c r="T110" s="13">
        <v>35.2692</v>
      </c>
      <c r="U110" s="13">
        <v>34.9678</v>
      </c>
      <c r="V110" s="13">
        <v>34.7484</v>
      </c>
      <c r="W110" s="13">
        <v>34.7051</v>
      </c>
      <c r="X110" s="13">
        <v>34.5696</v>
      </c>
      <c r="Y110" s="13">
        <v>34.37</v>
      </c>
      <c r="Z110" s="13">
        <v>34.5222</v>
      </c>
      <c r="AA110" s="13">
        <v>38.01</v>
      </c>
      <c r="AB110" s="13">
        <v>1.9185</v>
      </c>
      <c r="AC110" s="11">
        <v>1.07</v>
      </c>
      <c r="AD110" s="23"/>
      <c r="AE110" s="14">
        <f>IFERROR(__xludf.DUMMYFUNCTION("IFERROR(GOOGLEFINANCE(B110,""price""),"""")"),35.85)</f>
        <v>35.85</v>
      </c>
      <c r="AF110" s="14"/>
      <c r="AG110" s="14"/>
      <c r="AH110" s="14"/>
      <c r="AI110" s="14"/>
      <c r="AJ110" s="14"/>
      <c r="AK110" s="14"/>
      <c r="AL110" s="14"/>
    </row>
    <row r="111">
      <c r="A111" s="15">
        <v>46052.892219108406</v>
      </c>
      <c r="B111" s="16" t="s">
        <v>1375</v>
      </c>
      <c r="C111" s="16" t="s">
        <v>1376</v>
      </c>
      <c r="D111" s="17">
        <v>46054.0</v>
      </c>
      <c r="E111" s="16" t="s">
        <v>1377</v>
      </c>
      <c r="F111" s="18">
        <v>71.71</v>
      </c>
      <c r="G111" s="19">
        <v>-2.2225</v>
      </c>
      <c r="H111" s="16" t="s">
        <v>117</v>
      </c>
      <c r="I111" s="20">
        <v>2044283.0</v>
      </c>
      <c r="J111" s="19">
        <v>26.5743</v>
      </c>
      <c r="K111" s="21">
        <v>2.2579</v>
      </c>
      <c r="L111" s="21">
        <v>4.6426</v>
      </c>
      <c r="M111" s="16">
        <v>1505695.0</v>
      </c>
      <c r="N111" s="21">
        <v>1.3462</v>
      </c>
      <c r="O111" s="20">
        <v>8.432880457E9</v>
      </c>
      <c r="P111" s="21">
        <v>65.4703</v>
      </c>
      <c r="Q111" s="21">
        <v>50.841</v>
      </c>
      <c r="R111" s="19">
        <v>53.8933</v>
      </c>
      <c r="S111" s="21">
        <v>71.6281</v>
      </c>
      <c r="T111" s="21">
        <v>70.9184</v>
      </c>
      <c r="U111" s="21">
        <v>70.2411</v>
      </c>
      <c r="V111" s="21">
        <v>69.7003</v>
      </c>
      <c r="W111" s="21">
        <v>69.5641</v>
      </c>
      <c r="X111" s="21">
        <v>68.67</v>
      </c>
      <c r="Y111" s="21">
        <v>65.3936</v>
      </c>
      <c r="Z111" s="21">
        <v>64.5791</v>
      </c>
      <c r="AA111" s="21">
        <v>79.5</v>
      </c>
      <c r="AB111" s="21">
        <v>1.9343</v>
      </c>
      <c r="AC111" s="19">
        <v>0.97</v>
      </c>
      <c r="AD111" s="24"/>
      <c r="AE111" s="22">
        <f>IFERROR(__xludf.DUMMYFUNCTION("IFERROR(GOOGLEFINANCE(B111,""price""),"""")"),67.82)</f>
        <v>67.82</v>
      </c>
      <c r="AF111" s="22"/>
      <c r="AG111" s="22"/>
      <c r="AH111" s="22"/>
      <c r="AI111" s="22"/>
      <c r="AJ111" s="22"/>
      <c r="AK111" s="22"/>
      <c r="AL111" s="22"/>
    </row>
    <row r="112">
      <c r="A112" s="7">
        <v>46055.62793721501</v>
      </c>
      <c r="B112" s="8" t="s">
        <v>1518</v>
      </c>
      <c r="C112" s="8" t="s">
        <v>1519</v>
      </c>
      <c r="D112" s="9">
        <v>46061.0</v>
      </c>
      <c r="E112" s="8" t="s">
        <v>1520</v>
      </c>
      <c r="F112" s="10">
        <v>8.1</v>
      </c>
      <c r="G112" s="11">
        <v>8.7248</v>
      </c>
      <c r="H112" s="8" t="s">
        <v>93</v>
      </c>
      <c r="I112" s="12">
        <v>478946.0</v>
      </c>
      <c r="J112" s="11">
        <v>29.2123</v>
      </c>
      <c r="K112" s="13">
        <v>0.4325</v>
      </c>
      <c r="L112" s="13">
        <v>0.8607</v>
      </c>
      <c r="M112" s="13">
        <v>400473.2</v>
      </c>
      <c r="N112" s="13">
        <v>1.214</v>
      </c>
      <c r="O112" s="12">
        <v>7.91798092E8</v>
      </c>
      <c r="P112" s="13">
        <v>25.729</v>
      </c>
      <c r="Q112" s="13">
        <v>21.4791</v>
      </c>
      <c r="R112" s="11">
        <v>49.7925</v>
      </c>
      <c r="S112" s="13">
        <v>8.0341</v>
      </c>
      <c r="T112" s="13">
        <v>8.1532</v>
      </c>
      <c r="U112" s="13">
        <v>8.0292</v>
      </c>
      <c r="V112" s="13">
        <v>7.8009</v>
      </c>
      <c r="W112" s="13">
        <v>7.7321</v>
      </c>
      <c r="X112" s="13">
        <v>7.3768</v>
      </c>
      <c r="Y112" s="13">
        <v>7.1631</v>
      </c>
      <c r="Z112" s="13">
        <v>6.7552</v>
      </c>
      <c r="AA112" s="13">
        <v>9.61</v>
      </c>
      <c r="AB112" s="13">
        <v>103.7132</v>
      </c>
      <c r="AC112" s="13">
        <v>0.0781</v>
      </c>
      <c r="AD112" s="13">
        <v>3.1654</v>
      </c>
      <c r="AE112" s="13">
        <v>29.4939</v>
      </c>
      <c r="AF112" s="13">
        <v>91.7758</v>
      </c>
      <c r="AG112" s="13">
        <v>0.9429</v>
      </c>
      <c r="AH112" s="13">
        <v>0.9307</v>
      </c>
      <c r="AI112" s="13">
        <v>0.0604</v>
      </c>
      <c r="AJ112" s="11">
        <v>1.0</v>
      </c>
      <c r="AK112" s="8" t="s">
        <v>1267</v>
      </c>
      <c r="AL112" s="10">
        <f>IFERROR(__xludf.DUMMYFUNCTION("IFERROR(GOOGLEFINANCE(B112,""price""),"""")"),8.12)</f>
        <v>8.12</v>
      </c>
    </row>
    <row r="113">
      <c r="A113" s="15">
        <v>46055.62793721501</v>
      </c>
      <c r="B113" s="16" t="s">
        <v>1521</v>
      </c>
      <c r="C113" s="16" t="s">
        <v>1522</v>
      </c>
      <c r="D113" s="17">
        <v>46061.0</v>
      </c>
      <c r="E113" s="16" t="s">
        <v>1523</v>
      </c>
      <c r="F113" s="18">
        <v>10.355</v>
      </c>
      <c r="G113" s="19">
        <v>0.0483</v>
      </c>
      <c r="H113" s="16" t="s">
        <v>93</v>
      </c>
      <c r="I113" s="20">
        <v>309125.0</v>
      </c>
      <c r="J113" s="19">
        <v>25.9414</v>
      </c>
      <c r="K113" s="21">
        <v>0.0293</v>
      </c>
      <c r="L113" s="21">
        <v>0.1994</v>
      </c>
      <c r="M113" s="21">
        <v>83858.9</v>
      </c>
      <c r="N113" s="21">
        <v>5.4341</v>
      </c>
      <c r="O113" s="20">
        <v>2.29190676E8</v>
      </c>
      <c r="P113" s="21">
        <v>55.5556</v>
      </c>
      <c r="Q113" s="21">
        <v>58.0336</v>
      </c>
      <c r="R113" s="19">
        <v>56.8561</v>
      </c>
      <c r="S113" s="21">
        <v>10.3513</v>
      </c>
      <c r="T113" s="21">
        <v>10.3423</v>
      </c>
      <c r="U113" s="21">
        <v>10.3402</v>
      </c>
      <c r="V113" s="21">
        <v>10.3491</v>
      </c>
      <c r="W113" s="21">
        <v>10.3531</v>
      </c>
      <c r="X113" s="21">
        <v>10.3745</v>
      </c>
      <c r="Y113" s="21">
        <v>10.2825</v>
      </c>
      <c r="Z113" s="21">
        <v>10.3886</v>
      </c>
      <c r="AA113" s="21">
        <v>15.24</v>
      </c>
      <c r="AB113" s="21">
        <v>0.0</v>
      </c>
      <c r="AC113" s="21">
        <v>0.0</v>
      </c>
      <c r="AD113" s="21">
        <v>0.0</v>
      </c>
      <c r="AE113" s="21">
        <v>0.0</v>
      </c>
      <c r="AF113" s="21">
        <v>0.0</v>
      </c>
      <c r="AG113" s="21">
        <v>0.0</v>
      </c>
      <c r="AH113" s="21">
        <v>0.9136</v>
      </c>
      <c r="AI113" s="21">
        <v>0.108</v>
      </c>
      <c r="AJ113" s="19">
        <v>0.29</v>
      </c>
      <c r="AK113" s="16" t="s">
        <v>1524</v>
      </c>
      <c r="AL113" s="18">
        <f>IFERROR(__xludf.DUMMYFUNCTION("IFERROR(GOOGLEFINANCE(B113,""price""),"""")"),10.48)</f>
        <v>10.48</v>
      </c>
    </row>
    <row r="114">
      <c r="A114" s="7">
        <v>46055.62793721501</v>
      </c>
      <c r="B114" s="8" t="s">
        <v>1411</v>
      </c>
      <c r="C114" s="8" t="s">
        <v>1412</v>
      </c>
      <c r="D114" s="9">
        <v>46061.0</v>
      </c>
      <c r="E114" s="8" t="s">
        <v>1413</v>
      </c>
      <c r="F114" s="10">
        <v>10.585</v>
      </c>
      <c r="G114" s="11">
        <v>-0.0472</v>
      </c>
      <c r="H114" s="8" t="s">
        <v>93</v>
      </c>
      <c r="I114" s="12">
        <v>341885.0</v>
      </c>
      <c r="J114" s="11">
        <v>49.5753</v>
      </c>
      <c r="K114" s="13">
        <v>0.0222</v>
      </c>
      <c r="L114" s="13">
        <v>0.0725</v>
      </c>
      <c r="M114" s="13">
        <v>129741.3</v>
      </c>
      <c r="N114" s="13">
        <v>3.3981</v>
      </c>
      <c r="O114" s="12">
        <v>3.12363357E8</v>
      </c>
      <c r="P114" s="13">
        <v>86.9048</v>
      </c>
      <c r="Q114" s="13">
        <v>91.2698</v>
      </c>
      <c r="R114" s="11">
        <v>55.9667</v>
      </c>
      <c r="S114" s="13">
        <v>10.5859</v>
      </c>
      <c r="T114" s="13">
        <v>10.5682</v>
      </c>
      <c r="U114" s="13">
        <v>10.5584</v>
      </c>
      <c r="V114" s="13">
        <v>10.5481</v>
      </c>
      <c r="W114" s="13">
        <v>10.5444</v>
      </c>
      <c r="X114" s="13">
        <v>10.5107</v>
      </c>
      <c r="Y114" s="13">
        <v>10.3439</v>
      </c>
      <c r="Z114" s="13">
        <v>10.3582</v>
      </c>
      <c r="AA114" s="13">
        <v>10.9</v>
      </c>
      <c r="AB114" s="13">
        <v>33.6138</v>
      </c>
      <c r="AC114" s="13">
        <v>0.3149</v>
      </c>
      <c r="AD114" s="13">
        <v>4.0795</v>
      </c>
      <c r="AE114" s="13">
        <v>0.0</v>
      </c>
      <c r="AF114" s="13">
        <v>0.0</v>
      </c>
      <c r="AG114" s="13">
        <v>0.0</v>
      </c>
      <c r="AH114" s="13">
        <v>4.0614</v>
      </c>
      <c r="AI114" s="13">
        <v>0.2596</v>
      </c>
      <c r="AJ114" s="11">
        <v>0.61</v>
      </c>
      <c r="AK114" s="8" t="s">
        <v>1525</v>
      </c>
      <c r="AL114" s="10">
        <f>IFERROR(__xludf.DUMMYFUNCTION("IFERROR(GOOGLEFINANCE(B114,""price""),"""")"),10.66)</f>
        <v>10.66</v>
      </c>
    </row>
    <row r="115">
      <c r="A115" s="15">
        <v>46055.62793721501</v>
      </c>
      <c r="B115" s="16" t="s">
        <v>1526</v>
      </c>
      <c r="C115" s="16" t="s">
        <v>1527</v>
      </c>
      <c r="D115" s="17">
        <v>46061.0</v>
      </c>
      <c r="E115" s="16" t="s">
        <v>1528</v>
      </c>
      <c r="F115" s="18">
        <v>10.44</v>
      </c>
      <c r="G115" s="19">
        <v>0.0959</v>
      </c>
      <c r="H115" s="16" t="s">
        <v>93</v>
      </c>
      <c r="I115" s="20">
        <v>564037.0</v>
      </c>
      <c r="J115" s="19">
        <v>39.2167</v>
      </c>
      <c r="K115" s="21">
        <v>0.0184</v>
      </c>
      <c r="L115" s="21">
        <v>0.0354</v>
      </c>
      <c r="M115" s="21">
        <v>72178.3</v>
      </c>
      <c r="N115" s="21">
        <v>35.6807</v>
      </c>
      <c r="O115" s="20">
        <v>3.49918985E8</v>
      </c>
      <c r="P115" s="21">
        <v>81.4394</v>
      </c>
      <c r="Q115" s="21">
        <v>71.5909</v>
      </c>
      <c r="R115" s="19">
        <v>63.0774</v>
      </c>
      <c r="S115" s="21">
        <v>10.4266</v>
      </c>
      <c r="T115" s="21">
        <v>10.4074</v>
      </c>
      <c r="U115" s="21">
        <v>10.3912</v>
      </c>
      <c r="V115" s="21">
        <v>10.3746</v>
      </c>
      <c r="W115" s="21">
        <v>10.3698</v>
      </c>
      <c r="X115" s="21">
        <v>10.3386</v>
      </c>
      <c r="Y115" s="21">
        <v>10.2384</v>
      </c>
      <c r="Z115" s="21">
        <v>10.2425</v>
      </c>
      <c r="AA115" s="21">
        <v>10.45</v>
      </c>
      <c r="AB115" s="21">
        <v>61.9585</v>
      </c>
      <c r="AC115" s="21">
        <v>0.1685</v>
      </c>
      <c r="AD115" s="21">
        <v>4.8957</v>
      </c>
      <c r="AE115" s="21">
        <v>0.0</v>
      </c>
      <c r="AF115" s="21">
        <v>0.0</v>
      </c>
      <c r="AG115" s="21">
        <v>0.0</v>
      </c>
      <c r="AH115" s="21">
        <v>0.0618</v>
      </c>
      <c r="AI115" s="21">
        <v>0.3388</v>
      </c>
      <c r="AJ115" s="19">
        <v>1.04</v>
      </c>
      <c r="AK115" s="16" t="s">
        <v>1529</v>
      </c>
      <c r="AL115" s="18">
        <f>IFERROR(__xludf.DUMMYFUNCTION("IFERROR(GOOGLEFINANCE(B115,""price""),"""")"),10.52)</f>
        <v>10.52</v>
      </c>
    </row>
    <row r="116">
      <c r="A116" s="7">
        <v>46055.62793721501</v>
      </c>
      <c r="B116" s="8" t="s">
        <v>1530</v>
      </c>
      <c r="C116" s="8" t="s">
        <v>1531</v>
      </c>
      <c r="D116" s="9">
        <v>46061.0</v>
      </c>
      <c r="E116" s="8" t="s">
        <v>1532</v>
      </c>
      <c r="F116" s="10">
        <v>10.71</v>
      </c>
      <c r="G116" s="11">
        <v>-0.1864</v>
      </c>
      <c r="H116" s="8" t="s">
        <v>93</v>
      </c>
      <c r="I116" s="12">
        <v>506408.0</v>
      </c>
      <c r="J116" s="11">
        <v>53.7828</v>
      </c>
      <c r="K116" s="13">
        <v>0.0178</v>
      </c>
      <c r="L116" s="13">
        <v>0.0459</v>
      </c>
      <c r="M116" s="13">
        <v>70412.4</v>
      </c>
      <c r="N116" s="13">
        <v>24.2211</v>
      </c>
      <c r="O116" s="12">
        <v>3.079125E8</v>
      </c>
      <c r="P116" s="13">
        <v>90.4762</v>
      </c>
      <c r="Q116" s="13">
        <v>96.8254</v>
      </c>
      <c r="R116" s="11">
        <v>63.7646</v>
      </c>
      <c r="S116" s="13">
        <v>10.7016</v>
      </c>
      <c r="T116" s="13">
        <v>10.6778</v>
      </c>
      <c r="U116" s="13">
        <v>10.6629</v>
      </c>
      <c r="V116" s="13">
        <v>10.6483</v>
      </c>
      <c r="W116" s="13">
        <v>10.644</v>
      </c>
      <c r="X116" s="13">
        <v>10.6143</v>
      </c>
      <c r="Y116" s="13">
        <v>10.4899</v>
      </c>
      <c r="Z116" s="13">
        <v>10.5159</v>
      </c>
      <c r="AA116" s="13">
        <v>10.73</v>
      </c>
      <c r="AB116" s="13">
        <v>31.7333</v>
      </c>
      <c r="AC116" s="13">
        <v>0.3375</v>
      </c>
      <c r="AD116" s="13">
        <v>4.2454</v>
      </c>
      <c r="AE116" s="13">
        <v>0.0</v>
      </c>
      <c r="AF116" s="13">
        <v>0.0</v>
      </c>
      <c r="AG116" s="13">
        <v>0.0</v>
      </c>
      <c r="AH116" s="13">
        <v>3.206</v>
      </c>
      <c r="AI116" s="13">
        <v>0.3613</v>
      </c>
      <c r="AJ116" s="11">
        <v>0.78</v>
      </c>
      <c r="AK116" s="8" t="s">
        <v>1533</v>
      </c>
      <c r="AL116" s="10">
        <f>IFERROR(__xludf.DUMMYFUNCTION("IFERROR(GOOGLEFINANCE(B116,""price""),"""")"),10.79)</f>
        <v>10.79</v>
      </c>
    </row>
    <row r="117">
      <c r="A117" s="15">
        <v>46055.62793721501</v>
      </c>
      <c r="B117" s="16" t="s">
        <v>1459</v>
      </c>
      <c r="C117" s="16" t="s">
        <v>1460</v>
      </c>
      <c r="D117" s="17">
        <v>46061.0</v>
      </c>
      <c r="E117" s="16" t="s">
        <v>1461</v>
      </c>
      <c r="F117" s="18">
        <v>24.48</v>
      </c>
      <c r="G117" s="19">
        <v>1.0735</v>
      </c>
      <c r="H117" s="16" t="s">
        <v>93</v>
      </c>
      <c r="I117" s="20">
        <v>901137.0</v>
      </c>
      <c r="J117" s="19">
        <v>26.8024</v>
      </c>
      <c r="K117" s="21">
        <v>0.1047</v>
      </c>
      <c r="L117" s="21">
        <v>0.2799</v>
      </c>
      <c r="M117" s="21">
        <v>508482.8</v>
      </c>
      <c r="N117" s="21">
        <v>2.0164</v>
      </c>
      <c r="O117" s="20">
        <v>1.258605942E9</v>
      </c>
      <c r="P117" s="21">
        <v>75.4514</v>
      </c>
      <c r="Q117" s="21">
        <v>77.1213</v>
      </c>
      <c r="R117" s="19">
        <v>72.3057</v>
      </c>
      <c r="S117" s="21">
        <v>24.2543</v>
      </c>
      <c r="T117" s="21">
        <v>24.1834</v>
      </c>
      <c r="U117" s="21">
        <v>24.1487</v>
      </c>
      <c r="V117" s="21">
        <v>24.1148</v>
      </c>
      <c r="W117" s="21">
        <v>24.1035</v>
      </c>
      <c r="X117" s="21">
        <v>23.9775</v>
      </c>
      <c r="Y117" s="21">
        <v>22.8872</v>
      </c>
      <c r="Z117" s="21">
        <v>23.7233</v>
      </c>
      <c r="AA117" s="21">
        <v>24.62</v>
      </c>
      <c r="AB117" s="21">
        <v>37.4026</v>
      </c>
      <c r="AC117" s="21">
        <v>0.6545</v>
      </c>
      <c r="AD117" s="21">
        <v>2.6594</v>
      </c>
      <c r="AE117" s="21">
        <v>6.338</v>
      </c>
      <c r="AF117" s="21">
        <v>-3.3509</v>
      </c>
      <c r="AG117" s="21">
        <v>0.3349</v>
      </c>
      <c r="AH117" s="21">
        <v>0.3323</v>
      </c>
      <c r="AI117" s="21">
        <v>0.4313</v>
      </c>
      <c r="AJ117" s="19">
        <v>0.75</v>
      </c>
      <c r="AK117" s="16" t="s">
        <v>1534</v>
      </c>
      <c r="AL117" s="18">
        <f>IFERROR(__xludf.DUMMYFUNCTION("IFERROR(GOOGLEFINANCE(B117,""price""),"""")"),24.38)</f>
        <v>24.38</v>
      </c>
    </row>
    <row r="118">
      <c r="A118" s="7">
        <v>46055.62793721501</v>
      </c>
      <c r="B118" s="8" t="s">
        <v>1448</v>
      </c>
      <c r="C118" s="8" t="s">
        <v>1449</v>
      </c>
      <c r="D118" s="9">
        <v>46061.0</v>
      </c>
      <c r="E118" s="8" t="s">
        <v>1450</v>
      </c>
      <c r="F118" s="10">
        <v>10.72</v>
      </c>
      <c r="G118" s="11">
        <v>-0.1862</v>
      </c>
      <c r="H118" s="8" t="s">
        <v>93</v>
      </c>
      <c r="I118" s="12">
        <v>422062.0</v>
      </c>
      <c r="J118" s="11">
        <v>78.2733</v>
      </c>
      <c r="K118" s="13">
        <v>0.0531</v>
      </c>
      <c r="L118" s="13">
        <v>0.1116</v>
      </c>
      <c r="M118" s="13">
        <v>77614.5</v>
      </c>
      <c r="N118" s="13">
        <v>11.5655</v>
      </c>
      <c r="O118" s="12">
        <v>8.3937601E7</v>
      </c>
      <c r="P118" s="13">
        <v>47.9167</v>
      </c>
      <c r="Q118" s="13">
        <v>48.0801</v>
      </c>
      <c r="R118" s="11">
        <v>54.3029</v>
      </c>
      <c r="S118" s="13">
        <v>10.7273</v>
      </c>
      <c r="T118" s="13">
        <v>10.7055</v>
      </c>
      <c r="U118" s="13">
        <v>10.6797</v>
      </c>
      <c r="V118" s="13">
        <v>10.648</v>
      </c>
      <c r="W118" s="13">
        <v>10.6381</v>
      </c>
      <c r="X118" s="13">
        <v>10.5715</v>
      </c>
      <c r="Y118" s="13">
        <v>10.3533</v>
      </c>
      <c r="Z118" s="13">
        <v>10.3482</v>
      </c>
      <c r="AA118" s="13">
        <v>11.44</v>
      </c>
      <c r="AB118" s="13">
        <v>46.3868</v>
      </c>
      <c r="AC118" s="13">
        <v>0.2311</v>
      </c>
      <c r="AD118" s="13">
        <v>2.9673</v>
      </c>
      <c r="AE118" s="13">
        <v>0.0</v>
      </c>
      <c r="AF118" s="13">
        <v>0.0</v>
      </c>
      <c r="AG118" s="13">
        <v>0.0099</v>
      </c>
      <c r="AH118" s="13">
        <v>0.3102</v>
      </c>
      <c r="AI118" s="13">
        <v>0.4441</v>
      </c>
      <c r="AJ118" s="11">
        <v>0.95</v>
      </c>
      <c r="AK118" s="8" t="s">
        <v>1451</v>
      </c>
      <c r="AL118" s="10">
        <f>IFERROR(__xludf.DUMMYFUNCTION("IFERROR(GOOGLEFINANCE(B118,""price""),"""")"),10.97)</f>
        <v>10.97</v>
      </c>
    </row>
    <row r="119">
      <c r="A119" s="15">
        <v>46055.62793721501</v>
      </c>
      <c r="B119" s="16" t="s">
        <v>1535</v>
      </c>
      <c r="C119" s="16" t="s">
        <v>1536</v>
      </c>
      <c r="D119" s="17">
        <v>46061.0</v>
      </c>
      <c r="E119" s="16" t="s">
        <v>1537</v>
      </c>
      <c r="F119" s="18">
        <v>36.75</v>
      </c>
      <c r="G119" s="19">
        <v>3.6087</v>
      </c>
      <c r="H119" s="16" t="s">
        <v>93</v>
      </c>
      <c r="I119" s="20">
        <v>1505603.0</v>
      </c>
      <c r="J119" s="19">
        <v>20.0075</v>
      </c>
      <c r="K119" s="21">
        <v>1.0822</v>
      </c>
      <c r="L119" s="21">
        <v>2.0727</v>
      </c>
      <c r="M119" s="16">
        <v>1189614.0</v>
      </c>
      <c r="N119" s="21">
        <v>1.2851</v>
      </c>
      <c r="O119" s="20">
        <v>3.781230319E9</v>
      </c>
      <c r="P119" s="21">
        <v>21.3784</v>
      </c>
      <c r="Q119" s="21">
        <v>21.2781</v>
      </c>
      <c r="R119" s="19">
        <v>53.3371</v>
      </c>
      <c r="S119" s="21">
        <v>36.5206</v>
      </c>
      <c r="T119" s="21">
        <v>36.446</v>
      </c>
      <c r="U119" s="21">
        <v>35.9987</v>
      </c>
      <c r="V119" s="21">
        <v>35.4072</v>
      </c>
      <c r="W119" s="21">
        <v>35.2342</v>
      </c>
      <c r="X119" s="21">
        <v>34.2375</v>
      </c>
      <c r="Y119" s="21">
        <v>32.4493</v>
      </c>
      <c r="Z119" s="21">
        <v>31.2315</v>
      </c>
      <c r="AA119" s="21">
        <v>38.78</v>
      </c>
      <c r="AB119" s="21">
        <v>12.475</v>
      </c>
      <c r="AC119" s="21">
        <v>2.9459</v>
      </c>
      <c r="AD119" s="21">
        <v>8.9498</v>
      </c>
      <c r="AE119" s="21">
        <v>29.4047</v>
      </c>
      <c r="AF119" s="21">
        <v>-9.7799</v>
      </c>
      <c r="AG119" s="21">
        <v>0.225</v>
      </c>
      <c r="AH119" s="21">
        <v>0.1086</v>
      </c>
      <c r="AI119" s="21">
        <v>1.4201</v>
      </c>
      <c r="AJ119" s="19">
        <v>1.04</v>
      </c>
      <c r="AK119" s="24"/>
      <c r="AL119" s="22">
        <f>IFERROR(__xludf.DUMMYFUNCTION("IFERROR(GOOGLEFINANCE(B119,""price""),"""")"),34.03)</f>
        <v>34.03</v>
      </c>
    </row>
    <row r="120">
      <c r="A120" s="7">
        <v>46055.62793721501</v>
      </c>
      <c r="B120" s="8" t="s">
        <v>1403</v>
      </c>
      <c r="C120" s="8" t="s">
        <v>1404</v>
      </c>
      <c r="D120" s="9">
        <v>46061.0</v>
      </c>
      <c r="E120" s="8" t="s">
        <v>1405</v>
      </c>
      <c r="F120" s="10">
        <v>32.365</v>
      </c>
      <c r="G120" s="11">
        <v>7.8115</v>
      </c>
      <c r="H120" s="8" t="s">
        <v>149</v>
      </c>
      <c r="I120" s="12">
        <v>2.4908497E7</v>
      </c>
      <c r="J120" s="11">
        <v>27.4985</v>
      </c>
      <c r="K120" s="13">
        <v>1.1499</v>
      </c>
      <c r="L120" s="13">
        <v>2.3186</v>
      </c>
      <c r="M120" s="8">
        <v>2.0462972E7</v>
      </c>
      <c r="N120" s="13">
        <v>1.2706</v>
      </c>
      <c r="O120" s="12">
        <v>4.4674734154E10</v>
      </c>
      <c r="P120" s="13">
        <v>74.5294</v>
      </c>
      <c r="Q120" s="13">
        <v>54.5519</v>
      </c>
      <c r="R120" s="11">
        <v>63.9408</v>
      </c>
      <c r="S120" s="13">
        <v>30.1621</v>
      </c>
      <c r="T120" s="13">
        <v>29.8552</v>
      </c>
      <c r="U120" s="13">
        <v>29.6039</v>
      </c>
      <c r="V120" s="13">
        <v>29.3355</v>
      </c>
      <c r="W120" s="13">
        <v>29.2691</v>
      </c>
      <c r="X120" s="13">
        <v>28.8897</v>
      </c>
      <c r="Y120" s="13">
        <v>27.4127</v>
      </c>
      <c r="Z120" s="13">
        <v>27.408</v>
      </c>
      <c r="AA120" s="13">
        <v>32.89</v>
      </c>
      <c r="AB120" s="13">
        <v>16.1542</v>
      </c>
      <c r="AC120" s="13">
        <v>2.0035</v>
      </c>
      <c r="AD120" s="13">
        <v>25.642</v>
      </c>
      <c r="AE120" s="13">
        <v>16.8363</v>
      </c>
      <c r="AF120" s="13">
        <v>6.3946</v>
      </c>
      <c r="AG120" s="13">
        <v>2.2788</v>
      </c>
      <c r="AH120" s="13">
        <v>0.2945</v>
      </c>
      <c r="AI120" s="13">
        <v>1.7248</v>
      </c>
      <c r="AJ120" s="11">
        <v>0.99</v>
      </c>
      <c r="AK120" s="23"/>
      <c r="AL120" s="14">
        <f>IFERROR(__xludf.DUMMYFUNCTION("IFERROR(GOOGLEFINANCE(B120,""price""),"""")"),27.98)</f>
        <v>27.98</v>
      </c>
    </row>
    <row r="121">
      <c r="A121" s="7">
        <v>46056.62677108539</v>
      </c>
      <c r="B121" s="8" t="s">
        <v>1272</v>
      </c>
      <c r="C121" s="8" t="s">
        <v>1273</v>
      </c>
      <c r="D121" s="9">
        <v>46061.0</v>
      </c>
      <c r="E121" s="8" t="s">
        <v>1274</v>
      </c>
      <c r="F121" s="10">
        <v>31.885</v>
      </c>
      <c r="G121" s="11">
        <v>-0.047</v>
      </c>
      <c r="H121" s="8" t="s">
        <v>102</v>
      </c>
      <c r="I121" s="12">
        <v>1062437.0</v>
      </c>
      <c r="J121" s="11">
        <v>40.6205</v>
      </c>
      <c r="K121" s="13">
        <v>0.0651</v>
      </c>
      <c r="L121" s="13">
        <v>0.9846</v>
      </c>
      <c r="M121" s="13">
        <v>911967.0</v>
      </c>
      <c r="N121" s="13">
        <v>1.218</v>
      </c>
      <c r="O121" s="12">
        <v>2.248168577E9</v>
      </c>
      <c r="P121" s="13">
        <v>75.9127</v>
      </c>
      <c r="Q121" s="13">
        <v>75.8399</v>
      </c>
      <c r="R121" s="11">
        <v>59.5983</v>
      </c>
      <c r="S121" s="13">
        <v>31.8822</v>
      </c>
      <c r="T121" s="13">
        <v>31.8416</v>
      </c>
      <c r="U121" s="13">
        <v>31.7444</v>
      </c>
      <c r="V121" s="13">
        <v>31.4624</v>
      </c>
      <c r="W121" s="13">
        <v>31.3433</v>
      </c>
      <c r="X121" s="13">
        <v>30.4056</v>
      </c>
      <c r="Y121" s="13">
        <v>28.9019</v>
      </c>
      <c r="Z121" s="13">
        <v>26.0309</v>
      </c>
      <c r="AA121" s="13">
        <v>35.48</v>
      </c>
      <c r="AB121" s="13">
        <v>52.4252</v>
      </c>
      <c r="AC121" s="13">
        <v>0.6082</v>
      </c>
      <c r="AD121" s="13">
        <v>3.0679</v>
      </c>
      <c r="AE121" s="13">
        <v>8.6319</v>
      </c>
      <c r="AF121" s="13">
        <v>-16.0001</v>
      </c>
      <c r="AG121" s="13">
        <v>1.1715</v>
      </c>
      <c r="AH121" s="13">
        <v>1.2163</v>
      </c>
      <c r="AI121" s="13">
        <v>0.4321</v>
      </c>
      <c r="AJ121" s="11">
        <v>0.13</v>
      </c>
      <c r="AK121" s="8" t="s">
        <v>1538</v>
      </c>
      <c r="AL121" s="14">
        <f>IFERROR(__xludf.DUMMYFUNCTION("IFERROR(GOOGLEFINANCE(B121,""price""),"""")"),0.16)</f>
        <v>0.16</v>
      </c>
    </row>
    <row r="122">
      <c r="A122" s="15">
        <v>46056.62677108539</v>
      </c>
      <c r="B122" s="16" t="s">
        <v>1459</v>
      </c>
      <c r="C122" s="16" t="s">
        <v>1460</v>
      </c>
      <c r="D122" s="17">
        <v>46061.0</v>
      </c>
      <c r="E122" s="16" t="s">
        <v>1461</v>
      </c>
      <c r="F122" s="18">
        <v>24.405</v>
      </c>
      <c r="G122" s="19">
        <v>-0.184</v>
      </c>
      <c r="H122" s="16" t="s">
        <v>93</v>
      </c>
      <c r="I122" s="20">
        <v>692275.0</v>
      </c>
      <c r="J122" s="19">
        <v>29.7281</v>
      </c>
      <c r="K122" s="21">
        <v>0.1144</v>
      </c>
      <c r="L122" s="21">
        <v>0.2799</v>
      </c>
      <c r="M122" s="21">
        <v>586257.2</v>
      </c>
      <c r="N122" s="21">
        <v>1.2926</v>
      </c>
      <c r="O122" s="20">
        <v>1.254749994E9</v>
      </c>
      <c r="P122" s="21">
        <v>66.4528</v>
      </c>
      <c r="Q122" s="21">
        <v>72.1124</v>
      </c>
      <c r="R122" s="19">
        <v>66.7297</v>
      </c>
      <c r="S122" s="21">
        <v>24.2826</v>
      </c>
      <c r="T122" s="21">
        <v>24.2011</v>
      </c>
      <c r="U122" s="21">
        <v>24.1617</v>
      </c>
      <c r="V122" s="21">
        <v>24.1251</v>
      </c>
      <c r="W122" s="21">
        <v>24.1132</v>
      </c>
      <c r="X122" s="21">
        <v>23.9864</v>
      </c>
      <c r="Y122" s="21">
        <v>22.902</v>
      </c>
      <c r="Z122" s="21">
        <v>23.7288</v>
      </c>
      <c r="AA122" s="21">
        <v>24.62</v>
      </c>
      <c r="AB122" s="21">
        <v>37.288</v>
      </c>
      <c r="AC122" s="21">
        <v>0.6545</v>
      </c>
      <c r="AD122" s="21">
        <v>2.6594</v>
      </c>
      <c r="AE122" s="21">
        <v>6.338</v>
      </c>
      <c r="AF122" s="21">
        <v>-3.3509</v>
      </c>
      <c r="AG122" s="21">
        <v>0.3349</v>
      </c>
      <c r="AH122" s="21">
        <v>0.3323</v>
      </c>
      <c r="AI122" s="21">
        <v>0.4953</v>
      </c>
      <c r="AJ122" s="19">
        <v>0.82</v>
      </c>
      <c r="AK122" s="16" t="s">
        <v>1267</v>
      </c>
      <c r="AL122" s="22">
        <f>IFERROR(__xludf.DUMMYFUNCTION("IFERROR(GOOGLEFINANCE(B122,""price""),"""")"),24.38)</f>
        <v>24.38</v>
      </c>
    </row>
    <row r="123">
      <c r="A123" s="7">
        <v>46056.62677108539</v>
      </c>
      <c r="B123" s="8" t="s">
        <v>1539</v>
      </c>
      <c r="C123" s="8" t="s">
        <v>1540</v>
      </c>
      <c r="D123" s="9">
        <v>46061.0</v>
      </c>
      <c r="E123" s="8" t="s">
        <v>1541</v>
      </c>
      <c r="F123" s="10">
        <v>6.105</v>
      </c>
      <c r="G123" s="11">
        <v>3.4746</v>
      </c>
      <c r="H123" s="8" t="s">
        <v>112</v>
      </c>
      <c r="I123" s="12">
        <v>1314780.0</v>
      </c>
      <c r="J123" s="11">
        <v>21.9321</v>
      </c>
      <c r="K123" s="13">
        <v>0.2231</v>
      </c>
      <c r="L123" s="13">
        <v>0.5494</v>
      </c>
      <c r="M123" s="13">
        <v>841046.4</v>
      </c>
      <c r="N123" s="13">
        <v>1.7298</v>
      </c>
      <c r="O123" s="12">
        <v>2.62952902E8</v>
      </c>
      <c r="P123" s="13">
        <v>61.2111</v>
      </c>
      <c r="Q123" s="13">
        <v>46.9975</v>
      </c>
      <c r="R123" s="11">
        <v>59.3445</v>
      </c>
      <c r="S123" s="13">
        <v>5.8903</v>
      </c>
      <c r="T123" s="13">
        <v>5.882</v>
      </c>
      <c r="U123" s="13">
        <v>5.8524</v>
      </c>
      <c r="V123" s="13">
        <v>5.7623</v>
      </c>
      <c r="W123" s="13">
        <v>5.7226</v>
      </c>
      <c r="X123" s="13">
        <v>5.3621</v>
      </c>
      <c r="Y123" s="13">
        <v>4.1815</v>
      </c>
      <c r="Z123" s="13">
        <v>3.6934</v>
      </c>
      <c r="AA123" s="13">
        <v>6.23</v>
      </c>
      <c r="AB123" s="13">
        <v>0.0</v>
      </c>
      <c r="AC123" s="13">
        <v>-0.2646</v>
      </c>
      <c r="AD123" s="13">
        <v>-44.5236</v>
      </c>
      <c r="AE123" s="13">
        <v>-10.9103</v>
      </c>
      <c r="AF123" s="13">
        <v>70.3583</v>
      </c>
      <c r="AG123" s="13">
        <v>0.1039</v>
      </c>
      <c r="AH123" s="13">
        <v>2.78</v>
      </c>
      <c r="AI123" s="13">
        <v>0.6209</v>
      </c>
      <c r="AJ123" s="11">
        <v>0.81</v>
      </c>
      <c r="AK123" s="8" t="s">
        <v>1283</v>
      </c>
      <c r="AL123" s="14">
        <f>IFERROR(__xludf.DUMMYFUNCTION("IFERROR(GOOGLEFINANCE(B123,""price""),"""")"),7.21)</f>
        <v>7.21</v>
      </c>
    </row>
    <row r="124">
      <c r="A124" s="15">
        <v>46056.62677108539</v>
      </c>
      <c r="B124" s="16" t="s">
        <v>1542</v>
      </c>
      <c r="C124" s="16" t="s">
        <v>1543</v>
      </c>
      <c r="D124" s="17">
        <v>46061.0</v>
      </c>
      <c r="E124" s="16" t="s">
        <v>1544</v>
      </c>
      <c r="F124" s="18">
        <v>21.575</v>
      </c>
      <c r="G124" s="19">
        <v>0.0696</v>
      </c>
      <c r="H124" s="16" t="s">
        <v>117</v>
      </c>
      <c r="I124" s="20">
        <v>1062776.0</v>
      </c>
      <c r="J124" s="19">
        <v>38.3878</v>
      </c>
      <c r="K124" s="21">
        <v>0.0906</v>
      </c>
      <c r="L124" s="21">
        <v>0.8199</v>
      </c>
      <c r="M124" s="21">
        <v>876305.9</v>
      </c>
      <c r="N124" s="21">
        <v>1.2137</v>
      </c>
      <c r="O124" s="20">
        <v>2.110414426E9</v>
      </c>
      <c r="P124" s="21">
        <v>52.4112</v>
      </c>
      <c r="Q124" s="21">
        <v>52.8275</v>
      </c>
      <c r="R124" s="19">
        <v>60.5246</v>
      </c>
      <c r="S124" s="21">
        <v>21.5511</v>
      </c>
      <c r="T124" s="21">
        <v>21.5179</v>
      </c>
      <c r="U124" s="21">
        <v>21.3809</v>
      </c>
      <c r="V124" s="21">
        <v>21.0088</v>
      </c>
      <c r="W124" s="21">
        <v>20.8597</v>
      </c>
      <c r="X124" s="21">
        <v>19.6902</v>
      </c>
      <c r="Y124" s="21">
        <v>16.7184</v>
      </c>
      <c r="Z124" s="21">
        <v>15.0264</v>
      </c>
      <c r="AA124" s="21">
        <v>23.57</v>
      </c>
      <c r="AB124" s="21">
        <v>0.0</v>
      </c>
      <c r="AC124" s="21">
        <v>-0.0055</v>
      </c>
      <c r="AD124" s="21">
        <v>-0.3216</v>
      </c>
      <c r="AE124" s="21">
        <v>1.82</v>
      </c>
      <c r="AF124" s="21">
        <v>79.8762</v>
      </c>
      <c r="AG124" s="21">
        <v>0.3805</v>
      </c>
      <c r="AH124" s="21">
        <v>2.7562</v>
      </c>
      <c r="AI124" s="21">
        <v>0.789</v>
      </c>
      <c r="AJ124" s="19">
        <v>0.22</v>
      </c>
      <c r="AK124" s="16" t="s">
        <v>1545</v>
      </c>
      <c r="AL124" s="22" t="str">
        <f>IFERROR(__xludf.DUMMYFUNCTION("IFERROR(GOOGLEFINANCE(B124,""price""),"""")"),"")</f>
        <v/>
      </c>
    </row>
    <row r="125">
      <c r="A125" s="7">
        <v>46056.62677108539</v>
      </c>
      <c r="B125" s="8" t="s">
        <v>1546</v>
      </c>
      <c r="C125" s="8" t="s">
        <v>1547</v>
      </c>
      <c r="D125" s="9">
        <v>46061.0</v>
      </c>
      <c r="E125" s="8" t="s">
        <v>1548</v>
      </c>
      <c r="F125" s="10">
        <v>22.69</v>
      </c>
      <c r="G125" s="11">
        <v>-0.132</v>
      </c>
      <c r="H125" s="8" t="s">
        <v>93</v>
      </c>
      <c r="I125" s="12">
        <v>311299.0</v>
      </c>
      <c r="J125" s="11">
        <v>29.0143</v>
      </c>
      <c r="K125" s="13">
        <v>0.158</v>
      </c>
      <c r="L125" s="13">
        <v>0.426</v>
      </c>
      <c r="M125" s="13">
        <v>121062.3</v>
      </c>
      <c r="N125" s="13">
        <v>2.6439</v>
      </c>
      <c r="O125" s="12">
        <v>3.94553828649E11</v>
      </c>
      <c r="P125" s="13">
        <v>68.8096</v>
      </c>
      <c r="Q125" s="13">
        <v>67.1279</v>
      </c>
      <c r="R125" s="11">
        <v>58.0854</v>
      </c>
      <c r="S125" s="13">
        <v>22.7028</v>
      </c>
      <c r="T125" s="13">
        <v>22.5793</v>
      </c>
      <c r="U125" s="13">
        <v>22.5017</v>
      </c>
      <c r="V125" s="13">
        <v>22.4747</v>
      </c>
      <c r="W125" s="13">
        <v>22.4729</v>
      </c>
      <c r="X125" s="13">
        <v>22.475</v>
      </c>
      <c r="Y125" s="13">
        <v>22.5293</v>
      </c>
      <c r="Z125" s="13">
        <v>22.2953</v>
      </c>
      <c r="AA125" s="13">
        <v>23.61</v>
      </c>
      <c r="AB125" s="13">
        <v>5.9196</v>
      </c>
      <c r="AC125" s="13">
        <v>3.833</v>
      </c>
      <c r="AD125" s="13">
        <v>10.2298</v>
      </c>
      <c r="AE125" s="13">
        <v>18.0672</v>
      </c>
      <c r="AF125" s="13">
        <v>-2.1208</v>
      </c>
      <c r="AG125" s="13">
        <v>2.3434</v>
      </c>
      <c r="AH125" s="13">
        <v>0.9906</v>
      </c>
      <c r="AI125" s="13">
        <v>0.8863</v>
      </c>
      <c r="AJ125" s="11">
        <v>0.74</v>
      </c>
      <c r="AK125" s="8" t="s">
        <v>1549</v>
      </c>
      <c r="AL125" s="14" t="str">
        <f>IFERROR(__xludf.DUMMYFUNCTION("IFERROR(GOOGLEFINANCE(B125,""price""),"""")"),"")</f>
        <v/>
      </c>
    </row>
    <row r="126">
      <c r="A126" s="15">
        <v>46056.62677108539</v>
      </c>
      <c r="B126" s="16" t="s">
        <v>1550</v>
      </c>
      <c r="C126" s="16" t="s">
        <v>1551</v>
      </c>
      <c r="D126" s="17">
        <v>46061.0</v>
      </c>
      <c r="E126" s="16" t="s">
        <v>1552</v>
      </c>
      <c r="F126" s="18">
        <v>5.075</v>
      </c>
      <c r="G126" s="19">
        <v>10.3261</v>
      </c>
      <c r="H126" s="16" t="s">
        <v>102</v>
      </c>
      <c r="I126" s="20">
        <v>3151132.0</v>
      </c>
      <c r="J126" s="19">
        <v>24.4947</v>
      </c>
      <c r="K126" s="21">
        <v>0.4691</v>
      </c>
      <c r="L126" s="21">
        <v>0.8093</v>
      </c>
      <c r="M126" s="16">
        <v>2267949.0</v>
      </c>
      <c r="N126" s="21">
        <v>1.3141</v>
      </c>
      <c r="O126" s="20">
        <v>8.51534198E8</v>
      </c>
      <c r="P126" s="21">
        <v>11.055</v>
      </c>
      <c r="Q126" s="21">
        <v>10.7338</v>
      </c>
      <c r="R126" s="19">
        <v>49.1449</v>
      </c>
      <c r="S126" s="21">
        <v>5.0777</v>
      </c>
      <c r="T126" s="21">
        <v>5.1762</v>
      </c>
      <c r="U126" s="21">
        <v>5.0325</v>
      </c>
      <c r="V126" s="21">
        <v>4.7889</v>
      </c>
      <c r="W126" s="21">
        <v>4.7102</v>
      </c>
      <c r="X126" s="21">
        <v>4.2057</v>
      </c>
      <c r="Y126" s="21">
        <v>3.1613</v>
      </c>
      <c r="Z126" s="21">
        <v>2.5452</v>
      </c>
      <c r="AA126" s="21">
        <v>6.35</v>
      </c>
      <c r="AB126" s="21">
        <v>0.0</v>
      </c>
      <c r="AC126" s="21">
        <v>-0.9498</v>
      </c>
      <c r="AD126" s="21">
        <v>-111.4363</v>
      </c>
      <c r="AE126" s="21">
        <v>-140.0055</v>
      </c>
      <c r="AF126" s="21">
        <v>-35.9855</v>
      </c>
      <c r="AG126" s="21">
        <v>0.7752</v>
      </c>
      <c r="AH126" s="21">
        <v>0.6278</v>
      </c>
      <c r="AI126" s="21">
        <v>0.8908</v>
      </c>
      <c r="AJ126" s="19">
        <v>1.16</v>
      </c>
      <c r="AK126" s="16" t="s">
        <v>1283</v>
      </c>
      <c r="AL126" s="22">
        <f>IFERROR(__xludf.DUMMYFUNCTION("IFERROR(GOOGLEFINANCE(B126,""price""),"""")"),3.26)</f>
        <v>3.26</v>
      </c>
    </row>
    <row r="127">
      <c r="A127" s="7">
        <v>46056.62677108539</v>
      </c>
      <c r="B127" s="8" t="s">
        <v>1553</v>
      </c>
      <c r="C127" s="8" t="s">
        <v>1554</v>
      </c>
      <c r="D127" s="9">
        <v>46061.0</v>
      </c>
      <c r="E127" s="8" t="s">
        <v>1555</v>
      </c>
      <c r="F127" s="10">
        <v>16.465</v>
      </c>
      <c r="G127" s="11">
        <v>1.9505</v>
      </c>
      <c r="H127" s="8" t="s">
        <v>93</v>
      </c>
      <c r="I127" s="12">
        <v>475976.0</v>
      </c>
      <c r="J127" s="11">
        <v>20.5856</v>
      </c>
      <c r="K127" s="13">
        <v>0.5166</v>
      </c>
      <c r="L127" s="13">
        <v>1.0654</v>
      </c>
      <c r="M127" s="13">
        <v>395993.8</v>
      </c>
      <c r="N127" s="13">
        <v>1.2757</v>
      </c>
      <c r="O127" s="12">
        <v>5.56161978E8</v>
      </c>
      <c r="P127" s="13">
        <v>67.1435</v>
      </c>
      <c r="Q127" s="13">
        <v>57.2914</v>
      </c>
      <c r="R127" s="11">
        <v>59.9418</v>
      </c>
      <c r="S127" s="13">
        <v>15.9068</v>
      </c>
      <c r="T127" s="13">
        <v>15.7626</v>
      </c>
      <c r="U127" s="13">
        <v>15.7528</v>
      </c>
      <c r="V127" s="13">
        <v>15.6503</v>
      </c>
      <c r="W127" s="13">
        <v>15.6031</v>
      </c>
      <c r="X127" s="13">
        <v>15.2343</v>
      </c>
      <c r="Y127" s="13">
        <v>14.4883</v>
      </c>
      <c r="Z127" s="13">
        <v>13.753</v>
      </c>
      <c r="AA127" s="13">
        <v>17.79</v>
      </c>
      <c r="AB127" s="13">
        <v>30.44</v>
      </c>
      <c r="AC127" s="13">
        <v>0.5409</v>
      </c>
      <c r="AD127" s="13">
        <v>2.5794</v>
      </c>
      <c r="AE127" s="13">
        <v>10.6265</v>
      </c>
      <c r="AF127" s="13">
        <v>20.9536</v>
      </c>
      <c r="AG127" s="13">
        <v>0.7606</v>
      </c>
      <c r="AH127" s="13">
        <v>0.0381</v>
      </c>
      <c r="AI127" s="13">
        <v>0.9353</v>
      </c>
      <c r="AJ127" s="11">
        <v>0.97</v>
      </c>
      <c r="AK127" s="8" t="s">
        <v>1283</v>
      </c>
      <c r="AL127" s="14">
        <f>IFERROR(__xludf.DUMMYFUNCTION("IFERROR(GOOGLEFINANCE(B127,""price""),"""")"),15.93)</f>
        <v>15.93</v>
      </c>
    </row>
    <row r="128">
      <c r="A128" s="15">
        <v>46056.62677108539</v>
      </c>
      <c r="B128" s="16" t="s">
        <v>1556</v>
      </c>
      <c r="C128" s="16" t="s">
        <v>1557</v>
      </c>
      <c r="D128" s="17">
        <v>46061.0</v>
      </c>
      <c r="E128" s="16" t="s">
        <v>1558</v>
      </c>
      <c r="F128" s="18">
        <v>132.775</v>
      </c>
      <c r="G128" s="19">
        <v>19.4127</v>
      </c>
      <c r="H128" s="16" t="s">
        <v>190</v>
      </c>
      <c r="I128" s="20">
        <v>4097299.0</v>
      </c>
      <c r="J128" s="19">
        <v>29.2891</v>
      </c>
      <c r="K128" s="21">
        <v>4.6724</v>
      </c>
      <c r="L128" s="21">
        <v>8.6994</v>
      </c>
      <c r="M128" s="16">
        <v>1373487.0</v>
      </c>
      <c r="N128" s="21">
        <v>3.8789</v>
      </c>
      <c r="O128" s="20">
        <v>9.373915004E9</v>
      </c>
      <c r="P128" s="21">
        <v>86.0825</v>
      </c>
      <c r="Q128" s="21">
        <v>72.3762</v>
      </c>
      <c r="R128" s="19">
        <v>77.7835</v>
      </c>
      <c r="S128" s="21">
        <v>113.7103</v>
      </c>
      <c r="T128" s="21">
        <v>111.3131</v>
      </c>
      <c r="U128" s="21">
        <v>112.2824</v>
      </c>
      <c r="V128" s="21">
        <v>114.0682</v>
      </c>
      <c r="W128" s="21">
        <v>114.6519</v>
      </c>
      <c r="X128" s="21">
        <v>118.4854</v>
      </c>
      <c r="Y128" s="21">
        <v>127.3535</v>
      </c>
      <c r="Z128" s="21">
        <v>129.8381</v>
      </c>
      <c r="AA128" s="21">
        <v>178.47</v>
      </c>
      <c r="AB128" s="21">
        <v>13.3993</v>
      </c>
      <c r="AC128" s="21">
        <v>9.9091</v>
      </c>
      <c r="AD128" s="21">
        <v>0.0</v>
      </c>
      <c r="AE128" s="21">
        <v>14.7373</v>
      </c>
      <c r="AF128" s="21">
        <v>6.4571</v>
      </c>
      <c r="AG128" s="21">
        <v>0.0</v>
      </c>
      <c r="AH128" s="21">
        <v>1.2917</v>
      </c>
      <c r="AI128" s="21">
        <v>1.0754</v>
      </c>
      <c r="AJ128" s="19">
        <v>1.07</v>
      </c>
      <c r="AK128" s="16" t="s">
        <v>1559</v>
      </c>
      <c r="AL128" s="22">
        <f>IFERROR(__xludf.DUMMYFUNCTION("IFERROR(GOOGLEFINANCE(B128,""price""),"""")"),150.05)</f>
        <v>150.05</v>
      </c>
    </row>
    <row r="129">
      <c r="A129" s="7">
        <v>46056.62677108539</v>
      </c>
      <c r="B129" s="8" t="s">
        <v>1560</v>
      </c>
      <c r="C129" s="8" t="s">
        <v>1561</v>
      </c>
      <c r="D129" s="9">
        <v>46061.0</v>
      </c>
      <c r="E129" s="8" t="s">
        <v>1562</v>
      </c>
      <c r="F129" s="10">
        <v>72.92</v>
      </c>
      <c r="G129" s="11">
        <v>0.2475</v>
      </c>
      <c r="H129" s="8" t="s">
        <v>117</v>
      </c>
      <c r="I129" s="12">
        <v>2590944.0</v>
      </c>
      <c r="J129" s="11">
        <v>52.4845</v>
      </c>
      <c r="K129" s="13">
        <v>0.2452</v>
      </c>
      <c r="L129" s="13">
        <v>2.7644</v>
      </c>
      <c r="M129" s="8">
        <v>1528060.0</v>
      </c>
      <c r="N129" s="13">
        <v>1.8708</v>
      </c>
      <c r="O129" s="12">
        <v>1.0992658522E10</v>
      </c>
      <c r="P129" s="13">
        <v>80.511</v>
      </c>
      <c r="Q129" s="13">
        <v>72.0836</v>
      </c>
      <c r="R129" s="11">
        <v>72.1472</v>
      </c>
      <c r="S129" s="13">
        <v>72.6735</v>
      </c>
      <c r="T129" s="13">
        <v>72.4614</v>
      </c>
      <c r="U129" s="13">
        <v>71.8479</v>
      </c>
      <c r="V129" s="13">
        <v>70.3719</v>
      </c>
      <c r="W129" s="13">
        <v>69.8006</v>
      </c>
      <c r="X129" s="13">
        <v>65.5035</v>
      </c>
      <c r="Y129" s="13">
        <v>54.7918</v>
      </c>
      <c r="Z129" s="13">
        <v>49.2481</v>
      </c>
      <c r="AA129" s="13">
        <v>73.06</v>
      </c>
      <c r="AB129" s="13">
        <v>0.0</v>
      </c>
      <c r="AC129" s="13">
        <v>-4.1703</v>
      </c>
      <c r="AD129" s="13">
        <v>-32.4392</v>
      </c>
      <c r="AE129" s="13">
        <v>-2934.9003</v>
      </c>
      <c r="AF129" s="13">
        <v>106.2667</v>
      </c>
      <c r="AG129" s="13">
        <v>0.0265</v>
      </c>
      <c r="AH129" s="13">
        <v>11.573</v>
      </c>
      <c r="AI129" s="13">
        <v>1.1321</v>
      </c>
      <c r="AJ129" s="11">
        <v>0.18</v>
      </c>
      <c r="AK129" s="8" t="s">
        <v>1563</v>
      </c>
      <c r="AL129" s="14">
        <f>IFERROR(__xludf.DUMMYFUNCTION("IFERROR(GOOGLEFINANCE(B129,""price""),"""")"),12.71)</f>
        <v>12.71</v>
      </c>
    </row>
    <row r="130">
      <c r="A130" s="15">
        <v>46056.62677108539</v>
      </c>
      <c r="B130" s="16" t="s">
        <v>1099</v>
      </c>
      <c r="C130" s="16" t="s">
        <v>1100</v>
      </c>
      <c r="D130" s="17">
        <v>46061.0</v>
      </c>
      <c r="E130" s="16" t="s">
        <v>1101</v>
      </c>
      <c r="F130" s="18">
        <v>20.955</v>
      </c>
      <c r="G130" s="19">
        <v>-0.1192</v>
      </c>
      <c r="H130" s="16" t="s">
        <v>117</v>
      </c>
      <c r="I130" s="20">
        <v>1009495.0</v>
      </c>
      <c r="J130" s="19">
        <v>20.841</v>
      </c>
      <c r="K130" s="21">
        <v>0.5328</v>
      </c>
      <c r="L130" s="21">
        <v>1.2087</v>
      </c>
      <c r="M130" s="21">
        <v>671572.2</v>
      </c>
      <c r="N130" s="21">
        <v>1.6251</v>
      </c>
      <c r="O130" s="20">
        <v>1.56678574E9</v>
      </c>
      <c r="P130" s="21">
        <v>88.5018</v>
      </c>
      <c r="Q130" s="21">
        <v>81.9215</v>
      </c>
      <c r="R130" s="19">
        <v>68.065</v>
      </c>
      <c r="S130" s="21">
        <v>20.2112</v>
      </c>
      <c r="T130" s="21">
        <v>19.9508</v>
      </c>
      <c r="U130" s="21">
        <v>19.9418</v>
      </c>
      <c r="V130" s="21">
        <v>19.9223</v>
      </c>
      <c r="W130" s="21">
        <v>19.9107</v>
      </c>
      <c r="X130" s="21">
        <v>19.8085</v>
      </c>
      <c r="Y130" s="21">
        <v>19.4395</v>
      </c>
      <c r="Z130" s="21">
        <v>19.5598</v>
      </c>
      <c r="AA130" s="21">
        <v>22.76</v>
      </c>
      <c r="AB130" s="21">
        <v>15.0323</v>
      </c>
      <c r="AC130" s="21">
        <v>1.394</v>
      </c>
      <c r="AD130" s="21">
        <v>15.1736</v>
      </c>
      <c r="AE130" s="21">
        <v>41.7319</v>
      </c>
      <c r="AF130" s="21">
        <v>9.7603</v>
      </c>
      <c r="AG130" s="21">
        <v>0.2564</v>
      </c>
      <c r="AH130" s="21">
        <v>14.1233</v>
      </c>
      <c r="AI130" s="21">
        <v>1.2858</v>
      </c>
      <c r="AJ130" s="19">
        <v>0.88</v>
      </c>
      <c r="AK130" s="24"/>
      <c r="AL130" s="22">
        <f>IFERROR(__xludf.DUMMYFUNCTION("IFERROR(GOOGLEFINANCE(B130,""price""),"""")"),23.76)</f>
        <v>23.76</v>
      </c>
    </row>
    <row r="131">
      <c r="A131" s="7">
        <v>46056.62677108539</v>
      </c>
      <c r="B131" s="8" t="s">
        <v>1502</v>
      </c>
      <c r="C131" s="8" t="s">
        <v>1503</v>
      </c>
      <c r="D131" s="9">
        <v>46061.0</v>
      </c>
      <c r="E131" s="8" t="s">
        <v>1504</v>
      </c>
      <c r="F131" s="10">
        <v>79.7</v>
      </c>
      <c r="G131" s="11">
        <v>-0.1378</v>
      </c>
      <c r="H131" s="8" t="s">
        <v>88</v>
      </c>
      <c r="I131" s="12">
        <v>564791.0</v>
      </c>
      <c r="J131" s="11">
        <v>45.1385</v>
      </c>
      <c r="K131" s="13">
        <v>0.343</v>
      </c>
      <c r="L131" s="13">
        <v>1.9305</v>
      </c>
      <c r="M131" s="13">
        <v>396727.3</v>
      </c>
      <c r="N131" s="13">
        <v>1.5373</v>
      </c>
      <c r="O131" s="12">
        <v>2.273058105E9</v>
      </c>
      <c r="P131" s="13">
        <v>40.1515</v>
      </c>
      <c r="Q131" s="13">
        <v>40.6865</v>
      </c>
      <c r="R131" s="11">
        <v>67.7673</v>
      </c>
      <c r="S131" s="13">
        <v>79.7202</v>
      </c>
      <c r="T131" s="13">
        <v>79.2537</v>
      </c>
      <c r="U131" s="13">
        <v>78.6343</v>
      </c>
      <c r="V131" s="13">
        <v>77.694</v>
      </c>
      <c r="W131" s="13">
        <v>77.3755</v>
      </c>
      <c r="X131" s="13">
        <v>75.2134</v>
      </c>
      <c r="Y131" s="13">
        <v>69.6917</v>
      </c>
      <c r="Z131" s="13">
        <v>68.5182</v>
      </c>
      <c r="AA131" s="13">
        <v>80.28</v>
      </c>
      <c r="AB131" s="13">
        <v>27.0408</v>
      </c>
      <c r="AC131" s="13">
        <v>2.9474</v>
      </c>
      <c r="AD131" s="13">
        <v>28.8448</v>
      </c>
      <c r="AE131" s="13">
        <v>12.3381</v>
      </c>
      <c r="AF131" s="13">
        <v>3.3048</v>
      </c>
      <c r="AG131" s="13">
        <v>1.9562</v>
      </c>
      <c r="AH131" s="13">
        <v>1.5008</v>
      </c>
      <c r="AI131" s="13">
        <v>1.3625</v>
      </c>
      <c r="AJ131" s="11">
        <v>0.36</v>
      </c>
      <c r="AK131" s="8" t="s">
        <v>1505</v>
      </c>
      <c r="AL131" s="14">
        <f>IFERROR(__xludf.DUMMYFUNCTION("IFERROR(GOOGLEFINANCE(B131,""price""),"""")"),80.04)</f>
        <v>80.04</v>
      </c>
    </row>
    <row r="132">
      <c r="A132" s="15">
        <v>46056.62677108539</v>
      </c>
      <c r="B132" s="16" t="s">
        <v>1564</v>
      </c>
      <c r="C132" s="16" t="s">
        <v>1565</v>
      </c>
      <c r="D132" s="17">
        <v>46061.0</v>
      </c>
      <c r="E132" s="16" t="s">
        <v>1566</v>
      </c>
      <c r="F132" s="18">
        <v>56.6</v>
      </c>
      <c r="G132" s="19">
        <v>4.0441</v>
      </c>
      <c r="H132" s="16" t="s">
        <v>102</v>
      </c>
      <c r="I132" s="20">
        <v>2206695.0</v>
      </c>
      <c r="J132" s="19">
        <v>24.3919</v>
      </c>
      <c r="K132" s="21">
        <v>2.0628</v>
      </c>
      <c r="L132" s="21">
        <v>4.0983</v>
      </c>
      <c r="M132" s="16">
        <v>1714480.0</v>
      </c>
      <c r="N132" s="21">
        <v>1.2784</v>
      </c>
      <c r="O132" s="20">
        <v>6.799831314E9</v>
      </c>
      <c r="P132" s="21">
        <v>19.8574</v>
      </c>
      <c r="Q132" s="21">
        <v>18.1736</v>
      </c>
      <c r="R132" s="19">
        <v>53.6165</v>
      </c>
      <c r="S132" s="21">
        <v>55.9651</v>
      </c>
      <c r="T132" s="21">
        <v>55.9792</v>
      </c>
      <c r="U132" s="21">
        <v>55.1149</v>
      </c>
      <c r="V132" s="21">
        <v>54.3315</v>
      </c>
      <c r="W132" s="21">
        <v>54.167</v>
      </c>
      <c r="X132" s="21">
        <v>53.7167</v>
      </c>
      <c r="Y132" s="21">
        <v>55.6044</v>
      </c>
      <c r="Z132" s="21">
        <v>53.3728</v>
      </c>
      <c r="AA132" s="21">
        <v>70.47</v>
      </c>
      <c r="AB132" s="21">
        <v>21.1462</v>
      </c>
      <c r="AC132" s="21">
        <v>2.6766</v>
      </c>
      <c r="AD132" s="21">
        <v>13.7218</v>
      </c>
      <c r="AE132" s="21">
        <v>16.1147</v>
      </c>
      <c r="AF132" s="21">
        <v>-3.7825</v>
      </c>
      <c r="AG132" s="21">
        <v>1.1913</v>
      </c>
      <c r="AH132" s="21">
        <v>1.9501</v>
      </c>
      <c r="AI132" s="21">
        <v>1.5022</v>
      </c>
      <c r="AJ132" s="19">
        <v>1.01</v>
      </c>
      <c r="AK132" s="24"/>
      <c r="AL132" s="22">
        <f>IFERROR(__xludf.DUMMYFUNCTION("IFERROR(GOOGLEFINANCE(B132,""price""),"""")"),40.37)</f>
        <v>40.37</v>
      </c>
    </row>
    <row r="133">
      <c r="A133" s="7">
        <v>46056.62677108539</v>
      </c>
      <c r="B133" s="8" t="s">
        <v>1356</v>
      </c>
      <c r="C133" s="8" t="s">
        <v>1357</v>
      </c>
      <c r="D133" s="9">
        <v>46061.0</v>
      </c>
      <c r="E133" s="8" t="s">
        <v>1358</v>
      </c>
      <c r="F133" s="10">
        <v>25.7475</v>
      </c>
      <c r="G133" s="11">
        <v>-3.4227</v>
      </c>
      <c r="H133" s="8" t="s">
        <v>117</v>
      </c>
      <c r="I133" s="12">
        <v>7.9003455E7</v>
      </c>
      <c r="J133" s="11">
        <v>27.743</v>
      </c>
      <c r="K133" s="13">
        <v>0.5841</v>
      </c>
      <c r="L133" s="13">
        <v>1.2101</v>
      </c>
      <c r="M133" s="8">
        <v>5.3165054E7</v>
      </c>
      <c r="N133" s="13">
        <v>1.555</v>
      </c>
      <c r="O133" s="12">
        <v>1.46392753521E11</v>
      </c>
      <c r="P133" s="13">
        <v>69.2136</v>
      </c>
      <c r="Q133" s="13">
        <v>69.4967</v>
      </c>
      <c r="R133" s="11">
        <v>49.9699</v>
      </c>
      <c r="S133" s="13">
        <v>26.0884</v>
      </c>
      <c r="T133" s="13">
        <v>25.8306</v>
      </c>
      <c r="U133" s="13">
        <v>25.6754</v>
      </c>
      <c r="V133" s="13">
        <v>25.5451</v>
      </c>
      <c r="W133" s="13">
        <v>25.5111</v>
      </c>
      <c r="X133" s="13">
        <v>25.3307</v>
      </c>
      <c r="Y133" s="13">
        <v>25.2665</v>
      </c>
      <c r="Z133" s="13">
        <v>24.658</v>
      </c>
      <c r="AA133" s="13">
        <v>27.69</v>
      </c>
      <c r="AB133" s="13">
        <v>15.0079</v>
      </c>
      <c r="AC133" s="13">
        <v>1.7156</v>
      </c>
      <c r="AD133" s="13">
        <v>10.5853</v>
      </c>
      <c r="AE133" s="13">
        <v>30.9851</v>
      </c>
      <c r="AF133" s="13">
        <v>4.445</v>
      </c>
      <c r="AG133" s="13">
        <v>0.665</v>
      </c>
      <c r="AH133" s="13">
        <v>1.2822</v>
      </c>
      <c r="AI133" s="13">
        <v>1.6039</v>
      </c>
      <c r="AJ133" s="11">
        <v>0.97</v>
      </c>
      <c r="AK133" s="23"/>
      <c r="AL133" s="14">
        <f>IFERROR(__xludf.DUMMYFUNCTION("IFERROR(GOOGLEFINANCE(B133,""price""),"""")"),26.92)</f>
        <v>26.92</v>
      </c>
    </row>
    <row r="134">
      <c r="A134" s="15">
        <v>46056.62677108539</v>
      </c>
      <c r="B134" s="16" t="s">
        <v>1567</v>
      </c>
      <c r="C134" s="16" t="s">
        <v>1568</v>
      </c>
      <c r="D134" s="17">
        <v>46061.0</v>
      </c>
      <c r="E134" s="16" t="s">
        <v>1569</v>
      </c>
      <c r="F134" s="18">
        <v>40.56</v>
      </c>
      <c r="G134" s="19">
        <v>2.0121</v>
      </c>
      <c r="H134" s="16" t="s">
        <v>308</v>
      </c>
      <c r="I134" s="20">
        <v>2031815.0</v>
      </c>
      <c r="J134" s="19">
        <v>20.0711</v>
      </c>
      <c r="K134" s="21">
        <v>1.2895</v>
      </c>
      <c r="L134" s="21">
        <v>2.9578</v>
      </c>
      <c r="M134" s="16">
        <v>1699721.0</v>
      </c>
      <c r="N134" s="21">
        <v>1.2051</v>
      </c>
      <c r="O134" s="20">
        <v>6.797776742E9</v>
      </c>
      <c r="P134" s="21">
        <v>34.8414</v>
      </c>
      <c r="Q134" s="21">
        <v>27.7654</v>
      </c>
      <c r="R134" s="19">
        <v>58.1953</v>
      </c>
      <c r="S134" s="21">
        <v>39.682</v>
      </c>
      <c r="T134" s="21">
        <v>39.25</v>
      </c>
      <c r="U134" s="21">
        <v>39.0046</v>
      </c>
      <c r="V134" s="21">
        <v>39.057</v>
      </c>
      <c r="W134" s="21">
        <v>39.0999</v>
      </c>
      <c r="X134" s="21">
        <v>39.2531</v>
      </c>
      <c r="Y134" s="21">
        <v>38.6919</v>
      </c>
      <c r="Z134" s="21">
        <v>37.5777</v>
      </c>
      <c r="AA134" s="21">
        <v>49.76</v>
      </c>
      <c r="AB134" s="21">
        <v>62.6409</v>
      </c>
      <c r="AC134" s="21">
        <v>0.6475</v>
      </c>
      <c r="AD134" s="21">
        <v>7.2055</v>
      </c>
      <c r="AE134" s="21">
        <v>16.2735</v>
      </c>
      <c r="AF134" s="21">
        <v>10.233</v>
      </c>
      <c r="AG134" s="21">
        <v>0.053</v>
      </c>
      <c r="AH134" s="21">
        <v>3.8958</v>
      </c>
      <c r="AI134" s="21">
        <v>1.6701</v>
      </c>
      <c r="AJ134" s="19">
        <v>0.87</v>
      </c>
      <c r="AK134" s="24"/>
      <c r="AL134" s="22">
        <f>IFERROR(__xludf.DUMMYFUNCTION("IFERROR(GOOGLEFINANCE(B134,""price""),"""")"),53.41)</f>
        <v>53.41</v>
      </c>
    </row>
    <row r="135">
      <c r="A135" s="7">
        <v>46056.62677108539</v>
      </c>
      <c r="B135" s="8" t="s">
        <v>1570</v>
      </c>
      <c r="C135" s="8" t="s">
        <v>1571</v>
      </c>
      <c r="D135" s="9">
        <v>46061.0</v>
      </c>
      <c r="E135" s="8" t="s">
        <v>1572</v>
      </c>
      <c r="F135" s="10">
        <v>46.705</v>
      </c>
      <c r="G135" s="11">
        <v>-0.6065</v>
      </c>
      <c r="H135" s="8" t="s">
        <v>917</v>
      </c>
      <c r="I135" s="12">
        <v>5464585.0</v>
      </c>
      <c r="J135" s="11">
        <v>30.8744</v>
      </c>
      <c r="K135" s="13">
        <v>0.7584</v>
      </c>
      <c r="L135" s="13">
        <v>1.4559</v>
      </c>
      <c r="M135" s="8">
        <v>4442575.0</v>
      </c>
      <c r="N135" s="13">
        <v>1.2329</v>
      </c>
      <c r="O135" s="12">
        <v>2.6979872269E10</v>
      </c>
      <c r="P135" s="13">
        <v>69.1306</v>
      </c>
      <c r="Q135" s="13">
        <v>77.8269</v>
      </c>
      <c r="R135" s="11">
        <v>55.1187</v>
      </c>
      <c r="S135" s="13">
        <v>46.9952</v>
      </c>
      <c r="T135" s="13">
        <v>46.4898</v>
      </c>
      <c r="U135" s="13">
        <v>46.1705</v>
      </c>
      <c r="V135" s="13">
        <v>45.9501</v>
      </c>
      <c r="W135" s="13">
        <v>45.8914</v>
      </c>
      <c r="X135" s="13">
        <v>45.4783</v>
      </c>
      <c r="Y135" s="13">
        <v>44.1904</v>
      </c>
      <c r="Z135" s="13">
        <v>43.8241</v>
      </c>
      <c r="AA135" s="13">
        <v>48.2</v>
      </c>
      <c r="AB135" s="13">
        <v>20.288</v>
      </c>
      <c r="AC135" s="13">
        <v>2.3021</v>
      </c>
      <c r="AD135" s="13">
        <v>10.5451</v>
      </c>
      <c r="AE135" s="13">
        <v>19.6489</v>
      </c>
      <c r="AF135" s="13">
        <v>7.6402</v>
      </c>
      <c r="AG135" s="13">
        <v>2.1464</v>
      </c>
      <c r="AH135" s="13">
        <v>0.7474</v>
      </c>
      <c r="AI135" s="13">
        <v>1.7657</v>
      </c>
      <c r="AJ135" s="11">
        <v>1.04</v>
      </c>
      <c r="AK135" s="23"/>
      <c r="AL135" s="14">
        <f>IFERROR(__xludf.DUMMYFUNCTION("IFERROR(GOOGLEFINANCE(B135,""price""),"""")"),51.43)</f>
        <v>51.43</v>
      </c>
    </row>
    <row r="136">
      <c r="A136" s="15">
        <v>46056.62677108539</v>
      </c>
      <c r="B136" s="16" t="s">
        <v>1573</v>
      </c>
      <c r="C136" s="16" t="s">
        <v>1574</v>
      </c>
      <c r="D136" s="17">
        <v>46061.0</v>
      </c>
      <c r="E136" s="16" t="s">
        <v>1575</v>
      </c>
      <c r="F136" s="18">
        <v>60.99</v>
      </c>
      <c r="G136" s="19">
        <v>-0.9259</v>
      </c>
      <c r="H136" s="16" t="s">
        <v>286</v>
      </c>
      <c r="I136" s="20">
        <v>959102.0</v>
      </c>
      <c r="J136" s="19">
        <v>24.4076</v>
      </c>
      <c r="K136" s="21">
        <v>1.8928</v>
      </c>
      <c r="L136" s="21">
        <v>3.5907</v>
      </c>
      <c r="M136" s="21">
        <v>556928.3</v>
      </c>
      <c r="N136" s="21">
        <v>1.8426</v>
      </c>
      <c r="O136" s="20">
        <v>2.791030322E9</v>
      </c>
      <c r="P136" s="21">
        <v>33.7233</v>
      </c>
      <c r="Q136" s="21">
        <v>34.1193</v>
      </c>
      <c r="R136" s="19">
        <v>48.8948</v>
      </c>
      <c r="S136" s="21">
        <v>61.7544</v>
      </c>
      <c r="T136" s="21">
        <v>61.5986</v>
      </c>
      <c r="U136" s="21">
        <v>60.6367</v>
      </c>
      <c r="V136" s="21">
        <v>59.3664</v>
      </c>
      <c r="W136" s="21">
        <v>59.0098</v>
      </c>
      <c r="X136" s="21">
        <v>57.2605</v>
      </c>
      <c r="Y136" s="21">
        <v>57.3564</v>
      </c>
      <c r="Z136" s="21">
        <v>53.2482</v>
      </c>
      <c r="AA136" s="21">
        <v>67.39</v>
      </c>
      <c r="AB136" s="21">
        <v>0.0</v>
      </c>
      <c r="AC136" s="21">
        <v>-15.0148</v>
      </c>
      <c r="AD136" s="21">
        <v>-29.9776</v>
      </c>
      <c r="AE136" s="21">
        <v>3.5991</v>
      </c>
      <c r="AF136" s="21">
        <v>-11.7302</v>
      </c>
      <c r="AG136" s="21">
        <v>0.7929</v>
      </c>
      <c r="AH136" s="21">
        <v>3.153</v>
      </c>
      <c r="AI136" s="21">
        <v>1.8326</v>
      </c>
      <c r="AJ136" s="19">
        <v>1.05</v>
      </c>
      <c r="AK136" s="24"/>
      <c r="AL136" s="22">
        <f>IFERROR(__xludf.DUMMYFUNCTION("IFERROR(GOOGLEFINANCE(B136,""price""),"""")"),56.42)</f>
        <v>56.42</v>
      </c>
    </row>
    <row r="137">
      <c r="A137" s="7">
        <v>46056.62677108539</v>
      </c>
      <c r="B137" s="8" t="s">
        <v>1576</v>
      </c>
      <c r="C137" s="8" t="s">
        <v>1577</v>
      </c>
      <c r="D137" s="9">
        <v>46061.0</v>
      </c>
      <c r="E137" s="8" t="s">
        <v>1578</v>
      </c>
      <c r="F137" s="10">
        <v>11.865</v>
      </c>
      <c r="G137" s="11">
        <v>-0.2103</v>
      </c>
      <c r="H137" s="8" t="s">
        <v>88</v>
      </c>
      <c r="I137" s="12">
        <v>2787110.0</v>
      </c>
      <c r="J137" s="11">
        <v>65.4499</v>
      </c>
      <c r="K137" s="13">
        <v>0.0443</v>
      </c>
      <c r="L137" s="13">
        <v>0.5582</v>
      </c>
      <c r="M137" s="8">
        <v>1551838.0</v>
      </c>
      <c r="N137" s="13">
        <v>1.833</v>
      </c>
      <c r="O137" s="12">
        <v>1.797027176E9</v>
      </c>
      <c r="P137" s="13">
        <v>13.1944</v>
      </c>
      <c r="Q137" s="13">
        <v>26.6204</v>
      </c>
      <c r="R137" s="11">
        <v>62.9923</v>
      </c>
      <c r="S137" s="13">
        <v>11.8941</v>
      </c>
      <c r="T137" s="13">
        <v>11.8587</v>
      </c>
      <c r="U137" s="13">
        <v>11.6618</v>
      </c>
      <c r="V137" s="13">
        <v>11.3063</v>
      </c>
      <c r="W137" s="13">
        <v>11.1944</v>
      </c>
      <c r="X137" s="13">
        <v>10.5987</v>
      </c>
      <c r="Y137" s="13">
        <v>10.2366</v>
      </c>
      <c r="Z137" s="13">
        <v>9.3827</v>
      </c>
      <c r="AA137" s="13">
        <v>18.74</v>
      </c>
      <c r="AB137" s="13">
        <v>0.0</v>
      </c>
      <c r="AC137" s="13">
        <v>-0.0307</v>
      </c>
      <c r="AD137" s="13">
        <v>-1.6774</v>
      </c>
      <c r="AE137" s="13">
        <v>-1.5659</v>
      </c>
      <c r="AF137" s="13">
        <v>19.8732</v>
      </c>
      <c r="AG137" s="13">
        <v>0.0481</v>
      </c>
      <c r="AH137" s="13">
        <v>2.2132</v>
      </c>
      <c r="AI137" s="13">
        <v>1.9577</v>
      </c>
      <c r="AJ137" s="11">
        <v>0.16</v>
      </c>
      <c r="AK137" s="8" t="s">
        <v>1579</v>
      </c>
      <c r="AL137" s="14">
        <f>IFERROR(__xludf.DUMMYFUNCTION("IFERROR(GOOGLEFINANCE(B137,""price""),"""")"),11.94)</f>
        <v>11.94</v>
      </c>
    </row>
    <row r="138">
      <c r="A138" s="15">
        <v>46056.62677108539</v>
      </c>
      <c r="B138" s="16" t="s">
        <v>1580</v>
      </c>
      <c r="C138" s="16" t="s">
        <v>1581</v>
      </c>
      <c r="D138" s="17">
        <v>46061.0</v>
      </c>
      <c r="E138" s="16" t="s">
        <v>1582</v>
      </c>
      <c r="F138" s="18">
        <v>81.025</v>
      </c>
      <c r="G138" s="19">
        <v>2.3689</v>
      </c>
      <c r="H138" s="16" t="s">
        <v>112</v>
      </c>
      <c r="I138" s="20">
        <v>2078388.0</v>
      </c>
      <c r="J138" s="19">
        <v>26.7049</v>
      </c>
      <c r="K138" s="21">
        <v>2.3907</v>
      </c>
      <c r="L138" s="21">
        <v>5.3862</v>
      </c>
      <c r="M138" s="16">
        <v>1742250.0</v>
      </c>
      <c r="N138" s="21">
        <v>1.2167</v>
      </c>
      <c r="O138" s="20">
        <v>1.2549554449E10</v>
      </c>
      <c r="P138" s="21">
        <v>30.3164</v>
      </c>
      <c r="Q138" s="21">
        <v>23.1804</v>
      </c>
      <c r="R138" s="19">
        <v>55.2742</v>
      </c>
      <c r="S138" s="21">
        <v>80.3668</v>
      </c>
      <c r="T138" s="21">
        <v>80.0753</v>
      </c>
      <c r="U138" s="21">
        <v>78.7578</v>
      </c>
      <c r="V138" s="21">
        <v>77.3424</v>
      </c>
      <c r="W138" s="21">
        <v>76.9846</v>
      </c>
      <c r="X138" s="21">
        <v>75.3531</v>
      </c>
      <c r="Y138" s="21">
        <v>74.9024</v>
      </c>
      <c r="Z138" s="21">
        <v>71.1666</v>
      </c>
      <c r="AA138" s="21">
        <v>90.75</v>
      </c>
      <c r="AB138" s="21">
        <v>28.0315</v>
      </c>
      <c r="AC138" s="21">
        <v>2.8905</v>
      </c>
      <c r="AD138" s="21">
        <v>4.918</v>
      </c>
      <c r="AE138" s="21">
        <v>7.6954</v>
      </c>
      <c r="AF138" s="21">
        <v>-1.4004</v>
      </c>
      <c r="AG138" s="21">
        <v>0.7366</v>
      </c>
      <c r="AH138" s="21">
        <v>1.1088</v>
      </c>
      <c r="AI138" s="21">
        <v>1.9858</v>
      </c>
      <c r="AJ138" s="19">
        <v>0.89</v>
      </c>
      <c r="AK138" s="24"/>
      <c r="AL138" s="22">
        <f>IFERROR(__xludf.DUMMYFUNCTION("IFERROR(GOOGLEFINANCE(B138,""price""),"""")"),72.19)</f>
        <v>72.19</v>
      </c>
    </row>
    <row r="139">
      <c r="A139" s="7">
        <v>46057.45482100313</v>
      </c>
      <c r="B139" s="8" t="s">
        <v>1583</v>
      </c>
      <c r="C139" s="8" t="s">
        <v>1584</v>
      </c>
      <c r="D139" s="9">
        <v>46061.0</v>
      </c>
      <c r="E139" s="8" t="s">
        <v>1585</v>
      </c>
      <c r="F139" s="10">
        <v>17.595</v>
      </c>
      <c r="G139" s="11">
        <v>5.8028</v>
      </c>
      <c r="H139" s="8" t="s">
        <v>102</v>
      </c>
      <c r="I139" s="12">
        <v>499376.0</v>
      </c>
      <c r="J139" s="11">
        <v>21.2527</v>
      </c>
      <c r="K139" s="13">
        <v>1.3423</v>
      </c>
      <c r="L139" s="13">
        <v>2.769</v>
      </c>
      <c r="M139" s="13">
        <v>268302.0</v>
      </c>
      <c r="N139" s="13">
        <v>2.1245</v>
      </c>
      <c r="O139" s="12">
        <v>4.54304818E8</v>
      </c>
      <c r="P139" s="13">
        <v>38.7328</v>
      </c>
      <c r="Q139" s="13">
        <v>24.6658</v>
      </c>
      <c r="R139" s="11">
        <v>55.5482</v>
      </c>
      <c r="S139" s="13">
        <v>16.5901</v>
      </c>
      <c r="T139" s="13">
        <v>16.6836</v>
      </c>
      <c r="U139" s="13">
        <v>16.5054</v>
      </c>
      <c r="V139" s="13">
        <v>16.1853</v>
      </c>
      <c r="W139" s="13">
        <v>16.0797</v>
      </c>
      <c r="X139" s="13">
        <v>15.39</v>
      </c>
      <c r="Y139" s="13">
        <v>14.2214</v>
      </c>
      <c r="Z139" s="13">
        <v>12.8173</v>
      </c>
      <c r="AA139" s="13">
        <v>20.32</v>
      </c>
      <c r="AB139" s="13">
        <v>0.0</v>
      </c>
      <c r="AC139" s="13">
        <v>-7.8916</v>
      </c>
      <c r="AD139" s="13">
        <v>0.0</v>
      </c>
      <c r="AE139" s="13">
        <v>-12.0766</v>
      </c>
      <c r="AF139" s="13">
        <v>-3.658</v>
      </c>
      <c r="AG139" s="13">
        <v>0.0</v>
      </c>
      <c r="AH139" s="13">
        <v>4.2217</v>
      </c>
      <c r="AI139" s="13">
        <v>0.4814</v>
      </c>
      <c r="AJ139" s="11">
        <v>0.97</v>
      </c>
      <c r="AK139" s="8" t="s">
        <v>1586</v>
      </c>
      <c r="AL139" s="14">
        <f>IFERROR(__xludf.DUMMYFUNCTION("IFERROR(GOOGLEFINANCE(B139,""price""),"""")"),7.17)</f>
        <v>7.17</v>
      </c>
    </row>
    <row r="140">
      <c r="A140" s="15">
        <v>46057.45482100313</v>
      </c>
      <c r="B140" s="16" t="s">
        <v>1587</v>
      </c>
      <c r="C140" s="16" t="s">
        <v>1588</v>
      </c>
      <c r="D140" s="17">
        <v>46061.0</v>
      </c>
      <c r="E140" s="16" t="s">
        <v>1589</v>
      </c>
      <c r="F140" s="18">
        <v>34.78</v>
      </c>
      <c r="G140" s="19">
        <v>12.3022</v>
      </c>
      <c r="H140" s="16" t="s">
        <v>102</v>
      </c>
      <c r="I140" s="20">
        <v>4158801.0</v>
      </c>
      <c r="J140" s="19">
        <v>21.1911</v>
      </c>
      <c r="K140" s="21">
        <v>2.5735</v>
      </c>
      <c r="L140" s="21">
        <v>5.4927</v>
      </c>
      <c r="M140" s="16">
        <v>2375798.0</v>
      </c>
      <c r="N140" s="21">
        <v>1.9226</v>
      </c>
      <c r="O140" s="20">
        <v>2.079845784E9</v>
      </c>
      <c r="P140" s="21">
        <v>33.9309</v>
      </c>
      <c r="Q140" s="21">
        <v>22.8874</v>
      </c>
      <c r="R140" s="19">
        <v>56.3191</v>
      </c>
      <c r="S140" s="21">
        <v>33.0158</v>
      </c>
      <c r="T140" s="21">
        <v>32.9334</v>
      </c>
      <c r="U140" s="21">
        <v>32.833</v>
      </c>
      <c r="V140" s="21">
        <v>32.9047</v>
      </c>
      <c r="W140" s="21">
        <v>32.9183</v>
      </c>
      <c r="X140" s="21">
        <v>32.6005</v>
      </c>
      <c r="Y140" s="21">
        <v>30.7763</v>
      </c>
      <c r="Z140" s="21">
        <v>28.7452</v>
      </c>
      <c r="AA140" s="21">
        <v>48.5999</v>
      </c>
      <c r="AB140" s="21">
        <v>0.0</v>
      </c>
      <c r="AC140" s="21">
        <v>-9.6695</v>
      </c>
      <c r="AD140" s="21">
        <v>-78.0943</v>
      </c>
      <c r="AE140" s="21">
        <v>-41.8449</v>
      </c>
      <c r="AF140" s="21">
        <v>-0.1383</v>
      </c>
      <c r="AG140" s="21">
        <v>0.8667</v>
      </c>
      <c r="AH140" s="21">
        <v>2.2813</v>
      </c>
      <c r="AI140" s="21">
        <v>0.5256</v>
      </c>
      <c r="AJ140" s="19">
        <v>0.94</v>
      </c>
      <c r="AK140" s="16" t="s">
        <v>1283</v>
      </c>
      <c r="AL140" s="22">
        <f>IFERROR(__xludf.DUMMYFUNCTION("IFERROR(GOOGLEFINANCE(B140,""price""),"""")"),41.76)</f>
        <v>41.76</v>
      </c>
    </row>
    <row r="141">
      <c r="A141" s="7">
        <v>46057.45482100313</v>
      </c>
      <c r="B141" s="8" t="s">
        <v>1560</v>
      </c>
      <c r="C141" s="8" t="s">
        <v>1561</v>
      </c>
      <c r="D141" s="9">
        <v>46061.0</v>
      </c>
      <c r="E141" s="8" t="s">
        <v>1562</v>
      </c>
      <c r="F141" s="10">
        <v>72.825</v>
      </c>
      <c r="G141" s="11">
        <v>-0.144</v>
      </c>
      <c r="H141" s="8" t="s">
        <v>117</v>
      </c>
      <c r="I141" s="12">
        <v>2489891.0</v>
      </c>
      <c r="J141" s="11">
        <v>53.0134</v>
      </c>
      <c r="K141" s="13">
        <v>0.2441</v>
      </c>
      <c r="L141" s="13">
        <v>2.7644</v>
      </c>
      <c r="M141" s="8">
        <v>1718564.0</v>
      </c>
      <c r="N141" s="13">
        <v>1.5096</v>
      </c>
      <c r="O141" s="12">
        <v>1.0978337682E10</v>
      </c>
      <c r="P141" s="13">
        <v>80.2436</v>
      </c>
      <c r="Q141" s="13">
        <v>79.1691</v>
      </c>
      <c r="R141" s="11">
        <v>67.6492</v>
      </c>
      <c r="S141" s="13">
        <v>72.7089</v>
      </c>
      <c r="T141" s="13">
        <v>72.4953</v>
      </c>
      <c r="U141" s="13">
        <v>71.9043</v>
      </c>
      <c r="V141" s="13">
        <v>70.4685</v>
      </c>
      <c r="W141" s="13">
        <v>69.9089</v>
      </c>
      <c r="X141" s="13">
        <v>65.6664</v>
      </c>
      <c r="Y141" s="13">
        <v>54.9714</v>
      </c>
      <c r="Z141" s="13">
        <v>49.4789</v>
      </c>
      <c r="AA141" s="13">
        <v>73.06</v>
      </c>
      <c r="AB141" s="13">
        <v>0.0</v>
      </c>
      <c r="AC141" s="13">
        <v>-4.1703</v>
      </c>
      <c r="AD141" s="13">
        <v>-32.4392</v>
      </c>
      <c r="AE141" s="13">
        <v>-2934.9003</v>
      </c>
      <c r="AF141" s="13">
        <v>106.2667</v>
      </c>
      <c r="AG141" s="13">
        <v>0.0265</v>
      </c>
      <c r="AH141" s="13">
        <v>11.573</v>
      </c>
      <c r="AI141" s="13">
        <v>1.1048</v>
      </c>
      <c r="AJ141" s="11">
        <v>0.18</v>
      </c>
      <c r="AK141" s="8" t="s">
        <v>1590</v>
      </c>
      <c r="AL141" s="14">
        <f>IFERROR(__xludf.DUMMYFUNCTION("IFERROR(GOOGLEFINANCE(B141,""price""),"""")"),12.71)</f>
        <v>12.71</v>
      </c>
    </row>
    <row r="142">
      <c r="A142" s="15">
        <v>46057.45482100313</v>
      </c>
      <c r="B142" s="16" t="s">
        <v>1591</v>
      </c>
      <c r="C142" s="16" t="s">
        <v>1592</v>
      </c>
      <c r="D142" s="17">
        <v>46061.0</v>
      </c>
      <c r="E142" s="16" t="s">
        <v>1593</v>
      </c>
      <c r="F142" s="18">
        <v>60.08</v>
      </c>
      <c r="G142" s="19">
        <v>10.5428</v>
      </c>
      <c r="H142" s="16" t="s">
        <v>308</v>
      </c>
      <c r="I142" s="20">
        <v>5325744.0</v>
      </c>
      <c r="J142" s="19">
        <v>34.6777</v>
      </c>
      <c r="K142" s="21">
        <v>1.5446</v>
      </c>
      <c r="L142" s="21">
        <v>2.7478</v>
      </c>
      <c r="M142" s="16">
        <v>3650355.0</v>
      </c>
      <c r="N142" s="21">
        <v>1.49</v>
      </c>
      <c r="O142" s="20">
        <v>1.9082106393E10</v>
      </c>
      <c r="P142" s="21">
        <v>61.6529</v>
      </c>
      <c r="Q142" s="21">
        <v>38.4081</v>
      </c>
      <c r="R142" s="19">
        <v>70.224</v>
      </c>
      <c r="S142" s="21">
        <v>55.1654</v>
      </c>
      <c r="T142" s="21">
        <v>54.6798</v>
      </c>
      <c r="U142" s="21">
        <v>54.4476</v>
      </c>
      <c r="V142" s="21">
        <v>54.0299</v>
      </c>
      <c r="W142" s="21">
        <v>53.8947</v>
      </c>
      <c r="X142" s="21">
        <v>53.1619</v>
      </c>
      <c r="Y142" s="21">
        <v>52.7914</v>
      </c>
      <c r="Z142" s="21">
        <v>51.6289</v>
      </c>
      <c r="AA142" s="21">
        <v>62.7714</v>
      </c>
      <c r="AB142" s="21">
        <v>34.304</v>
      </c>
      <c r="AC142" s="21">
        <v>1.7514</v>
      </c>
      <c r="AD142" s="21">
        <v>7.7884</v>
      </c>
      <c r="AE142" s="21">
        <v>17.63</v>
      </c>
      <c r="AF142" s="21">
        <v>-8.9553</v>
      </c>
      <c r="AG142" s="21">
        <v>0.5084</v>
      </c>
      <c r="AH142" s="21">
        <v>0.6724</v>
      </c>
      <c r="AI142" s="21">
        <v>1.1947</v>
      </c>
      <c r="AJ142" s="19">
        <v>1.12</v>
      </c>
      <c r="AK142" s="24"/>
      <c r="AL142" s="22">
        <f>IFERROR(__xludf.DUMMYFUNCTION("IFERROR(GOOGLEFINANCE(B142,""price""),"""")"),58.36)</f>
        <v>58.36</v>
      </c>
    </row>
    <row r="143">
      <c r="A143" s="7">
        <v>46057.6271824955</v>
      </c>
      <c r="B143" s="8" t="s">
        <v>1594</v>
      </c>
      <c r="C143" s="8" t="s">
        <v>1595</v>
      </c>
      <c r="D143" s="9">
        <v>46061.0</v>
      </c>
      <c r="E143" s="8" t="s">
        <v>1596</v>
      </c>
      <c r="F143" s="10">
        <v>2.415</v>
      </c>
      <c r="G143" s="11">
        <v>45.4819</v>
      </c>
      <c r="H143" s="8" t="s">
        <v>88</v>
      </c>
      <c r="I143" s="12">
        <v>2.5882932E7</v>
      </c>
      <c r="J143" s="11">
        <v>30.3559</v>
      </c>
      <c r="K143" s="13">
        <v>0.1494</v>
      </c>
      <c r="L143" s="13">
        <v>0.2727</v>
      </c>
      <c r="M143" s="8">
        <v>3710951.0</v>
      </c>
      <c r="N143" s="13">
        <v>20.4041</v>
      </c>
      <c r="O143" s="12">
        <v>3.34816476E8</v>
      </c>
      <c r="P143" s="13">
        <v>50.7235</v>
      </c>
      <c r="Q143" s="13">
        <v>37.0988</v>
      </c>
      <c r="R143" s="11">
        <v>73.8376</v>
      </c>
      <c r="S143" s="13">
        <v>1.8503</v>
      </c>
      <c r="T143" s="13">
        <v>1.8202</v>
      </c>
      <c r="U143" s="13">
        <v>1.8501</v>
      </c>
      <c r="V143" s="13">
        <v>1.8781</v>
      </c>
      <c r="W143" s="13">
        <v>1.8847</v>
      </c>
      <c r="X143" s="13">
        <v>1.9148</v>
      </c>
      <c r="Y143" s="13">
        <v>1.9979</v>
      </c>
      <c r="Z143" s="13">
        <v>1.9143</v>
      </c>
      <c r="AA143" s="13">
        <v>3.52</v>
      </c>
      <c r="AB143" s="13">
        <v>0.0</v>
      </c>
      <c r="AC143" s="13">
        <v>-0.0316</v>
      </c>
      <c r="AD143" s="13">
        <v>-3.0164</v>
      </c>
      <c r="AE143" s="13">
        <v>2.6519</v>
      </c>
      <c r="AF143" s="13">
        <v>1.409</v>
      </c>
      <c r="AG143" s="13">
        <v>2.6151</v>
      </c>
      <c r="AH143" s="13">
        <v>0.9878</v>
      </c>
      <c r="AI143" s="13">
        <v>0.009</v>
      </c>
      <c r="AJ143" s="11">
        <v>1.1</v>
      </c>
      <c r="AK143" s="8" t="s">
        <v>1597</v>
      </c>
      <c r="AL143" s="14">
        <f>IFERROR(__xludf.DUMMYFUNCTION("IFERROR(GOOGLEFINANCE(B143,""price""),"""")"),1.73)</f>
        <v>1.73</v>
      </c>
    </row>
    <row r="144">
      <c r="A144" s="15">
        <v>46057.6271824955</v>
      </c>
      <c r="B144" s="16" t="s">
        <v>1598</v>
      </c>
      <c r="C144" s="16" t="s">
        <v>1599</v>
      </c>
      <c r="D144" s="17">
        <v>46061.0</v>
      </c>
      <c r="E144" s="16" t="s">
        <v>1600</v>
      </c>
      <c r="F144" s="18">
        <v>55.635</v>
      </c>
      <c r="G144" s="19">
        <v>2.1763</v>
      </c>
      <c r="H144" s="16" t="s">
        <v>93</v>
      </c>
      <c r="I144" s="20">
        <v>4.1812987E7</v>
      </c>
      <c r="J144" s="19">
        <v>23.4273</v>
      </c>
      <c r="K144" s="21">
        <v>1.0837</v>
      </c>
      <c r="L144" s="21">
        <v>2.3536</v>
      </c>
      <c r="M144" s="16">
        <v>3.4243104E7</v>
      </c>
      <c r="N144" s="21">
        <v>1.2409</v>
      </c>
      <c r="O144" s="20">
        <v>4.06274348703E11</v>
      </c>
      <c r="P144" s="21">
        <v>79.4868</v>
      </c>
      <c r="Q144" s="21">
        <v>63.6971</v>
      </c>
      <c r="R144" s="19">
        <v>62.1364</v>
      </c>
      <c r="S144" s="21">
        <v>53.8194</v>
      </c>
      <c r="T144" s="21">
        <v>53.6951</v>
      </c>
      <c r="U144" s="21">
        <v>53.7836</v>
      </c>
      <c r="V144" s="21">
        <v>53.6587</v>
      </c>
      <c r="W144" s="21">
        <v>53.583</v>
      </c>
      <c r="X144" s="21">
        <v>52.8414</v>
      </c>
      <c r="Y144" s="21">
        <v>50.1264</v>
      </c>
      <c r="Z144" s="21">
        <v>49.3503</v>
      </c>
      <c r="AA144" s="21">
        <v>57.55</v>
      </c>
      <c r="AB144" s="21">
        <v>14.5147</v>
      </c>
      <c r="AC144" s="21">
        <v>3.833</v>
      </c>
      <c r="AD144" s="21">
        <v>10.2298</v>
      </c>
      <c r="AE144" s="21">
        <v>18.0672</v>
      </c>
      <c r="AF144" s="21">
        <v>-2.1208</v>
      </c>
      <c r="AG144" s="21">
        <v>2.3434</v>
      </c>
      <c r="AH144" s="21">
        <v>0.9906</v>
      </c>
      <c r="AI144" s="21">
        <v>0.0645</v>
      </c>
      <c r="AJ144" s="19">
        <v>0.92</v>
      </c>
      <c r="AK144" s="16" t="s">
        <v>1267</v>
      </c>
      <c r="AL144" s="22">
        <f>IFERROR(__xludf.DUMMYFUNCTION("IFERROR(GOOGLEFINANCE(B144,""price""),"""")"),52.54)</f>
        <v>52.54</v>
      </c>
    </row>
    <row r="145">
      <c r="A145" s="7">
        <v>46057.6271824955</v>
      </c>
      <c r="B145" s="8" t="s">
        <v>1601</v>
      </c>
      <c r="C145" s="8" t="s">
        <v>1602</v>
      </c>
      <c r="D145" s="9">
        <v>46061.0</v>
      </c>
      <c r="E145" s="8" t="s">
        <v>1603</v>
      </c>
      <c r="F145" s="10">
        <v>64.625</v>
      </c>
      <c r="G145" s="11">
        <v>-0.0387</v>
      </c>
      <c r="H145" s="8" t="s">
        <v>93</v>
      </c>
      <c r="I145" s="12">
        <v>1705372.0</v>
      </c>
      <c r="J145" s="11">
        <v>39.4417</v>
      </c>
      <c r="K145" s="13">
        <v>0.118</v>
      </c>
      <c r="L145" s="13">
        <v>0.8336</v>
      </c>
      <c r="M145" s="8">
        <v>1363027.0</v>
      </c>
      <c r="N145" s="13">
        <v>1.2746</v>
      </c>
      <c r="O145" s="12">
        <v>7.222815228E9</v>
      </c>
      <c r="P145" s="13">
        <v>85.9809</v>
      </c>
      <c r="Q145" s="13">
        <v>91.1783</v>
      </c>
      <c r="R145" s="11">
        <v>66.6687</v>
      </c>
      <c r="S145" s="13">
        <v>64.5469</v>
      </c>
      <c r="T145" s="13">
        <v>64.4139</v>
      </c>
      <c r="U145" s="13">
        <v>64.3091</v>
      </c>
      <c r="V145" s="13">
        <v>64.1426</v>
      </c>
      <c r="W145" s="13">
        <v>64.0739</v>
      </c>
      <c r="X145" s="13">
        <v>63.3785</v>
      </c>
      <c r="Y145" s="13">
        <v>60.0749</v>
      </c>
      <c r="Z145" s="13">
        <v>60.2692</v>
      </c>
      <c r="AA145" s="13">
        <v>64.715</v>
      </c>
      <c r="AB145" s="13">
        <v>7.4962</v>
      </c>
      <c r="AC145" s="13">
        <v>8.621</v>
      </c>
      <c r="AD145" s="13">
        <v>12.7413</v>
      </c>
      <c r="AE145" s="13">
        <v>47.7074</v>
      </c>
      <c r="AF145" s="13">
        <v>9.674</v>
      </c>
      <c r="AG145" s="13">
        <v>2.4211</v>
      </c>
      <c r="AH145" s="13">
        <v>0.1381</v>
      </c>
      <c r="AI145" s="13">
        <v>0.3679</v>
      </c>
      <c r="AJ145" s="11">
        <v>0.28</v>
      </c>
      <c r="AK145" s="8" t="s">
        <v>1604</v>
      </c>
      <c r="AL145" s="14">
        <f>IFERROR(__xludf.DUMMYFUNCTION("IFERROR(GOOGLEFINANCE(B145,""price""),"""")"),65.0)</f>
        <v>65</v>
      </c>
    </row>
    <row r="146">
      <c r="A146" s="15">
        <v>46057.6271824955</v>
      </c>
      <c r="B146" s="16" t="s">
        <v>1386</v>
      </c>
      <c r="C146" s="16" t="s">
        <v>1387</v>
      </c>
      <c r="D146" s="17">
        <v>46061.0</v>
      </c>
      <c r="E146" s="16" t="s">
        <v>1388</v>
      </c>
      <c r="F146" s="18">
        <v>207.325</v>
      </c>
      <c r="G146" s="19">
        <v>-0.0362</v>
      </c>
      <c r="H146" s="16" t="s">
        <v>102</v>
      </c>
      <c r="I146" s="20">
        <v>944111.0</v>
      </c>
      <c r="J146" s="19">
        <v>46.45</v>
      </c>
      <c r="K146" s="21">
        <v>0.5011</v>
      </c>
      <c r="L146" s="21">
        <v>3.3667</v>
      </c>
      <c r="M146" s="21">
        <v>780417.0</v>
      </c>
      <c r="N146" s="21">
        <v>1.2336</v>
      </c>
      <c r="O146" s="20">
        <v>9.908347947E9</v>
      </c>
      <c r="P146" s="21">
        <v>49.9627</v>
      </c>
      <c r="Q146" s="21">
        <v>56.3447</v>
      </c>
      <c r="R146" s="19">
        <v>67.0372</v>
      </c>
      <c r="S146" s="21">
        <v>207.3237</v>
      </c>
      <c r="T146" s="21">
        <v>207.0215</v>
      </c>
      <c r="U146" s="21">
        <v>206.5096</v>
      </c>
      <c r="V146" s="21">
        <v>205.6438</v>
      </c>
      <c r="W146" s="21">
        <v>205.3117</v>
      </c>
      <c r="X146" s="21">
        <v>202.3795</v>
      </c>
      <c r="Y146" s="21">
        <v>191.5042</v>
      </c>
      <c r="Z146" s="21">
        <v>186.7247</v>
      </c>
      <c r="AA146" s="21">
        <v>216.44</v>
      </c>
      <c r="AB146" s="21">
        <v>250.0905</v>
      </c>
      <c r="AC146" s="21">
        <v>0.829</v>
      </c>
      <c r="AD146" s="21">
        <v>2.2484</v>
      </c>
      <c r="AE146" s="21">
        <v>16.3754</v>
      </c>
      <c r="AF146" s="21">
        <v>5.4738</v>
      </c>
      <c r="AG146" s="21">
        <v>1.1744</v>
      </c>
      <c r="AH146" s="21">
        <v>1.4021</v>
      </c>
      <c r="AI146" s="21">
        <v>0.3926</v>
      </c>
      <c r="AJ146" s="19">
        <v>0.3</v>
      </c>
      <c r="AK146" s="16" t="s">
        <v>1605</v>
      </c>
      <c r="AL146" s="22">
        <f>IFERROR(__xludf.DUMMYFUNCTION("IFERROR(GOOGLEFINANCE(B146,""price""),"""")"),207.79)</f>
        <v>207.79</v>
      </c>
    </row>
    <row r="147">
      <c r="A147" s="7">
        <v>46057.6271824955</v>
      </c>
      <c r="B147" s="8" t="s">
        <v>1587</v>
      </c>
      <c r="C147" s="8" t="s">
        <v>1588</v>
      </c>
      <c r="D147" s="9">
        <v>46061.0</v>
      </c>
      <c r="E147" s="8" t="s">
        <v>1589</v>
      </c>
      <c r="F147" s="10">
        <v>35.085</v>
      </c>
      <c r="G147" s="11">
        <v>13.2871</v>
      </c>
      <c r="H147" s="8" t="s">
        <v>102</v>
      </c>
      <c r="I147" s="12">
        <v>6842074.0</v>
      </c>
      <c r="J147" s="11">
        <v>21.1911</v>
      </c>
      <c r="K147" s="13">
        <v>2.5735</v>
      </c>
      <c r="L147" s="13">
        <v>5.4927</v>
      </c>
      <c r="M147" s="8">
        <v>2644125.0</v>
      </c>
      <c r="N147" s="13">
        <v>3.1631</v>
      </c>
      <c r="O147" s="12">
        <v>2.0980848E9</v>
      </c>
      <c r="P147" s="13">
        <v>35.2113</v>
      </c>
      <c r="Q147" s="13">
        <v>23.3142</v>
      </c>
      <c r="R147" s="11">
        <v>57.1157</v>
      </c>
      <c r="S147" s="13">
        <v>33.0836</v>
      </c>
      <c r="T147" s="13">
        <v>32.9611</v>
      </c>
      <c r="U147" s="13">
        <v>32.8505</v>
      </c>
      <c r="V147" s="13">
        <v>32.9167</v>
      </c>
      <c r="W147" s="13">
        <v>32.9292</v>
      </c>
      <c r="X147" s="13">
        <v>32.6072</v>
      </c>
      <c r="Y147" s="13">
        <v>30.7793</v>
      </c>
      <c r="Z147" s="13">
        <v>28.7468</v>
      </c>
      <c r="AA147" s="13">
        <v>48.5999</v>
      </c>
      <c r="AB147" s="13">
        <v>0.0</v>
      </c>
      <c r="AC147" s="13">
        <v>-9.6695</v>
      </c>
      <c r="AD147" s="13">
        <v>-78.0943</v>
      </c>
      <c r="AE147" s="13">
        <v>-41.8449</v>
      </c>
      <c r="AF147" s="13">
        <v>-0.1383</v>
      </c>
      <c r="AG147" s="13">
        <v>0.8667</v>
      </c>
      <c r="AH147" s="13">
        <v>2.2813</v>
      </c>
      <c r="AI147" s="13">
        <v>0.6645</v>
      </c>
      <c r="AJ147" s="11">
        <v>0.94</v>
      </c>
      <c r="AK147" s="8" t="s">
        <v>1606</v>
      </c>
      <c r="AL147" s="14">
        <f>IFERROR(__xludf.DUMMYFUNCTION("IFERROR(GOOGLEFINANCE(B147,""price""),"""")"),41.76)</f>
        <v>41.76</v>
      </c>
    </row>
    <row r="148">
      <c r="A148" s="15">
        <v>46057.6271824955</v>
      </c>
      <c r="B148" s="16" t="s">
        <v>1470</v>
      </c>
      <c r="C148" s="16" t="s">
        <v>1471</v>
      </c>
      <c r="D148" s="17">
        <v>46061.0</v>
      </c>
      <c r="E148" s="16" t="s">
        <v>1472</v>
      </c>
      <c r="F148" s="18">
        <v>41.8</v>
      </c>
      <c r="G148" s="19">
        <v>-0.1195</v>
      </c>
      <c r="H148" s="16" t="s">
        <v>107</v>
      </c>
      <c r="I148" s="20">
        <v>3404487.0</v>
      </c>
      <c r="J148" s="19">
        <v>25.8301</v>
      </c>
      <c r="K148" s="21">
        <v>0.1755</v>
      </c>
      <c r="L148" s="21">
        <v>1.3912</v>
      </c>
      <c r="M148" s="16">
        <v>2367385.0</v>
      </c>
      <c r="N148" s="21">
        <v>1.4559</v>
      </c>
      <c r="O148" s="20">
        <v>6.155933153E9</v>
      </c>
      <c r="P148" s="21">
        <v>58.1931</v>
      </c>
      <c r="Q148" s="21">
        <v>67.1875</v>
      </c>
      <c r="R148" s="19">
        <v>56.746</v>
      </c>
      <c r="S148" s="21">
        <v>41.8355</v>
      </c>
      <c r="T148" s="21">
        <v>41.7452</v>
      </c>
      <c r="U148" s="21">
        <v>41.5189</v>
      </c>
      <c r="V148" s="21">
        <v>41.012</v>
      </c>
      <c r="W148" s="21">
        <v>40.8238</v>
      </c>
      <c r="X148" s="21">
        <v>39.4971</v>
      </c>
      <c r="Y148" s="21">
        <v>36.7986</v>
      </c>
      <c r="Z148" s="21">
        <v>34.899</v>
      </c>
      <c r="AA148" s="21">
        <v>44.27</v>
      </c>
      <c r="AB148" s="21">
        <v>15.5396</v>
      </c>
      <c r="AC148" s="21">
        <v>2.6899</v>
      </c>
      <c r="AD148" s="21">
        <v>40.418</v>
      </c>
      <c r="AE148" s="21">
        <v>16.3253</v>
      </c>
      <c r="AF148" s="21">
        <v>-1.2173</v>
      </c>
      <c r="AG148" s="21">
        <v>3.586</v>
      </c>
      <c r="AH148" s="21">
        <v>1.2883</v>
      </c>
      <c r="AI148" s="21">
        <v>0.7572</v>
      </c>
      <c r="AJ148" s="19">
        <v>0.25</v>
      </c>
      <c r="AK148" s="16" t="s">
        <v>1607</v>
      </c>
      <c r="AL148" s="22">
        <f>IFERROR(__xludf.DUMMYFUNCTION("IFERROR(GOOGLEFINANCE(B148,""price""),"""")"),42.15)</f>
        <v>42.15</v>
      </c>
    </row>
    <row r="149">
      <c r="A149" s="7">
        <v>46057.6271824955</v>
      </c>
      <c r="B149" s="8" t="s">
        <v>1608</v>
      </c>
      <c r="C149" s="8" t="s">
        <v>1609</v>
      </c>
      <c r="D149" s="9">
        <v>46061.0</v>
      </c>
      <c r="E149" s="8" t="s">
        <v>1610</v>
      </c>
      <c r="F149" s="10">
        <v>129.21</v>
      </c>
      <c r="G149" s="11">
        <v>1.7161</v>
      </c>
      <c r="H149" s="8" t="s">
        <v>137</v>
      </c>
      <c r="I149" s="12">
        <v>2713558.0</v>
      </c>
      <c r="J149" s="11">
        <v>22.7827</v>
      </c>
      <c r="K149" s="13">
        <v>3.7303</v>
      </c>
      <c r="L149" s="13">
        <v>7.2032</v>
      </c>
      <c r="M149" s="8">
        <v>2181863.0</v>
      </c>
      <c r="N149" s="13">
        <v>1.2873</v>
      </c>
      <c r="O149" s="12">
        <v>2.6442793912E10</v>
      </c>
      <c r="P149" s="13">
        <v>35.3984</v>
      </c>
      <c r="Q149" s="13">
        <v>30.619</v>
      </c>
      <c r="R149" s="11">
        <v>52.6265</v>
      </c>
      <c r="S149" s="13">
        <v>128.337</v>
      </c>
      <c r="T149" s="13">
        <v>128.5529</v>
      </c>
      <c r="U149" s="13">
        <v>127.0723</v>
      </c>
      <c r="V149" s="13">
        <v>124.7435</v>
      </c>
      <c r="W149" s="13">
        <v>124.0218</v>
      </c>
      <c r="X149" s="13">
        <v>119.3657</v>
      </c>
      <c r="Y149" s="13">
        <v>105.8706</v>
      </c>
      <c r="Z149" s="13">
        <v>104.2755</v>
      </c>
      <c r="AA149" s="13">
        <v>136.04</v>
      </c>
      <c r="AB149" s="13">
        <v>115.6449</v>
      </c>
      <c r="AC149" s="13">
        <v>1.1173</v>
      </c>
      <c r="AD149" s="13">
        <v>16.0525</v>
      </c>
      <c r="AE149" s="13">
        <v>18.505</v>
      </c>
      <c r="AF149" s="13">
        <v>8.1359</v>
      </c>
      <c r="AG149" s="13">
        <v>10.5114</v>
      </c>
      <c r="AH149" s="13">
        <v>1.5247</v>
      </c>
      <c r="AI149" s="13">
        <v>0.9788</v>
      </c>
      <c r="AJ149" s="11">
        <v>1.04</v>
      </c>
      <c r="AK149" s="8" t="s">
        <v>1283</v>
      </c>
      <c r="AL149" s="14">
        <f>IFERROR(__xludf.DUMMYFUNCTION("IFERROR(GOOGLEFINANCE(B149,""price""),"""")"),150.3)</f>
        <v>150.3</v>
      </c>
    </row>
    <row r="150">
      <c r="A150" s="15">
        <v>46057.6271824955</v>
      </c>
      <c r="B150" s="16" t="s">
        <v>1560</v>
      </c>
      <c r="C150" s="16" t="s">
        <v>1561</v>
      </c>
      <c r="D150" s="17">
        <v>46061.0</v>
      </c>
      <c r="E150" s="16" t="s">
        <v>1562</v>
      </c>
      <c r="F150" s="18">
        <v>72.725</v>
      </c>
      <c r="G150" s="19">
        <v>-0.2811</v>
      </c>
      <c r="H150" s="16" t="s">
        <v>117</v>
      </c>
      <c r="I150" s="20">
        <v>3502776.0</v>
      </c>
      <c r="J150" s="19">
        <v>52.6128</v>
      </c>
      <c r="K150" s="21">
        <v>0.252</v>
      </c>
      <c r="L150" s="21">
        <v>2.7644</v>
      </c>
      <c r="M150" s="16">
        <v>1819852.0</v>
      </c>
      <c r="N150" s="21">
        <v>2.1237</v>
      </c>
      <c r="O150" s="20">
        <v>1.0963262724E10</v>
      </c>
      <c r="P150" s="21">
        <v>75.1931</v>
      </c>
      <c r="Q150" s="21">
        <v>77.4856</v>
      </c>
      <c r="R150" s="19">
        <v>63.7314</v>
      </c>
      <c r="S150" s="21">
        <v>72.6866</v>
      </c>
      <c r="T150" s="21">
        <v>72.4862</v>
      </c>
      <c r="U150" s="21">
        <v>71.8986</v>
      </c>
      <c r="V150" s="21">
        <v>70.4645</v>
      </c>
      <c r="W150" s="21">
        <v>69.9054</v>
      </c>
      <c r="X150" s="21">
        <v>65.6642</v>
      </c>
      <c r="Y150" s="21">
        <v>54.9704</v>
      </c>
      <c r="Z150" s="21">
        <v>49.4784</v>
      </c>
      <c r="AA150" s="21">
        <v>73.06</v>
      </c>
      <c r="AB150" s="21">
        <v>0.0</v>
      </c>
      <c r="AC150" s="21">
        <v>-4.1703</v>
      </c>
      <c r="AD150" s="21">
        <v>-32.4392</v>
      </c>
      <c r="AE150" s="21">
        <v>-2934.9003</v>
      </c>
      <c r="AF150" s="21">
        <v>106.2667</v>
      </c>
      <c r="AG150" s="21">
        <v>0.0265</v>
      </c>
      <c r="AH150" s="21">
        <v>11.573</v>
      </c>
      <c r="AI150" s="21">
        <v>1.0836</v>
      </c>
      <c r="AJ150" s="19">
        <v>0.18</v>
      </c>
      <c r="AK150" s="16" t="s">
        <v>1611</v>
      </c>
      <c r="AL150" s="22">
        <f>IFERROR(__xludf.DUMMYFUNCTION("IFERROR(GOOGLEFINANCE(B150,""price""),"""")"),12.71)</f>
        <v>12.71</v>
      </c>
    </row>
    <row r="151">
      <c r="A151" s="7">
        <v>46057.6271824955</v>
      </c>
      <c r="B151" s="8" t="s">
        <v>1612</v>
      </c>
      <c r="C151" s="8" t="s">
        <v>1613</v>
      </c>
      <c r="D151" s="9">
        <v>46061.0</v>
      </c>
      <c r="E151" s="8" t="s">
        <v>1614</v>
      </c>
      <c r="F151" s="10">
        <v>66.77</v>
      </c>
      <c r="G151" s="11">
        <v>4.0517</v>
      </c>
      <c r="H151" s="8" t="s">
        <v>137</v>
      </c>
      <c r="I151" s="12">
        <v>7811134.0</v>
      </c>
      <c r="J151" s="11">
        <v>20.4137</v>
      </c>
      <c r="K151" s="13">
        <v>1.7004</v>
      </c>
      <c r="L151" s="13">
        <v>3.5317</v>
      </c>
      <c r="M151" s="8">
        <v>6333649.0</v>
      </c>
      <c r="N151" s="13">
        <v>1.2631</v>
      </c>
      <c r="O151" s="12">
        <v>4.2255338685E10</v>
      </c>
      <c r="P151" s="13">
        <v>74.603</v>
      </c>
      <c r="Q151" s="13">
        <v>64.2557</v>
      </c>
      <c r="R151" s="11">
        <v>66.3369</v>
      </c>
      <c r="S151" s="13">
        <v>63.8356</v>
      </c>
      <c r="T151" s="13">
        <v>63.0895</v>
      </c>
      <c r="U151" s="13">
        <v>63.1079</v>
      </c>
      <c r="V151" s="13">
        <v>63.4369</v>
      </c>
      <c r="W151" s="13">
        <v>63.5627</v>
      </c>
      <c r="X151" s="13">
        <v>64.3868</v>
      </c>
      <c r="Y151" s="13">
        <v>65.0773</v>
      </c>
      <c r="Z151" s="13">
        <v>67.3677</v>
      </c>
      <c r="AA151" s="13">
        <v>74.9</v>
      </c>
      <c r="AB151" s="13">
        <v>61.1559</v>
      </c>
      <c r="AC151" s="13">
        <v>1.0918</v>
      </c>
      <c r="AD151" s="13">
        <v>7.7525</v>
      </c>
      <c r="AE151" s="13">
        <v>3.1999</v>
      </c>
      <c r="AF151" s="13">
        <v>-1.7708</v>
      </c>
      <c r="AG151" s="13">
        <v>3.5784</v>
      </c>
      <c r="AH151" s="13">
        <v>0.8777</v>
      </c>
      <c r="AI151" s="13">
        <v>1.0898</v>
      </c>
      <c r="AJ151" s="11">
        <v>0.96</v>
      </c>
      <c r="AK151" s="23"/>
      <c r="AL151" s="14">
        <f>IFERROR(__xludf.DUMMYFUNCTION("IFERROR(GOOGLEFINANCE(B151,""price""),"""")"),67.99)</f>
        <v>67.99</v>
      </c>
    </row>
    <row r="152">
      <c r="A152" s="15">
        <v>46057.6271824955</v>
      </c>
      <c r="B152" s="16" t="s">
        <v>1591</v>
      </c>
      <c r="C152" s="16" t="s">
        <v>1592</v>
      </c>
      <c r="D152" s="17">
        <v>46061.0</v>
      </c>
      <c r="E152" s="16" t="s">
        <v>1593</v>
      </c>
      <c r="F152" s="18">
        <v>59.98</v>
      </c>
      <c r="G152" s="19">
        <v>10.3588</v>
      </c>
      <c r="H152" s="16" t="s">
        <v>308</v>
      </c>
      <c r="I152" s="20">
        <v>1.0007466E7</v>
      </c>
      <c r="J152" s="19">
        <v>34.9516</v>
      </c>
      <c r="K152" s="21">
        <v>1.6003</v>
      </c>
      <c r="L152" s="21">
        <v>2.8035</v>
      </c>
      <c r="M152" s="16">
        <v>4118528.0</v>
      </c>
      <c r="N152" s="21">
        <v>2.7999</v>
      </c>
      <c r="O152" s="20">
        <v>1.905034523E10</v>
      </c>
      <c r="P152" s="21">
        <v>58.3979</v>
      </c>
      <c r="Q152" s="21">
        <v>37.3231</v>
      </c>
      <c r="R152" s="19">
        <v>70.0189</v>
      </c>
      <c r="S152" s="21">
        <v>55.1431</v>
      </c>
      <c r="T152" s="21">
        <v>54.6707</v>
      </c>
      <c r="U152" s="21">
        <v>54.4419</v>
      </c>
      <c r="V152" s="21">
        <v>54.026</v>
      </c>
      <c r="W152" s="21">
        <v>53.8911</v>
      </c>
      <c r="X152" s="21">
        <v>53.1597</v>
      </c>
      <c r="Y152" s="21">
        <v>52.7904</v>
      </c>
      <c r="Z152" s="21">
        <v>51.6284</v>
      </c>
      <c r="AA152" s="21">
        <v>62.7714</v>
      </c>
      <c r="AB152" s="21">
        <v>34.2469</v>
      </c>
      <c r="AC152" s="21">
        <v>1.7514</v>
      </c>
      <c r="AD152" s="21">
        <v>7.7884</v>
      </c>
      <c r="AE152" s="21">
        <v>17.63</v>
      </c>
      <c r="AF152" s="21">
        <v>-8.9553</v>
      </c>
      <c r="AG152" s="21">
        <v>0.5084</v>
      </c>
      <c r="AH152" s="21">
        <v>0.6724</v>
      </c>
      <c r="AI152" s="21">
        <v>1.1691</v>
      </c>
      <c r="AJ152" s="19">
        <v>1.14</v>
      </c>
      <c r="AK152" s="16" t="s">
        <v>1615</v>
      </c>
      <c r="AL152" s="22">
        <f>IFERROR(__xludf.DUMMYFUNCTION("IFERROR(GOOGLEFINANCE(B152,""price""),"""")"),58.36)</f>
        <v>58.36</v>
      </c>
    </row>
    <row r="153">
      <c r="A153" s="7">
        <v>46057.6271824955</v>
      </c>
      <c r="B153" s="8" t="s">
        <v>1570</v>
      </c>
      <c r="C153" s="8" t="s">
        <v>1571</v>
      </c>
      <c r="D153" s="9">
        <v>46061.0</v>
      </c>
      <c r="E153" s="8" t="s">
        <v>1572</v>
      </c>
      <c r="F153" s="10">
        <v>46.24</v>
      </c>
      <c r="G153" s="11">
        <v>-1.3862</v>
      </c>
      <c r="H153" s="8" t="s">
        <v>917</v>
      </c>
      <c r="I153" s="12">
        <v>7622394.0</v>
      </c>
      <c r="J153" s="11">
        <v>29.255</v>
      </c>
      <c r="K153" s="13">
        <v>0.7877</v>
      </c>
      <c r="L153" s="13">
        <v>1.4969</v>
      </c>
      <c r="M153" s="8">
        <v>5005049.0</v>
      </c>
      <c r="N153" s="13">
        <v>1.6124</v>
      </c>
      <c r="O153" s="12">
        <v>2.6711256459E10</v>
      </c>
      <c r="P153" s="13">
        <v>46.9473</v>
      </c>
      <c r="Q153" s="13">
        <v>65.7143</v>
      </c>
      <c r="R153" s="11">
        <v>48.9695</v>
      </c>
      <c r="S153" s="13">
        <v>46.8594</v>
      </c>
      <c r="T153" s="13">
        <v>46.4824</v>
      </c>
      <c r="U153" s="13">
        <v>46.1845</v>
      </c>
      <c r="V153" s="13">
        <v>45.9685</v>
      </c>
      <c r="W153" s="13">
        <v>45.9102</v>
      </c>
      <c r="X153" s="13">
        <v>45.4992</v>
      </c>
      <c r="Y153" s="13">
        <v>44.2126</v>
      </c>
      <c r="Z153" s="13">
        <v>43.8461</v>
      </c>
      <c r="AA153" s="13">
        <v>48.2</v>
      </c>
      <c r="AB153" s="13">
        <v>20.086</v>
      </c>
      <c r="AC153" s="13">
        <v>2.3021</v>
      </c>
      <c r="AD153" s="13">
        <v>10.5451</v>
      </c>
      <c r="AE153" s="13">
        <v>19.6489</v>
      </c>
      <c r="AF153" s="13">
        <v>7.6402</v>
      </c>
      <c r="AG153" s="13">
        <v>2.1464</v>
      </c>
      <c r="AH153" s="13">
        <v>0.7474</v>
      </c>
      <c r="AI153" s="13">
        <v>1.4596</v>
      </c>
      <c r="AJ153" s="11">
        <v>1.05</v>
      </c>
      <c r="AK153" s="23"/>
      <c r="AL153" s="14">
        <f>IFERROR(__xludf.DUMMYFUNCTION("IFERROR(GOOGLEFINANCE(B153,""price""),"""")"),51.43)</f>
        <v>51.43</v>
      </c>
    </row>
    <row r="154">
      <c r="A154" s="15">
        <v>46057.6271824955</v>
      </c>
      <c r="B154" s="16" t="s">
        <v>1616</v>
      </c>
      <c r="C154" s="16" t="s">
        <v>1617</v>
      </c>
      <c r="D154" s="17">
        <v>46061.0</v>
      </c>
      <c r="E154" s="16" t="s">
        <v>1618</v>
      </c>
      <c r="F154" s="18">
        <v>288.73</v>
      </c>
      <c r="G154" s="19">
        <v>5.6767</v>
      </c>
      <c r="H154" s="16" t="s">
        <v>129</v>
      </c>
      <c r="I154" s="20">
        <v>564280.0</v>
      </c>
      <c r="J154" s="19">
        <v>20.4642</v>
      </c>
      <c r="K154" s="21">
        <v>8.375</v>
      </c>
      <c r="L154" s="21">
        <v>15.5598</v>
      </c>
      <c r="M154" s="21">
        <v>479587.6</v>
      </c>
      <c r="N154" s="21">
        <v>1.2658</v>
      </c>
      <c r="O154" s="20">
        <v>1.0770333735E10</v>
      </c>
      <c r="P154" s="21">
        <v>68.0262</v>
      </c>
      <c r="Q154" s="21">
        <v>44.881</v>
      </c>
      <c r="R154" s="19">
        <v>64.2129</v>
      </c>
      <c r="S154" s="21">
        <v>273.2681</v>
      </c>
      <c r="T154" s="21">
        <v>271.2046</v>
      </c>
      <c r="U154" s="21">
        <v>268.9571</v>
      </c>
      <c r="V154" s="21">
        <v>266.6775</v>
      </c>
      <c r="W154" s="21">
        <v>266.0894</v>
      </c>
      <c r="X154" s="21">
        <v>262.9321</v>
      </c>
      <c r="Y154" s="21">
        <v>254.8881</v>
      </c>
      <c r="Z154" s="21">
        <v>253.2431</v>
      </c>
      <c r="AA154" s="21">
        <v>289.03</v>
      </c>
      <c r="AB154" s="21">
        <v>27.4751</v>
      </c>
      <c r="AC154" s="21">
        <v>10.5088</v>
      </c>
      <c r="AD154" s="21">
        <v>22.0174</v>
      </c>
      <c r="AE154" s="21">
        <v>12.4153</v>
      </c>
      <c r="AF154" s="21">
        <v>6.1401</v>
      </c>
      <c r="AG154" s="21">
        <v>0.3053</v>
      </c>
      <c r="AH154" s="21">
        <v>3.6772</v>
      </c>
      <c r="AI154" s="21">
        <v>1.4931</v>
      </c>
      <c r="AJ154" s="19">
        <v>1.08</v>
      </c>
      <c r="AK154" s="24"/>
      <c r="AL154" s="22">
        <f>IFERROR(__xludf.DUMMYFUNCTION("IFERROR(GOOGLEFINANCE(B154,""price""),"""")"),289.01)</f>
        <v>289.01</v>
      </c>
    </row>
    <row r="155">
      <c r="A155" s="7">
        <v>46057.6271824955</v>
      </c>
      <c r="B155" s="8" t="s">
        <v>1619</v>
      </c>
      <c r="C155" s="8" t="s">
        <v>1620</v>
      </c>
      <c r="D155" s="9">
        <v>46061.0</v>
      </c>
      <c r="E155" s="8" t="s">
        <v>1621</v>
      </c>
      <c r="F155" s="10">
        <v>95.11</v>
      </c>
      <c r="G155" s="11">
        <v>2.9552</v>
      </c>
      <c r="H155" s="8" t="s">
        <v>286</v>
      </c>
      <c r="I155" s="12">
        <v>1862385.0</v>
      </c>
      <c r="J155" s="11">
        <v>20.5852</v>
      </c>
      <c r="K155" s="13">
        <v>1.7584</v>
      </c>
      <c r="L155" s="13">
        <v>3.5864</v>
      </c>
      <c r="M155" s="8">
        <v>1289962.0</v>
      </c>
      <c r="N155" s="13">
        <v>1.4583</v>
      </c>
      <c r="O155" s="12">
        <v>4.2723240641E10</v>
      </c>
      <c r="P155" s="13">
        <v>84.0129</v>
      </c>
      <c r="Q155" s="13">
        <v>85.1422</v>
      </c>
      <c r="R155" s="11">
        <v>72.8408</v>
      </c>
      <c r="S155" s="13">
        <v>92.1326</v>
      </c>
      <c r="T155" s="13">
        <v>90.8578</v>
      </c>
      <c r="U155" s="13">
        <v>90.5517</v>
      </c>
      <c r="V155" s="13">
        <v>90.4411</v>
      </c>
      <c r="W155" s="13">
        <v>90.4281</v>
      </c>
      <c r="X155" s="13">
        <v>90.3874</v>
      </c>
      <c r="Y155" s="13">
        <v>89.158</v>
      </c>
      <c r="Z155" s="13">
        <v>91.0543</v>
      </c>
      <c r="AA155" s="13">
        <v>100.67</v>
      </c>
      <c r="AB155" s="13">
        <v>26.2257</v>
      </c>
      <c r="AC155" s="13">
        <v>3.6266</v>
      </c>
      <c r="AD155" s="13">
        <v>17.9879</v>
      </c>
      <c r="AE155" s="13">
        <v>11.9682</v>
      </c>
      <c r="AF155" s="13">
        <v>9.6457</v>
      </c>
      <c r="AG155" s="13">
        <v>1.4963</v>
      </c>
      <c r="AH155" s="13">
        <v>0.8338</v>
      </c>
      <c r="AI155" s="13">
        <v>1.6623</v>
      </c>
      <c r="AJ155" s="11">
        <v>0.98</v>
      </c>
      <c r="AK155" s="23"/>
      <c r="AL155" s="14">
        <f>IFERROR(__xludf.DUMMYFUNCTION("IFERROR(GOOGLEFINANCE(B155,""price""),"""")"),97.43)</f>
        <v>97.43</v>
      </c>
    </row>
    <row r="156">
      <c r="A156" s="15">
        <v>46057.6271824955</v>
      </c>
      <c r="B156" s="16" t="s">
        <v>1622</v>
      </c>
      <c r="C156" s="16" t="s">
        <v>1623</v>
      </c>
      <c r="D156" s="17">
        <v>46061.0</v>
      </c>
      <c r="E156" s="16" t="s">
        <v>1624</v>
      </c>
      <c r="F156" s="18">
        <v>354.2</v>
      </c>
      <c r="G156" s="19">
        <v>0.7767</v>
      </c>
      <c r="H156" s="16" t="s">
        <v>308</v>
      </c>
      <c r="I156" s="20">
        <v>494206.0</v>
      </c>
      <c r="J156" s="19">
        <v>22.7844</v>
      </c>
      <c r="K156" s="21">
        <v>24.7062</v>
      </c>
      <c r="L156" s="21">
        <v>43.104</v>
      </c>
      <c r="M156" s="21">
        <v>322337.5</v>
      </c>
      <c r="N156" s="21">
        <v>1.6831</v>
      </c>
      <c r="O156" s="20">
        <v>9.244843785E9</v>
      </c>
      <c r="P156" s="21">
        <v>38.5679</v>
      </c>
      <c r="Q156" s="21">
        <v>47.8496</v>
      </c>
      <c r="R156" s="19">
        <v>49.5135</v>
      </c>
      <c r="S156" s="21">
        <v>358.9708</v>
      </c>
      <c r="T156" s="21">
        <v>357.1726</v>
      </c>
      <c r="U156" s="21">
        <v>352.6422</v>
      </c>
      <c r="V156" s="21">
        <v>344.8387</v>
      </c>
      <c r="W156" s="21">
        <v>342.1969</v>
      </c>
      <c r="X156" s="21">
        <v>324.1647</v>
      </c>
      <c r="Y156" s="21">
        <v>279.308</v>
      </c>
      <c r="Z156" s="21">
        <v>262.3946</v>
      </c>
      <c r="AA156" s="21">
        <v>398.59</v>
      </c>
      <c r="AB156" s="21">
        <v>0.0</v>
      </c>
      <c r="AC156" s="21">
        <v>-2.9623</v>
      </c>
      <c r="AD156" s="21">
        <v>-7.8775</v>
      </c>
      <c r="AE156" s="21">
        <v>-30.6815</v>
      </c>
      <c r="AF156" s="21">
        <v>59.0415</v>
      </c>
      <c r="AG156" s="21">
        <v>0.004</v>
      </c>
      <c r="AH156" s="21">
        <v>8.4207</v>
      </c>
      <c r="AI156" s="21">
        <v>1.7867</v>
      </c>
      <c r="AJ156" s="19">
        <v>1.15</v>
      </c>
      <c r="AK156" s="24"/>
      <c r="AL156" s="22">
        <f>IFERROR(__xludf.DUMMYFUNCTION("IFERROR(GOOGLEFINANCE(B156,""price""),"""")"),420.32)</f>
        <v>420.32</v>
      </c>
    </row>
    <row r="157">
      <c r="A157" s="7">
        <v>46057.6271824955</v>
      </c>
      <c r="B157" s="8" t="s">
        <v>1576</v>
      </c>
      <c r="C157" s="8" t="s">
        <v>1577</v>
      </c>
      <c r="D157" s="9">
        <v>46061.0</v>
      </c>
      <c r="E157" s="8" t="s">
        <v>1578</v>
      </c>
      <c r="F157" s="10">
        <v>11.87</v>
      </c>
      <c r="G157" s="11">
        <v>-0.0842</v>
      </c>
      <c r="H157" s="8" t="s">
        <v>88</v>
      </c>
      <c r="I157" s="12">
        <v>2056721.0</v>
      </c>
      <c r="J157" s="11">
        <v>63.0403</v>
      </c>
      <c r="K157" s="13">
        <v>0.0458</v>
      </c>
      <c r="L157" s="13">
        <v>0.56</v>
      </c>
      <c r="M157" s="8">
        <v>1711736.0</v>
      </c>
      <c r="N157" s="13">
        <v>1.265</v>
      </c>
      <c r="O157" s="12">
        <v>1.797784423E9</v>
      </c>
      <c r="P157" s="13">
        <v>25.0</v>
      </c>
      <c r="Q157" s="13">
        <v>24.0741</v>
      </c>
      <c r="R157" s="11">
        <v>63.824</v>
      </c>
      <c r="S157" s="13">
        <v>11.8913</v>
      </c>
      <c r="T157" s="13">
        <v>11.8609</v>
      </c>
      <c r="U157" s="13">
        <v>11.6745</v>
      </c>
      <c r="V157" s="13">
        <v>11.3289</v>
      </c>
      <c r="W157" s="13">
        <v>11.2191</v>
      </c>
      <c r="X157" s="13">
        <v>10.6273</v>
      </c>
      <c r="Y157" s="13">
        <v>10.253</v>
      </c>
      <c r="Z157" s="13">
        <v>9.3972</v>
      </c>
      <c r="AA157" s="13">
        <v>18.74</v>
      </c>
      <c r="AB157" s="13">
        <v>0.0</v>
      </c>
      <c r="AC157" s="13">
        <v>-0.0307</v>
      </c>
      <c r="AD157" s="13">
        <v>-1.6774</v>
      </c>
      <c r="AE157" s="13">
        <v>-1.5659</v>
      </c>
      <c r="AF157" s="13">
        <v>19.8732</v>
      </c>
      <c r="AG157" s="13">
        <v>0.0481</v>
      </c>
      <c r="AH157" s="13">
        <v>2.2132</v>
      </c>
      <c r="AI157" s="13">
        <v>1.8266</v>
      </c>
      <c r="AJ157" s="11">
        <v>0.16</v>
      </c>
      <c r="AK157" s="8" t="s">
        <v>1625</v>
      </c>
      <c r="AL157" s="14">
        <f>IFERROR(__xludf.DUMMYFUNCTION("IFERROR(GOOGLEFINANCE(B157,""price""),"""")"),11.94)</f>
        <v>11.94</v>
      </c>
    </row>
    <row r="158">
      <c r="A158" s="15">
        <v>46057.6271824955</v>
      </c>
      <c r="B158" s="16" t="s">
        <v>1626</v>
      </c>
      <c r="C158" s="16" t="s">
        <v>1627</v>
      </c>
      <c r="D158" s="17">
        <v>46061.0</v>
      </c>
      <c r="E158" s="16" t="s">
        <v>1628</v>
      </c>
      <c r="F158" s="18">
        <v>43.95</v>
      </c>
      <c r="G158" s="19">
        <v>-0.0227</v>
      </c>
      <c r="H158" s="16" t="s">
        <v>917</v>
      </c>
      <c r="I158" s="20">
        <v>5516668.0</v>
      </c>
      <c r="J158" s="19">
        <v>28.0064</v>
      </c>
      <c r="K158" s="21">
        <v>0.7243</v>
      </c>
      <c r="L158" s="21">
        <v>1.5743</v>
      </c>
      <c r="M158" s="16">
        <v>4334727.0</v>
      </c>
      <c r="N158" s="21">
        <v>1.2317</v>
      </c>
      <c r="O158" s="20">
        <v>2.0972742936E10</v>
      </c>
      <c r="P158" s="21">
        <v>60.2076</v>
      </c>
      <c r="Q158" s="21">
        <v>69.6693</v>
      </c>
      <c r="R158" s="19">
        <v>58.4823</v>
      </c>
      <c r="S158" s="21">
        <v>44.0103</v>
      </c>
      <c r="T158" s="21">
        <v>43.4935</v>
      </c>
      <c r="U158" s="21">
        <v>43.1575</v>
      </c>
      <c r="V158" s="21">
        <v>42.94</v>
      </c>
      <c r="W158" s="21">
        <v>42.8902</v>
      </c>
      <c r="X158" s="21">
        <v>42.5916</v>
      </c>
      <c r="Y158" s="21">
        <v>41.3154</v>
      </c>
      <c r="Z158" s="21">
        <v>41.5248</v>
      </c>
      <c r="AA158" s="21">
        <v>44.95</v>
      </c>
      <c r="AB158" s="21">
        <v>23.2134</v>
      </c>
      <c r="AC158" s="21">
        <v>1.8933</v>
      </c>
      <c r="AD158" s="21">
        <v>10.2329</v>
      </c>
      <c r="AE158" s="21">
        <v>27.5403</v>
      </c>
      <c r="AF158" s="21">
        <v>19.6207</v>
      </c>
      <c r="AG158" s="21">
        <v>1.7288</v>
      </c>
      <c r="AH158" s="21">
        <v>0.5231</v>
      </c>
      <c r="AI158" s="21">
        <v>1.9403</v>
      </c>
      <c r="AJ158" s="19">
        <v>0.92</v>
      </c>
      <c r="AK158" s="24"/>
      <c r="AL158" s="22">
        <f>IFERROR(__xludf.DUMMYFUNCTION("IFERROR(GOOGLEFINANCE(B158,""price""),"""")"),48.05)</f>
        <v>48.05</v>
      </c>
    </row>
    <row r="159">
      <c r="A159" s="7">
        <v>46057.6271824955</v>
      </c>
      <c r="B159" s="8" t="s">
        <v>1486</v>
      </c>
      <c r="C159" s="8" t="s">
        <v>1487</v>
      </c>
      <c r="D159" s="9">
        <v>46061.0</v>
      </c>
      <c r="E159" s="8" t="s">
        <v>1488</v>
      </c>
      <c r="F159" s="10">
        <v>65.18</v>
      </c>
      <c r="G159" s="11">
        <v>1.2741</v>
      </c>
      <c r="H159" s="8" t="s">
        <v>93</v>
      </c>
      <c r="I159" s="12">
        <v>629722.0</v>
      </c>
      <c r="J159" s="11">
        <v>29.1812</v>
      </c>
      <c r="K159" s="13">
        <v>0.9573</v>
      </c>
      <c r="L159" s="13">
        <v>1.8902</v>
      </c>
      <c r="M159" s="13">
        <v>478434.7</v>
      </c>
      <c r="N159" s="13">
        <v>1.4025</v>
      </c>
      <c r="O159" s="12">
        <v>3.6332573298E10</v>
      </c>
      <c r="P159" s="13">
        <v>93.3168</v>
      </c>
      <c r="Q159" s="13">
        <v>84.437</v>
      </c>
      <c r="R159" s="11">
        <v>67.6818</v>
      </c>
      <c r="S159" s="13">
        <v>63.8559</v>
      </c>
      <c r="T159" s="13">
        <v>63.1128</v>
      </c>
      <c r="U159" s="13">
        <v>62.5779</v>
      </c>
      <c r="V159" s="13">
        <v>62.0951</v>
      </c>
      <c r="W159" s="13">
        <v>61.9786</v>
      </c>
      <c r="X159" s="13">
        <v>61.452</v>
      </c>
      <c r="Y159" s="13">
        <v>60.4784</v>
      </c>
      <c r="Z159" s="13">
        <v>61.1976</v>
      </c>
      <c r="AA159" s="13">
        <v>66.81</v>
      </c>
      <c r="AB159" s="13">
        <v>17.2674</v>
      </c>
      <c r="AC159" s="13">
        <v>3.7747</v>
      </c>
      <c r="AD159" s="13">
        <v>12.1947</v>
      </c>
      <c r="AE159" s="13">
        <v>11.6443</v>
      </c>
      <c r="AF159" s="13">
        <v>-22.1635</v>
      </c>
      <c r="AG159" s="13">
        <v>0.2944</v>
      </c>
      <c r="AH159" s="13">
        <v>0.0</v>
      </c>
      <c r="AI159" s="13">
        <v>1.9608</v>
      </c>
      <c r="AJ159" s="11">
        <v>1.01</v>
      </c>
      <c r="AK159" s="23"/>
      <c r="AL159" s="14">
        <f>IFERROR(__xludf.DUMMYFUNCTION("IFERROR(GOOGLEFINANCE(B159,""price""),"""")"),65.27)</f>
        <v>65.27</v>
      </c>
    </row>
    <row r="160">
      <c r="A160" s="15">
        <v>46057.6271824955</v>
      </c>
      <c r="B160" s="16" t="s">
        <v>1356</v>
      </c>
      <c r="C160" s="16" t="s">
        <v>1357</v>
      </c>
      <c r="D160" s="17">
        <v>46061.0</v>
      </c>
      <c r="E160" s="16" t="s">
        <v>1358</v>
      </c>
      <c r="F160" s="18">
        <v>26.955</v>
      </c>
      <c r="G160" s="19">
        <v>4.5984</v>
      </c>
      <c r="H160" s="16" t="s">
        <v>117</v>
      </c>
      <c r="I160" s="20">
        <v>6.7746192E7</v>
      </c>
      <c r="J160" s="19">
        <v>27.6473</v>
      </c>
      <c r="K160" s="21">
        <v>0.6288</v>
      </c>
      <c r="L160" s="21">
        <v>1.2311</v>
      </c>
      <c r="M160" s="16">
        <v>5.6509406E7</v>
      </c>
      <c r="N160" s="21">
        <v>1.2439</v>
      </c>
      <c r="O160" s="20">
        <v>1.53258248911E11</v>
      </c>
      <c r="P160" s="21">
        <v>76.2103</v>
      </c>
      <c r="Q160" s="21">
        <v>74.2264</v>
      </c>
      <c r="R160" s="19">
        <v>60.9662</v>
      </c>
      <c r="S160" s="21">
        <v>26.2848</v>
      </c>
      <c r="T160" s="21">
        <v>25.9347</v>
      </c>
      <c r="U160" s="21">
        <v>25.7497</v>
      </c>
      <c r="V160" s="21">
        <v>25.6012</v>
      </c>
      <c r="W160" s="21">
        <v>25.5634</v>
      </c>
      <c r="X160" s="21">
        <v>25.3672</v>
      </c>
      <c r="Y160" s="21">
        <v>25.2835</v>
      </c>
      <c r="Z160" s="21">
        <v>24.6822</v>
      </c>
      <c r="AA160" s="21">
        <v>27.69</v>
      </c>
      <c r="AB160" s="21">
        <v>19.8915</v>
      </c>
      <c r="AC160" s="21">
        <v>1.3551</v>
      </c>
      <c r="AD160" s="21">
        <v>0.0</v>
      </c>
      <c r="AE160" s="21">
        <v>27.832</v>
      </c>
      <c r="AF160" s="21">
        <v>-1.6471</v>
      </c>
      <c r="AG160" s="21">
        <v>0.0</v>
      </c>
      <c r="AH160" s="21">
        <v>0.0</v>
      </c>
      <c r="AI160" s="21">
        <v>1.9851</v>
      </c>
      <c r="AJ160" s="19">
        <v>1.02</v>
      </c>
      <c r="AK160" s="24"/>
      <c r="AL160" s="22">
        <f>IFERROR(__xludf.DUMMYFUNCTION("IFERROR(GOOGLEFINANCE(B160,""price""),"""")"),26.92)</f>
        <v>26.92</v>
      </c>
    </row>
    <row r="161">
      <c r="A161" s="7">
        <v>46058.444323557014</v>
      </c>
      <c r="B161" s="8" t="s">
        <v>1334</v>
      </c>
      <c r="C161" s="8" t="s">
        <v>1335</v>
      </c>
      <c r="D161" s="9">
        <v>46061.0</v>
      </c>
      <c r="E161" s="8" t="s">
        <v>1336</v>
      </c>
      <c r="F161" s="10">
        <v>10.67</v>
      </c>
      <c r="G161" s="11">
        <v>0.0</v>
      </c>
      <c r="H161" s="8" t="s">
        <v>93</v>
      </c>
      <c r="I161" s="12">
        <v>647063.0</v>
      </c>
      <c r="J161" s="11">
        <v>33.5132</v>
      </c>
      <c r="K161" s="13">
        <v>0.0134</v>
      </c>
      <c r="L161" s="13">
        <v>0.0539</v>
      </c>
      <c r="M161" s="13">
        <v>296907.8</v>
      </c>
      <c r="N161" s="13">
        <v>2.7864</v>
      </c>
      <c r="O161" s="12">
        <v>3.37438744E8</v>
      </c>
      <c r="P161" s="13">
        <v>100.0</v>
      </c>
      <c r="Q161" s="13">
        <v>100.0</v>
      </c>
      <c r="R161" s="11">
        <v>68.5892</v>
      </c>
      <c r="S161" s="13">
        <v>10.6646</v>
      </c>
      <c r="T161" s="13">
        <v>10.6472</v>
      </c>
      <c r="U161" s="13">
        <v>10.629</v>
      </c>
      <c r="V161" s="13">
        <v>10.6078</v>
      </c>
      <c r="W161" s="13">
        <v>10.6015</v>
      </c>
      <c r="X161" s="13">
        <v>10.5616</v>
      </c>
      <c r="Y161" s="13">
        <v>10.4319</v>
      </c>
      <c r="Z161" s="13">
        <v>10.4466</v>
      </c>
      <c r="AA161" s="13">
        <v>10.99</v>
      </c>
      <c r="AB161" s="13">
        <v>33.0648</v>
      </c>
      <c r="AC161" s="13">
        <v>0.3227</v>
      </c>
      <c r="AD161" s="13">
        <v>4.084</v>
      </c>
      <c r="AE161" s="13">
        <v>0.0</v>
      </c>
      <c r="AF161" s="13">
        <v>0.0</v>
      </c>
      <c r="AG161" s="13">
        <v>0.0</v>
      </c>
      <c r="AH161" s="13">
        <v>0.5371</v>
      </c>
      <c r="AI161" s="13">
        <v>0.3344</v>
      </c>
      <c r="AJ161" s="11">
        <v>0.5</v>
      </c>
      <c r="AK161" s="8" t="s">
        <v>1629</v>
      </c>
      <c r="AL161" s="14">
        <f>IFERROR(__xludf.DUMMYFUNCTION("IFERROR(GOOGLEFINANCE(B161,""price""),"""")"),12.12)</f>
        <v>12.12</v>
      </c>
    </row>
    <row r="162">
      <c r="A162" s="7">
        <v>46058.6286586701</v>
      </c>
      <c r="B162" s="8" t="s">
        <v>1521</v>
      </c>
      <c r="C162" s="8" t="s">
        <v>1522</v>
      </c>
      <c r="D162" s="9">
        <v>46061.0</v>
      </c>
      <c r="E162" s="8" t="s">
        <v>1523</v>
      </c>
      <c r="F162" s="10">
        <v>10.34</v>
      </c>
      <c r="G162" s="11">
        <v>0.0</v>
      </c>
      <c r="H162" s="8" t="s">
        <v>93</v>
      </c>
      <c r="I162" s="12">
        <v>345436.0</v>
      </c>
      <c r="J162" s="11">
        <v>25.5029</v>
      </c>
      <c r="K162" s="13">
        <v>0.0258</v>
      </c>
      <c r="L162" s="13">
        <v>0.1994</v>
      </c>
      <c r="M162" s="13">
        <v>126728.7</v>
      </c>
      <c r="N162" s="13">
        <v>3.6175</v>
      </c>
      <c r="O162" s="12">
        <v>2.28858671E8</v>
      </c>
      <c r="P162" s="13">
        <v>26.1111</v>
      </c>
      <c r="Q162" s="13">
        <v>35.0</v>
      </c>
      <c r="R162" s="11">
        <v>50.1159</v>
      </c>
      <c r="S162" s="13">
        <v>10.3448</v>
      </c>
      <c r="T162" s="13">
        <v>10.3414</v>
      </c>
      <c r="U162" s="13">
        <v>10.3399</v>
      </c>
      <c r="V162" s="13">
        <v>10.3479</v>
      </c>
      <c r="W162" s="13">
        <v>10.3516</v>
      </c>
      <c r="X162" s="13">
        <v>10.3722</v>
      </c>
      <c r="Y162" s="13">
        <v>10.2841</v>
      </c>
      <c r="Z162" s="13">
        <v>10.3955</v>
      </c>
      <c r="AA162" s="13">
        <v>15.24</v>
      </c>
      <c r="AB162" s="13">
        <v>0.0</v>
      </c>
      <c r="AC162" s="13">
        <v>0.0</v>
      </c>
      <c r="AD162" s="13">
        <v>0.0</v>
      </c>
      <c r="AE162" s="13">
        <v>0.0</v>
      </c>
      <c r="AF162" s="13">
        <v>0.0</v>
      </c>
      <c r="AG162" s="13">
        <v>0.0</v>
      </c>
      <c r="AH162" s="13">
        <v>0.9136</v>
      </c>
      <c r="AI162" s="13">
        <v>0.0476</v>
      </c>
      <c r="AJ162" s="11">
        <v>0.26</v>
      </c>
      <c r="AK162" s="8" t="s">
        <v>1630</v>
      </c>
      <c r="AL162" s="14">
        <f>IFERROR(__xludf.DUMMYFUNCTION("IFERROR(GOOGLEFINANCE(B162,""price""),"""")"),10.48)</f>
        <v>10.48</v>
      </c>
    </row>
    <row r="163">
      <c r="A163" s="15">
        <v>46058.6286586701</v>
      </c>
      <c r="B163" s="16" t="s">
        <v>1406</v>
      </c>
      <c r="C163" s="16" t="s">
        <v>1407</v>
      </c>
      <c r="D163" s="17">
        <v>46061.0</v>
      </c>
      <c r="E163" s="16" t="s">
        <v>1408</v>
      </c>
      <c r="F163" s="18">
        <v>10.57</v>
      </c>
      <c r="G163" s="19">
        <v>0.0947</v>
      </c>
      <c r="H163" s="16" t="s">
        <v>93</v>
      </c>
      <c r="I163" s="20">
        <v>604466.0</v>
      </c>
      <c r="J163" s="19">
        <v>46.5436</v>
      </c>
      <c r="K163" s="21">
        <v>0.0397</v>
      </c>
      <c r="L163" s="21">
        <v>0.1593</v>
      </c>
      <c r="M163" s="21">
        <v>117630.8</v>
      </c>
      <c r="N163" s="21">
        <v>3.655</v>
      </c>
      <c r="O163" s="20">
        <v>3.52333343E8</v>
      </c>
      <c r="P163" s="21">
        <v>65.5556</v>
      </c>
      <c r="Q163" s="21">
        <v>71.7407</v>
      </c>
      <c r="R163" s="19">
        <v>54.831</v>
      </c>
      <c r="S163" s="21">
        <v>10.5667</v>
      </c>
      <c r="T163" s="21">
        <v>10.5569</v>
      </c>
      <c r="U163" s="21">
        <v>10.5536</v>
      </c>
      <c r="V163" s="21">
        <v>10.5547</v>
      </c>
      <c r="W163" s="21">
        <v>10.5547</v>
      </c>
      <c r="X163" s="21">
        <v>10.541</v>
      </c>
      <c r="Y163" s="21">
        <v>10.4267</v>
      </c>
      <c r="Z163" s="21">
        <v>10.4144</v>
      </c>
      <c r="AA163" s="21">
        <v>12.5</v>
      </c>
      <c r="AB163" s="21">
        <v>73.6585</v>
      </c>
      <c r="AC163" s="21">
        <v>0.1435</v>
      </c>
      <c r="AD163" s="21">
        <v>2.333</v>
      </c>
      <c r="AE163" s="21">
        <v>0.0</v>
      </c>
      <c r="AF163" s="21">
        <v>0.0</v>
      </c>
      <c r="AG163" s="21">
        <v>0.0</v>
      </c>
      <c r="AH163" s="21">
        <v>0.5306</v>
      </c>
      <c r="AI163" s="21">
        <v>0.1239</v>
      </c>
      <c r="AJ163" s="19">
        <v>0.5</v>
      </c>
      <c r="AK163" s="16" t="s">
        <v>1631</v>
      </c>
      <c r="AL163" s="22">
        <f>IFERROR(__xludf.DUMMYFUNCTION("IFERROR(GOOGLEFINANCE(B163,""price""),"""")"),10.66)</f>
        <v>10.66</v>
      </c>
    </row>
    <row r="164">
      <c r="A164" s="7">
        <v>46058.6286586701</v>
      </c>
      <c r="B164" s="8" t="s">
        <v>1632</v>
      </c>
      <c r="C164" s="8" t="s">
        <v>1633</v>
      </c>
      <c r="D164" s="9">
        <v>46061.0</v>
      </c>
      <c r="E164" s="8" t="s">
        <v>1634</v>
      </c>
      <c r="F164" s="10">
        <v>334.075</v>
      </c>
      <c r="G164" s="11">
        <v>11.2545</v>
      </c>
      <c r="H164" s="8" t="s">
        <v>186</v>
      </c>
      <c r="I164" s="12">
        <v>976079.0</v>
      </c>
      <c r="J164" s="11">
        <v>20.6494</v>
      </c>
      <c r="K164" s="13">
        <v>11.6299</v>
      </c>
      <c r="L164" s="13">
        <v>21.4415</v>
      </c>
      <c r="M164" s="13">
        <v>729845.9</v>
      </c>
      <c r="N164" s="13">
        <v>1.4573</v>
      </c>
      <c r="O164" s="12">
        <v>2.3371236657E10</v>
      </c>
      <c r="P164" s="13">
        <v>40.6927</v>
      </c>
      <c r="Q164" s="13">
        <v>21.4355</v>
      </c>
      <c r="R164" s="11">
        <v>58.9768</v>
      </c>
      <c r="S164" s="13">
        <v>314.1576</v>
      </c>
      <c r="T164" s="13">
        <v>315.3556</v>
      </c>
      <c r="U164" s="13">
        <v>313.4977</v>
      </c>
      <c r="V164" s="13">
        <v>310.7223</v>
      </c>
      <c r="W164" s="13">
        <v>310.0311</v>
      </c>
      <c r="X164" s="13">
        <v>307.8936</v>
      </c>
      <c r="Y164" s="13">
        <v>311.3091</v>
      </c>
      <c r="Z164" s="13">
        <v>312.5046</v>
      </c>
      <c r="AA164" s="13">
        <v>391.28</v>
      </c>
      <c r="AB164" s="13">
        <v>22.22</v>
      </c>
      <c r="AC164" s="13">
        <v>15.0349</v>
      </c>
      <c r="AD164" s="13">
        <v>30.5394</v>
      </c>
      <c r="AE164" s="13">
        <v>44.2312</v>
      </c>
      <c r="AF164" s="13">
        <v>13.9339</v>
      </c>
      <c r="AG164" s="13">
        <v>2.5752</v>
      </c>
      <c r="AH164" s="13">
        <v>0.9767</v>
      </c>
      <c r="AI164" s="13">
        <v>0.1975</v>
      </c>
      <c r="AJ164" s="11">
        <v>1.08</v>
      </c>
      <c r="AK164" s="8" t="s">
        <v>1267</v>
      </c>
      <c r="AL164" s="14">
        <f>IFERROR(__xludf.DUMMYFUNCTION("IFERROR(GOOGLEFINANCE(B164,""price""),"""")"),302.83)</f>
        <v>302.83</v>
      </c>
    </row>
    <row r="165">
      <c r="A165" s="15">
        <v>46058.6286586701</v>
      </c>
      <c r="B165" s="16" t="s">
        <v>1334</v>
      </c>
      <c r="C165" s="16" t="s">
        <v>1335</v>
      </c>
      <c r="D165" s="17">
        <v>46061.0</v>
      </c>
      <c r="E165" s="16" t="s">
        <v>1336</v>
      </c>
      <c r="F165" s="18">
        <v>10.67</v>
      </c>
      <c r="G165" s="19">
        <v>0.0</v>
      </c>
      <c r="H165" s="16" t="s">
        <v>93</v>
      </c>
      <c r="I165" s="20">
        <v>1747886.0</v>
      </c>
      <c r="J165" s="19">
        <v>33.5706</v>
      </c>
      <c r="K165" s="21">
        <v>0.0131</v>
      </c>
      <c r="L165" s="21">
        <v>0.0546</v>
      </c>
      <c r="M165" s="21">
        <v>471464.7</v>
      </c>
      <c r="N165" s="21">
        <v>5.887</v>
      </c>
      <c r="O165" s="20">
        <v>3.37438744E8</v>
      </c>
      <c r="P165" s="21">
        <v>94.4444</v>
      </c>
      <c r="Q165" s="21">
        <v>98.1481</v>
      </c>
      <c r="R165" s="19">
        <v>68.5892</v>
      </c>
      <c r="S165" s="21">
        <v>10.6658</v>
      </c>
      <c r="T165" s="21">
        <v>10.6493</v>
      </c>
      <c r="U165" s="21">
        <v>10.6313</v>
      </c>
      <c r="V165" s="21">
        <v>10.6102</v>
      </c>
      <c r="W165" s="21">
        <v>10.6039</v>
      </c>
      <c r="X165" s="21">
        <v>10.564</v>
      </c>
      <c r="Y165" s="21">
        <v>10.4343</v>
      </c>
      <c r="Z165" s="21">
        <v>10.4492</v>
      </c>
      <c r="AA165" s="21">
        <v>10.99</v>
      </c>
      <c r="AB165" s="21">
        <v>33.0648</v>
      </c>
      <c r="AC165" s="21">
        <v>0.3227</v>
      </c>
      <c r="AD165" s="21">
        <v>4.084</v>
      </c>
      <c r="AE165" s="21">
        <v>0.0</v>
      </c>
      <c r="AF165" s="21">
        <v>0.0</v>
      </c>
      <c r="AG165" s="21">
        <v>0.0</v>
      </c>
      <c r="AH165" s="21">
        <v>0.5371</v>
      </c>
      <c r="AI165" s="21">
        <v>0.3236</v>
      </c>
      <c r="AJ165" s="19">
        <v>0.48</v>
      </c>
      <c r="AK165" s="16" t="s">
        <v>1635</v>
      </c>
      <c r="AL165" s="22">
        <f>IFERROR(__xludf.DUMMYFUNCTION("IFERROR(GOOGLEFINANCE(B165,""price""),"""")"),12.12)</f>
        <v>12.12</v>
      </c>
    </row>
    <row r="166">
      <c r="A166" s="7">
        <v>46058.6286586701</v>
      </c>
      <c r="B166" s="8" t="s">
        <v>1338</v>
      </c>
      <c r="C166" s="8" t="s">
        <v>1339</v>
      </c>
      <c r="D166" s="9">
        <v>46061.0</v>
      </c>
      <c r="E166" s="8" t="s">
        <v>1340</v>
      </c>
      <c r="F166" s="10">
        <v>10.56</v>
      </c>
      <c r="G166" s="11">
        <v>-0.1881</v>
      </c>
      <c r="H166" s="8" t="s">
        <v>93</v>
      </c>
      <c r="I166" s="12">
        <v>366492.0</v>
      </c>
      <c r="J166" s="11">
        <v>82.4503</v>
      </c>
      <c r="K166" s="13">
        <v>0.0293</v>
      </c>
      <c r="L166" s="13">
        <v>0.0636</v>
      </c>
      <c r="M166" s="13">
        <v>131436.8</v>
      </c>
      <c r="N166" s="13">
        <v>3.8466</v>
      </c>
      <c r="O166" s="12">
        <v>4.70685573E8</v>
      </c>
      <c r="P166" s="13">
        <v>45.1303</v>
      </c>
      <c r="Q166" s="13">
        <v>52.1327</v>
      </c>
      <c r="R166" s="11">
        <v>59.9234</v>
      </c>
      <c r="S166" s="13">
        <v>10.5635</v>
      </c>
      <c r="T166" s="13">
        <v>10.5451</v>
      </c>
      <c r="U166" s="13">
        <v>10.5278</v>
      </c>
      <c r="V166" s="13">
        <v>10.5109</v>
      </c>
      <c r="W166" s="13">
        <v>10.5064</v>
      </c>
      <c r="X166" s="13">
        <v>10.4799</v>
      </c>
      <c r="Y166" s="13">
        <v>10.375</v>
      </c>
      <c r="Z166" s="13">
        <v>10.4311</v>
      </c>
      <c r="AA166" s="13">
        <v>10.7412</v>
      </c>
      <c r="AB166" s="13">
        <v>68.3053</v>
      </c>
      <c r="AC166" s="13">
        <v>0.1546</v>
      </c>
      <c r="AD166" s="13">
        <v>2.0066</v>
      </c>
      <c r="AE166" s="13">
        <v>0.0</v>
      </c>
      <c r="AF166" s="13">
        <v>0.0</v>
      </c>
      <c r="AG166" s="13">
        <v>0.0</v>
      </c>
      <c r="AH166" s="13">
        <v>0.0223</v>
      </c>
      <c r="AI166" s="13">
        <v>0.3376</v>
      </c>
      <c r="AJ166" s="11">
        <v>0.92</v>
      </c>
      <c r="AK166" s="8" t="s">
        <v>1636</v>
      </c>
      <c r="AL166" s="14">
        <f>IFERROR(__xludf.DUMMYFUNCTION("IFERROR(GOOGLEFINANCE(B166,""price""),"""")"),10.34)</f>
        <v>10.34</v>
      </c>
    </row>
    <row r="167">
      <c r="A167" s="15">
        <v>46058.6286586701</v>
      </c>
      <c r="B167" s="16" t="s">
        <v>1386</v>
      </c>
      <c r="C167" s="16" t="s">
        <v>1387</v>
      </c>
      <c r="D167" s="17">
        <v>46061.0</v>
      </c>
      <c r="E167" s="16" t="s">
        <v>1388</v>
      </c>
      <c r="F167" s="18">
        <v>207.22</v>
      </c>
      <c r="G167" s="19">
        <v>-0.0627</v>
      </c>
      <c r="H167" s="16" t="s">
        <v>102</v>
      </c>
      <c r="I167" s="20">
        <v>1498462.0</v>
      </c>
      <c r="J167" s="19">
        <v>46.2721</v>
      </c>
      <c r="K167" s="21">
        <v>0.501</v>
      </c>
      <c r="L167" s="21">
        <v>3.3667</v>
      </c>
      <c r="M167" s="21">
        <v>903800.0</v>
      </c>
      <c r="N167" s="21">
        <v>1.8619</v>
      </c>
      <c r="O167" s="20">
        <v>9.903330435E9</v>
      </c>
      <c r="P167" s="21">
        <v>37.2146</v>
      </c>
      <c r="Q167" s="21">
        <v>48.676</v>
      </c>
      <c r="R167" s="19">
        <v>62.6463</v>
      </c>
      <c r="S167" s="21">
        <v>207.305</v>
      </c>
      <c r="T167" s="21">
        <v>207.0416</v>
      </c>
      <c r="U167" s="21">
        <v>206.5516</v>
      </c>
      <c r="V167" s="21">
        <v>205.7066</v>
      </c>
      <c r="W167" s="21">
        <v>205.3807</v>
      </c>
      <c r="X167" s="21">
        <v>202.4876</v>
      </c>
      <c r="Y167" s="21">
        <v>191.6608</v>
      </c>
      <c r="Z167" s="21">
        <v>187.1674</v>
      </c>
      <c r="AA167" s="21">
        <v>208.24</v>
      </c>
      <c r="AB167" s="21">
        <v>249.9638</v>
      </c>
      <c r="AC167" s="21">
        <v>0.829</v>
      </c>
      <c r="AD167" s="21">
        <v>2.2484</v>
      </c>
      <c r="AE167" s="21">
        <v>16.3754</v>
      </c>
      <c r="AF167" s="21">
        <v>5.4738</v>
      </c>
      <c r="AG167" s="21">
        <v>1.1744</v>
      </c>
      <c r="AH167" s="21">
        <v>1.4021</v>
      </c>
      <c r="AI167" s="21">
        <v>0.3636</v>
      </c>
      <c r="AJ167" s="19">
        <v>0.3</v>
      </c>
      <c r="AK167" s="16" t="s">
        <v>1605</v>
      </c>
      <c r="AL167" s="22">
        <f>IFERROR(__xludf.DUMMYFUNCTION("IFERROR(GOOGLEFINANCE(B167,""price""),"""")"),207.79)</f>
        <v>207.79</v>
      </c>
    </row>
    <row r="168">
      <c r="A168" s="7">
        <v>46058.6286586701</v>
      </c>
      <c r="B168" s="8" t="s">
        <v>1637</v>
      </c>
      <c r="C168" s="8" t="s">
        <v>1638</v>
      </c>
      <c r="D168" s="9">
        <v>46061.0</v>
      </c>
      <c r="E168" s="8" t="s">
        <v>1639</v>
      </c>
      <c r="F168" s="10">
        <v>33.765</v>
      </c>
      <c r="G168" s="11">
        <v>3.2253</v>
      </c>
      <c r="H168" s="8" t="s">
        <v>245</v>
      </c>
      <c r="I168" s="12">
        <v>1780868.0</v>
      </c>
      <c r="J168" s="11">
        <v>27.5757</v>
      </c>
      <c r="K168" s="13">
        <v>1.641</v>
      </c>
      <c r="L168" s="13">
        <v>3.6607</v>
      </c>
      <c r="M168" s="8">
        <v>1324822.0</v>
      </c>
      <c r="N168" s="13">
        <v>1.3927</v>
      </c>
      <c r="O168" s="12">
        <v>2.027640719E9</v>
      </c>
      <c r="P168" s="13">
        <v>94.8985</v>
      </c>
      <c r="Q168" s="13">
        <v>84.8502</v>
      </c>
      <c r="R168" s="11">
        <v>66.8633</v>
      </c>
      <c r="S168" s="13">
        <v>30.8312</v>
      </c>
      <c r="T168" s="13">
        <v>30.0779</v>
      </c>
      <c r="U168" s="13">
        <v>30.6045</v>
      </c>
      <c r="V168" s="13">
        <v>31.2518</v>
      </c>
      <c r="W168" s="13">
        <v>31.3803</v>
      </c>
      <c r="X168" s="13">
        <v>31.421</v>
      </c>
      <c r="Y168" s="13">
        <v>28.7551</v>
      </c>
      <c r="Z168" s="13">
        <v>27.6233</v>
      </c>
      <c r="AA168" s="13">
        <v>43.5</v>
      </c>
      <c r="AB168" s="13">
        <v>0.0</v>
      </c>
      <c r="AC168" s="13">
        <v>-8.1762</v>
      </c>
      <c r="AD168" s="13">
        <v>-115.9502</v>
      </c>
      <c r="AE168" s="13">
        <v>0.1462</v>
      </c>
      <c r="AF168" s="13">
        <v>-22.3684</v>
      </c>
      <c r="AG168" s="13">
        <v>17.9906</v>
      </c>
      <c r="AH168" s="13">
        <v>0.864</v>
      </c>
      <c r="AI168" s="13">
        <v>0.6717</v>
      </c>
      <c r="AJ168" s="11">
        <v>0.9</v>
      </c>
      <c r="AK168" s="8" t="s">
        <v>1283</v>
      </c>
      <c r="AL168" s="14">
        <f>IFERROR(__xludf.DUMMYFUNCTION("IFERROR(GOOGLEFINANCE(B168,""price""),"""")"),41.74)</f>
        <v>41.74</v>
      </c>
    </row>
    <row r="169">
      <c r="A169" s="15">
        <v>46058.6286586701</v>
      </c>
      <c r="B169" s="16" t="s">
        <v>1470</v>
      </c>
      <c r="C169" s="16" t="s">
        <v>1471</v>
      </c>
      <c r="D169" s="17">
        <v>46061.0</v>
      </c>
      <c r="E169" s="16" t="s">
        <v>1472</v>
      </c>
      <c r="F169" s="18">
        <v>41.78</v>
      </c>
      <c r="G169" s="19">
        <v>-0.0478</v>
      </c>
      <c r="H169" s="16" t="s">
        <v>107</v>
      </c>
      <c r="I169" s="20">
        <v>5160691.0</v>
      </c>
      <c r="J169" s="19">
        <v>25.4292</v>
      </c>
      <c r="K169" s="21">
        <v>0.1694</v>
      </c>
      <c r="L169" s="21">
        <v>1.3926</v>
      </c>
      <c r="M169" s="16">
        <v>2710510.0</v>
      </c>
      <c r="N169" s="21">
        <v>2.1343</v>
      </c>
      <c r="O169" s="20">
        <v>6.152987842E9</v>
      </c>
      <c r="P169" s="21">
        <v>46.4789</v>
      </c>
      <c r="Q169" s="21">
        <v>57.827</v>
      </c>
      <c r="R169" s="19">
        <v>55.6324</v>
      </c>
      <c r="S169" s="21">
        <v>41.8231</v>
      </c>
      <c r="T169" s="21">
        <v>41.7484</v>
      </c>
      <c r="U169" s="21">
        <v>41.5339</v>
      </c>
      <c r="V169" s="21">
        <v>41.0421</v>
      </c>
      <c r="W169" s="21">
        <v>40.8579</v>
      </c>
      <c r="X169" s="21">
        <v>39.5478</v>
      </c>
      <c r="Y169" s="21">
        <v>36.8482</v>
      </c>
      <c r="Z169" s="21">
        <v>34.9778</v>
      </c>
      <c r="AA169" s="21">
        <v>44.27</v>
      </c>
      <c r="AB169" s="21">
        <v>15.5322</v>
      </c>
      <c r="AC169" s="21">
        <v>2.6899</v>
      </c>
      <c r="AD169" s="21">
        <v>40.418</v>
      </c>
      <c r="AE169" s="21">
        <v>16.3253</v>
      </c>
      <c r="AF169" s="21">
        <v>-1.2173</v>
      </c>
      <c r="AG169" s="21">
        <v>3.586</v>
      </c>
      <c r="AH169" s="21">
        <v>1.2883</v>
      </c>
      <c r="AI169" s="21">
        <v>0.6924</v>
      </c>
      <c r="AJ169" s="19">
        <v>0.24</v>
      </c>
      <c r="AK169" s="16" t="s">
        <v>1640</v>
      </c>
      <c r="AL169" s="22">
        <f>IFERROR(__xludf.DUMMYFUNCTION("IFERROR(GOOGLEFINANCE(B169,""price""),"""")"),42.15)</f>
        <v>42.15</v>
      </c>
    </row>
    <row r="170">
      <c r="A170" s="7">
        <v>46058.6286586701</v>
      </c>
      <c r="B170" s="8" t="s">
        <v>1641</v>
      </c>
      <c r="C170" s="8" t="s">
        <v>1642</v>
      </c>
      <c r="D170" s="9">
        <v>46061.0</v>
      </c>
      <c r="E170" s="8" t="s">
        <v>1643</v>
      </c>
      <c r="F170" s="10">
        <v>214.835</v>
      </c>
      <c r="G170" s="11">
        <v>3.7249</v>
      </c>
      <c r="H170" s="8" t="s">
        <v>93</v>
      </c>
      <c r="I170" s="12">
        <v>2711531.0</v>
      </c>
      <c r="J170" s="11">
        <v>21.748</v>
      </c>
      <c r="K170" s="13">
        <v>4.798</v>
      </c>
      <c r="L170" s="13">
        <v>10.1577</v>
      </c>
      <c r="M170" s="8">
        <v>1543262.0</v>
      </c>
      <c r="N170" s="13">
        <v>1.897</v>
      </c>
      <c r="O170" s="12">
        <v>5.6218387051E10</v>
      </c>
      <c r="P170" s="13">
        <v>88.8943</v>
      </c>
      <c r="Q170" s="13">
        <v>73.8061</v>
      </c>
      <c r="R170" s="11">
        <v>69.6292</v>
      </c>
      <c r="S170" s="13">
        <v>203.8189</v>
      </c>
      <c r="T170" s="13">
        <v>201.7676</v>
      </c>
      <c r="U170" s="13">
        <v>202.3304</v>
      </c>
      <c r="V170" s="13">
        <v>202.8874</v>
      </c>
      <c r="W170" s="13">
        <v>202.9964</v>
      </c>
      <c r="X170" s="13">
        <v>203.2152</v>
      </c>
      <c r="Y170" s="13">
        <v>201.0121</v>
      </c>
      <c r="Z170" s="13">
        <v>202.495</v>
      </c>
      <c r="AA170" s="13">
        <v>216.75</v>
      </c>
      <c r="AB170" s="13">
        <v>5.626</v>
      </c>
      <c r="AC170" s="13">
        <v>38.1859</v>
      </c>
      <c r="AD170" s="13">
        <v>39.5066</v>
      </c>
      <c r="AE170" s="13">
        <v>16.8206</v>
      </c>
      <c r="AF170" s="13">
        <v>4.4052</v>
      </c>
      <c r="AG170" s="13">
        <v>0.2447</v>
      </c>
      <c r="AH170" s="13">
        <v>0.4045</v>
      </c>
      <c r="AI170" s="13">
        <v>0.6928</v>
      </c>
      <c r="AJ170" s="11">
        <v>0.94</v>
      </c>
      <c r="AK170" s="8" t="s">
        <v>1283</v>
      </c>
      <c r="AL170" s="14">
        <f>IFERROR(__xludf.DUMMYFUNCTION("IFERROR(GOOGLEFINANCE(B170,""price""),"""")"),210.99)</f>
        <v>210.99</v>
      </c>
    </row>
    <row r="171">
      <c r="A171" s="15">
        <v>46058.6286586701</v>
      </c>
      <c r="B171" s="16" t="s">
        <v>1542</v>
      </c>
      <c r="C171" s="16" t="s">
        <v>1543</v>
      </c>
      <c r="D171" s="17">
        <v>46061.0</v>
      </c>
      <c r="E171" s="16" t="s">
        <v>1544</v>
      </c>
      <c r="F171" s="18">
        <v>21.615</v>
      </c>
      <c r="G171" s="19">
        <v>0.2086</v>
      </c>
      <c r="H171" s="16" t="s">
        <v>117</v>
      </c>
      <c r="I171" s="20">
        <v>1397311.0</v>
      </c>
      <c r="J171" s="19">
        <v>40.5034</v>
      </c>
      <c r="K171" s="21">
        <v>0.09</v>
      </c>
      <c r="L171" s="21">
        <v>0.8245</v>
      </c>
      <c r="M171" s="21">
        <v>923877.6</v>
      </c>
      <c r="N171" s="21">
        <v>1.5379</v>
      </c>
      <c r="O171" s="20">
        <v>2.114327152E9</v>
      </c>
      <c r="P171" s="21">
        <v>59.2061</v>
      </c>
      <c r="Q171" s="21">
        <v>55.6566</v>
      </c>
      <c r="R171" s="19">
        <v>63.2855</v>
      </c>
      <c r="S171" s="21">
        <v>21.5692</v>
      </c>
      <c r="T171" s="21">
        <v>21.5314</v>
      </c>
      <c r="U171" s="21">
        <v>21.4047</v>
      </c>
      <c r="V171" s="21">
        <v>21.0539</v>
      </c>
      <c r="W171" s="21">
        <v>20.9113</v>
      </c>
      <c r="X171" s="21">
        <v>19.7739</v>
      </c>
      <c r="Y171" s="21">
        <v>16.815</v>
      </c>
      <c r="Z171" s="21">
        <v>15.1624</v>
      </c>
      <c r="AA171" s="21">
        <v>23.57</v>
      </c>
      <c r="AB171" s="21">
        <v>0.0</v>
      </c>
      <c r="AC171" s="21">
        <v>-0.0055</v>
      </c>
      <c r="AD171" s="21">
        <v>-0.3216</v>
      </c>
      <c r="AE171" s="21">
        <v>1.82</v>
      </c>
      <c r="AF171" s="21">
        <v>79.8762</v>
      </c>
      <c r="AG171" s="21">
        <v>0.3805</v>
      </c>
      <c r="AH171" s="21">
        <v>2.7562</v>
      </c>
      <c r="AI171" s="21">
        <v>0.7613</v>
      </c>
      <c r="AJ171" s="19">
        <v>0.22</v>
      </c>
      <c r="AK171" s="16" t="s">
        <v>1644</v>
      </c>
      <c r="AL171" s="22" t="str">
        <f>IFERROR(__xludf.DUMMYFUNCTION("IFERROR(GOOGLEFINANCE(B171,""price""),"""")"),"")</f>
        <v/>
      </c>
    </row>
    <row r="172">
      <c r="A172" s="7">
        <v>46058.6286586701</v>
      </c>
      <c r="B172" s="8" t="s">
        <v>1645</v>
      </c>
      <c r="C172" s="8" t="s">
        <v>1646</v>
      </c>
      <c r="D172" s="9">
        <v>46061.0</v>
      </c>
      <c r="E172" s="8" t="s">
        <v>1647</v>
      </c>
      <c r="F172" s="10">
        <v>15.465</v>
      </c>
      <c r="G172" s="11">
        <v>1.1445</v>
      </c>
      <c r="H172" s="8" t="s">
        <v>190</v>
      </c>
      <c r="I172" s="12">
        <v>809065.0</v>
      </c>
      <c r="J172" s="11">
        <v>24.8437</v>
      </c>
      <c r="K172" s="13">
        <v>0.324</v>
      </c>
      <c r="L172" s="13">
        <v>0.9479</v>
      </c>
      <c r="M172" s="13">
        <v>612465.2</v>
      </c>
      <c r="N172" s="13">
        <v>1.3375</v>
      </c>
      <c r="O172" s="12">
        <v>1.914839124E9</v>
      </c>
      <c r="P172" s="13">
        <v>67.9799</v>
      </c>
      <c r="Q172" s="13">
        <v>55.656</v>
      </c>
      <c r="R172" s="11">
        <v>60.5636</v>
      </c>
      <c r="S172" s="13">
        <v>15.1907</v>
      </c>
      <c r="T172" s="13">
        <v>15.1275</v>
      </c>
      <c r="U172" s="13">
        <v>15.0364</v>
      </c>
      <c r="V172" s="13">
        <v>14.8859</v>
      </c>
      <c r="W172" s="13">
        <v>14.8398</v>
      </c>
      <c r="X172" s="13">
        <v>14.6249</v>
      </c>
      <c r="Y172" s="13">
        <v>14.8348</v>
      </c>
      <c r="Z172" s="13">
        <v>14.3049</v>
      </c>
      <c r="AA172" s="13">
        <v>19.895</v>
      </c>
      <c r="AB172" s="13">
        <v>17.7514</v>
      </c>
      <c r="AC172" s="13">
        <v>0.8712</v>
      </c>
      <c r="AD172" s="13">
        <v>5.5657</v>
      </c>
      <c r="AE172" s="13">
        <v>5.4319</v>
      </c>
      <c r="AF172" s="13">
        <v>-22.9573</v>
      </c>
      <c r="AG172" s="13">
        <v>1.6427</v>
      </c>
      <c r="AH172" s="13">
        <v>1.0861</v>
      </c>
      <c r="AI172" s="13">
        <v>0.9979</v>
      </c>
      <c r="AJ172" s="11">
        <v>0.68</v>
      </c>
      <c r="AK172" s="8" t="s">
        <v>1648</v>
      </c>
      <c r="AL172" s="14">
        <f>IFERROR(__xludf.DUMMYFUNCTION("IFERROR(GOOGLEFINANCE(B172,""price""),"""")"),16.37)</f>
        <v>16.37</v>
      </c>
    </row>
    <row r="173">
      <c r="A173" s="15">
        <v>46058.6286586701</v>
      </c>
      <c r="B173" s="16" t="s">
        <v>1560</v>
      </c>
      <c r="C173" s="16" t="s">
        <v>1561</v>
      </c>
      <c r="D173" s="17">
        <v>46061.0</v>
      </c>
      <c r="E173" s="16" t="s">
        <v>1562</v>
      </c>
      <c r="F173" s="18">
        <v>72.795</v>
      </c>
      <c r="G173" s="19">
        <v>0.1031</v>
      </c>
      <c r="H173" s="16" t="s">
        <v>117</v>
      </c>
      <c r="I173" s="20">
        <v>2339673.0</v>
      </c>
      <c r="J173" s="19">
        <v>52.6084</v>
      </c>
      <c r="K173" s="21">
        <v>0.2536</v>
      </c>
      <c r="L173" s="21">
        <v>2.7644</v>
      </c>
      <c r="M173" s="16">
        <v>1907163.0</v>
      </c>
      <c r="N173" s="21">
        <v>1.2527</v>
      </c>
      <c r="O173" s="20">
        <v>1.0973815333E10</v>
      </c>
      <c r="P173" s="21">
        <v>63.0719</v>
      </c>
      <c r="Q173" s="21">
        <v>73.0046</v>
      </c>
      <c r="R173" s="19">
        <v>65.1718</v>
      </c>
      <c r="S173" s="21">
        <v>72.7099</v>
      </c>
      <c r="T173" s="21">
        <v>72.5139</v>
      </c>
      <c r="U173" s="21">
        <v>71.9496</v>
      </c>
      <c r="V173" s="21">
        <v>70.5557</v>
      </c>
      <c r="W173" s="21">
        <v>70.0084</v>
      </c>
      <c r="X173" s="21">
        <v>65.8225</v>
      </c>
      <c r="Y173" s="21">
        <v>55.1477</v>
      </c>
      <c r="Z173" s="21">
        <v>49.6998</v>
      </c>
      <c r="AA173" s="21">
        <v>73.06</v>
      </c>
      <c r="AB173" s="21">
        <v>0.0</v>
      </c>
      <c r="AC173" s="21">
        <v>-4.1703</v>
      </c>
      <c r="AD173" s="21">
        <v>-32.4392</v>
      </c>
      <c r="AE173" s="21">
        <v>-2934.9003</v>
      </c>
      <c r="AF173" s="21">
        <v>106.2667</v>
      </c>
      <c r="AG173" s="21">
        <v>0.0265</v>
      </c>
      <c r="AH173" s="21">
        <v>11.573</v>
      </c>
      <c r="AI173" s="21">
        <v>1.0444</v>
      </c>
      <c r="AJ173" s="19">
        <v>0.18</v>
      </c>
      <c r="AK173" s="16" t="s">
        <v>1590</v>
      </c>
      <c r="AL173" s="22">
        <f>IFERROR(__xludf.DUMMYFUNCTION("IFERROR(GOOGLEFINANCE(B173,""price""),"""")"),12.71)</f>
        <v>12.71</v>
      </c>
    </row>
    <row r="174">
      <c r="A174" s="7">
        <v>46058.6286586701</v>
      </c>
      <c r="B174" s="8" t="s">
        <v>1649</v>
      </c>
      <c r="C174" s="8" t="s">
        <v>1650</v>
      </c>
      <c r="D174" s="9">
        <v>46061.0</v>
      </c>
      <c r="E174" s="8" t="s">
        <v>1651</v>
      </c>
      <c r="F174" s="10">
        <v>48.225</v>
      </c>
      <c r="G174" s="11">
        <v>0.1558</v>
      </c>
      <c r="H174" s="8" t="s">
        <v>93</v>
      </c>
      <c r="I174" s="12">
        <v>1502004.0</v>
      </c>
      <c r="J174" s="11">
        <v>39.9367</v>
      </c>
      <c r="K174" s="13">
        <v>0.3396</v>
      </c>
      <c r="L174" s="13">
        <v>1.6579</v>
      </c>
      <c r="M174" s="8">
        <v>1300018.0</v>
      </c>
      <c r="N174" s="13">
        <v>1.2298</v>
      </c>
      <c r="O174" s="12">
        <v>7.204777406E9</v>
      </c>
      <c r="P174" s="13">
        <v>76.5823</v>
      </c>
      <c r="Q174" s="13">
        <v>80.2571</v>
      </c>
      <c r="R174" s="11">
        <v>64.7074</v>
      </c>
      <c r="S174" s="13">
        <v>48.1195</v>
      </c>
      <c r="T174" s="13">
        <v>47.8472</v>
      </c>
      <c r="U174" s="13">
        <v>47.3915</v>
      </c>
      <c r="V174" s="13">
        <v>46.8348</v>
      </c>
      <c r="W174" s="13">
        <v>46.6742</v>
      </c>
      <c r="X174" s="13">
        <v>45.7113</v>
      </c>
      <c r="Y174" s="13">
        <v>43.4721</v>
      </c>
      <c r="Z174" s="13">
        <v>42.443</v>
      </c>
      <c r="AA174" s="13">
        <v>49.42</v>
      </c>
      <c r="AB174" s="13">
        <v>9.1829</v>
      </c>
      <c r="AC174" s="13">
        <v>5.2516</v>
      </c>
      <c r="AD174" s="13">
        <v>16.167</v>
      </c>
      <c r="AE174" s="13">
        <v>34.9751</v>
      </c>
      <c r="AF174" s="13">
        <v>27.4161</v>
      </c>
      <c r="AG174" s="13">
        <v>0.075</v>
      </c>
      <c r="AH174" s="13">
        <v>0.0</v>
      </c>
      <c r="AI174" s="13">
        <v>1.5097</v>
      </c>
      <c r="AJ174" s="11">
        <v>0.41</v>
      </c>
      <c r="AK174" s="8" t="s">
        <v>1652</v>
      </c>
      <c r="AL174" s="14">
        <f>IFERROR(__xludf.DUMMYFUNCTION("IFERROR(GOOGLEFINANCE(B174,""price""),"""")"),51.62)</f>
        <v>51.62</v>
      </c>
    </row>
    <row r="175">
      <c r="A175" s="15">
        <v>46058.6286586701</v>
      </c>
      <c r="B175" s="16" t="s">
        <v>1653</v>
      </c>
      <c r="C175" s="16" t="s">
        <v>1654</v>
      </c>
      <c r="D175" s="17">
        <v>46061.0</v>
      </c>
      <c r="E175" s="16" t="s">
        <v>1655</v>
      </c>
      <c r="F175" s="18">
        <v>176.99</v>
      </c>
      <c r="G175" s="19">
        <v>9.7272</v>
      </c>
      <c r="H175" s="16" t="s">
        <v>117</v>
      </c>
      <c r="I175" s="20">
        <v>2065445.0</v>
      </c>
      <c r="J175" s="19">
        <v>22.0296</v>
      </c>
      <c r="K175" s="21">
        <v>6.3596</v>
      </c>
      <c r="L175" s="21">
        <v>12.5787</v>
      </c>
      <c r="M175" s="16">
        <v>1143615.0</v>
      </c>
      <c r="N175" s="21">
        <v>2.0587</v>
      </c>
      <c r="O175" s="20">
        <v>1.269903139E10</v>
      </c>
      <c r="P175" s="21">
        <v>44.0526</v>
      </c>
      <c r="Q175" s="21">
        <v>27.3847</v>
      </c>
      <c r="R175" s="19">
        <v>64.9328</v>
      </c>
      <c r="S175" s="21">
        <v>166.1516</v>
      </c>
      <c r="T175" s="21">
        <v>165.4688</v>
      </c>
      <c r="U175" s="21">
        <v>163.3927</v>
      </c>
      <c r="V175" s="21">
        <v>160.5175</v>
      </c>
      <c r="W175" s="21">
        <v>159.7486</v>
      </c>
      <c r="X175" s="21">
        <v>156.8665</v>
      </c>
      <c r="Y175" s="21">
        <v>163.3554</v>
      </c>
      <c r="Z175" s="21">
        <v>159.4936</v>
      </c>
      <c r="AA175" s="21">
        <v>224.18</v>
      </c>
      <c r="AB175" s="21">
        <v>31.2781</v>
      </c>
      <c r="AC175" s="21">
        <v>5.6586</v>
      </c>
      <c r="AD175" s="21">
        <v>10.3871</v>
      </c>
      <c r="AE175" s="21">
        <v>15.2163</v>
      </c>
      <c r="AF175" s="21">
        <v>0.899</v>
      </c>
      <c r="AG175" s="21">
        <v>0.0204</v>
      </c>
      <c r="AH175" s="21">
        <v>1.3628</v>
      </c>
      <c r="AI175" s="21">
        <v>1.5588</v>
      </c>
      <c r="AJ175" s="19">
        <v>1.01</v>
      </c>
      <c r="AK175" s="16" t="s">
        <v>1478</v>
      </c>
      <c r="AL175" s="22">
        <f>IFERROR(__xludf.DUMMYFUNCTION("IFERROR(GOOGLEFINANCE(B175,""price""),"""")"),173.14)</f>
        <v>173.14</v>
      </c>
    </row>
    <row r="176">
      <c r="A176" s="7">
        <v>46058.6286586701</v>
      </c>
      <c r="B176" s="8" t="s">
        <v>1656</v>
      </c>
      <c r="C176" s="8" t="s">
        <v>1657</v>
      </c>
      <c r="D176" s="9">
        <v>46061.0</v>
      </c>
      <c r="E176" s="8" t="s">
        <v>1658</v>
      </c>
      <c r="F176" s="10">
        <v>44.64</v>
      </c>
      <c r="G176" s="11">
        <v>-0.1789</v>
      </c>
      <c r="H176" s="8" t="s">
        <v>88</v>
      </c>
      <c r="I176" s="12">
        <v>365566.0</v>
      </c>
      <c r="J176" s="11">
        <v>52.5333</v>
      </c>
      <c r="K176" s="13">
        <v>0.1635</v>
      </c>
      <c r="L176" s="13">
        <v>1.8206</v>
      </c>
      <c r="M176" s="13">
        <v>151144.7</v>
      </c>
      <c r="N176" s="13">
        <v>2.9492</v>
      </c>
      <c r="O176" s="12">
        <v>6.18023246E8</v>
      </c>
      <c r="P176" s="13">
        <v>71.6049</v>
      </c>
      <c r="Q176" s="13">
        <v>72.428</v>
      </c>
      <c r="R176" s="11">
        <v>61.3258</v>
      </c>
      <c r="S176" s="13">
        <v>44.6654</v>
      </c>
      <c r="T176" s="13">
        <v>44.5708</v>
      </c>
      <c r="U176" s="13">
        <v>43.9396</v>
      </c>
      <c r="V176" s="13">
        <v>42.402</v>
      </c>
      <c r="W176" s="13">
        <v>41.8359</v>
      </c>
      <c r="X176" s="13">
        <v>37.9392</v>
      </c>
      <c r="Y176" s="13">
        <v>29.8993</v>
      </c>
      <c r="Z176" s="13">
        <v>25.7144</v>
      </c>
      <c r="AA176" s="13">
        <v>44.88</v>
      </c>
      <c r="AB176" s="13">
        <v>0.0</v>
      </c>
      <c r="AC176" s="13">
        <v>-4.9273</v>
      </c>
      <c r="AD176" s="13">
        <v>-28.6468</v>
      </c>
      <c r="AE176" s="13">
        <v>-70.4578</v>
      </c>
      <c r="AF176" s="13">
        <v>16.3974</v>
      </c>
      <c r="AG176" s="13">
        <v>0.069</v>
      </c>
      <c r="AH176" s="13">
        <v>2.5494</v>
      </c>
      <c r="AI176" s="13">
        <v>1.6257</v>
      </c>
      <c r="AJ176" s="11">
        <v>0.18</v>
      </c>
      <c r="AK176" s="8" t="s">
        <v>1659</v>
      </c>
      <c r="AL176" s="14" t="str">
        <f>IFERROR(__xludf.DUMMYFUNCTION("IFERROR(GOOGLEFINANCE(B176,""price""),"""")"),"")</f>
        <v/>
      </c>
    </row>
    <row r="177">
      <c r="A177" s="15">
        <v>46058.6286586701</v>
      </c>
      <c r="B177" s="16" t="s">
        <v>1092</v>
      </c>
      <c r="C177" s="16" t="s">
        <v>1093</v>
      </c>
      <c r="D177" s="17">
        <v>46061.0</v>
      </c>
      <c r="E177" s="16" t="s">
        <v>1095</v>
      </c>
      <c r="F177" s="18">
        <v>43.33</v>
      </c>
      <c r="G177" s="19">
        <v>-0.9147</v>
      </c>
      <c r="H177" s="16" t="s">
        <v>186</v>
      </c>
      <c r="I177" s="20">
        <v>744454.0</v>
      </c>
      <c r="J177" s="19">
        <v>21.0934</v>
      </c>
      <c r="K177" s="21">
        <v>1.7503</v>
      </c>
      <c r="L177" s="21">
        <v>3.3425</v>
      </c>
      <c r="M177" s="21">
        <v>517152.1</v>
      </c>
      <c r="N177" s="21">
        <v>1.5636</v>
      </c>
      <c r="O177" s="20">
        <v>1.545335217E9</v>
      </c>
      <c r="P177" s="21">
        <v>87.0123</v>
      </c>
      <c r="Q177" s="21">
        <v>75.5176</v>
      </c>
      <c r="R177" s="19">
        <v>61.2725</v>
      </c>
      <c r="S177" s="21">
        <v>41.3891</v>
      </c>
      <c r="T177" s="21">
        <v>40.6046</v>
      </c>
      <c r="U177" s="21">
        <v>40.6832</v>
      </c>
      <c r="V177" s="21">
        <v>40.7508</v>
      </c>
      <c r="W177" s="21">
        <v>40.7343</v>
      </c>
      <c r="X177" s="21">
        <v>40.2036</v>
      </c>
      <c r="Y177" s="21">
        <v>37.9499</v>
      </c>
      <c r="Z177" s="21">
        <v>35.8726</v>
      </c>
      <c r="AA177" s="21">
        <v>48.12</v>
      </c>
      <c r="AB177" s="21">
        <v>32.8357</v>
      </c>
      <c r="AC177" s="21">
        <v>1.3196</v>
      </c>
      <c r="AD177" s="21">
        <v>26.4159</v>
      </c>
      <c r="AE177" s="21">
        <v>26.8861</v>
      </c>
      <c r="AF177" s="21">
        <v>2.9443</v>
      </c>
      <c r="AG177" s="21">
        <v>0.0284</v>
      </c>
      <c r="AH177" s="21">
        <v>7.988</v>
      </c>
      <c r="AI177" s="21">
        <v>1.6293</v>
      </c>
      <c r="AJ177" s="19">
        <v>1.05</v>
      </c>
      <c r="AK177" s="24"/>
      <c r="AL177" s="22">
        <f>IFERROR(__xludf.DUMMYFUNCTION("IFERROR(GOOGLEFINANCE(B177,""price""),"""")"),42.75)</f>
        <v>42.75</v>
      </c>
    </row>
    <row r="178">
      <c r="A178" s="7">
        <v>46058.6286586701</v>
      </c>
      <c r="B178" s="8" t="s">
        <v>1660</v>
      </c>
      <c r="C178" s="8" t="s">
        <v>1661</v>
      </c>
      <c r="D178" s="9">
        <v>46061.0</v>
      </c>
      <c r="E178" s="8" t="s">
        <v>1662</v>
      </c>
      <c r="F178" s="10">
        <v>76.84</v>
      </c>
      <c r="G178" s="11">
        <v>0.4444</v>
      </c>
      <c r="H178" s="8" t="s">
        <v>93</v>
      </c>
      <c r="I178" s="12">
        <v>1303540.0</v>
      </c>
      <c r="J178" s="11">
        <v>21.3532</v>
      </c>
      <c r="K178" s="13">
        <v>2.7513</v>
      </c>
      <c r="L178" s="13">
        <v>5.4004</v>
      </c>
      <c r="M178" s="8">
        <v>1024256.0</v>
      </c>
      <c r="N178" s="13">
        <v>1.3404</v>
      </c>
      <c r="O178" s="12">
        <v>3.5086375E9</v>
      </c>
      <c r="P178" s="13">
        <v>84.3595</v>
      </c>
      <c r="Q178" s="13">
        <v>80.8669</v>
      </c>
      <c r="R178" s="11">
        <v>59.4908</v>
      </c>
      <c r="S178" s="13">
        <v>74.1083</v>
      </c>
      <c r="T178" s="13">
        <v>73.2221</v>
      </c>
      <c r="U178" s="13">
        <v>72.7912</v>
      </c>
      <c r="V178" s="13">
        <v>71.8355</v>
      </c>
      <c r="W178" s="13">
        <v>71.4997</v>
      </c>
      <c r="X178" s="13">
        <v>69.2642</v>
      </c>
      <c r="Y178" s="13">
        <v>64.0424</v>
      </c>
      <c r="Z178" s="13">
        <v>62.0242</v>
      </c>
      <c r="AA178" s="13">
        <v>82.03</v>
      </c>
      <c r="AB178" s="13">
        <v>7.0852</v>
      </c>
      <c r="AC178" s="13">
        <v>10.8451</v>
      </c>
      <c r="AD178" s="13">
        <v>16.3688</v>
      </c>
      <c r="AE178" s="13">
        <v>13.075</v>
      </c>
      <c r="AF178" s="13">
        <v>-1.901</v>
      </c>
      <c r="AG178" s="13">
        <v>1.2949</v>
      </c>
      <c r="AH178" s="13">
        <v>0.0</v>
      </c>
      <c r="AI178" s="13">
        <v>1.714</v>
      </c>
      <c r="AJ178" s="11">
        <v>1.02</v>
      </c>
      <c r="AK178" s="23"/>
      <c r="AL178" s="14">
        <f>IFERROR(__xludf.DUMMYFUNCTION("IFERROR(GOOGLEFINANCE(B178,""price""),"""")"),78.98)</f>
        <v>78.98</v>
      </c>
    </row>
    <row r="179">
      <c r="A179" s="7">
        <v>46059.6257769422</v>
      </c>
      <c r="B179" s="8" t="s">
        <v>1663</v>
      </c>
      <c r="C179" s="8" t="s">
        <v>1664</v>
      </c>
      <c r="D179" s="9">
        <v>46061.0</v>
      </c>
      <c r="E179" s="8" t="s">
        <v>1665</v>
      </c>
      <c r="F179" s="10">
        <v>172.32</v>
      </c>
      <c r="G179" s="11">
        <v>4.3858</v>
      </c>
      <c r="H179" s="8" t="s">
        <v>102</v>
      </c>
      <c r="I179" s="12">
        <v>5950648.0</v>
      </c>
      <c r="J179" s="11">
        <v>20.0724</v>
      </c>
      <c r="K179" s="13">
        <v>4.7828</v>
      </c>
      <c r="L179" s="13">
        <v>9.4555</v>
      </c>
      <c r="M179" s="8">
        <v>4830370.0</v>
      </c>
      <c r="N179" s="13">
        <v>1.2711</v>
      </c>
      <c r="O179" s="12">
        <v>9.0760947111E10</v>
      </c>
      <c r="P179" s="13">
        <v>75.1519</v>
      </c>
      <c r="Q179" s="13">
        <v>52.3385</v>
      </c>
      <c r="R179" s="11">
        <v>64.1704</v>
      </c>
      <c r="S179" s="13">
        <v>162.5122</v>
      </c>
      <c r="T179" s="13">
        <v>161.6977</v>
      </c>
      <c r="U179" s="13">
        <v>162.2346</v>
      </c>
      <c r="V179" s="13">
        <v>162.5123</v>
      </c>
      <c r="W179" s="13">
        <v>162.5018</v>
      </c>
      <c r="X179" s="13">
        <v>161.6754</v>
      </c>
      <c r="Y179" s="13">
        <v>155.8899</v>
      </c>
      <c r="Z179" s="13">
        <v>156.172</v>
      </c>
      <c r="AA179" s="13">
        <v>174.69</v>
      </c>
      <c r="AB179" s="13">
        <v>28.742</v>
      </c>
      <c r="AC179" s="13">
        <v>5.9954</v>
      </c>
      <c r="AD179" s="13">
        <v>76.0768</v>
      </c>
      <c r="AE179" s="13">
        <v>18.9594</v>
      </c>
      <c r="AF179" s="13">
        <v>-6.0763</v>
      </c>
      <c r="AG179" s="13">
        <v>2.7929</v>
      </c>
      <c r="AH179" s="13">
        <v>1.7079</v>
      </c>
      <c r="AI179" s="13">
        <v>0.161</v>
      </c>
      <c r="AJ179" s="11">
        <v>1.01</v>
      </c>
      <c r="AK179" s="8" t="s">
        <v>1267</v>
      </c>
      <c r="AL179" s="14">
        <f>IFERROR(__xludf.DUMMYFUNCTION("IFERROR(GOOGLEFINANCE(B179,""price""),"""")"),150.32)</f>
        <v>150.32</v>
      </c>
    </row>
    <row r="180">
      <c r="A180" s="15">
        <v>46059.6257769422</v>
      </c>
      <c r="B180" s="16" t="s">
        <v>1666</v>
      </c>
      <c r="C180" s="16" t="s">
        <v>1667</v>
      </c>
      <c r="D180" s="17">
        <v>46061.0</v>
      </c>
      <c r="E180" s="16" t="s">
        <v>1668</v>
      </c>
      <c r="F180" s="18">
        <v>65.7272</v>
      </c>
      <c r="G180" s="19">
        <v>3.8837</v>
      </c>
      <c r="H180" s="16" t="s">
        <v>308</v>
      </c>
      <c r="I180" s="20">
        <v>475987.0</v>
      </c>
      <c r="J180" s="19">
        <v>22.8437</v>
      </c>
      <c r="K180" s="21">
        <v>1.5307</v>
      </c>
      <c r="L180" s="21">
        <v>3.8394</v>
      </c>
      <c r="M180" s="21">
        <v>205159.0</v>
      </c>
      <c r="N180" s="21">
        <v>3.001</v>
      </c>
      <c r="O180" s="20">
        <v>3.0307245049E10</v>
      </c>
      <c r="P180" s="21">
        <v>94.107</v>
      </c>
      <c r="Q180" s="21">
        <v>88.1897</v>
      </c>
      <c r="R180" s="19">
        <v>61.5548</v>
      </c>
      <c r="S180" s="21">
        <v>62.8742</v>
      </c>
      <c r="T180" s="21">
        <v>62.345</v>
      </c>
      <c r="U180" s="21">
        <v>62.7001</v>
      </c>
      <c r="V180" s="21">
        <v>63.0794</v>
      </c>
      <c r="W180" s="21">
        <v>63.1604</v>
      </c>
      <c r="X180" s="21">
        <v>63.2632</v>
      </c>
      <c r="Y180" s="21">
        <v>62.3111</v>
      </c>
      <c r="Z180" s="21">
        <v>60.97</v>
      </c>
      <c r="AA180" s="21">
        <v>72.42</v>
      </c>
      <c r="AB180" s="21">
        <v>0.0</v>
      </c>
      <c r="AC180" s="21">
        <v>-0.0762</v>
      </c>
      <c r="AD180" s="21">
        <v>0.2303</v>
      </c>
      <c r="AE180" s="21">
        <v>4.8851</v>
      </c>
      <c r="AF180" s="21">
        <v>14.1712</v>
      </c>
      <c r="AG180" s="21">
        <v>0.9753</v>
      </c>
      <c r="AH180" s="21">
        <v>1.0098</v>
      </c>
      <c r="AI180" s="21">
        <v>0.2648</v>
      </c>
      <c r="AJ180" s="19">
        <v>0.8</v>
      </c>
      <c r="AK180" s="16" t="s">
        <v>1669</v>
      </c>
      <c r="AL180" s="22" t="str">
        <f>IFERROR(__xludf.DUMMYFUNCTION("IFERROR(GOOGLEFINANCE(B180,""price""),"""")"),"")</f>
        <v/>
      </c>
    </row>
    <row r="181">
      <c r="A181" s="7">
        <v>46059.6257769422</v>
      </c>
      <c r="B181" s="8" t="s">
        <v>1334</v>
      </c>
      <c r="C181" s="8" t="s">
        <v>1335</v>
      </c>
      <c r="D181" s="9">
        <v>46061.0</v>
      </c>
      <c r="E181" s="8" t="s">
        <v>1336</v>
      </c>
      <c r="F181" s="10">
        <v>10.68</v>
      </c>
      <c r="G181" s="11">
        <v>0.0937</v>
      </c>
      <c r="H181" s="8" t="s">
        <v>93</v>
      </c>
      <c r="I181" s="12">
        <v>1754468.0</v>
      </c>
      <c r="J181" s="11">
        <v>33.5706</v>
      </c>
      <c r="K181" s="13">
        <v>0.0131</v>
      </c>
      <c r="L181" s="13">
        <v>0.0546</v>
      </c>
      <c r="M181" s="13">
        <v>472122.9</v>
      </c>
      <c r="N181" s="13">
        <v>5.9091</v>
      </c>
      <c r="O181" s="12">
        <v>3.37755002E8</v>
      </c>
      <c r="P181" s="13">
        <v>100.0</v>
      </c>
      <c r="Q181" s="13">
        <v>100.0</v>
      </c>
      <c r="R181" s="11">
        <v>71.9302</v>
      </c>
      <c r="S181" s="13">
        <v>10.6681</v>
      </c>
      <c r="T181" s="13">
        <v>10.6502</v>
      </c>
      <c r="U181" s="13">
        <v>10.6319</v>
      </c>
      <c r="V181" s="13">
        <v>10.6106</v>
      </c>
      <c r="W181" s="13">
        <v>10.6043</v>
      </c>
      <c r="X181" s="13">
        <v>10.5642</v>
      </c>
      <c r="Y181" s="13">
        <v>10.4344</v>
      </c>
      <c r="Z181" s="13">
        <v>10.4492</v>
      </c>
      <c r="AA181" s="13">
        <v>10.99</v>
      </c>
      <c r="AB181" s="13">
        <v>33.0958</v>
      </c>
      <c r="AC181" s="13">
        <v>0.3227</v>
      </c>
      <c r="AD181" s="13">
        <v>4.084</v>
      </c>
      <c r="AE181" s="13">
        <v>0.0</v>
      </c>
      <c r="AF181" s="13">
        <v>0.0</v>
      </c>
      <c r="AG181" s="13">
        <v>0.0</v>
      </c>
      <c r="AH181" s="13">
        <v>0.5371</v>
      </c>
      <c r="AI181" s="13">
        <v>0.3387</v>
      </c>
      <c r="AJ181" s="11">
        <v>0.48</v>
      </c>
      <c r="AK181" s="8" t="s">
        <v>1635</v>
      </c>
      <c r="AL181" s="14">
        <f>IFERROR(__xludf.DUMMYFUNCTION("IFERROR(GOOGLEFINANCE(B181,""price""),"""")"),12.12)</f>
        <v>12.12</v>
      </c>
    </row>
    <row r="182">
      <c r="A182" s="15">
        <v>46059.6257769422</v>
      </c>
      <c r="B182" s="16" t="s">
        <v>1670</v>
      </c>
      <c r="C182" s="16" t="s">
        <v>1671</v>
      </c>
      <c r="D182" s="17">
        <v>46061.0</v>
      </c>
      <c r="E182" s="16" t="s">
        <v>1672</v>
      </c>
      <c r="F182" s="18">
        <v>79.81</v>
      </c>
      <c r="G182" s="19">
        <v>4.6826</v>
      </c>
      <c r="H182" s="16" t="s">
        <v>335</v>
      </c>
      <c r="I182" s="20">
        <v>863375.0</v>
      </c>
      <c r="J182" s="19">
        <v>22.2873</v>
      </c>
      <c r="K182" s="21">
        <v>3.2012</v>
      </c>
      <c r="L182" s="21">
        <v>7.0124</v>
      </c>
      <c r="M182" s="21">
        <v>725988.3</v>
      </c>
      <c r="N182" s="21">
        <v>1.2259</v>
      </c>
      <c r="O182" s="20">
        <v>4.522366921E9</v>
      </c>
      <c r="P182" s="21">
        <v>64.7869</v>
      </c>
      <c r="Q182" s="21">
        <v>49.7075</v>
      </c>
      <c r="R182" s="19">
        <v>59.5877</v>
      </c>
      <c r="S182" s="21">
        <v>74.777</v>
      </c>
      <c r="T182" s="21">
        <v>74.4411</v>
      </c>
      <c r="U182" s="21">
        <v>74.3676</v>
      </c>
      <c r="V182" s="21">
        <v>74.1766</v>
      </c>
      <c r="W182" s="21">
        <v>74.1535</v>
      </c>
      <c r="X182" s="21">
        <v>74.608</v>
      </c>
      <c r="Y182" s="21">
        <v>78.0278</v>
      </c>
      <c r="Z182" s="21">
        <v>79.5126</v>
      </c>
      <c r="AA182" s="21">
        <v>105.99</v>
      </c>
      <c r="AB182" s="21">
        <v>30.6749</v>
      </c>
      <c r="AC182" s="21">
        <v>2.6018</v>
      </c>
      <c r="AD182" s="21">
        <v>9.708</v>
      </c>
      <c r="AE182" s="21">
        <v>8.9965</v>
      </c>
      <c r="AF182" s="21">
        <v>5.5201</v>
      </c>
      <c r="AG182" s="21">
        <v>0.7701</v>
      </c>
      <c r="AH182" s="21">
        <v>2.3929</v>
      </c>
      <c r="AI182" s="21">
        <v>0.5129</v>
      </c>
      <c r="AJ182" s="19">
        <v>0.91</v>
      </c>
      <c r="AK182" s="16" t="s">
        <v>1283</v>
      </c>
      <c r="AL182" s="22">
        <f>IFERROR(__xludf.DUMMYFUNCTION("IFERROR(GOOGLEFINANCE(B182,""price""),"""")"),84.06)</f>
        <v>84.06</v>
      </c>
    </row>
    <row r="183">
      <c r="A183" s="7">
        <v>46059.6257769422</v>
      </c>
      <c r="B183" s="8" t="s">
        <v>1649</v>
      </c>
      <c r="C183" s="8" t="s">
        <v>1650</v>
      </c>
      <c r="D183" s="9">
        <v>46061.0</v>
      </c>
      <c r="E183" s="8" t="s">
        <v>1651</v>
      </c>
      <c r="F183" s="10">
        <v>48.26</v>
      </c>
      <c r="G183" s="11">
        <v>0.1453</v>
      </c>
      <c r="H183" s="8" t="s">
        <v>93</v>
      </c>
      <c r="I183" s="12">
        <v>1674123.0</v>
      </c>
      <c r="J183" s="11">
        <v>40.2727</v>
      </c>
      <c r="K183" s="13">
        <v>0.3343</v>
      </c>
      <c r="L183" s="13">
        <v>1.6643</v>
      </c>
      <c r="M183" s="8">
        <v>1457340.0</v>
      </c>
      <c r="N183" s="13">
        <v>1.2368</v>
      </c>
      <c r="O183" s="12">
        <v>7.210005944E9</v>
      </c>
      <c r="P183" s="13">
        <v>77.9919</v>
      </c>
      <c r="Q183" s="13">
        <v>77.855</v>
      </c>
      <c r="R183" s="11">
        <v>65.3666</v>
      </c>
      <c r="S183" s="13">
        <v>48.1447</v>
      </c>
      <c r="T183" s="13">
        <v>47.8818</v>
      </c>
      <c r="U183" s="13">
        <v>47.4392</v>
      </c>
      <c r="V183" s="13">
        <v>46.8894</v>
      </c>
      <c r="W183" s="13">
        <v>46.7296</v>
      </c>
      <c r="X183" s="13">
        <v>45.7672</v>
      </c>
      <c r="Y183" s="13">
        <v>43.5194</v>
      </c>
      <c r="Z183" s="13">
        <v>42.5293</v>
      </c>
      <c r="AA183" s="13">
        <v>49.42</v>
      </c>
      <c r="AB183" s="13">
        <v>9.1896</v>
      </c>
      <c r="AC183" s="13">
        <v>5.2516</v>
      </c>
      <c r="AD183" s="13">
        <v>16.167</v>
      </c>
      <c r="AE183" s="13">
        <v>34.9751</v>
      </c>
      <c r="AF183" s="13">
        <v>27.4161</v>
      </c>
      <c r="AG183" s="13">
        <v>0.075</v>
      </c>
      <c r="AH183" s="13">
        <v>0.0</v>
      </c>
      <c r="AI183" s="13">
        <v>1.4618</v>
      </c>
      <c r="AJ183" s="11">
        <v>0.4</v>
      </c>
      <c r="AK183" s="8" t="s">
        <v>1673</v>
      </c>
      <c r="AL183" s="14">
        <f>IFERROR(__xludf.DUMMYFUNCTION("IFERROR(GOOGLEFINANCE(B183,""price""),"""")"),51.62)</f>
        <v>51.62</v>
      </c>
    </row>
    <row r="184">
      <c r="A184" s="15">
        <v>46059.6257769422</v>
      </c>
      <c r="B184" s="16" t="s">
        <v>1674</v>
      </c>
      <c r="C184" s="16" t="s">
        <v>1675</v>
      </c>
      <c r="D184" s="17">
        <v>46061.0</v>
      </c>
      <c r="E184" s="16" t="s">
        <v>1676</v>
      </c>
      <c r="F184" s="18">
        <v>103.155</v>
      </c>
      <c r="G184" s="19">
        <v>0.4822</v>
      </c>
      <c r="H184" s="16" t="s">
        <v>117</v>
      </c>
      <c r="I184" s="20">
        <v>3610382.0</v>
      </c>
      <c r="J184" s="19">
        <v>59.4755</v>
      </c>
      <c r="K184" s="21">
        <v>0.4833</v>
      </c>
      <c r="L184" s="21">
        <v>3.4002</v>
      </c>
      <c r="M184" s="16">
        <v>2350198.0</v>
      </c>
      <c r="N184" s="21">
        <v>1.66</v>
      </c>
      <c r="O184" s="20">
        <v>1.9683026462E10</v>
      </c>
      <c r="P184" s="21">
        <v>70.1068</v>
      </c>
      <c r="Q184" s="21">
        <v>66.6583</v>
      </c>
      <c r="R184" s="19">
        <v>76.9334</v>
      </c>
      <c r="S184" s="21">
        <v>102.5919</v>
      </c>
      <c r="T184" s="21">
        <v>102.1272</v>
      </c>
      <c r="U184" s="21">
        <v>100.5468</v>
      </c>
      <c r="V184" s="21">
        <v>97.3181</v>
      </c>
      <c r="W184" s="21">
        <v>96.1909</v>
      </c>
      <c r="X184" s="21">
        <v>88.8139</v>
      </c>
      <c r="Y184" s="21">
        <v>74.7295</v>
      </c>
      <c r="Z184" s="21">
        <v>66.9585</v>
      </c>
      <c r="AA184" s="21">
        <v>103.42</v>
      </c>
      <c r="AB184" s="21">
        <v>0.0</v>
      </c>
      <c r="AC184" s="21">
        <v>-5.3172</v>
      </c>
      <c r="AD184" s="21">
        <v>-34.5445</v>
      </c>
      <c r="AE184" s="21">
        <v>-3.9187</v>
      </c>
      <c r="AF184" s="21">
        <v>14.4746</v>
      </c>
      <c r="AG184" s="21">
        <v>1.0135</v>
      </c>
      <c r="AH184" s="21">
        <v>2.7226</v>
      </c>
      <c r="AI184" s="21">
        <v>1.9825</v>
      </c>
      <c r="AJ184" s="19">
        <v>0.28</v>
      </c>
      <c r="AK184" s="16" t="s">
        <v>1677</v>
      </c>
      <c r="AL184" s="22">
        <f>IFERROR(__xludf.DUMMYFUNCTION("IFERROR(GOOGLEFINANCE(B184,""price""),"""")"),890.12)</f>
        <v>890.12</v>
      </c>
    </row>
    <row r="185">
      <c r="A185" s="7">
        <v>46062.62720933345</v>
      </c>
      <c r="B185" s="8" t="s">
        <v>1406</v>
      </c>
      <c r="C185" s="8" t="s">
        <v>1407</v>
      </c>
      <c r="D185" s="9">
        <v>46068.0</v>
      </c>
      <c r="E185" s="8" t="s">
        <v>1408</v>
      </c>
      <c r="F185" s="10">
        <v>10.585</v>
      </c>
      <c r="G185" s="11">
        <v>-0.0472</v>
      </c>
      <c r="H185" s="8" t="s">
        <v>93</v>
      </c>
      <c r="I185" s="12">
        <v>1282934.0</v>
      </c>
      <c r="J185" s="11">
        <v>45.3646</v>
      </c>
      <c r="K185" s="13">
        <v>0.0399</v>
      </c>
      <c r="L185" s="13">
        <v>0.1515</v>
      </c>
      <c r="M185" s="13">
        <v>267561.9</v>
      </c>
      <c r="N185" s="13">
        <v>9.041</v>
      </c>
      <c r="O185" s="12">
        <v>3.52833335E8</v>
      </c>
      <c r="P185" s="13">
        <v>79.4974</v>
      </c>
      <c r="Q185" s="13">
        <v>74.418</v>
      </c>
      <c r="R185" s="11">
        <v>57.9246</v>
      </c>
      <c r="S185" s="13">
        <v>10.5761</v>
      </c>
      <c r="T185" s="13">
        <v>10.563</v>
      </c>
      <c r="U185" s="13">
        <v>10.5578</v>
      </c>
      <c r="V185" s="13">
        <v>10.5576</v>
      </c>
      <c r="W185" s="13">
        <v>10.5573</v>
      </c>
      <c r="X185" s="13">
        <v>10.5432</v>
      </c>
      <c r="Y185" s="13">
        <v>10.43</v>
      </c>
      <c r="Z185" s="13">
        <v>10.4204</v>
      </c>
      <c r="AA185" s="13">
        <v>12.5</v>
      </c>
      <c r="AB185" s="13">
        <v>73.7631</v>
      </c>
      <c r="AC185" s="13">
        <v>0.1435</v>
      </c>
      <c r="AD185" s="13">
        <v>2.333</v>
      </c>
      <c r="AE185" s="13">
        <v>0.0</v>
      </c>
      <c r="AF185" s="13">
        <v>0.0</v>
      </c>
      <c r="AG185" s="13">
        <v>0.0</v>
      </c>
      <c r="AH185" s="13">
        <v>0.5306</v>
      </c>
      <c r="AI185" s="13">
        <v>0.1727</v>
      </c>
      <c r="AJ185" s="11">
        <v>0.53</v>
      </c>
      <c r="AK185" s="8" t="s">
        <v>1678</v>
      </c>
      <c r="AL185" s="14">
        <f>IFERROR(__xludf.DUMMYFUNCTION("IFERROR(GOOGLEFINANCE(B185,""price""),"""")"),10.66)</f>
        <v>10.66</v>
      </c>
    </row>
    <row r="186">
      <c r="A186" s="15">
        <v>46062.62720933345</v>
      </c>
      <c r="B186" s="16" t="s">
        <v>1334</v>
      </c>
      <c r="C186" s="16" t="s">
        <v>1335</v>
      </c>
      <c r="D186" s="17">
        <v>46068.0</v>
      </c>
      <c r="E186" s="16" t="s">
        <v>1336</v>
      </c>
      <c r="F186" s="18">
        <v>10.68</v>
      </c>
      <c r="G186" s="19">
        <v>0.0</v>
      </c>
      <c r="H186" s="16" t="s">
        <v>93</v>
      </c>
      <c r="I186" s="20">
        <v>558379.0</v>
      </c>
      <c r="J186" s="19">
        <v>33.6734</v>
      </c>
      <c r="K186" s="21">
        <v>0.0113</v>
      </c>
      <c r="L186" s="21">
        <v>0.0507</v>
      </c>
      <c r="M186" s="21">
        <v>359792.7</v>
      </c>
      <c r="N186" s="21">
        <v>1.7643</v>
      </c>
      <c r="O186" s="20">
        <v>3.37755002E8</v>
      </c>
      <c r="P186" s="21">
        <v>100.0</v>
      </c>
      <c r="Q186" s="21">
        <v>100.0</v>
      </c>
      <c r="R186" s="19">
        <v>71.9302</v>
      </c>
      <c r="S186" s="21">
        <v>10.6728</v>
      </c>
      <c r="T186" s="21">
        <v>10.6554</v>
      </c>
      <c r="U186" s="21">
        <v>10.6372</v>
      </c>
      <c r="V186" s="21">
        <v>10.6159</v>
      </c>
      <c r="W186" s="21">
        <v>10.6096</v>
      </c>
      <c r="X186" s="21">
        <v>10.5693</v>
      </c>
      <c r="Y186" s="21">
        <v>10.4393</v>
      </c>
      <c r="Z186" s="21">
        <v>10.4542</v>
      </c>
      <c r="AA186" s="21">
        <v>10.99</v>
      </c>
      <c r="AB186" s="21">
        <v>33.0958</v>
      </c>
      <c r="AC186" s="21">
        <v>0.3227</v>
      </c>
      <c r="AD186" s="21">
        <v>4.084</v>
      </c>
      <c r="AE186" s="21">
        <v>0.0</v>
      </c>
      <c r="AF186" s="21">
        <v>0.0</v>
      </c>
      <c r="AG186" s="21">
        <v>0.0</v>
      </c>
      <c r="AH186" s="21">
        <v>0.5371</v>
      </c>
      <c r="AI186" s="21">
        <v>0.3329</v>
      </c>
      <c r="AJ186" s="19">
        <v>0.45</v>
      </c>
      <c r="AK186" s="16" t="s">
        <v>1679</v>
      </c>
      <c r="AL186" s="22">
        <f>IFERROR(__xludf.DUMMYFUNCTION("IFERROR(GOOGLEFINANCE(B186,""price""),"""")"),12.12)</f>
        <v>12.12</v>
      </c>
    </row>
    <row r="187">
      <c r="A187" s="7">
        <v>46062.62720933345</v>
      </c>
      <c r="B187" s="8" t="s">
        <v>1272</v>
      </c>
      <c r="C187" s="8" t="s">
        <v>1273</v>
      </c>
      <c r="D187" s="9">
        <v>46068.0</v>
      </c>
      <c r="E187" s="8" t="s">
        <v>1274</v>
      </c>
      <c r="F187" s="10">
        <v>31.985</v>
      </c>
      <c r="G187" s="11">
        <v>0.0156</v>
      </c>
      <c r="H187" s="8" t="s">
        <v>102</v>
      </c>
      <c r="I187" s="12">
        <v>2368030.0</v>
      </c>
      <c r="J187" s="11">
        <v>46.12</v>
      </c>
      <c r="K187" s="13">
        <v>0.0635</v>
      </c>
      <c r="L187" s="13">
        <v>0.9213</v>
      </c>
      <c r="M187" s="8">
        <v>1337868.0</v>
      </c>
      <c r="N187" s="13">
        <v>1.9276</v>
      </c>
      <c r="O187" s="12">
        <v>2.255219437E9</v>
      </c>
      <c r="P187" s="13">
        <v>79.0468</v>
      </c>
      <c r="Q187" s="13">
        <v>69.1053</v>
      </c>
      <c r="R187" s="11">
        <v>68.492</v>
      </c>
      <c r="S187" s="13">
        <v>31.9218</v>
      </c>
      <c r="T187" s="13">
        <v>31.8719</v>
      </c>
      <c r="U187" s="13">
        <v>31.7845</v>
      </c>
      <c r="V187" s="13">
        <v>31.5322</v>
      </c>
      <c r="W187" s="13">
        <v>31.4233</v>
      </c>
      <c r="X187" s="13">
        <v>30.5369</v>
      </c>
      <c r="Y187" s="13">
        <v>29.0207</v>
      </c>
      <c r="Z187" s="13">
        <v>26.2531</v>
      </c>
      <c r="AA187" s="13">
        <v>35.48</v>
      </c>
      <c r="AB187" s="13">
        <v>52.5896</v>
      </c>
      <c r="AC187" s="13">
        <v>0.6082</v>
      </c>
      <c r="AD187" s="13">
        <v>3.0679</v>
      </c>
      <c r="AE187" s="13">
        <v>8.6319</v>
      </c>
      <c r="AF187" s="13">
        <v>-16.0001</v>
      </c>
      <c r="AG187" s="13">
        <v>1.1715</v>
      </c>
      <c r="AH187" s="13">
        <v>1.2163</v>
      </c>
      <c r="AI187" s="13">
        <v>0.4295</v>
      </c>
      <c r="AJ187" s="11">
        <v>0.14</v>
      </c>
      <c r="AK187" s="8" t="s">
        <v>1680</v>
      </c>
      <c r="AL187" s="14">
        <f>IFERROR(__xludf.DUMMYFUNCTION("IFERROR(GOOGLEFINANCE(B187,""price""),"""")"),0.16)</f>
        <v>0.16</v>
      </c>
    </row>
    <row r="188">
      <c r="A188" s="15">
        <v>46062.62720933345</v>
      </c>
      <c r="B188" s="16" t="s">
        <v>1681</v>
      </c>
      <c r="C188" s="16" t="s">
        <v>1682</v>
      </c>
      <c r="D188" s="17">
        <v>46068.0</v>
      </c>
      <c r="E188" s="16" t="s">
        <v>1683</v>
      </c>
      <c r="F188" s="18">
        <v>6.215</v>
      </c>
      <c r="G188" s="19">
        <v>8.087</v>
      </c>
      <c r="H188" s="16" t="s">
        <v>107</v>
      </c>
      <c r="I188" s="20">
        <v>703080.0</v>
      </c>
      <c r="J188" s="19">
        <v>23.2539</v>
      </c>
      <c r="K188" s="21">
        <v>0.3205</v>
      </c>
      <c r="L188" s="21">
        <v>0.6395</v>
      </c>
      <c r="M188" s="21">
        <v>463752.2</v>
      </c>
      <c r="N188" s="21">
        <v>1.6443</v>
      </c>
      <c r="O188" s="20">
        <v>5.2439603E8</v>
      </c>
      <c r="P188" s="21">
        <v>68.7043</v>
      </c>
      <c r="Q188" s="21">
        <v>43.5994</v>
      </c>
      <c r="R188" s="19">
        <v>65.1614</v>
      </c>
      <c r="S188" s="21">
        <v>5.4761</v>
      </c>
      <c r="T188" s="21">
        <v>5.4442</v>
      </c>
      <c r="U188" s="21">
        <v>5.443</v>
      </c>
      <c r="V188" s="21">
        <v>5.4083</v>
      </c>
      <c r="W188" s="21">
        <v>5.3935</v>
      </c>
      <c r="X188" s="21">
        <v>5.2822</v>
      </c>
      <c r="Y188" s="21">
        <v>5.1664</v>
      </c>
      <c r="Z188" s="21">
        <v>4.6346</v>
      </c>
      <c r="AA188" s="21">
        <v>7.855</v>
      </c>
      <c r="AB188" s="21">
        <v>0.0</v>
      </c>
      <c r="AC188" s="21">
        <v>-0.4386</v>
      </c>
      <c r="AD188" s="21">
        <v>-6.6782</v>
      </c>
      <c r="AE188" s="21">
        <v>-5.6686</v>
      </c>
      <c r="AF188" s="21">
        <v>9.5399</v>
      </c>
      <c r="AG188" s="21">
        <v>0.8035</v>
      </c>
      <c r="AH188" s="21">
        <v>1.876</v>
      </c>
      <c r="AI188" s="21">
        <v>0.5323</v>
      </c>
      <c r="AJ188" s="19">
        <v>1.0</v>
      </c>
      <c r="AK188" s="16" t="s">
        <v>1283</v>
      </c>
      <c r="AL188" s="22">
        <f>IFERROR(__xludf.DUMMYFUNCTION("IFERROR(GOOGLEFINANCE(B188,""price""),"""")"),3.79)</f>
        <v>3.79</v>
      </c>
    </row>
    <row r="189">
      <c r="A189" s="7">
        <v>46062.62720933345</v>
      </c>
      <c r="B189" s="8" t="s">
        <v>1542</v>
      </c>
      <c r="C189" s="8" t="s">
        <v>1543</v>
      </c>
      <c r="D189" s="9">
        <v>46068.0</v>
      </c>
      <c r="E189" s="8" t="s">
        <v>1544</v>
      </c>
      <c r="F189" s="10">
        <v>21.635</v>
      </c>
      <c r="G189" s="11">
        <v>-0.2536</v>
      </c>
      <c r="H189" s="8" t="s">
        <v>117</v>
      </c>
      <c r="I189" s="12">
        <v>1903892.0</v>
      </c>
      <c r="J189" s="11">
        <v>42.9748</v>
      </c>
      <c r="K189" s="13">
        <v>0.0906</v>
      </c>
      <c r="L189" s="13">
        <v>0.7723</v>
      </c>
      <c r="M189" s="8">
        <v>1055879.0</v>
      </c>
      <c r="N189" s="13">
        <v>1.886</v>
      </c>
      <c r="O189" s="12">
        <v>2.116283585E9</v>
      </c>
      <c r="P189" s="13">
        <v>74.2741</v>
      </c>
      <c r="Q189" s="13">
        <v>66.6488</v>
      </c>
      <c r="R189" s="11">
        <v>61.6955</v>
      </c>
      <c r="S189" s="13">
        <v>21.6027</v>
      </c>
      <c r="T189" s="13">
        <v>21.5528</v>
      </c>
      <c r="U189" s="13">
        <v>21.4325</v>
      </c>
      <c r="V189" s="13">
        <v>21.1001</v>
      </c>
      <c r="W189" s="13">
        <v>20.9635</v>
      </c>
      <c r="X189" s="13">
        <v>19.8566</v>
      </c>
      <c r="Y189" s="13">
        <v>16.9108</v>
      </c>
      <c r="Z189" s="13">
        <v>15.296</v>
      </c>
      <c r="AA189" s="13">
        <v>23.57</v>
      </c>
      <c r="AB189" s="13">
        <v>0.0</v>
      </c>
      <c r="AC189" s="13">
        <v>-0.0055</v>
      </c>
      <c r="AD189" s="13">
        <v>-0.3216</v>
      </c>
      <c r="AE189" s="13">
        <v>1.82</v>
      </c>
      <c r="AF189" s="13">
        <v>79.8762</v>
      </c>
      <c r="AG189" s="13">
        <v>0.3805</v>
      </c>
      <c r="AH189" s="13">
        <v>2.7562</v>
      </c>
      <c r="AI189" s="13">
        <v>0.7869</v>
      </c>
      <c r="AJ189" s="11">
        <v>0.23</v>
      </c>
      <c r="AK189" s="8" t="s">
        <v>1684</v>
      </c>
      <c r="AL189" s="14" t="str">
        <f>IFERROR(__xludf.DUMMYFUNCTION("IFERROR(GOOGLEFINANCE(B189,""price""),"""")"),"")</f>
        <v/>
      </c>
    </row>
    <row r="190">
      <c r="A190" s="15">
        <v>46062.62720933345</v>
      </c>
      <c r="B190" s="16" t="s">
        <v>1685</v>
      </c>
      <c r="C190" s="16" t="s">
        <v>1686</v>
      </c>
      <c r="D190" s="17">
        <v>46068.0</v>
      </c>
      <c r="E190" s="16" t="s">
        <v>1687</v>
      </c>
      <c r="F190" s="18">
        <v>22.21</v>
      </c>
      <c r="G190" s="19">
        <v>4.4194</v>
      </c>
      <c r="H190" s="16" t="s">
        <v>149</v>
      </c>
      <c r="I190" s="20">
        <v>2487234.0</v>
      </c>
      <c r="J190" s="19">
        <v>22.3672</v>
      </c>
      <c r="K190" s="21">
        <v>0.8233</v>
      </c>
      <c r="L190" s="21">
        <v>1.554</v>
      </c>
      <c r="M190" s="16">
        <v>1189252.0</v>
      </c>
      <c r="N190" s="21">
        <v>2.4722</v>
      </c>
      <c r="O190" s="20">
        <v>2.264362519E9</v>
      </c>
      <c r="P190" s="21">
        <v>69.7791</v>
      </c>
      <c r="Q190" s="21">
        <v>57.0955</v>
      </c>
      <c r="R190" s="19">
        <v>66.9629</v>
      </c>
      <c r="S190" s="21">
        <v>20.7531</v>
      </c>
      <c r="T190" s="21">
        <v>20.5126</v>
      </c>
      <c r="U190" s="21">
        <v>20.5768</v>
      </c>
      <c r="V190" s="21">
        <v>20.6641</v>
      </c>
      <c r="W190" s="21">
        <v>20.6878</v>
      </c>
      <c r="X190" s="21">
        <v>20.7779</v>
      </c>
      <c r="Y190" s="21">
        <v>20.4282</v>
      </c>
      <c r="Z190" s="21">
        <v>20.7364</v>
      </c>
      <c r="AA190" s="21">
        <v>23.49</v>
      </c>
      <c r="AB190" s="21">
        <v>31.3214</v>
      </c>
      <c r="AC190" s="21">
        <v>0.7091</v>
      </c>
      <c r="AD190" s="21">
        <v>13.5316</v>
      </c>
      <c r="AE190" s="21">
        <v>8.8724</v>
      </c>
      <c r="AF190" s="21">
        <v>7.2725</v>
      </c>
      <c r="AG190" s="21">
        <v>0.1768</v>
      </c>
      <c r="AH190" s="21">
        <v>1.8414</v>
      </c>
      <c r="AI190" s="21">
        <v>0.7941</v>
      </c>
      <c r="AJ190" s="19">
        <v>1.06</v>
      </c>
      <c r="AK190" s="16" t="s">
        <v>1688</v>
      </c>
      <c r="AL190" s="22">
        <f>IFERROR(__xludf.DUMMYFUNCTION("IFERROR(GOOGLEFINANCE(B190,""price""),"""")"),24.37)</f>
        <v>24.37</v>
      </c>
    </row>
    <row r="191">
      <c r="A191" s="7">
        <v>46062.62720933345</v>
      </c>
      <c r="B191" s="8" t="s">
        <v>1689</v>
      </c>
      <c r="C191" s="8" t="s">
        <v>1690</v>
      </c>
      <c r="D191" s="9">
        <v>46068.0</v>
      </c>
      <c r="E191" s="8" t="s">
        <v>1691</v>
      </c>
      <c r="F191" s="10">
        <v>24.53</v>
      </c>
      <c r="G191" s="11">
        <v>-0.406</v>
      </c>
      <c r="H191" s="8" t="s">
        <v>286</v>
      </c>
      <c r="I191" s="12">
        <v>1785835.0</v>
      </c>
      <c r="J191" s="11">
        <v>44.4337</v>
      </c>
      <c r="K191" s="13">
        <v>0.2149</v>
      </c>
      <c r="L191" s="13">
        <v>1.1147</v>
      </c>
      <c r="M191" s="13">
        <v>930272.9</v>
      </c>
      <c r="N191" s="13">
        <v>2.2072</v>
      </c>
      <c r="O191" s="12">
        <v>1.23841686E9</v>
      </c>
      <c r="P191" s="13">
        <v>69.3435</v>
      </c>
      <c r="Q191" s="13">
        <v>75.2445</v>
      </c>
      <c r="R191" s="11">
        <v>61.7641</v>
      </c>
      <c r="S191" s="13">
        <v>24.5985</v>
      </c>
      <c r="T191" s="13">
        <v>24.4004</v>
      </c>
      <c r="U191" s="13">
        <v>24.1303</v>
      </c>
      <c r="V191" s="13">
        <v>23.7342</v>
      </c>
      <c r="W191" s="13">
        <v>23.61</v>
      </c>
      <c r="X191" s="13">
        <v>22.961</v>
      </c>
      <c r="Y191" s="13">
        <v>23.4548</v>
      </c>
      <c r="Z191" s="13">
        <v>21.2612</v>
      </c>
      <c r="AA191" s="13">
        <v>40.77</v>
      </c>
      <c r="AB191" s="13">
        <v>0.0</v>
      </c>
      <c r="AC191" s="13">
        <v>-4.8065</v>
      </c>
      <c r="AD191" s="13">
        <v>-17.1788</v>
      </c>
      <c r="AE191" s="13">
        <v>6.3369</v>
      </c>
      <c r="AF191" s="13">
        <v>-0.6877</v>
      </c>
      <c r="AG191" s="13">
        <v>1.2934</v>
      </c>
      <c r="AH191" s="13">
        <v>1.2935</v>
      </c>
      <c r="AI191" s="13">
        <v>1.9084</v>
      </c>
      <c r="AJ191" s="11">
        <v>0.39</v>
      </c>
      <c r="AK191" s="8" t="s">
        <v>1692</v>
      </c>
      <c r="AL191" s="14">
        <f>IFERROR(__xludf.DUMMYFUNCTION("IFERROR(GOOGLEFINANCE(B191,""price""),"""")"),115.0)</f>
        <v>115</v>
      </c>
    </row>
    <row r="192">
      <c r="A192" s="7">
        <v>46063.627940862236</v>
      </c>
      <c r="B192" s="8" t="s">
        <v>1406</v>
      </c>
      <c r="C192" s="8" t="s">
        <v>1407</v>
      </c>
      <c r="D192" s="9">
        <v>46068.0</v>
      </c>
      <c r="E192" s="8" t="s">
        <v>1408</v>
      </c>
      <c r="F192" s="10">
        <v>10.59</v>
      </c>
      <c r="G192" s="11">
        <v>0.0</v>
      </c>
      <c r="H192" s="8" t="s">
        <v>93</v>
      </c>
      <c r="I192" s="12">
        <v>851160.0</v>
      </c>
      <c r="J192" s="11">
        <v>44.6363</v>
      </c>
      <c r="K192" s="13">
        <v>0.0392</v>
      </c>
      <c r="L192" s="13">
        <v>0.1522</v>
      </c>
      <c r="M192" s="13">
        <v>352049.3</v>
      </c>
      <c r="N192" s="13">
        <v>3.1803</v>
      </c>
      <c r="O192" s="12">
        <v>3.53000002E8</v>
      </c>
      <c r="P192" s="13">
        <v>80.1587</v>
      </c>
      <c r="Q192" s="13">
        <v>78.9771</v>
      </c>
      <c r="R192" s="11">
        <v>59.65</v>
      </c>
      <c r="S192" s="13">
        <v>10.5801</v>
      </c>
      <c r="T192" s="13">
        <v>10.5658</v>
      </c>
      <c r="U192" s="13">
        <v>10.5599</v>
      </c>
      <c r="V192" s="13">
        <v>10.559</v>
      </c>
      <c r="W192" s="13">
        <v>10.5586</v>
      </c>
      <c r="X192" s="13">
        <v>10.5444</v>
      </c>
      <c r="Y192" s="13">
        <v>10.4316</v>
      </c>
      <c r="Z192" s="13">
        <v>10.4234</v>
      </c>
      <c r="AA192" s="13">
        <v>12.5</v>
      </c>
      <c r="AB192" s="13">
        <v>73.7979</v>
      </c>
      <c r="AC192" s="13">
        <v>0.1435</v>
      </c>
      <c r="AD192" s="13">
        <v>2.333</v>
      </c>
      <c r="AE192" s="13">
        <v>0.0</v>
      </c>
      <c r="AF192" s="13">
        <v>0.0</v>
      </c>
      <c r="AG192" s="13">
        <v>0.0</v>
      </c>
      <c r="AH192" s="13">
        <v>0.5306</v>
      </c>
      <c r="AI192" s="13">
        <v>0.19</v>
      </c>
      <c r="AJ192" s="11">
        <v>0.51</v>
      </c>
      <c r="AK192" s="8" t="s">
        <v>1693</v>
      </c>
      <c r="AL192" s="14">
        <f>IFERROR(__xludf.DUMMYFUNCTION("IFERROR(GOOGLEFINANCE(B192,""price""),"""")"),10.66)</f>
        <v>10.66</v>
      </c>
    </row>
    <row r="193">
      <c r="A193" s="15">
        <v>46063.627940862236</v>
      </c>
      <c r="B193" s="16" t="s">
        <v>1334</v>
      </c>
      <c r="C193" s="16" t="s">
        <v>1335</v>
      </c>
      <c r="D193" s="17">
        <v>46068.0</v>
      </c>
      <c r="E193" s="16" t="s">
        <v>1336</v>
      </c>
      <c r="F193" s="18">
        <v>10.7</v>
      </c>
      <c r="G193" s="19">
        <v>0.0935</v>
      </c>
      <c r="H193" s="16" t="s">
        <v>93</v>
      </c>
      <c r="I193" s="20">
        <v>1208536.0</v>
      </c>
      <c r="J193" s="19">
        <v>34.7231</v>
      </c>
      <c r="K193" s="21">
        <v>0.0133</v>
      </c>
      <c r="L193" s="21">
        <v>0.0528</v>
      </c>
      <c r="M193" s="21">
        <v>426130.7</v>
      </c>
      <c r="N193" s="21">
        <v>3.3581</v>
      </c>
      <c r="O193" s="20">
        <v>3.38387479E8</v>
      </c>
      <c r="P193" s="21">
        <v>100.0</v>
      </c>
      <c r="Q193" s="21">
        <v>100.0</v>
      </c>
      <c r="R193" s="19">
        <v>77.655</v>
      </c>
      <c r="S193" s="21">
        <v>10.6806</v>
      </c>
      <c r="T193" s="21">
        <v>10.6603</v>
      </c>
      <c r="U193" s="21">
        <v>10.6413</v>
      </c>
      <c r="V193" s="21">
        <v>10.6196</v>
      </c>
      <c r="W193" s="21">
        <v>10.6132</v>
      </c>
      <c r="X193" s="21">
        <v>10.5724</v>
      </c>
      <c r="Y193" s="21">
        <v>10.442</v>
      </c>
      <c r="Z193" s="21">
        <v>10.4567</v>
      </c>
      <c r="AA193" s="21">
        <v>10.99</v>
      </c>
      <c r="AB193" s="21">
        <v>33.1577</v>
      </c>
      <c r="AC193" s="21">
        <v>0.3227</v>
      </c>
      <c r="AD193" s="21">
        <v>4.084</v>
      </c>
      <c r="AE193" s="21">
        <v>0.0</v>
      </c>
      <c r="AF193" s="21">
        <v>0.0</v>
      </c>
      <c r="AG193" s="21">
        <v>0.0</v>
      </c>
      <c r="AH193" s="21">
        <v>0.5371</v>
      </c>
      <c r="AI193" s="21">
        <v>0.3664</v>
      </c>
      <c r="AJ193" s="19">
        <v>0.5</v>
      </c>
      <c r="AK193" s="16" t="s">
        <v>1694</v>
      </c>
      <c r="AL193" s="22">
        <f>IFERROR(__xludf.DUMMYFUNCTION("IFERROR(GOOGLEFINANCE(B193,""price""),"""")"),12.12)</f>
        <v>12.12</v>
      </c>
    </row>
    <row r="194">
      <c r="A194" s="7">
        <v>46063.627940862236</v>
      </c>
      <c r="B194" s="8" t="s">
        <v>1542</v>
      </c>
      <c r="C194" s="8" t="s">
        <v>1543</v>
      </c>
      <c r="D194" s="9">
        <v>46068.0</v>
      </c>
      <c r="E194" s="8" t="s">
        <v>1544</v>
      </c>
      <c r="F194" s="10">
        <v>21.66</v>
      </c>
      <c r="G194" s="11">
        <v>0.185</v>
      </c>
      <c r="H194" s="8" t="s">
        <v>117</v>
      </c>
      <c r="I194" s="12">
        <v>2171659.0</v>
      </c>
      <c r="J194" s="11">
        <v>44.1534</v>
      </c>
      <c r="K194" s="13">
        <v>0.0906</v>
      </c>
      <c r="L194" s="13">
        <v>0.773</v>
      </c>
      <c r="M194" s="8">
        <v>1279709.0</v>
      </c>
      <c r="N194" s="13">
        <v>1.9393</v>
      </c>
      <c r="O194" s="12">
        <v>2.118729056E9</v>
      </c>
      <c r="P194" s="13">
        <v>77.7778</v>
      </c>
      <c r="Q194" s="13">
        <v>72.8587</v>
      </c>
      <c r="R194" s="11">
        <v>62.8716</v>
      </c>
      <c r="S194" s="13">
        <v>21.6129</v>
      </c>
      <c r="T194" s="13">
        <v>21.5613</v>
      </c>
      <c r="U194" s="13">
        <v>21.4447</v>
      </c>
      <c r="V194" s="13">
        <v>21.1215</v>
      </c>
      <c r="W194" s="13">
        <v>20.9879</v>
      </c>
      <c r="X194" s="13">
        <v>19.8963</v>
      </c>
      <c r="Y194" s="13">
        <v>16.9579</v>
      </c>
      <c r="Z194" s="13">
        <v>15.3612</v>
      </c>
      <c r="AA194" s="13">
        <v>23.57</v>
      </c>
      <c r="AB194" s="13">
        <v>0.0</v>
      </c>
      <c r="AC194" s="13">
        <v>-0.0055</v>
      </c>
      <c r="AD194" s="13">
        <v>-0.3216</v>
      </c>
      <c r="AE194" s="13">
        <v>1.82</v>
      </c>
      <c r="AF194" s="13">
        <v>79.8762</v>
      </c>
      <c r="AG194" s="13">
        <v>0.3805</v>
      </c>
      <c r="AH194" s="13">
        <v>2.7562</v>
      </c>
      <c r="AI194" s="13">
        <v>0.7765</v>
      </c>
      <c r="AJ194" s="11">
        <v>0.23</v>
      </c>
      <c r="AK194" s="8" t="s">
        <v>1695</v>
      </c>
      <c r="AL194" s="14" t="str">
        <f>IFERROR(__xludf.DUMMYFUNCTION("IFERROR(GOOGLEFINANCE(B194,""price""),"""")"),"")</f>
        <v/>
      </c>
    </row>
    <row r="195">
      <c r="A195" s="15">
        <v>46063.627940862236</v>
      </c>
      <c r="B195" s="16" t="s">
        <v>1681</v>
      </c>
      <c r="C195" s="16" t="s">
        <v>1682</v>
      </c>
      <c r="D195" s="17">
        <v>46068.0</v>
      </c>
      <c r="E195" s="16" t="s">
        <v>1683</v>
      </c>
      <c r="F195" s="18">
        <v>5.89</v>
      </c>
      <c r="G195" s="19">
        <v>-4.0717</v>
      </c>
      <c r="H195" s="16" t="s">
        <v>107</v>
      </c>
      <c r="I195" s="20">
        <v>594466.0</v>
      </c>
      <c r="J195" s="19">
        <v>24.0644</v>
      </c>
      <c r="K195" s="21">
        <v>0.3222</v>
      </c>
      <c r="L195" s="21">
        <v>0.6395</v>
      </c>
      <c r="M195" s="21">
        <v>504523.2</v>
      </c>
      <c r="N195" s="21">
        <v>1.2297</v>
      </c>
      <c r="O195" s="20">
        <v>4.96973862E8</v>
      </c>
      <c r="P195" s="21">
        <v>88.2086</v>
      </c>
      <c r="Q195" s="21">
        <v>66.8845</v>
      </c>
      <c r="R195" s="19">
        <v>58.2544</v>
      </c>
      <c r="S195" s="21">
        <v>5.5551</v>
      </c>
      <c r="T195" s="21">
        <v>5.4785</v>
      </c>
      <c r="U195" s="21">
        <v>5.4645</v>
      </c>
      <c r="V195" s="21">
        <v>5.4243</v>
      </c>
      <c r="W195" s="21">
        <v>5.4086</v>
      </c>
      <c r="X195" s="21">
        <v>5.2941</v>
      </c>
      <c r="Y195" s="21">
        <v>5.1729</v>
      </c>
      <c r="Z195" s="21">
        <v>4.643</v>
      </c>
      <c r="AA195" s="21">
        <v>7.855</v>
      </c>
      <c r="AB195" s="21">
        <v>0.0</v>
      </c>
      <c r="AC195" s="21">
        <v>-0.4386</v>
      </c>
      <c r="AD195" s="21">
        <v>-6.6782</v>
      </c>
      <c r="AE195" s="21">
        <v>-5.6686</v>
      </c>
      <c r="AF195" s="21">
        <v>9.5399</v>
      </c>
      <c r="AG195" s="21">
        <v>0.8035</v>
      </c>
      <c r="AH195" s="21">
        <v>1.876</v>
      </c>
      <c r="AI195" s="21">
        <v>1.538</v>
      </c>
      <c r="AJ195" s="19">
        <v>1.01</v>
      </c>
      <c r="AK195" s="24"/>
      <c r="AL195" s="22">
        <f>IFERROR(__xludf.DUMMYFUNCTION("IFERROR(GOOGLEFINANCE(B195,""price""),"""")"),3.79)</f>
        <v>3.79</v>
      </c>
    </row>
    <row r="196">
      <c r="A196" s="7">
        <v>46063.627940862236</v>
      </c>
      <c r="B196" s="8" t="s">
        <v>1689</v>
      </c>
      <c r="C196" s="8" t="s">
        <v>1690</v>
      </c>
      <c r="D196" s="9">
        <v>46068.0</v>
      </c>
      <c r="E196" s="8" t="s">
        <v>1691</v>
      </c>
      <c r="F196" s="10">
        <v>24.555</v>
      </c>
      <c r="G196" s="11">
        <v>0.4294</v>
      </c>
      <c r="H196" s="8" t="s">
        <v>286</v>
      </c>
      <c r="I196" s="12">
        <v>6027463.0</v>
      </c>
      <c r="J196" s="11">
        <v>43.6407</v>
      </c>
      <c r="K196" s="13">
        <v>0.2159</v>
      </c>
      <c r="L196" s="13">
        <v>1.1168</v>
      </c>
      <c r="M196" s="8">
        <v>1567329.0</v>
      </c>
      <c r="N196" s="13">
        <v>5.9958</v>
      </c>
      <c r="O196" s="12">
        <v>1.239679087E9</v>
      </c>
      <c r="P196" s="13">
        <v>48.4958</v>
      </c>
      <c r="Q196" s="13">
        <v>63.5278</v>
      </c>
      <c r="R196" s="11">
        <v>61.2958</v>
      </c>
      <c r="S196" s="13">
        <v>24.575</v>
      </c>
      <c r="T196" s="13">
        <v>24.4078</v>
      </c>
      <c r="U196" s="13">
        <v>24.1503</v>
      </c>
      <c r="V196" s="13">
        <v>23.7634</v>
      </c>
      <c r="W196" s="13">
        <v>23.641</v>
      </c>
      <c r="X196" s="13">
        <v>22.9947</v>
      </c>
      <c r="Y196" s="13">
        <v>23.465</v>
      </c>
      <c r="Z196" s="13">
        <v>21.2721</v>
      </c>
      <c r="AA196" s="13">
        <v>40.77</v>
      </c>
      <c r="AB196" s="13">
        <v>0.0</v>
      </c>
      <c r="AC196" s="13">
        <v>-4.8065</v>
      </c>
      <c r="AD196" s="13">
        <v>-17.1788</v>
      </c>
      <c r="AE196" s="13">
        <v>6.3369</v>
      </c>
      <c r="AF196" s="13">
        <v>-0.6877</v>
      </c>
      <c r="AG196" s="13">
        <v>1.2934</v>
      </c>
      <c r="AH196" s="13">
        <v>1.2935</v>
      </c>
      <c r="AI196" s="13">
        <v>1.7295</v>
      </c>
      <c r="AJ196" s="11">
        <v>0.39</v>
      </c>
      <c r="AK196" s="8" t="s">
        <v>1696</v>
      </c>
      <c r="AL196" s="14">
        <f>IFERROR(__xludf.DUMMYFUNCTION("IFERROR(GOOGLEFINANCE(B196,""price""),"""")"),115.0)</f>
        <v>115</v>
      </c>
    </row>
    <row r="197">
      <c r="A197" s="15">
        <v>46063.627940862236</v>
      </c>
      <c r="B197" s="16" t="s">
        <v>1697</v>
      </c>
      <c r="C197" s="16" t="s">
        <v>1698</v>
      </c>
      <c r="D197" s="17">
        <v>46068.0</v>
      </c>
      <c r="E197" s="16" t="s">
        <v>1699</v>
      </c>
      <c r="F197" s="18">
        <v>5.515</v>
      </c>
      <c r="G197" s="19">
        <v>0.2727</v>
      </c>
      <c r="H197" s="16" t="s">
        <v>93</v>
      </c>
      <c r="I197" s="20">
        <v>622434.0</v>
      </c>
      <c r="J197" s="19">
        <v>24.2026</v>
      </c>
      <c r="K197" s="21">
        <v>0.2998</v>
      </c>
      <c r="L197" s="21">
        <v>0.634</v>
      </c>
      <c r="M197" s="21">
        <v>448218.5</v>
      </c>
      <c r="N197" s="21">
        <v>1.4694</v>
      </c>
      <c r="O197" s="20">
        <v>2.43371549E8</v>
      </c>
      <c r="P197" s="21">
        <v>45.1173</v>
      </c>
      <c r="Q197" s="21">
        <v>47.0104</v>
      </c>
      <c r="R197" s="19">
        <v>52.4193</v>
      </c>
      <c r="S197" s="21">
        <v>5.4947</v>
      </c>
      <c r="T197" s="21">
        <v>5.4359</v>
      </c>
      <c r="U197" s="21">
        <v>5.3978</v>
      </c>
      <c r="V197" s="21">
        <v>5.3891</v>
      </c>
      <c r="W197" s="21">
        <v>5.3934</v>
      </c>
      <c r="X197" s="21">
        <v>5.4588</v>
      </c>
      <c r="Y197" s="21">
        <v>5.5005</v>
      </c>
      <c r="Z197" s="21">
        <v>5.936</v>
      </c>
      <c r="AA197" s="21">
        <v>9.245</v>
      </c>
      <c r="AB197" s="21">
        <v>8.3738</v>
      </c>
      <c r="AC197" s="21">
        <v>0.6586</v>
      </c>
      <c r="AD197" s="21">
        <v>8.5863</v>
      </c>
      <c r="AE197" s="21">
        <v>4.3243</v>
      </c>
      <c r="AF197" s="21">
        <v>-5.2876</v>
      </c>
      <c r="AG197" s="21">
        <v>7.148</v>
      </c>
      <c r="AH197" s="21">
        <v>4.3014</v>
      </c>
      <c r="AI197" s="21">
        <v>1.7564</v>
      </c>
      <c r="AJ197" s="19">
        <v>0.95</v>
      </c>
      <c r="AK197" s="24"/>
      <c r="AL197" s="22">
        <f>IFERROR(__xludf.DUMMYFUNCTION("IFERROR(GOOGLEFINANCE(B197,""price""),"""")"),4.91)</f>
        <v>4.91</v>
      </c>
    </row>
    <row r="198">
      <c r="A198" s="7">
        <v>46063.876031227395</v>
      </c>
      <c r="B198" s="8" t="s">
        <v>1406</v>
      </c>
      <c r="C198" s="8" t="s">
        <v>1407</v>
      </c>
      <c r="D198" s="9">
        <v>46068.0</v>
      </c>
      <c r="E198" s="8" t="s">
        <v>1408</v>
      </c>
      <c r="F198" s="10">
        <v>10.6</v>
      </c>
      <c r="G198" s="11">
        <v>0.0944</v>
      </c>
      <c r="H198" s="8" t="s">
        <v>93</v>
      </c>
      <c r="I198" s="12">
        <v>857827.0</v>
      </c>
      <c r="J198" s="11">
        <v>44.6363</v>
      </c>
      <c r="K198" s="13">
        <v>0.0392</v>
      </c>
      <c r="L198" s="13">
        <v>0.1522</v>
      </c>
      <c r="M198" s="13">
        <v>352716.0</v>
      </c>
      <c r="N198" s="13">
        <v>3.2052</v>
      </c>
      <c r="O198" s="12">
        <v>3.53333335E8</v>
      </c>
      <c r="P198" s="13">
        <v>84.9206</v>
      </c>
      <c r="Q198" s="13">
        <v>80.5644</v>
      </c>
      <c r="R198" s="11">
        <v>62.0827</v>
      </c>
      <c r="S198" s="13">
        <v>10.5823</v>
      </c>
      <c r="T198" s="13">
        <v>10.5667</v>
      </c>
      <c r="U198" s="13">
        <v>10.5605</v>
      </c>
      <c r="V198" s="13">
        <v>10.5594</v>
      </c>
      <c r="W198" s="13">
        <v>10.559</v>
      </c>
      <c r="X198" s="13">
        <v>10.5446</v>
      </c>
      <c r="Y198" s="13">
        <v>10.4317</v>
      </c>
      <c r="Z198" s="13">
        <v>10.4234</v>
      </c>
      <c r="AA198" s="13">
        <v>12.5</v>
      </c>
      <c r="AB198" s="13">
        <v>73.8676</v>
      </c>
      <c r="AC198" s="13">
        <v>0.1435</v>
      </c>
      <c r="AD198" s="13">
        <v>2.333</v>
      </c>
      <c r="AE198" s="13">
        <v>0.0</v>
      </c>
      <c r="AF198" s="13">
        <v>0.0</v>
      </c>
      <c r="AG198" s="13">
        <v>0.0</v>
      </c>
      <c r="AH198" s="13">
        <v>0.5306</v>
      </c>
      <c r="AI198" s="13">
        <v>0.2054</v>
      </c>
      <c r="AJ198" s="11">
        <v>0.51</v>
      </c>
      <c r="AK198" s="8" t="s">
        <v>1693</v>
      </c>
      <c r="AL198" s="14">
        <f>IFERROR(__xludf.DUMMYFUNCTION("IFERROR(GOOGLEFINANCE(B198,""price""),"""")"),10.66)</f>
        <v>10.66</v>
      </c>
    </row>
    <row r="199">
      <c r="A199" s="15">
        <v>46063.876031227395</v>
      </c>
      <c r="B199" s="16" t="s">
        <v>1601</v>
      </c>
      <c r="C199" s="16" t="s">
        <v>1602</v>
      </c>
      <c r="D199" s="17">
        <v>46068.0</v>
      </c>
      <c r="E199" s="16" t="s">
        <v>1603</v>
      </c>
      <c r="F199" s="18">
        <v>64.67</v>
      </c>
      <c r="G199" s="19">
        <v>0.1549</v>
      </c>
      <c r="H199" s="16" t="s">
        <v>93</v>
      </c>
      <c r="I199" s="20">
        <v>2092372.0</v>
      </c>
      <c r="J199" s="19">
        <v>39.2029</v>
      </c>
      <c r="K199" s="21">
        <v>0.1151</v>
      </c>
      <c r="L199" s="21">
        <v>0.7853</v>
      </c>
      <c r="M199" s="16">
        <v>1693036.0</v>
      </c>
      <c r="N199" s="21">
        <v>1.3206</v>
      </c>
      <c r="O199" s="20">
        <v>7.22784445E9</v>
      </c>
      <c r="P199" s="21">
        <v>71.7185</v>
      </c>
      <c r="Q199" s="21">
        <v>66.2883</v>
      </c>
      <c r="R199" s="19">
        <v>66.0396</v>
      </c>
      <c r="S199" s="21">
        <v>64.5765</v>
      </c>
      <c r="T199" s="21">
        <v>64.4679</v>
      </c>
      <c r="U199" s="21">
        <v>64.3664</v>
      </c>
      <c r="V199" s="21">
        <v>64.2075</v>
      </c>
      <c r="W199" s="21">
        <v>64.1425</v>
      </c>
      <c r="X199" s="21">
        <v>63.4818</v>
      </c>
      <c r="Y199" s="21">
        <v>60.2515</v>
      </c>
      <c r="Z199" s="21">
        <v>60.6901</v>
      </c>
      <c r="AA199" s="21">
        <v>64.715</v>
      </c>
      <c r="AB199" s="21">
        <v>7.5014</v>
      </c>
      <c r="AC199" s="21">
        <v>8.621</v>
      </c>
      <c r="AD199" s="21">
        <v>12.7413</v>
      </c>
      <c r="AE199" s="21">
        <v>47.7074</v>
      </c>
      <c r="AF199" s="21">
        <v>9.674</v>
      </c>
      <c r="AG199" s="21">
        <v>2.4211</v>
      </c>
      <c r="AH199" s="21">
        <v>0.1381</v>
      </c>
      <c r="AI199" s="21">
        <v>0.3249</v>
      </c>
      <c r="AJ199" s="19">
        <v>0.29</v>
      </c>
      <c r="AK199" s="16" t="s">
        <v>1446</v>
      </c>
      <c r="AL199" s="22">
        <f>IFERROR(__xludf.DUMMYFUNCTION("IFERROR(GOOGLEFINANCE(B199,""price""),"""")"),65.0)</f>
        <v>65</v>
      </c>
    </row>
    <row r="200">
      <c r="A200" s="7">
        <v>46063.876031227395</v>
      </c>
      <c r="B200" s="8" t="s">
        <v>1334</v>
      </c>
      <c r="C200" s="8" t="s">
        <v>1335</v>
      </c>
      <c r="D200" s="9">
        <v>46068.0</v>
      </c>
      <c r="E200" s="8" t="s">
        <v>1336</v>
      </c>
      <c r="F200" s="10">
        <v>10.69</v>
      </c>
      <c r="G200" s="11">
        <v>0.0</v>
      </c>
      <c r="H200" s="8" t="s">
        <v>93</v>
      </c>
      <c r="I200" s="12">
        <v>1309390.0</v>
      </c>
      <c r="J200" s="11">
        <v>34.7231</v>
      </c>
      <c r="K200" s="13">
        <v>0.0133</v>
      </c>
      <c r="L200" s="13">
        <v>0.0528</v>
      </c>
      <c r="M200" s="13">
        <v>436216.1</v>
      </c>
      <c r="N200" s="13">
        <v>3.6384</v>
      </c>
      <c r="O200" s="12">
        <v>3.38071229E8</v>
      </c>
      <c r="P200" s="13">
        <v>95.8333</v>
      </c>
      <c r="Q200" s="13">
        <v>98.6111</v>
      </c>
      <c r="R200" s="11">
        <v>75.0125</v>
      </c>
      <c r="S200" s="13">
        <v>10.6783</v>
      </c>
      <c r="T200" s="13">
        <v>10.6594</v>
      </c>
      <c r="U200" s="13">
        <v>10.6408</v>
      </c>
      <c r="V200" s="13">
        <v>10.6192</v>
      </c>
      <c r="W200" s="13">
        <v>10.6128</v>
      </c>
      <c r="X200" s="13">
        <v>10.5722</v>
      </c>
      <c r="Y200" s="13">
        <v>10.4419</v>
      </c>
      <c r="Z200" s="13">
        <v>10.4566</v>
      </c>
      <c r="AA200" s="13">
        <v>10.99</v>
      </c>
      <c r="AB200" s="13">
        <v>33.1267</v>
      </c>
      <c r="AC200" s="13">
        <v>0.3227</v>
      </c>
      <c r="AD200" s="13">
        <v>4.084</v>
      </c>
      <c r="AE200" s="13">
        <v>0.0</v>
      </c>
      <c r="AF200" s="13">
        <v>0.0</v>
      </c>
      <c r="AG200" s="13">
        <v>0.0</v>
      </c>
      <c r="AH200" s="13">
        <v>0.5371</v>
      </c>
      <c r="AI200" s="13">
        <v>0.3513</v>
      </c>
      <c r="AJ200" s="11">
        <v>0.5</v>
      </c>
      <c r="AK200" s="8" t="s">
        <v>1700</v>
      </c>
      <c r="AL200" s="14">
        <f>IFERROR(__xludf.DUMMYFUNCTION("IFERROR(GOOGLEFINANCE(B200,""price""),"""")"),12.12)</f>
        <v>12.12</v>
      </c>
    </row>
    <row r="201">
      <c r="A201" s="15">
        <v>46063.876031227395</v>
      </c>
      <c r="B201" s="16" t="s">
        <v>1542</v>
      </c>
      <c r="C201" s="16" t="s">
        <v>1543</v>
      </c>
      <c r="D201" s="17">
        <v>46068.0</v>
      </c>
      <c r="E201" s="16" t="s">
        <v>1544</v>
      </c>
      <c r="F201" s="18">
        <v>21.63</v>
      </c>
      <c r="G201" s="19">
        <v>0.0463</v>
      </c>
      <c r="H201" s="16" t="s">
        <v>117</v>
      </c>
      <c r="I201" s="20">
        <v>2782836.0</v>
      </c>
      <c r="J201" s="19">
        <v>44.1534</v>
      </c>
      <c r="K201" s="21">
        <v>0.0906</v>
      </c>
      <c r="L201" s="21">
        <v>0.773</v>
      </c>
      <c r="M201" s="16">
        <v>1340827.0</v>
      </c>
      <c r="N201" s="21">
        <v>2.4851</v>
      </c>
      <c r="O201" s="20">
        <v>2.115794528E9</v>
      </c>
      <c r="P201" s="21">
        <v>73.0159</v>
      </c>
      <c r="Q201" s="21">
        <v>71.2714</v>
      </c>
      <c r="R201" s="19">
        <v>60.817</v>
      </c>
      <c r="S201" s="21">
        <v>21.6062</v>
      </c>
      <c r="T201" s="21">
        <v>21.5586</v>
      </c>
      <c r="U201" s="21">
        <v>21.4429</v>
      </c>
      <c r="V201" s="21">
        <v>21.1203</v>
      </c>
      <c r="W201" s="21">
        <v>20.9868</v>
      </c>
      <c r="X201" s="21">
        <v>19.8957</v>
      </c>
      <c r="Y201" s="21">
        <v>16.9576</v>
      </c>
      <c r="Z201" s="21">
        <v>15.3611</v>
      </c>
      <c r="AA201" s="21">
        <v>23.57</v>
      </c>
      <c r="AB201" s="21">
        <v>0.0</v>
      </c>
      <c r="AC201" s="21">
        <v>-0.0055</v>
      </c>
      <c r="AD201" s="21">
        <v>-0.3216</v>
      </c>
      <c r="AE201" s="21">
        <v>1.82</v>
      </c>
      <c r="AF201" s="21">
        <v>79.8762</v>
      </c>
      <c r="AG201" s="21">
        <v>0.3805</v>
      </c>
      <c r="AH201" s="21">
        <v>2.7562</v>
      </c>
      <c r="AI201" s="21">
        <v>0.7547</v>
      </c>
      <c r="AJ201" s="19">
        <v>0.23</v>
      </c>
      <c r="AK201" s="16" t="s">
        <v>1701</v>
      </c>
      <c r="AL201" s="22" t="str">
        <f>IFERROR(__xludf.DUMMYFUNCTION("IFERROR(GOOGLEFINANCE(B201,""price""),"""")"),"")</f>
        <v/>
      </c>
    </row>
    <row r="202">
      <c r="A202" s="7">
        <v>46063.876031227395</v>
      </c>
      <c r="B202" s="8" t="s">
        <v>1702</v>
      </c>
      <c r="C202" s="8" t="s">
        <v>1703</v>
      </c>
      <c r="D202" s="9">
        <v>46068.0</v>
      </c>
      <c r="E202" s="8" t="s">
        <v>1704</v>
      </c>
      <c r="F202" s="10">
        <v>118.64</v>
      </c>
      <c r="G202" s="11">
        <v>-0.7612</v>
      </c>
      <c r="H202" s="8" t="s">
        <v>112</v>
      </c>
      <c r="I202" s="12">
        <v>2006662.0</v>
      </c>
      <c r="J202" s="11">
        <v>22.4565</v>
      </c>
      <c r="K202" s="13">
        <v>4.3509</v>
      </c>
      <c r="L202" s="13">
        <v>8.92</v>
      </c>
      <c r="M202" s="8">
        <v>1346531.0</v>
      </c>
      <c r="N202" s="13">
        <v>1.5526</v>
      </c>
      <c r="O202" s="12">
        <v>1.6745632006E10</v>
      </c>
      <c r="P202" s="13">
        <v>42.0465</v>
      </c>
      <c r="Q202" s="13">
        <v>29.8432</v>
      </c>
      <c r="R202" s="11">
        <v>50.794</v>
      </c>
      <c r="S202" s="13">
        <v>118.2646</v>
      </c>
      <c r="T202" s="13">
        <v>118.8222</v>
      </c>
      <c r="U202" s="13">
        <v>117.2965</v>
      </c>
      <c r="V202" s="13">
        <v>114.9863</v>
      </c>
      <c r="W202" s="13">
        <v>114.3427</v>
      </c>
      <c r="X202" s="13">
        <v>111.0922</v>
      </c>
      <c r="Y202" s="13">
        <v>105.4184</v>
      </c>
      <c r="Z202" s="13">
        <v>104.7705</v>
      </c>
      <c r="AA202" s="13">
        <v>129.19</v>
      </c>
      <c r="AB202" s="13">
        <v>29.2924</v>
      </c>
      <c r="AC202" s="13">
        <v>4.0502</v>
      </c>
      <c r="AD202" s="13">
        <v>27.3567</v>
      </c>
      <c r="AE202" s="13">
        <v>12.8624</v>
      </c>
      <c r="AF202" s="13">
        <v>18.8709</v>
      </c>
      <c r="AG202" s="13">
        <v>0.3805</v>
      </c>
      <c r="AH202" s="13">
        <v>1.957</v>
      </c>
      <c r="AI202" s="13">
        <v>0.816</v>
      </c>
      <c r="AJ202" s="11">
        <v>0.98</v>
      </c>
      <c r="AK202" s="8" t="s">
        <v>1283</v>
      </c>
      <c r="AL202" s="14">
        <f>IFERROR(__xludf.DUMMYFUNCTION("IFERROR(GOOGLEFINANCE(B202,""price""),"""")"),115.07)</f>
        <v>115.07</v>
      </c>
    </row>
    <row r="203">
      <c r="A203" s="15">
        <v>46063.876031227395</v>
      </c>
      <c r="B203" s="16" t="s">
        <v>1560</v>
      </c>
      <c r="C203" s="16" t="s">
        <v>1561</v>
      </c>
      <c r="D203" s="17">
        <v>46068.0</v>
      </c>
      <c r="E203" s="16" t="s">
        <v>1562</v>
      </c>
      <c r="F203" s="18">
        <v>72.89</v>
      </c>
      <c r="G203" s="19">
        <v>0.0</v>
      </c>
      <c r="H203" s="16" t="s">
        <v>117</v>
      </c>
      <c r="I203" s="20">
        <v>3116657.0</v>
      </c>
      <c r="J203" s="19">
        <v>52.8198</v>
      </c>
      <c r="K203" s="21">
        <v>0.2303</v>
      </c>
      <c r="L203" s="21">
        <v>2.5777</v>
      </c>
      <c r="M203" s="16">
        <v>2556486.0</v>
      </c>
      <c r="N203" s="21">
        <v>1.356</v>
      </c>
      <c r="O203" s="20">
        <v>1.0988136266E10</v>
      </c>
      <c r="P203" s="21">
        <v>74.7475</v>
      </c>
      <c r="Q203" s="21">
        <v>69.5286</v>
      </c>
      <c r="R203" s="19">
        <v>66.8971</v>
      </c>
      <c r="S203" s="21">
        <v>72.8092</v>
      </c>
      <c r="T203" s="21">
        <v>72.6099</v>
      </c>
      <c r="U203" s="21">
        <v>72.1034</v>
      </c>
      <c r="V203" s="21">
        <v>70.821</v>
      </c>
      <c r="W203" s="21">
        <v>70.3074</v>
      </c>
      <c r="X203" s="21">
        <v>66.284</v>
      </c>
      <c r="Y203" s="21">
        <v>55.6724</v>
      </c>
      <c r="Z203" s="21">
        <v>50.338</v>
      </c>
      <c r="AA203" s="21">
        <v>73.06</v>
      </c>
      <c r="AB203" s="21">
        <v>0.0</v>
      </c>
      <c r="AC203" s="21">
        <v>-4.1703</v>
      </c>
      <c r="AD203" s="21">
        <v>-32.4392</v>
      </c>
      <c r="AE203" s="21">
        <v>-2934.9003</v>
      </c>
      <c r="AF203" s="21">
        <v>106.2667</v>
      </c>
      <c r="AG203" s="21">
        <v>0.0265</v>
      </c>
      <c r="AH203" s="21">
        <v>11.573</v>
      </c>
      <c r="AI203" s="21">
        <v>0.9683</v>
      </c>
      <c r="AJ203" s="19">
        <v>0.18</v>
      </c>
      <c r="AK203" s="16" t="s">
        <v>1705</v>
      </c>
      <c r="AL203" s="22">
        <f>IFERROR(__xludf.DUMMYFUNCTION("IFERROR(GOOGLEFINANCE(B203,""price""),"""")"),12.71)</f>
        <v>12.71</v>
      </c>
    </row>
    <row r="204">
      <c r="A204" s="7">
        <v>46063.876031227395</v>
      </c>
      <c r="B204" s="8" t="s">
        <v>1316</v>
      </c>
      <c r="C204" s="8" t="s">
        <v>1317</v>
      </c>
      <c r="D204" s="9">
        <v>46068.0</v>
      </c>
      <c r="E204" s="8" t="s">
        <v>1318</v>
      </c>
      <c r="F204" s="10">
        <v>72.4</v>
      </c>
      <c r="G204" s="11">
        <v>1.2871</v>
      </c>
      <c r="H204" s="8" t="s">
        <v>917</v>
      </c>
      <c r="I204" s="12">
        <v>1569802.0</v>
      </c>
      <c r="J204" s="11">
        <v>21.5176</v>
      </c>
      <c r="K204" s="13">
        <v>1.6808</v>
      </c>
      <c r="L204" s="13">
        <v>3.117</v>
      </c>
      <c r="M204" s="8">
        <v>1276940.0</v>
      </c>
      <c r="N204" s="13">
        <v>1.2992</v>
      </c>
      <c r="O204" s="12">
        <v>5.464273597E9</v>
      </c>
      <c r="P204" s="13">
        <v>26.783</v>
      </c>
      <c r="Q204" s="13">
        <v>41.0143</v>
      </c>
      <c r="R204" s="11">
        <v>51.1457</v>
      </c>
      <c r="S204" s="13">
        <v>72.6988</v>
      </c>
      <c r="T204" s="13">
        <v>72.3924</v>
      </c>
      <c r="U204" s="13">
        <v>71.8432</v>
      </c>
      <c r="V204" s="13">
        <v>71.0542</v>
      </c>
      <c r="W204" s="13">
        <v>70.7917</v>
      </c>
      <c r="X204" s="13">
        <v>69.0442</v>
      </c>
      <c r="Y204" s="13">
        <v>65.3001</v>
      </c>
      <c r="Z204" s="13">
        <v>63.2307</v>
      </c>
      <c r="AA204" s="13">
        <v>75.87</v>
      </c>
      <c r="AB204" s="13">
        <v>18.1768</v>
      </c>
      <c r="AC204" s="13">
        <v>3.9831</v>
      </c>
      <c r="AD204" s="13">
        <v>0.0</v>
      </c>
      <c r="AE204" s="13">
        <v>23.2478</v>
      </c>
      <c r="AF204" s="13">
        <v>8.5632</v>
      </c>
      <c r="AG204" s="13">
        <v>0.0</v>
      </c>
      <c r="AH204" s="13">
        <v>0.0</v>
      </c>
      <c r="AI204" s="13">
        <v>1.1819</v>
      </c>
      <c r="AJ204" s="11">
        <v>1.08</v>
      </c>
      <c r="AK204" s="23"/>
      <c r="AL204" s="14">
        <f>IFERROR(__xludf.DUMMYFUNCTION("IFERROR(GOOGLEFINANCE(B204,""price""),"""")"),73.8)</f>
        <v>73.8</v>
      </c>
    </row>
    <row r="205">
      <c r="A205" s="15">
        <v>46063.876031227395</v>
      </c>
      <c r="B205" s="16" t="s">
        <v>1706</v>
      </c>
      <c r="C205" s="16" t="s">
        <v>1707</v>
      </c>
      <c r="D205" s="17">
        <v>46068.0</v>
      </c>
      <c r="E205" s="16" t="s">
        <v>1708</v>
      </c>
      <c r="F205" s="18">
        <v>199.31</v>
      </c>
      <c r="G205" s="19">
        <v>2.3362</v>
      </c>
      <c r="H205" s="16" t="s">
        <v>186</v>
      </c>
      <c r="I205" s="20">
        <v>2558414.0</v>
      </c>
      <c r="J205" s="19">
        <v>21.8177</v>
      </c>
      <c r="K205" s="21">
        <v>3.6718</v>
      </c>
      <c r="L205" s="21">
        <v>7.8206</v>
      </c>
      <c r="M205" s="16">
        <v>2050208.0</v>
      </c>
      <c r="N205" s="21">
        <v>1.3467</v>
      </c>
      <c r="O205" s="20">
        <v>7.9702003582E10</v>
      </c>
      <c r="P205" s="21">
        <v>81.4927</v>
      </c>
      <c r="Q205" s="21">
        <v>76.6788</v>
      </c>
      <c r="R205" s="19">
        <v>66.6909</v>
      </c>
      <c r="S205" s="21">
        <v>194.6811</v>
      </c>
      <c r="T205" s="21">
        <v>192.9211</v>
      </c>
      <c r="U205" s="21">
        <v>191.9526</v>
      </c>
      <c r="V205" s="21">
        <v>191.5416</v>
      </c>
      <c r="W205" s="21">
        <v>191.5771</v>
      </c>
      <c r="X205" s="21">
        <v>192.9491</v>
      </c>
      <c r="Y205" s="21">
        <v>197.1877</v>
      </c>
      <c r="Z205" s="21">
        <v>203.9953</v>
      </c>
      <c r="AA205" s="21">
        <v>229.24</v>
      </c>
      <c r="AB205" s="21">
        <v>43.0782</v>
      </c>
      <c r="AC205" s="21">
        <v>4.6267</v>
      </c>
      <c r="AD205" s="21">
        <v>43.2486</v>
      </c>
      <c r="AE205" s="21">
        <v>22.9819</v>
      </c>
      <c r="AF205" s="21">
        <v>8.5956</v>
      </c>
      <c r="AG205" s="21">
        <v>0.7266</v>
      </c>
      <c r="AH205" s="21">
        <v>1.0742</v>
      </c>
      <c r="AI205" s="21">
        <v>1.369</v>
      </c>
      <c r="AJ205" s="19">
        <v>0.94</v>
      </c>
      <c r="AK205" s="24"/>
      <c r="AL205" s="22">
        <f>IFERROR(__xludf.DUMMYFUNCTION("IFERROR(GOOGLEFINANCE(B205,""price""),"""")"),174.93)</f>
        <v>174.93</v>
      </c>
    </row>
    <row r="206">
      <c r="A206" s="7">
        <v>46063.876031227395</v>
      </c>
      <c r="B206" s="8" t="s">
        <v>1709</v>
      </c>
      <c r="C206" s="8" t="s">
        <v>1710</v>
      </c>
      <c r="D206" s="9">
        <v>46068.0</v>
      </c>
      <c r="E206" s="8" t="s">
        <v>1711</v>
      </c>
      <c r="F206" s="10">
        <v>948.99</v>
      </c>
      <c r="G206" s="11">
        <v>0.5691</v>
      </c>
      <c r="H206" s="8" t="s">
        <v>93</v>
      </c>
      <c r="I206" s="12">
        <v>3324939.0</v>
      </c>
      <c r="J206" s="11">
        <v>21.4275</v>
      </c>
      <c r="K206" s="13">
        <v>28.5655</v>
      </c>
      <c r="L206" s="13">
        <v>46.6643</v>
      </c>
      <c r="M206" s="8">
        <v>2492484.0</v>
      </c>
      <c r="N206" s="13">
        <v>1.4081</v>
      </c>
      <c r="O206" s="12">
        <v>2.84629143193E11</v>
      </c>
      <c r="P206" s="13">
        <v>67.6356</v>
      </c>
      <c r="Q206" s="13">
        <v>47.9048</v>
      </c>
      <c r="R206" s="11">
        <v>56.0521</v>
      </c>
      <c r="S206" s="13">
        <v>933.5878</v>
      </c>
      <c r="T206" s="13">
        <v>930.7184</v>
      </c>
      <c r="U206" s="13">
        <v>920.3306</v>
      </c>
      <c r="V206" s="13">
        <v>904.1603</v>
      </c>
      <c r="W206" s="13">
        <v>899.0346</v>
      </c>
      <c r="X206" s="13">
        <v>865.9773</v>
      </c>
      <c r="Y206" s="13">
        <v>781.236</v>
      </c>
      <c r="Z206" s="13">
        <v>761.3927</v>
      </c>
      <c r="AA206" s="13">
        <v>984.7</v>
      </c>
      <c r="AB206" s="13">
        <v>18.4994</v>
      </c>
      <c r="AC206" s="13">
        <v>51.2983</v>
      </c>
      <c r="AD206" s="13">
        <v>13.9079</v>
      </c>
      <c r="AE206" s="13">
        <v>15.0659</v>
      </c>
      <c r="AF206" s="13">
        <v>-3.8532</v>
      </c>
      <c r="AG206" s="13">
        <v>5.288</v>
      </c>
      <c r="AH206" s="13">
        <v>1.5414</v>
      </c>
      <c r="AI206" s="13">
        <v>1.397</v>
      </c>
      <c r="AJ206" s="11">
        <v>1.22</v>
      </c>
      <c r="AK206" s="8" t="s">
        <v>1712</v>
      </c>
      <c r="AL206" s="14">
        <f>IFERROR(__xludf.DUMMYFUNCTION("IFERROR(GOOGLEFINANCE(B206,""price""),"""")"),907.8)</f>
        <v>907.8</v>
      </c>
    </row>
    <row r="207">
      <c r="A207" s="15">
        <v>46063.876031227395</v>
      </c>
      <c r="B207" s="16" t="s">
        <v>1681</v>
      </c>
      <c r="C207" s="16" t="s">
        <v>1682</v>
      </c>
      <c r="D207" s="17">
        <v>46068.0</v>
      </c>
      <c r="E207" s="16" t="s">
        <v>1683</v>
      </c>
      <c r="F207" s="18">
        <v>5.89</v>
      </c>
      <c r="G207" s="19">
        <v>-4.0717</v>
      </c>
      <c r="H207" s="16" t="s">
        <v>107</v>
      </c>
      <c r="I207" s="20">
        <v>737214.0</v>
      </c>
      <c r="J207" s="19">
        <v>24.0644</v>
      </c>
      <c r="K207" s="21">
        <v>0.3229</v>
      </c>
      <c r="L207" s="21">
        <v>0.6395</v>
      </c>
      <c r="M207" s="21">
        <v>518798.0</v>
      </c>
      <c r="N207" s="21">
        <v>1.525</v>
      </c>
      <c r="O207" s="20">
        <v>4.96973862E8</v>
      </c>
      <c r="P207" s="21">
        <v>88.2086</v>
      </c>
      <c r="Q207" s="21">
        <v>66.8845</v>
      </c>
      <c r="R207" s="19">
        <v>58.2544</v>
      </c>
      <c r="S207" s="21">
        <v>5.5551</v>
      </c>
      <c r="T207" s="21">
        <v>5.4785</v>
      </c>
      <c r="U207" s="21">
        <v>5.4645</v>
      </c>
      <c r="V207" s="21">
        <v>5.4243</v>
      </c>
      <c r="W207" s="21">
        <v>5.4086</v>
      </c>
      <c r="X207" s="21">
        <v>5.2941</v>
      </c>
      <c r="Y207" s="21">
        <v>5.1729</v>
      </c>
      <c r="Z207" s="21">
        <v>4.643</v>
      </c>
      <c r="AA207" s="21">
        <v>7.855</v>
      </c>
      <c r="AB207" s="21">
        <v>0.0</v>
      </c>
      <c r="AC207" s="21">
        <v>-0.4386</v>
      </c>
      <c r="AD207" s="21">
        <v>-6.6782</v>
      </c>
      <c r="AE207" s="21">
        <v>-5.6686</v>
      </c>
      <c r="AF207" s="21">
        <v>9.5399</v>
      </c>
      <c r="AG207" s="21">
        <v>0.8035</v>
      </c>
      <c r="AH207" s="21">
        <v>1.876</v>
      </c>
      <c r="AI207" s="21">
        <v>1.538</v>
      </c>
      <c r="AJ207" s="19">
        <v>1.01</v>
      </c>
      <c r="AK207" s="24"/>
      <c r="AL207" s="22">
        <f>IFERROR(__xludf.DUMMYFUNCTION("IFERROR(GOOGLEFINANCE(B207,""price""),"""")"),3.79)</f>
        <v>3.79</v>
      </c>
    </row>
    <row r="208">
      <c r="A208" s="7">
        <v>46063.876031227395</v>
      </c>
      <c r="B208" s="8" t="s">
        <v>1598</v>
      </c>
      <c r="C208" s="8" t="s">
        <v>1599</v>
      </c>
      <c r="D208" s="9">
        <v>46068.0</v>
      </c>
      <c r="E208" s="8" t="s">
        <v>1600</v>
      </c>
      <c r="F208" s="10">
        <v>55.39</v>
      </c>
      <c r="G208" s="11">
        <v>-1.8082</v>
      </c>
      <c r="H208" s="8" t="s">
        <v>93</v>
      </c>
      <c r="I208" s="12">
        <v>4.8304748E7</v>
      </c>
      <c r="J208" s="11">
        <v>21.8408</v>
      </c>
      <c r="K208" s="13">
        <v>1.2079</v>
      </c>
      <c r="L208" s="13">
        <v>2.4237</v>
      </c>
      <c r="M208" s="8">
        <v>3.9083598E7</v>
      </c>
      <c r="N208" s="13">
        <v>1.309</v>
      </c>
      <c r="O208" s="12">
        <v>3.99498399568E11</v>
      </c>
      <c r="P208" s="13">
        <v>86.3309</v>
      </c>
      <c r="Q208" s="13">
        <v>86.4471</v>
      </c>
      <c r="R208" s="11">
        <v>56.7745</v>
      </c>
      <c r="S208" s="13">
        <v>55.077</v>
      </c>
      <c r="T208" s="13">
        <v>54.3557</v>
      </c>
      <c r="U208" s="13">
        <v>54.2002</v>
      </c>
      <c r="V208" s="13">
        <v>53.9702</v>
      </c>
      <c r="W208" s="13">
        <v>53.8784</v>
      </c>
      <c r="X208" s="13">
        <v>53.0924</v>
      </c>
      <c r="Y208" s="13">
        <v>50.3472</v>
      </c>
      <c r="Z208" s="13">
        <v>49.6975</v>
      </c>
      <c r="AA208" s="13">
        <v>57.55</v>
      </c>
      <c r="AB208" s="13">
        <v>14.4508</v>
      </c>
      <c r="AC208" s="13">
        <v>3.833</v>
      </c>
      <c r="AD208" s="13">
        <v>10.2298</v>
      </c>
      <c r="AE208" s="13">
        <v>18.0672</v>
      </c>
      <c r="AF208" s="13">
        <v>-2.1208</v>
      </c>
      <c r="AG208" s="13">
        <v>2.3434</v>
      </c>
      <c r="AH208" s="13">
        <v>0.9906</v>
      </c>
      <c r="AI208" s="13">
        <v>1.5829</v>
      </c>
      <c r="AJ208" s="11">
        <v>1.0</v>
      </c>
      <c r="AK208" s="23"/>
      <c r="AL208" s="14">
        <f>IFERROR(__xludf.DUMMYFUNCTION("IFERROR(GOOGLEFINANCE(B208,""price""),"""")"),52.54)</f>
        <v>52.54</v>
      </c>
    </row>
    <row r="209">
      <c r="A209" s="15">
        <v>46063.876031227395</v>
      </c>
      <c r="B209" s="16" t="s">
        <v>1713</v>
      </c>
      <c r="C209" s="16" t="s">
        <v>1714</v>
      </c>
      <c r="D209" s="17">
        <v>46068.0</v>
      </c>
      <c r="E209" s="16" t="s">
        <v>1715</v>
      </c>
      <c r="F209" s="18">
        <v>105.78</v>
      </c>
      <c r="G209" s="19">
        <v>1.4579</v>
      </c>
      <c r="H209" s="16" t="s">
        <v>917</v>
      </c>
      <c r="I209" s="20">
        <v>2574250.0</v>
      </c>
      <c r="J209" s="19">
        <v>20.0735</v>
      </c>
      <c r="K209" s="21">
        <v>1.659</v>
      </c>
      <c r="L209" s="21">
        <v>3.3</v>
      </c>
      <c r="M209" s="16">
        <v>1904517.0</v>
      </c>
      <c r="N209" s="21">
        <v>1.4527</v>
      </c>
      <c r="O209" s="20">
        <v>2.8612951485E10</v>
      </c>
      <c r="P209" s="21">
        <v>73.0596</v>
      </c>
      <c r="Q209" s="21">
        <v>74.2346</v>
      </c>
      <c r="R209" s="19">
        <v>63.7963</v>
      </c>
      <c r="S209" s="21">
        <v>104.5336</v>
      </c>
      <c r="T209" s="21">
        <v>103.4535</v>
      </c>
      <c r="U209" s="21">
        <v>102.8412</v>
      </c>
      <c r="V209" s="21">
        <v>102.4885</v>
      </c>
      <c r="W209" s="21">
        <v>102.4162</v>
      </c>
      <c r="X209" s="21">
        <v>102.004</v>
      </c>
      <c r="Y209" s="21">
        <v>99.9556</v>
      </c>
      <c r="Z209" s="21">
        <v>100.382</v>
      </c>
      <c r="AA209" s="21">
        <v>106.73</v>
      </c>
      <c r="AB209" s="21">
        <v>20.3486</v>
      </c>
      <c r="AC209" s="21">
        <v>5.1984</v>
      </c>
      <c r="AD209" s="21">
        <v>11.4655</v>
      </c>
      <c r="AE209" s="21">
        <v>20.8082</v>
      </c>
      <c r="AF209" s="21">
        <v>22.7123</v>
      </c>
      <c r="AG209" s="21">
        <v>1.5731</v>
      </c>
      <c r="AH209" s="21">
        <v>0.9305</v>
      </c>
      <c r="AI209" s="21">
        <v>1.5999</v>
      </c>
      <c r="AJ209" s="19">
        <v>1.01</v>
      </c>
      <c r="AK209" s="24"/>
      <c r="AL209" s="22">
        <f>IFERROR(__xludf.DUMMYFUNCTION("IFERROR(GOOGLEFINANCE(B209,""price""),"""")"),113.45)</f>
        <v>113.45</v>
      </c>
    </row>
    <row r="210">
      <c r="A210" s="7">
        <v>46063.876031227395</v>
      </c>
      <c r="B210" s="8" t="s">
        <v>1689</v>
      </c>
      <c r="C210" s="8" t="s">
        <v>1690</v>
      </c>
      <c r="D210" s="9">
        <v>46068.0</v>
      </c>
      <c r="E210" s="8" t="s">
        <v>1691</v>
      </c>
      <c r="F210" s="10">
        <v>24.43</v>
      </c>
      <c r="G210" s="11">
        <v>-0.0818</v>
      </c>
      <c r="H210" s="8" t="s">
        <v>286</v>
      </c>
      <c r="I210" s="12">
        <v>2.8964345E7</v>
      </c>
      <c r="J210" s="11">
        <v>42.8046</v>
      </c>
      <c r="K210" s="13">
        <v>0.2195</v>
      </c>
      <c r="L210" s="13">
        <v>1.1204</v>
      </c>
      <c r="M210" s="8">
        <v>3861018.0</v>
      </c>
      <c r="N210" s="13">
        <v>28.8121</v>
      </c>
      <c r="O210" s="12">
        <v>1.233368361E9</v>
      </c>
      <c r="P210" s="13">
        <v>42.3477</v>
      </c>
      <c r="Q210" s="13">
        <v>61.4784</v>
      </c>
      <c r="R210" s="11">
        <v>56.6531</v>
      </c>
      <c r="S210" s="13">
        <v>24.5472</v>
      </c>
      <c r="T210" s="13">
        <v>24.3965</v>
      </c>
      <c r="U210" s="13">
        <v>24.1431</v>
      </c>
      <c r="V210" s="13">
        <v>23.7585</v>
      </c>
      <c r="W210" s="13">
        <v>23.6365</v>
      </c>
      <c r="X210" s="13">
        <v>22.9919</v>
      </c>
      <c r="Y210" s="13">
        <v>23.4637</v>
      </c>
      <c r="Z210" s="13">
        <v>21.2715</v>
      </c>
      <c r="AA210" s="13">
        <v>40.77</v>
      </c>
      <c r="AB210" s="13">
        <v>0.0</v>
      </c>
      <c r="AC210" s="13">
        <v>-4.8065</v>
      </c>
      <c r="AD210" s="13">
        <v>-17.1788</v>
      </c>
      <c r="AE210" s="13">
        <v>6.3369</v>
      </c>
      <c r="AF210" s="13">
        <v>-0.6877</v>
      </c>
      <c r="AG210" s="13">
        <v>1.2934</v>
      </c>
      <c r="AH210" s="13">
        <v>1.2935</v>
      </c>
      <c r="AI210" s="13">
        <v>1.6539</v>
      </c>
      <c r="AJ210" s="11">
        <v>0.39</v>
      </c>
      <c r="AK210" s="8" t="s">
        <v>1716</v>
      </c>
      <c r="AL210" s="14">
        <f>IFERROR(__xludf.DUMMYFUNCTION("IFERROR(GOOGLEFINANCE(B210,""price""),"""")"),115.0)</f>
        <v>115</v>
      </c>
    </row>
    <row r="211">
      <c r="A211" s="15">
        <v>46063.876031227395</v>
      </c>
      <c r="B211" s="16" t="s">
        <v>1697</v>
      </c>
      <c r="C211" s="16" t="s">
        <v>1698</v>
      </c>
      <c r="D211" s="17">
        <v>46068.0</v>
      </c>
      <c r="E211" s="16" t="s">
        <v>1699</v>
      </c>
      <c r="F211" s="18">
        <v>5.51</v>
      </c>
      <c r="G211" s="19">
        <v>0.1818</v>
      </c>
      <c r="H211" s="16" t="s">
        <v>93</v>
      </c>
      <c r="I211" s="20">
        <v>685903.0</v>
      </c>
      <c r="J211" s="19">
        <v>24.2026</v>
      </c>
      <c r="K211" s="21">
        <v>0.2998</v>
      </c>
      <c r="L211" s="21">
        <v>0.634</v>
      </c>
      <c r="M211" s="21">
        <v>454565.4</v>
      </c>
      <c r="N211" s="21">
        <v>1.6192</v>
      </c>
      <c r="O211" s="20">
        <v>2.43150904E8</v>
      </c>
      <c r="P211" s="21">
        <v>44.9658</v>
      </c>
      <c r="Q211" s="21">
        <v>46.9599</v>
      </c>
      <c r="R211" s="19">
        <v>52.3124</v>
      </c>
      <c r="S211" s="21">
        <v>5.4935</v>
      </c>
      <c r="T211" s="21">
        <v>5.4355</v>
      </c>
      <c r="U211" s="21">
        <v>5.3975</v>
      </c>
      <c r="V211" s="21">
        <v>5.3889</v>
      </c>
      <c r="W211" s="21">
        <v>5.3932</v>
      </c>
      <c r="X211" s="21">
        <v>5.4587</v>
      </c>
      <c r="Y211" s="21">
        <v>5.5005</v>
      </c>
      <c r="Z211" s="21">
        <v>5.936</v>
      </c>
      <c r="AA211" s="21">
        <v>9.245</v>
      </c>
      <c r="AB211" s="21">
        <v>8.3662</v>
      </c>
      <c r="AC211" s="21">
        <v>0.6586</v>
      </c>
      <c r="AD211" s="21">
        <v>8.5863</v>
      </c>
      <c r="AE211" s="21">
        <v>4.3243</v>
      </c>
      <c r="AF211" s="21">
        <v>-5.2876</v>
      </c>
      <c r="AG211" s="21">
        <v>7.148</v>
      </c>
      <c r="AH211" s="21">
        <v>4.3014</v>
      </c>
      <c r="AI211" s="21">
        <v>1.743</v>
      </c>
      <c r="AJ211" s="19">
        <v>0.95</v>
      </c>
      <c r="AK211" s="24"/>
      <c r="AL211" s="22">
        <f>IFERROR(__xludf.DUMMYFUNCTION("IFERROR(GOOGLEFINANCE(B211,""price""),"""")"),4.91)</f>
        <v>4.91</v>
      </c>
    </row>
    <row r="212">
      <c r="A212" s="7">
        <v>46063.876031227395</v>
      </c>
      <c r="B212" s="8" t="s">
        <v>1626</v>
      </c>
      <c r="C212" s="8" t="s">
        <v>1627</v>
      </c>
      <c r="D212" s="9">
        <v>46068.0</v>
      </c>
      <c r="E212" s="8" t="s">
        <v>1628</v>
      </c>
      <c r="F212" s="10">
        <v>44.73</v>
      </c>
      <c r="G212" s="11">
        <v>0.6299</v>
      </c>
      <c r="H212" s="8" t="s">
        <v>917</v>
      </c>
      <c r="I212" s="12">
        <v>6151148.0</v>
      </c>
      <c r="J212" s="11">
        <v>25.7938</v>
      </c>
      <c r="K212" s="13">
        <v>0.7526</v>
      </c>
      <c r="L212" s="13">
        <v>1.579</v>
      </c>
      <c r="M212" s="8">
        <v>5104655.0</v>
      </c>
      <c r="N212" s="13">
        <v>1.2715</v>
      </c>
      <c r="O212" s="12">
        <v>2.134495625E10</v>
      </c>
      <c r="P212" s="13">
        <v>73.7046</v>
      </c>
      <c r="Q212" s="13">
        <v>63.1303</v>
      </c>
      <c r="R212" s="11">
        <v>65.964</v>
      </c>
      <c r="S212" s="13">
        <v>44.2564</v>
      </c>
      <c r="T212" s="13">
        <v>43.7653</v>
      </c>
      <c r="U212" s="13">
        <v>43.4055</v>
      </c>
      <c r="V212" s="13">
        <v>43.1462</v>
      </c>
      <c r="W212" s="13">
        <v>43.0856</v>
      </c>
      <c r="X212" s="13">
        <v>42.7409</v>
      </c>
      <c r="Y212" s="13">
        <v>41.4334</v>
      </c>
      <c r="Z212" s="13">
        <v>41.6306</v>
      </c>
      <c r="AA212" s="13">
        <v>44.995</v>
      </c>
      <c r="AB212" s="13">
        <v>23.6254</v>
      </c>
      <c r="AC212" s="13">
        <v>1.8933</v>
      </c>
      <c r="AD212" s="13">
        <v>10.2329</v>
      </c>
      <c r="AE212" s="13">
        <v>27.5403</v>
      </c>
      <c r="AF212" s="13">
        <v>19.6207</v>
      </c>
      <c r="AG212" s="13">
        <v>1.7288</v>
      </c>
      <c r="AH212" s="13">
        <v>0.5231</v>
      </c>
      <c r="AI212" s="13">
        <v>1.9023</v>
      </c>
      <c r="AJ212" s="11">
        <v>0.95</v>
      </c>
      <c r="AK212" s="23"/>
      <c r="AL212" s="14">
        <f>IFERROR(__xludf.DUMMYFUNCTION("IFERROR(GOOGLEFINANCE(B212,""price""),"""")"),48.05)</f>
        <v>48.05</v>
      </c>
    </row>
    <row r="213">
      <c r="A213" s="15">
        <v>46063.876031227395</v>
      </c>
      <c r="B213" s="16" t="s">
        <v>1717</v>
      </c>
      <c r="C213" s="16" t="s">
        <v>1718</v>
      </c>
      <c r="D213" s="17">
        <v>46068.0</v>
      </c>
      <c r="E213" s="16" t="s">
        <v>1719</v>
      </c>
      <c r="F213" s="18">
        <v>20.89</v>
      </c>
      <c r="G213" s="19">
        <v>0.7232</v>
      </c>
      <c r="H213" s="16" t="s">
        <v>149</v>
      </c>
      <c r="I213" s="20">
        <v>2490836.0</v>
      </c>
      <c r="J213" s="19">
        <v>22.5332</v>
      </c>
      <c r="K213" s="21">
        <v>0.3315</v>
      </c>
      <c r="L213" s="21">
        <v>0.7311</v>
      </c>
      <c r="M213" s="16">
        <v>2131922.0</v>
      </c>
      <c r="N213" s="21">
        <v>1.2726</v>
      </c>
      <c r="O213" s="20">
        <v>3.364476054E9</v>
      </c>
      <c r="P213" s="21">
        <v>86.1896</v>
      </c>
      <c r="Q213" s="21">
        <v>69.0803</v>
      </c>
      <c r="R213" s="19">
        <v>78.9214</v>
      </c>
      <c r="S213" s="21">
        <v>19.717</v>
      </c>
      <c r="T213" s="21">
        <v>19.34</v>
      </c>
      <c r="U213" s="21">
        <v>19.3078</v>
      </c>
      <c r="V213" s="21">
        <v>19.3441</v>
      </c>
      <c r="W213" s="21">
        <v>19.3556</v>
      </c>
      <c r="X213" s="21">
        <v>19.361</v>
      </c>
      <c r="Y213" s="21">
        <v>18.9054</v>
      </c>
      <c r="Z213" s="21">
        <v>18.7737</v>
      </c>
      <c r="AA213" s="21">
        <v>21.35</v>
      </c>
      <c r="AB213" s="21">
        <v>9.8635</v>
      </c>
      <c r="AC213" s="21">
        <v>2.1179</v>
      </c>
      <c r="AD213" s="21">
        <v>11.5029</v>
      </c>
      <c r="AE213" s="21">
        <v>21.4586</v>
      </c>
      <c r="AF213" s="21">
        <v>-2.735</v>
      </c>
      <c r="AG213" s="21">
        <v>0.8312</v>
      </c>
      <c r="AH213" s="21">
        <v>2.2185</v>
      </c>
      <c r="AI213" s="21">
        <v>1.9592</v>
      </c>
      <c r="AJ213" s="19">
        <v>0.91</v>
      </c>
      <c r="AK213" s="24"/>
      <c r="AL213" s="22">
        <f>IFERROR(__xludf.DUMMYFUNCTION("IFERROR(GOOGLEFINANCE(B213,""price""),"""")"),0.74)</f>
        <v>0.74</v>
      </c>
    </row>
    <row r="214">
      <c r="A214" s="7">
        <v>46064.62824132309</v>
      </c>
      <c r="B214" s="8" t="s">
        <v>1386</v>
      </c>
      <c r="C214" s="8" t="s">
        <v>1387</v>
      </c>
      <c r="D214" s="9">
        <v>46068.0</v>
      </c>
      <c r="E214" s="8" t="s">
        <v>1388</v>
      </c>
      <c r="F214" s="10">
        <v>207.065</v>
      </c>
      <c r="G214" s="11">
        <v>0.0314</v>
      </c>
      <c r="H214" s="8" t="s">
        <v>102</v>
      </c>
      <c r="I214" s="12">
        <v>1455415.0</v>
      </c>
      <c r="J214" s="11">
        <v>43.6369</v>
      </c>
      <c r="K214" s="13">
        <v>0.495</v>
      </c>
      <c r="L214" s="13">
        <v>3.1762</v>
      </c>
      <c r="M214" s="8">
        <v>1170894.0</v>
      </c>
      <c r="N214" s="13">
        <v>1.3273</v>
      </c>
      <c r="O214" s="12">
        <v>9.89592248E9</v>
      </c>
      <c r="P214" s="13">
        <v>28.653</v>
      </c>
      <c r="Q214" s="13">
        <v>35.1218</v>
      </c>
      <c r="R214" s="11">
        <v>53.1397</v>
      </c>
      <c r="S214" s="13">
        <v>207.233</v>
      </c>
      <c r="T214" s="13">
        <v>207.0962</v>
      </c>
      <c r="U214" s="13">
        <v>206.6915</v>
      </c>
      <c r="V214" s="13">
        <v>205.9306</v>
      </c>
      <c r="W214" s="13">
        <v>205.63</v>
      </c>
      <c r="X214" s="13">
        <v>202.8948</v>
      </c>
      <c r="Y214" s="13">
        <v>192.2711</v>
      </c>
      <c r="Z214" s="13">
        <v>188.7256</v>
      </c>
      <c r="AA214" s="13">
        <v>208.24</v>
      </c>
      <c r="AB214" s="13">
        <v>249.7768</v>
      </c>
      <c r="AC214" s="13">
        <v>0.829</v>
      </c>
      <c r="AD214" s="13">
        <v>2.2484</v>
      </c>
      <c r="AE214" s="13">
        <v>16.3754</v>
      </c>
      <c r="AF214" s="13">
        <v>5.4738</v>
      </c>
      <c r="AG214" s="13">
        <v>1.1744</v>
      </c>
      <c r="AH214" s="13">
        <v>1.4021</v>
      </c>
      <c r="AI214" s="13">
        <v>0.2615</v>
      </c>
      <c r="AJ214" s="11">
        <v>0.31</v>
      </c>
      <c r="AK214" s="8" t="s">
        <v>1720</v>
      </c>
      <c r="AL214" s="14">
        <f>IFERROR(__xludf.DUMMYFUNCTION("IFERROR(GOOGLEFINANCE(B214,""price""),"""")"),207.79)</f>
        <v>207.79</v>
      </c>
    </row>
    <row r="215">
      <c r="A215" s="15">
        <v>46064.62824132309</v>
      </c>
      <c r="B215" s="16" t="s">
        <v>1334</v>
      </c>
      <c r="C215" s="16" t="s">
        <v>1335</v>
      </c>
      <c r="D215" s="17">
        <v>46068.0</v>
      </c>
      <c r="E215" s="16" t="s">
        <v>1336</v>
      </c>
      <c r="F215" s="18">
        <v>10.69</v>
      </c>
      <c r="G215" s="19">
        <v>0.0</v>
      </c>
      <c r="H215" s="16" t="s">
        <v>93</v>
      </c>
      <c r="I215" s="20">
        <v>1309390.0</v>
      </c>
      <c r="J215" s="19">
        <v>34.7231</v>
      </c>
      <c r="K215" s="21">
        <v>0.0133</v>
      </c>
      <c r="L215" s="21">
        <v>0.0528</v>
      </c>
      <c r="M215" s="21">
        <v>436216.1</v>
      </c>
      <c r="N215" s="21">
        <v>3.6384</v>
      </c>
      <c r="O215" s="20">
        <v>3.38071229E8</v>
      </c>
      <c r="P215" s="21">
        <v>95.8333</v>
      </c>
      <c r="Q215" s="21">
        <v>98.6111</v>
      </c>
      <c r="R215" s="19">
        <v>75.0125</v>
      </c>
      <c r="S215" s="21">
        <v>10.6783</v>
      </c>
      <c r="T215" s="21">
        <v>10.6594</v>
      </c>
      <c r="U215" s="21">
        <v>10.6408</v>
      </c>
      <c r="V215" s="21">
        <v>10.6192</v>
      </c>
      <c r="W215" s="21">
        <v>10.6128</v>
      </c>
      <c r="X215" s="21">
        <v>10.5722</v>
      </c>
      <c r="Y215" s="21">
        <v>10.4419</v>
      </c>
      <c r="Z215" s="21">
        <v>10.4566</v>
      </c>
      <c r="AA215" s="21">
        <v>10.99</v>
      </c>
      <c r="AB215" s="21">
        <v>33.1267</v>
      </c>
      <c r="AC215" s="21">
        <v>0.3227</v>
      </c>
      <c r="AD215" s="21">
        <v>4.084</v>
      </c>
      <c r="AE215" s="21">
        <v>0.0</v>
      </c>
      <c r="AF215" s="21">
        <v>0.0</v>
      </c>
      <c r="AG215" s="21">
        <v>0.0</v>
      </c>
      <c r="AH215" s="21">
        <v>0.5371</v>
      </c>
      <c r="AI215" s="21">
        <v>0.3513</v>
      </c>
      <c r="AJ215" s="19">
        <v>0.5</v>
      </c>
      <c r="AK215" s="16" t="s">
        <v>1700</v>
      </c>
      <c r="AL215" s="22">
        <f>IFERROR(__xludf.DUMMYFUNCTION("IFERROR(GOOGLEFINANCE(B215,""price""),"""")"),12.12)</f>
        <v>12.12</v>
      </c>
    </row>
    <row r="216">
      <c r="A216" s="7">
        <v>46064.62824132309</v>
      </c>
      <c r="B216" s="8" t="s">
        <v>1542</v>
      </c>
      <c r="C216" s="8" t="s">
        <v>1543</v>
      </c>
      <c r="D216" s="9">
        <v>46068.0</v>
      </c>
      <c r="E216" s="8" t="s">
        <v>1544</v>
      </c>
      <c r="F216" s="10">
        <v>21.755</v>
      </c>
      <c r="G216" s="11">
        <v>0.5779</v>
      </c>
      <c r="H216" s="8" t="s">
        <v>117</v>
      </c>
      <c r="I216" s="12">
        <v>5326235.0</v>
      </c>
      <c r="J216" s="11">
        <v>45.5585</v>
      </c>
      <c r="K216" s="13">
        <v>0.093</v>
      </c>
      <c r="L216" s="13">
        <v>0.7763</v>
      </c>
      <c r="M216" s="8">
        <v>1799497.0</v>
      </c>
      <c r="N216" s="13">
        <v>3.9724</v>
      </c>
      <c r="O216" s="12">
        <v>2.128021562E9</v>
      </c>
      <c r="P216" s="13">
        <v>74.6032</v>
      </c>
      <c r="Q216" s="13">
        <v>73.1707</v>
      </c>
      <c r="R216" s="11">
        <v>68.6113</v>
      </c>
      <c r="S216" s="13">
        <v>21.6393</v>
      </c>
      <c r="T216" s="13">
        <v>21.5764</v>
      </c>
      <c r="U216" s="13">
        <v>21.4608</v>
      </c>
      <c r="V216" s="13">
        <v>21.1452</v>
      </c>
      <c r="W216" s="13">
        <v>21.0142</v>
      </c>
      <c r="X216" s="13">
        <v>19.937</v>
      </c>
      <c r="Y216" s="13">
        <v>17.0054</v>
      </c>
      <c r="Z216" s="13">
        <v>15.426</v>
      </c>
      <c r="AA216" s="13">
        <v>23.57</v>
      </c>
      <c r="AB216" s="13">
        <v>0.0</v>
      </c>
      <c r="AC216" s="13">
        <v>-0.0055</v>
      </c>
      <c r="AD216" s="13">
        <v>-0.3216</v>
      </c>
      <c r="AE216" s="13">
        <v>1.82</v>
      </c>
      <c r="AF216" s="13">
        <v>79.8762</v>
      </c>
      <c r="AG216" s="13">
        <v>0.3805</v>
      </c>
      <c r="AH216" s="13">
        <v>2.7562</v>
      </c>
      <c r="AI216" s="13">
        <v>0.8204</v>
      </c>
      <c r="AJ216" s="11">
        <v>0.24</v>
      </c>
      <c r="AK216" s="8" t="s">
        <v>1721</v>
      </c>
      <c r="AL216" s="14" t="str">
        <f>IFERROR(__xludf.DUMMYFUNCTION("IFERROR(GOOGLEFINANCE(B216,""price""),"""")"),"")</f>
        <v/>
      </c>
    </row>
    <row r="217">
      <c r="A217" s="15">
        <v>46064.62824132309</v>
      </c>
      <c r="B217" s="16" t="s">
        <v>1722</v>
      </c>
      <c r="C217" s="16" t="s">
        <v>1723</v>
      </c>
      <c r="D217" s="17">
        <v>46068.0</v>
      </c>
      <c r="E217" s="16" t="s">
        <v>1724</v>
      </c>
      <c r="F217" s="18">
        <v>307.85</v>
      </c>
      <c r="G217" s="19">
        <v>1.3331</v>
      </c>
      <c r="H217" s="16" t="s">
        <v>93</v>
      </c>
      <c r="I217" s="20">
        <v>686470.0</v>
      </c>
      <c r="J217" s="19">
        <v>29.4451</v>
      </c>
      <c r="K217" s="21">
        <v>10.2781</v>
      </c>
      <c r="L217" s="21">
        <v>16.2645</v>
      </c>
      <c r="M217" s="21">
        <v>426681.4</v>
      </c>
      <c r="N217" s="21">
        <v>1.7775</v>
      </c>
      <c r="O217" s="20">
        <v>8.659484028E9</v>
      </c>
      <c r="P217" s="21">
        <v>32.8826</v>
      </c>
      <c r="Q217" s="21">
        <v>27.891</v>
      </c>
      <c r="R217" s="19">
        <v>51.1664</v>
      </c>
      <c r="S217" s="21">
        <v>307.4286</v>
      </c>
      <c r="T217" s="21">
        <v>308.2819</v>
      </c>
      <c r="U217" s="21">
        <v>303.9289</v>
      </c>
      <c r="V217" s="21">
        <v>296.9202</v>
      </c>
      <c r="W217" s="21">
        <v>294.6947</v>
      </c>
      <c r="X217" s="21">
        <v>280.5352</v>
      </c>
      <c r="Y217" s="21">
        <v>248.1553</v>
      </c>
      <c r="Z217" s="21">
        <v>236.4854</v>
      </c>
      <c r="AA217" s="21">
        <v>333.995</v>
      </c>
      <c r="AB217" s="21">
        <v>18.7976</v>
      </c>
      <c r="AC217" s="21">
        <v>16.3771</v>
      </c>
      <c r="AD217" s="21">
        <v>15.9527</v>
      </c>
      <c r="AE217" s="21">
        <v>25.0171</v>
      </c>
      <c r="AF217" s="21">
        <v>1.0819</v>
      </c>
      <c r="AG217" s="21">
        <v>0.7093</v>
      </c>
      <c r="AH217" s="21">
        <v>1.3552</v>
      </c>
      <c r="AI217" s="21">
        <v>1.1368</v>
      </c>
      <c r="AJ217" s="19">
        <v>1.26</v>
      </c>
      <c r="AK217" s="16" t="s">
        <v>1712</v>
      </c>
      <c r="AL217" s="22">
        <f>IFERROR(__xludf.DUMMYFUNCTION("IFERROR(GOOGLEFINANCE(B217,""price""),"""")"),285.36)</f>
        <v>285.36</v>
      </c>
    </row>
    <row r="218">
      <c r="A218" s="7">
        <v>46064.62824132309</v>
      </c>
      <c r="B218" s="8" t="s">
        <v>1702</v>
      </c>
      <c r="C218" s="8" t="s">
        <v>1703</v>
      </c>
      <c r="D218" s="9">
        <v>46068.0</v>
      </c>
      <c r="E218" s="8" t="s">
        <v>1704</v>
      </c>
      <c r="F218" s="10">
        <v>125.585</v>
      </c>
      <c r="G218" s="11">
        <v>5.8538</v>
      </c>
      <c r="H218" s="8" t="s">
        <v>112</v>
      </c>
      <c r="I218" s="12">
        <v>3973404.0</v>
      </c>
      <c r="J218" s="11">
        <v>23.1546</v>
      </c>
      <c r="K218" s="13">
        <v>5.2191</v>
      </c>
      <c r="L218" s="13">
        <v>9.7314</v>
      </c>
      <c r="M218" s="8">
        <v>1600529.0</v>
      </c>
      <c r="N218" s="13">
        <v>2.9508</v>
      </c>
      <c r="O218" s="12">
        <v>1.7725894563E10</v>
      </c>
      <c r="P218" s="13">
        <v>56.5753</v>
      </c>
      <c r="Q218" s="13">
        <v>42.345</v>
      </c>
      <c r="R218" s="11">
        <v>61.6764</v>
      </c>
      <c r="S218" s="13">
        <v>119.8914</v>
      </c>
      <c r="T218" s="13">
        <v>119.437</v>
      </c>
      <c r="U218" s="13">
        <v>117.7701</v>
      </c>
      <c r="V218" s="13">
        <v>115.4019</v>
      </c>
      <c r="W218" s="13">
        <v>114.7442</v>
      </c>
      <c r="X218" s="13">
        <v>111.4143</v>
      </c>
      <c r="Y218" s="13">
        <v>105.619</v>
      </c>
      <c r="Z218" s="13">
        <v>104.9995</v>
      </c>
      <c r="AA218" s="13">
        <v>130.205</v>
      </c>
      <c r="AB218" s="13">
        <v>31.0071</v>
      </c>
      <c r="AC218" s="13">
        <v>4.0502</v>
      </c>
      <c r="AD218" s="13">
        <v>27.3567</v>
      </c>
      <c r="AE218" s="13">
        <v>12.8624</v>
      </c>
      <c r="AF218" s="13">
        <v>18.8709</v>
      </c>
      <c r="AG218" s="13">
        <v>0.3805</v>
      </c>
      <c r="AH218" s="13">
        <v>1.957</v>
      </c>
      <c r="AI218" s="13">
        <v>1.6891</v>
      </c>
      <c r="AJ218" s="11">
        <v>1.07</v>
      </c>
      <c r="AK218" s="8" t="s">
        <v>1725</v>
      </c>
      <c r="AL218" s="14">
        <f>IFERROR(__xludf.DUMMYFUNCTION("IFERROR(GOOGLEFINANCE(B218,""price""),"""")"),115.07)</f>
        <v>115.07</v>
      </c>
    </row>
    <row r="219">
      <c r="A219" s="15">
        <v>46064.62824132309</v>
      </c>
      <c r="B219" s="16" t="s">
        <v>1726</v>
      </c>
      <c r="C219" s="16" t="s">
        <v>1727</v>
      </c>
      <c r="D219" s="17">
        <v>46068.0</v>
      </c>
      <c r="E219" s="16" t="s">
        <v>1728</v>
      </c>
      <c r="F219" s="18">
        <v>95.48</v>
      </c>
      <c r="G219" s="19">
        <v>-2.0417</v>
      </c>
      <c r="H219" s="16" t="s">
        <v>149</v>
      </c>
      <c r="I219" s="20">
        <v>750276.0</v>
      </c>
      <c r="J219" s="19">
        <v>21.8449</v>
      </c>
      <c r="K219" s="21">
        <v>4.1598</v>
      </c>
      <c r="L219" s="21">
        <v>7.2309</v>
      </c>
      <c r="M219" s="21">
        <v>644033.9</v>
      </c>
      <c r="N219" s="21">
        <v>1.2422</v>
      </c>
      <c r="O219" s="20">
        <v>3.371805764E9</v>
      </c>
      <c r="P219" s="21">
        <v>67.407</v>
      </c>
      <c r="Q219" s="21">
        <v>54.2936</v>
      </c>
      <c r="R219" s="19">
        <v>53.1882</v>
      </c>
      <c r="S219" s="21">
        <v>94.6708</v>
      </c>
      <c r="T219" s="21">
        <v>94.344</v>
      </c>
      <c r="U219" s="21">
        <v>92.9937</v>
      </c>
      <c r="V219" s="21">
        <v>90.3486</v>
      </c>
      <c r="W219" s="21">
        <v>89.4176</v>
      </c>
      <c r="X219" s="21">
        <v>82.9691</v>
      </c>
      <c r="Y219" s="21">
        <v>68.128</v>
      </c>
      <c r="Z219" s="21">
        <v>60.78</v>
      </c>
      <c r="AA219" s="21">
        <v>101.891</v>
      </c>
      <c r="AB219" s="21">
        <v>0.0</v>
      </c>
      <c r="AC219" s="21">
        <v>-2.9896</v>
      </c>
      <c r="AD219" s="21">
        <v>-4.46</v>
      </c>
      <c r="AE219" s="21">
        <v>-22.0732</v>
      </c>
      <c r="AF219" s="21">
        <v>24.5372</v>
      </c>
      <c r="AG219" s="21">
        <v>0.4644</v>
      </c>
      <c r="AH219" s="21">
        <v>0.938</v>
      </c>
      <c r="AI219" s="21">
        <v>1.7565</v>
      </c>
      <c r="AJ219" s="19">
        <v>1.15</v>
      </c>
      <c r="AK219" s="24"/>
      <c r="AL219" s="22">
        <f>IFERROR(__xludf.DUMMYFUNCTION("IFERROR(GOOGLEFINANCE(B219,""price""),"""")"),128.4)</f>
        <v>128.4</v>
      </c>
    </row>
    <row r="220">
      <c r="A220" s="7">
        <v>46064.62824132309</v>
      </c>
      <c r="B220" s="8" t="s">
        <v>1729</v>
      </c>
      <c r="C220" s="8" t="s">
        <v>1730</v>
      </c>
      <c r="D220" s="9">
        <v>46068.0</v>
      </c>
      <c r="E220" s="8" t="s">
        <v>1731</v>
      </c>
      <c r="F220" s="10">
        <v>6.13</v>
      </c>
      <c r="G220" s="11">
        <v>4.7863</v>
      </c>
      <c r="H220" s="8" t="s">
        <v>335</v>
      </c>
      <c r="I220" s="12">
        <v>2436607.0</v>
      </c>
      <c r="J220" s="11">
        <v>20.8187</v>
      </c>
      <c r="K220" s="13">
        <v>0.4756</v>
      </c>
      <c r="L220" s="13">
        <v>0.6775</v>
      </c>
      <c r="M220" s="8">
        <v>2067361.0</v>
      </c>
      <c r="N220" s="13">
        <v>1.2397</v>
      </c>
      <c r="O220" s="12">
        <v>6.94296616E8</v>
      </c>
      <c r="P220" s="13">
        <v>30.4314</v>
      </c>
      <c r="Q220" s="13">
        <v>28.4953</v>
      </c>
      <c r="R220" s="11">
        <v>49.8763</v>
      </c>
      <c r="S220" s="13">
        <v>6.1704</v>
      </c>
      <c r="T220" s="13">
        <v>6.1917</v>
      </c>
      <c r="U220" s="13">
        <v>6.0601</v>
      </c>
      <c r="V220" s="13">
        <v>5.8627</v>
      </c>
      <c r="W220" s="13">
        <v>5.8031</v>
      </c>
      <c r="X220" s="13">
        <v>5.4469</v>
      </c>
      <c r="Y220" s="13">
        <v>4.6607</v>
      </c>
      <c r="Z220" s="13">
        <v>4.4723</v>
      </c>
      <c r="AA220" s="13">
        <v>7.25</v>
      </c>
      <c r="AB220" s="13">
        <v>0.0</v>
      </c>
      <c r="AC220" s="13">
        <v>-0.2527</v>
      </c>
      <c r="AD220" s="13">
        <v>-25.5633</v>
      </c>
      <c r="AE220" s="13">
        <v>0.0</v>
      </c>
      <c r="AF220" s="13">
        <v>0.0</v>
      </c>
      <c r="AG220" s="13">
        <v>0.0043</v>
      </c>
      <c r="AH220" s="13">
        <v>11.607</v>
      </c>
      <c r="AI220" s="13">
        <v>1.7987</v>
      </c>
      <c r="AJ220" s="11">
        <v>1.4</v>
      </c>
      <c r="AK220" s="8" t="s">
        <v>1712</v>
      </c>
      <c r="AL220" s="14">
        <f>IFERROR(__xludf.DUMMYFUNCTION("IFERROR(GOOGLEFINANCE(B220,""price""),"""")"),5.42)</f>
        <v>5.42</v>
      </c>
    </row>
    <row r="221">
      <c r="A221" s="7">
        <v>46065.6285781469</v>
      </c>
      <c r="B221" s="8" t="s">
        <v>1338</v>
      </c>
      <c r="C221" s="8" t="s">
        <v>1339</v>
      </c>
      <c r="D221" s="9">
        <v>46068.0</v>
      </c>
      <c r="E221" s="8" t="s">
        <v>1340</v>
      </c>
      <c r="F221" s="10">
        <v>10.57</v>
      </c>
      <c r="G221" s="11">
        <v>0.1896</v>
      </c>
      <c r="H221" s="8" t="s">
        <v>93</v>
      </c>
      <c r="I221" s="12">
        <v>522870.0</v>
      </c>
      <c r="J221" s="11">
        <v>80.4478</v>
      </c>
      <c r="K221" s="13">
        <v>0.0313</v>
      </c>
      <c r="L221" s="13">
        <v>0.0641</v>
      </c>
      <c r="M221" s="13">
        <v>136930.2</v>
      </c>
      <c r="N221" s="13">
        <v>6.0873</v>
      </c>
      <c r="O221" s="12">
        <v>4.71131316E8</v>
      </c>
      <c r="P221" s="13">
        <v>29.1667</v>
      </c>
      <c r="Q221" s="13">
        <v>28.9683</v>
      </c>
      <c r="R221" s="11">
        <v>60.1778</v>
      </c>
      <c r="S221" s="13">
        <v>10.5628</v>
      </c>
      <c r="T221" s="13">
        <v>10.5516</v>
      </c>
      <c r="U221" s="13">
        <v>10.5366</v>
      </c>
      <c r="V221" s="13">
        <v>10.5202</v>
      </c>
      <c r="W221" s="13">
        <v>10.5156</v>
      </c>
      <c r="X221" s="13">
        <v>10.4886</v>
      </c>
      <c r="Y221" s="13">
        <v>10.3841</v>
      </c>
      <c r="Z221" s="13">
        <v>10.4419</v>
      </c>
      <c r="AA221" s="13">
        <v>10.7412</v>
      </c>
      <c r="AB221" s="13">
        <v>68.37</v>
      </c>
      <c r="AC221" s="13">
        <v>0.1546</v>
      </c>
      <c r="AD221" s="13">
        <v>2.0066</v>
      </c>
      <c r="AE221" s="13">
        <v>0.0</v>
      </c>
      <c r="AF221" s="13">
        <v>0.0</v>
      </c>
      <c r="AG221" s="13">
        <v>0.0</v>
      </c>
      <c r="AH221" s="13">
        <v>0.0223</v>
      </c>
      <c r="AI221" s="13">
        <v>0.2485</v>
      </c>
      <c r="AJ221" s="11">
        <v>0.98</v>
      </c>
      <c r="AK221" s="8" t="s">
        <v>1732</v>
      </c>
      <c r="AL221" s="14">
        <f>IFERROR(__xludf.DUMMYFUNCTION("IFERROR(GOOGLEFINANCE(B221,""price""),"""")"),10.34)</f>
        <v>10.34</v>
      </c>
    </row>
    <row r="222">
      <c r="A222" s="15">
        <v>46065.6285781469</v>
      </c>
      <c r="B222" s="16" t="s">
        <v>1470</v>
      </c>
      <c r="C222" s="16" t="s">
        <v>1471</v>
      </c>
      <c r="D222" s="17">
        <v>46068.0</v>
      </c>
      <c r="E222" s="16" t="s">
        <v>1472</v>
      </c>
      <c r="F222" s="18">
        <v>41.95</v>
      </c>
      <c r="G222" s="19">
        <v>0.1911</v>
      </c>
      <c r="H222" s="16" t="s">
        <v>107</v>
      </c>
      <c r="I222" s="20">
        <v>4552163.0</v>
      </c>
      <c r="J222" s="19">
        <v>26.2641</v>
      </c>
      <c r="K222" s="21">
        <v>0.1477</v>
      </c>
      <c r="L222" s="21">
        <v>1.3075</v>
      </c>
      <c r="M222" s="16">
        <v>3390538.0</v>
      </c>
      <c r="N222" s="21">
        <v>1.4403</v>
      </c>
      <c r="O222" s="20">
        <v>6.178023889E9</v>
      </c>
      <c r="P222" s="21">
        <v>61.8974</v>
      </c>
      <c r="Q222" s="21">
        <v>54.0178</v>
      </c>
      <c r="R222" s="19">
        <v>63.0616</v>
      </c>
      <c r="S222" s="21">
        <v>41.8706</v>
      </c>
      <c r="T222" s="21">
        <v>41.7987</v>
      </c>
      <c r="U222" s="21">
        <v>41.6218</v>
      </c>
      <c r="V222" s="21">
        <v>41.1937</v>
      </c>
      <c r="W222" s="21">
        <v>41.0275</v>
      </c>
      <c r="X222" s="21">
        <v>39.7954</v>
      </c>
      <c r="Y222" s="21">
        <v>37.0934</v>
      </c>
      <c r="Z222" s="21">
        <v>35.3413</v>
      </c>
      <c r="AA222" s="21">
        <v>44.27</v>
      </c>
      <c r="AB222" s="21">
        <v>15.5954</v>
      </c>
      <c r="AC222" s="21">
        <v>2.6899</v>
      </c>
      <c r="AD222" s="21">
        <v>40.418</v>
      </c>
      <c r="AE222" s="21">
        <v>16.3253</v>
      </c>
      <c r="AF222" s="21">
        <v>-1.2173</v>
      </c>
      <c r="AG222" s="21">
        <v>3.586</v>
      </c>
      <c r="AH222" s="21">
        <v>1.2883</v>
      </c>
      <c r="AI222" s="21">
        <v>0.5929</v>
      </c>
      <c r="AJ222" s="19">
        <v>0.23</v>
      </c>
      <c r="AK222" s="16" t="s">
        <v>1733</v>
      </c>
      <c r="AL222" s="22">
        <f>IFERROR(__xludf.DUMMYFUNCTION("IFERROR(GOOGLEFINANCE(B222,""price""),"""")"),42.15)</f>
        <v>42.15</v>
      </c>
    </row>
    <row r="223">
      <c r="A223" s="7">
        <v>46065.6285781469</v>
      </c>
      <c r="B223" s="8" t="s">
        <v>1542</v>
      </c>
      <c r="C223" s="8" t="s">
        <v>1543</v>
      </c>
      <c r="D223" s="9">
        <v>46068.0</v>
      </c>
      <c r="E223" s="8" t="s">
        <v>1544</v>
      </c>
      <c r="F223" s="10">
        <v>21.64</v>
      </c>
      <c r="G223" s="11">
        <v>0.0462</v>
      </c>
      <c r="H223" s="8" t="s">
        <v>117</v>
      </c>
      <c r="I223" s="12">
        <v>3.5016325E7</v>
      </c>
      <c r="J223" s="11">
        <v>45.589</v>
      </c>
      <c r="K223" s="13">
        <v>0.0934</v>
      </c>
      <c r="L223" s="13">
        <v>0.7766</v>
      </c>
      <c r="M223" s="8">
        <v>4768506.0</v>
      </c>
      <c r="N223" s="13">
        <v>26.1155</v>
      </c>
      <c r="O223" s="12">
        <v>2.116772562E9</v>
      </c>
      <c r="P223" s="13">
        <v>59.2186</v>
      </c>
      <c r="Q223" s="13">
        <v>68.0425</v>
      </c>
      <c r="R223" s="11">
        <v>61.5802</v>
      </c>
      <c r="S223" s="13">
        <v>21.6137</v>
      </c>
      <c r="T223" s="13">
        <v>21.566</v>
      </c>
      <c r="U223" s="13">
        <v>21.4542</v>
      </c>
      <c r="V223" s="13">
        <v>21.1407</v>
      </c>
      <c r="W223" s="13">
        <v>21.0101</v>
      </c>
      <c r="X223" s="13">
        <v>19.9344</v>
      </c>
      <c r="Y223" s="13">
        <v>17.0042</v>
      </c>
      <c r="Z223" s="13">
        <v>15.4254</v>
      </c>
      <c r="AA223" s="13">
        <v>23.57</v>
      </c>
      <c r="AB223" s="13">
        <v>0.0</v>
      </c>
      <c r="AC223" s="13">
        <v>-0.0055</v>
      </c>
      <c r="AD223" s="13">
        <v>-0.3216</v>
      </c>
      <c r="AE223" s="13">
        <v>1.82</v>
      </c>
      <c r="AF223" s="13">
        <v>79.8762</v>
      </c>
      <c r="AG223" s="13">
        <v>0.3805</v>
      </c>
      <c r="AH223" s="13">
        <v>2.7562</v>
      </c>
      <c r="AI223" s="13">
        <v>0.737</v>
      </c>
      <c r="AJ223" s="11">
        <v>0.24</v>
      </c>
      <c r="AK223" s="8" t="s">
        <v>1734</v>
      </c>
      <c r="AL223" s="14" t="str">
        <f>IFERROR(__xludf.DUMMYFUNCTION("IFERROR(GOOGLEFINANCE(B223,""price""),"""")"),"")</f>
        <v/>
      </c>
    </row>
    <row r="224">
      <c r="A224" s="15">
        <v>46065.6285781469</v>
      </c>
      <c r="B224" s="16" t="s">
        <v>1502</v>
      </c>
      <c r="C224" s="16" t="s">
        <v>1503</v>
      </c>
      <c r="D224" s="17">
        <v>46068.0</v>
      </c>
      <c r="E224" s="16" t="s">
        <v>1504</v>
      </c>
      <c r="F224" s="18">
        <v>79.61</v>
      </c>
      <c r="G224" s="19">
        <v>0.0251</v>
      </c>
      <c r="H224" s="16" t="s">
        <v>88</v>
      </c>
      <c r="I224" s="20">
        <v>701189.0</v>
      </c>
      <c r="J224" s="19">
        <v>44.9002</v>
      </c>
      <c r="K224" s="21">
        <v>0.4077</v>
      </c>
      <c r="L224" s="21">
        <v>1.9109</v>
      </c>
      <c r="M224" s="21">
        <v>467807.7</v>
      </c>
      <c r="N224" s="21">
        <v>1.614</v>
      </c>
      <c r="O224" s="20">
        <v>2.270491254E9</v>
      </c>
      <c r="P224" s="21">
        <v>18.5771</v>
      </c>
      <c r="Q224" s="21">
        <v>22.881</v>
      </c>
      <c r="R224" s="19">
        <v>57.3933</v>
      </c>
      <c r="S224" s="21">
        <v>79.6855</v>
      </c>
      <c r="T224" s="21">
        <v>79.4678</v>
      </c>
      <c r="U224" s="21">
        <v>78.9928</v>
      </c>
      <c r="V224" s="21">
        <v>78.1834</v>
      </c>
      <c r="W224" s="21">
        <v>77.8975</v>
      </c>
      <c r="X224" s="21">
        <v>75.8663</v>
      </c>
      <c r="Y224" s="21">
        <v>70.3683</v>
      </c>
      <c r="Z224" s="21">
        <v>69.2376</v>
      </c>
      <c r="AA224" s="21">
        <v>80.67</v>
      </c>
      <c r="AB224" s="21">
        <v>40.0251</v>
      </c>
      <c r="AC224" s="21">
        <v>1.989</v>
      </c>
      <c r="AD224" s="21">
        <v>19.7366</v>
      </c>
      <c r="AE224" s="21">
        <v>14.5933</v>
      </c>
      <c r="AF224" s="21">
        <v>2.1751</v>
      </c>
      <c r="AG224" s="21">
        <v>1.9931</v>
      </c>
      <c r="AH224" s="21">
        <v>1.4408</v>
      </c>
      <c r="AI224" s="21">
        <v>0.8701</v>
      </c>
      <c r="AJ224" s="19">
        <v>0.43</v>
      </c>
      <c r="AK224" s="16" t="s">
        <v>1735</v>
      </c>
      <c r="AL224" s="22">
        <f>IFERROR(__xludf.DUMMYFUNCTION("IFERROR(GOOGLEFINANCE(B224,""price""),"""")"),80.04)</f>
        <v>80.04</v>
      </c>
    </row>
    <row r="225">
      <c r="A225" s="7">
        <v>46065.6285781469</v>
      </c>
      <c r="B225" s="8" t="s">
        <v>1736</v>
      </c>
      <c r="C225" s="8" t="s">
        <v>1737</v>
      </c>
      <c r="D225" s="9">
        <v>46068.0</v>
      </c>
      <c r="E225" s="8" t="s">
        <v>1738</v>
      </c>
      <c r="F225" s="10">
        <v>12.195</v>
      </c>
      <c r="G225" s="11">
        <v>18.7439</v>
      </c>
      <c r="H225" s="8" t="s">
        <v>308</v>
      </c>
      <c r="I225" s="12">
        <v>6668853.0</v>
      </c>
      <c r="J225" s="11">
        <v>20.8777</v>
      </c>
      <c r="K225" s="13">
        <v>1.4046</v>
      </c>
      <c r="L225" s="13">
        <v>2.003</v>
      </c>
      <c r="M225" s="8">
        <v>3084232.0</v>
      </c>
      <c r="N225" s="13">
        <v>2.5208</v>
      </c>
      <c r="O225" s="12">
        <v>6.49751754E8</v>
      </c>
      <c r="P225" s="13">
        <v>52.5308</v>
      </c>
      <c r="Q225" s="13">
        <v>41.1061</v>
      </c>
      <c r="R225" s="11">
        <v>55.9242</v>
      </c>
      <c r="S225" s="13">
        <v>10.9754</v>
      </c>
      <c r="T225" s="13">
        <v>11.0453</v>
      </c>
      <c r="U225" s="13">
        <v>10.8235</v>
      </c>
      <c r="V225" s="13">
        <v>10.3963</v>
      </c>
      <c r="W225" s="13">
        <v>10.2562</v>
      </c>
      <c r="X225" s="13">
        <v>9.3384</v>
      </c>
      <c r="Y225" s="13">
        <v>7.1629</v>
      </c>
      <c r="Z225" s="13">
        <v>6.2997</v>
      </c>
      <c r="AA225" s="13">
        <v>15.24</v>
      </c>
      <c r="AB225" s="13">
        <v>0.0</v>
      </c>
      <c r="AC225" s="13">
        <v>-0.3838</v>
      </c>
      <c r="AD225" s="13">
        <v>-37.9332</v>
      </c>
      <c r="AE225" s="13">
        <v>-18.1568</v>
      </c>
      <c r="AF225" s="13">
        <v>36.8532</v>
      </c>
      <c r="AG225" s="13">
        <v>0.276</v>
      </c>
      <c r="AH225" s="13">
        <v>1.9801</v>
      </c>
      <c r="AI225" s="13">
        <v>1.2448</v>
      </c>
      <c r="AJ225" s="11">
        <v>1.4</v>
      </c>
      <c r="AK225" s="8" t="s">
        <v>1739</v>
      </c>
      <c r="AL225" s="14">
        <f>IFERROR(__xludf.DUMMYFUNCTION("IFERROR(GOOGLEFINANCE(B225,""price""),"""")"),12.83)</f>
        <v>12.83</v>
      </c>
    </row>
    <row r="226">
      <c r="A226" s="15">
        <v>46065.6285781469</v>
      </c>
      <c r="B226" s="16" t="s">
        <v>1656</v>
      </c>
      <c r="C226" s="16" t="s">
        <v>1657</v>
      </c>
      <c r="D226" s="17">
        <v>46068.0</v>
      </c>
      <c r="E226" s="16" t="s">
        <v>1658</v>
      </c>
      <c r="F226" s="18">
        <v>44.745</v>
      </c>
      <c r="G226" s="19">
        <v>0.0559</v>
      </c>
      <c r="H226" s="16" t="s">
        <v>88</v>
      </c>
      <c r="I226" s="20">
        <v>333009.0</v>
      </c>
      <c r="J226" s="19">
        <v>46.1406</v>
      </c>
      <c r="K226" s="21">
        <v>0.1561</v>
      </c>
      <c r="L226" s="21">
        <v>1.7087</v>
      </c>
      <c r="M226" s="21">
        <v>199835.7</v>
      </c>
      <c r="N226" s="21">
        <v>1.9124</v>
      </c>
      <c r="O226" s="20">
        <v>6.1947693E8</v>
      </c>
      <c r="P226" s="21">
        <v>86.0216</v>
      </c>
      <c r="Q226" s="21">
        <v>74.4534</v>
      </c>
      <c r="R226" s="19">
        <v>65.1229</v>
      </c>
      <c r="S226" s="21">
        <v>44.6876</v>
      </c>
      <c r="T226" s="21">
        <v>44.6152</v>
      </c>
      <c r="U226" s="21">
        <v>44.1299</v>
      </c>
      <c r="V226" s="21">
        <v>42.8159</v>
      </c>
      <c r="W226" s="21">
        <v>42.3096</v>
      </c>
      <c r="X226" s="21">
        <v>38.656</v>
      </c>
      <c r="Y226" s="21">
        <v>30.6204</v>
      </c>
      <c r="Z226" s="21">
        <v>26.5162</v>
      </c>
      <c r="AA226" s="21">
        <v>44.88</v>
      </c>
      <c r="AB226" s="21">
        <v>0.0</v>
      </c>
      <c r="AC226" s="21">
        <v>-4.9273</v>
      </c>
      <c r="AD226" s="21">
        <v>-28.6468</v>
      </c>
      <c r="AE226" s="21">
        <v>-70.4578</v>
      </c>
      <c r="AF226" s="21">
        <v>16.3974</v>
      </c>
      <c r="AG226" s="21">
        <v>0.069</v>
      </c>
      <c r="AH226" s="21">
        <v>2.5494</v>
      </c>
      <c r="AI226" s="21">
        <v>1.2464</v>
      </c>
      <c r="AJ226" s="19">
        <v>0.18</v>
      </c>
      <c r="AK226" s="16" t="s">
        <v>1740</v>
      </c>
      <c r="AL226" s="22" t="str">
        <f>IFERROR(__xludf.DUMMYFUNCTION("IFERROR(GOOGLEFINANCE(B226,""price""),"""")"),"")</f>
        <v/>
      </c>
    </row>
    <row r="227">
      <c r="A227" s="7">
        <v>46065.6285781469</v>
      </c>
      <c r="B227" s="8" t="s">
        <v>1649</v>
      </c>
      <c r="C227" s="8" t="s">
        <v>1650</v>
      </c>
      <c r="D227" s="9">
        <v>46068.0</v>
      </c>
      <c r="E227" s="8" t="s">
        <v>1651</v>
      </c>
      <c r="F227" s="10">
        <v>48.59</v>
      </c>
      <c r="G227" s="11">
        <v>0.7673</v>
      </c>
      <c r="H227" s="8" t="s">
        <v>93</v>
      </c>
      <c r="I227" s="12">
        <v>3815119.0</v>
      </c>
      <c r="J227" s="11">
        <v>41.4617</v>
      </c>
      <c r="K227" s="13">
        <v>0.3207</v>
      </c>
      <c r="L227" s="13">
        <v>1.5833</v>
      </c>
      <c r="M227" s="8">
        <v>1782198.0</v>
      </c>
      <c r="N227" s="13">
        <v>2.4148</v>
      </c>
      <c r="O227" s="12">
        <v>7.486533948E9</v>
      </c>
      <c r="P227" s="13">
        <v>74.5305</v>
      </c>
      <c r="Q227" s="13">
        <v>68.5877</v>
      </c>
      <c r="R227" s="11">
        <v>71.0013</v>
      </c>
      <c r="S227" s="13">
        <v>48.272</v>
      </c>
      <c r="T227" s="13">
        <v>48.0203</v>
      </c>
      <c r="U227" s="13">
        <v>47.6224</v>
      </c>
      <c r="V227" s="13">
        <v>47.0993</v>
      </c>
      <c r="W227" s="13">
        <v>46.9434</v>
      </c>
      <c r="X227" s="13">
        <v>45.9854</v>
      </c>
      <c r="Y227" s="13">
        <v>43.707</v>
      </c>
      <c r="Z227" s="13">
        <v>42.8417</v>
      </c>
      <c r="AA227" s="13">
        <v>49.42</v>
      </c>
      <c r="AB227" s="13">
        <v>9.2524</v>
      </c>
      <c r="AC227" s="13">
        <v>5.2516</v>
      </c>
      <c r="AD227" s="13">
        <v>16.167</v>
      </c>
      <c r="AE227" s="13">
        <v>34.9751</v>
      </c>
      <c r="AF227" s="13">
        <v>27.4161</v>
      </c>
      <c r="AG227" s="13">
        <v>0.075</v>
      </c>
      <c r="AH227" s="13">
        <v>0.0</v>
      </c>
      <c r="AI227" s="13">
        <v>1.337</v>
      </c>
      <c r="AJ227" s="11">
        <v>0.41</v>
      </c>
      <c r="AK227" s="8" t="s">
        <v>1741</v>
      </c>
      <c r="AL227" s="14">
        <f>IFERROR(__xludf.DUMMYFUNCTION("IFERROR(GOOGLEFINANCE(B227,""price""),"""")"),51.62)</f>
        <v>51.62</v>
      </c>
    </row>
    <row r="228">
      <c r="A228" s="15">
        <v>46065.6285781469</v>
      </c>
      <c r="B228" s="16" t="s">
        <v>1742</v>
      </c>
      <c r="C228" s="16" t="s">
        <v>1743</v>
      </c>
      <c r="D228" s="17">
        <v>46068.0</v>
      </c>
      <c r="E228" s="16" t="s">
        <v>1744</v>
      </c>
      <c r="F228" s="18">
        <v>171.17</v>
      </c>
      <c r="G228" s="19">
        <v>1.5063</v>
      </c>
      <c r="H228" s="16" t="s">
        <v>149</v>
      </c>
      <c r="I228" s="20">
        <v>1459990.0</v>
      </c>
      <c r="J228" s="19">
        <v>20.0724</v>
      </c>
      <c r="K228" s="21">
        <v>5.675</v>
      </c>
      <c r="L228" s="21">
        <v>10.6903</v>
      </c>
      <c r="M228" s="16">
        <v>1088612.0</v>
      </c>
      <c r="N228" s="21">
        <v>1.4399</v>
      </c>
      <c r="O228" s="20">
        <v>1.6254768152E10</v>
      </c>
      <c r="P228" s="21">
        <v>80.2831</v>
      </c>
      <c r="Q228" s="21">
        <v>75.1785</v>
      </c>
      <c r="R228" s="19">
        <v>61.3033</v>
      </c>
      <c r="S228" s="21">
        <v>165.136</v>
      </c>
      <c r="T228" s="21">
        <v>163.2239</v>
      </c>
      <c r="U228" s="21">
        <v>162.5671</v>
      </c>
      <c r="V228" s="21">
        <v>161.3063</v>
      </c>
      <c r="W228" s="21">
        <v>160.8504</v>
      </c>
      <c r="X228" s="21">
        <v>157.6737</v>
      </c>
      <c r="Y228" s="21">
        <v>150.9581</v>
      </c>
      <c r="Z228" s="21">
        <v>146.7595</v>
      </c>
      <c r="AA228" s="21">
        <v>180.53</v>
      </c>
      <c r="AB228" s="21">
        <v>0.0</v>
      </c>
      <c r="AC228" s="21">
        <v>-0.9226</v>
      </c>
      <c r="AD228" s="21">
        <v>-2.4509</v>
      </c>
      <c r="AE228" s="21">
        <v>5.2601</v>
      </c>
      <c r="AF228" s="21">
        <v>2.6102</v>
      </c>
      <c r="AG228" s="21">
        <v>1.8083</v>
      </c>
      <c r="AH228" s="21">
        <v>0.6864</v>
      </c>
      <c r="AI228" s="21">
        <v>1.5008</v>
      </c>
      <c r="AJ228" s="19">
        <v>1.06</v>
      </c>
      <c r="AK228" s="24"/>
      <c r="AL228" s="22">
        <f>IFERROR(__xludf.DUMMYFUNCTION("IFERROR(GOOGLEFINANCE(B228,""price""),"""")"),155.25)</f>
        <v>155.25</v>
      </c>
    </row>
    <row r="229">
      <c r="A229" s="7">
        <v>46065.6285781469</v>
      </c>
      <c r="B229" s="8" t="s">
        <v>1722</v>
      </c>
      <c r="C229" s="8" t="s">
        <v>1723</v>
      </c>
      <c r="D229" s="9">
        <v>46068.0</v>
      </c>
      <c r="E229" s="8" t="s">
        <v>1724</v>
      </c>
      <c r="F229" s="10">
        <v>325.78</v>
      </c>
      <c r="G229" s="11">
        <v>5.7418</v>
      </c>
      <c r="H229" s="8" t="s">
        <v>93</v>
      </c>
      <c r="I229" s="12">
        <v>890754.0</v>
      </c>
      <c r="J229" s="11">
        <v>27.3888</v>
      </c>
      <c r="K229" s="13">
        <v>11.3348</v>
      </c>
      <c r="L229" s="13">
        <v>17.5923</v>
      </c>
      <c r="M229" s="13">
        <v>500145.9</v>
      </c>
      <c r="N229" s="13">
        <v>2.0229</v>
      </c>
      <c r="O229" s="12">
        <v>9.16383559E9</v>
      </c>
      <c r="P229" s="13">
        <v>54.7816</v>
      </c>
      <c r="Q229" s="13">
        <v>38.0712</v>
      </c>
      <c r="R229" s="11">
        <v>63.3701</v>
      </c>
      <c r="S229" s="13">
        <v>311.5482</v>
      </c>
      <c r="T229" s="13">
        <v>309.8925</v>
      </c>
      <c r="U229" s="13">
        <v>305.1905</v>
      </c>
      <c r="V229" s="13">
        <v>298.061</v>
      </c>
      <c r="W229" s="13">
        <v>295.8131</v>
      </c>
      <c r="X229" s="13">
        <v>281.5458</v>
      </c>
      <c r="Y229" s="13">
        <v>248.9301</v>
      </c>
      <c r="Z229" s="13">
        <v>237.2997</v>
      </c>
      <c r="AA229" s="13">
        <v>333.995</v>
      </c>
      <c r="AB229" s="13">
        <v>19.8924</v>
      </c>
      <c r="AC229" s="13">
        <v>16.3771</v>
      </c>
      <c r="AD229" s="13">
        <v>15.9527</v>
      </c>
      <c r="AE229" s="13">
        <v>25.0171</v>
      </c>
      <c r="AF229" s="13">
        <v>1.0819</v>
      </c>
      <c r="AG229" s="13">
        <v>0.7093</v>
      </c>
      <c r="AH229" s="13">
        <v>1.3552</v>
      </c>
      <c r="AI229" s="13">
        <v>1.9515</v>
      </c>
      <c r="AJ229" s="11">
        <v>1.29</v>
      </c>
      <c r="AK229" s="8" t="s">
        <v>1745</v>
      </c>
      <c r="AL229" s="14">
        <f>IFERROR(__xludf.DUMMYFUNCTION("IFERROR(GOOGLEFINANCE(B229,""price""),"""")"),285.36)</f>
        <v>285.36</v>
      </c>
    </row>
    <row r="230">
      <c r="A230" s="7">
        <v>46066.626323062126</v>
      </c>
      <c r="B230" s="8" t="s">
        <v>1746</v>
      </c>
      <c r="C230" s="8" t="s">
        <v>1747</v>
      </c>
      <c r="D230" s="9">
        <v>46068.0</v>
      </c>
      <c r="E230" s="8" t="s">
        <v>1748</v>
      </c>
      <c r="F230" s="10">
        <v>10.429</v>
      </c>
      <c r="G230" s="11">
        <v>0.2788</v>
      </c>
      <c r="H230" s="8" t="s">
        <v>93</v>
      </c>
      <c r="I230" s="12">
        <v>348780.0</v>
      </c>
      <c r="J230" s="11">
        <v>21.667</v>
      </c>
      <c r="K230" s="13">
        <v>0.0293</v>
      </c>
      <c r="L230" s="13">
        <v>0.0509</v>
      </c>
      <c r="M230" s="13">
        <v>64904.5</v>
      </c>
      <c r="N230" s="13">
        <v>6.558</v>
      </c>
      <c r="O230" s="12">
        <v>2.87973493E8</v>
      </c>
      <c r="P230" s="13">
        <v>56.3333</v>
      </c>
      <c r="Q230" s="13">
        <v>63.2222</v>
      </c>
      <c r="R230" s="11">
        <v>57.22</v>
      </c>
      <c r="S230" s="13">
        <v>10.4202</v>
      </c>
      <c r="T230" s="13">
        <v>10.4039</v>
      </c>
      <c r="U230" s="13">
        <v>10.3849</v>
      </c>
      <c r="V230" s="13">
        <v>10.3609</v>
      </c>
      <c r="W230" s="13">
        <v>10.3536</v>
      </c>
      <c r="X230" s="13">
        <v>10.3091</v>
      </c>
      <c r="Y230" s="13">
        <v>10.1951</v>
      </c>
      <c r="Z230" s="13">
        <v>10.1977</v>
      </c>
      <c r="AA230" s="13">
        <v>10.46</v>
      </c>
      <c r="AB230" s="13">
        <v>69.7126</v>
      </c>
      <c r="AC230" s="13">
        <v>0.1496</v>
      </c>
      <c r="AD230" s="13">
        <v>4.1088</v>
      </c>
      <c r="AE230" s="13">
        <v>0.0</v>
      </c>
      <c r="AF230" s="13">
        <v>0.0</v>
      </c>
      <c r="AG230" s="13">
        <v>0.0</v>
      </c>
      <c r="AH230" s="13">
        <v>7.5311</v>
      </c>
      <c r="AI230" s="13">
        <v>0.3381</v>
      </c>
      <c r="AJ230" s="11">
        <v>1.15</v>
      </c>
      <c r="AK230" s="8" t="s">
        <v>1749</v>
      </c>
      <c r="AL230" s="14">
        <f>IFERROR(__xludf.DUMMYFUNCTION("IFERROR(GOOGLEFINANCE(B230,""price""),"""")"),10.38)</f>
        <v>10.38</v>
      </c>
    </row>
    <row r="231">
      <c r="A231" s="15">
        <v>46066.626323062126</v>
      </c>
      <c r="B231" s="16" t="s">
        <v>1750</v>
      </c>
      <c r="C231" s="16" t="s">
        <v>1751</v>
      </c>
      <c r="D231" s="17">
        <v>46068.0</v>
      </c>
      <c r="E231" s="16" t="s">
        <v>1752</v>
      </c>
      <c r="F231" s="18">
        <v>15.555</v>
      </c>
      <c r="G231" s="19">
        <v>0.0322</v>
      </c>
      <c r="H231" s="16" t="s">
        <v>186</v>
      </c>
      <c r="I231" s="20">
        <v>503833.0</v>
      </c>
      <c r="J231" s="19">
        <v>32.1678</v>
      </c>
      <c r="K231" s="21">
        <v>0.048</v>
      </c>
      <c r="L231" s="21">
        <v>0.3589</v>
      </c>
      <c r="M231" s="21">
        <v>175325.9</v>
      </c>
      <c r="N231" s="21">
        <v>3.2982</v>
      </c>
      <c r="O231" s="20">
        <v>4.62274866E8</v>
      </c>
      <c r="P231" s="21">
        <v>71.6296</v>
      </c>
      <c r="Q231" s="21">
        <v>77.5442</v>
      </c>
      <c r="R231" s="19">
        <v>63.0337</v>
      </c>
      <c r="S231" s="21">
        <v>15.5373</v>
      </c>
      <c r="T231" s="21">
        <v>15.5055</v>
      </c>
      <c r="U231" s="21">
        <v>15.4627</v>
      </c>
      <c r="V231" s="21">
        <v>15.3757</v>
      </c>
      <c r="W231" s="21">
        <v>15.3405</v>
      </c>
      <c r="X231" s="21">
        <v>15.0593</v>
      </c>
      <c r="Y231" s="21">
        <v>14.7657</v>
      </c>
      <c r="Z231" s="21">
        <v>13.4109</v>
      </c>
      <c r="AA231" s="21">
        <v>18.54</v>
      </c>
      <c r="AB231" s="21">
        <v>12.1876</v>
      </c>
      <c r="AC231" s="21">
        <v>1.2763</v>
      </c>
      <c r="AD231" s="21">
        <v>26.8402</v>
      </c>
      <c r="AE231" s="21">
        <v>-1.5087</v>
      </c>
      <c r="AF231" s="21">
        <v>-6.5691</v>
      </c>
      <c r="AG231" s="21">
        <v>1.2101</v>
      </c>
      <c r="AH231" s="21">
        <v>2.0275</v>
      </c>
      <c r="AI231" s="21">
        <v>0.48</v>
      </c>
      <c r="AJ231" s="19">
        <v>0.27</v>
      </c>
      <c r="AK231" s="16" t="s">
        <v>1753</v>
      </c>
      <c r="AL231" s="22">
        <f>IFERROR(__xludf.DUMMYFUNCTION("IFERROR(GOOGLEFINANCE(B231,""price""),"""")"),15.82)</f>
        <v>15.82</v>
      </c>
    </row>
    <row r="232">
      <c r="A232" s="7">
        <v>46066.626323062126</v>
      </c>
      <c r="B232" s="8" t="s">
        <v>1649</v>
      </c>
      <c r="C232" s="8" t="s">
        <v>1650</v>
      </c>
      <c r="D232" s="9">
        <v>46068.0</v>
      </c>
      <c r="E232" s="8" t="s">
        <v>1651</v>
      </c>
      <c r="F232" s="10">
        <v>49.0</v>
      </c>
      <c r="G232" s="11">
        <v>0.9269</v>
      </c>
      <c r="H232" s="8" t="s">
        <v>93</v>
      </c>
      <c r="I232" s="12">
        <v>4848228.0</v>
      </c>
      <c r="J232" s="11">
        <v>43.0615</v>
      </c>
      <c r="K232" s="13">
        <v>0.3385</v>
      </c>
      <c r="L232" s="13">
        <v>1.619</v>
      </c>
      <c r="M232" s="8">
        <v>2179007.0</v>
      </c>
      <c r="N232" s="13">
        <v>2.649</v>
      </c>
      <c r="O232" s="12">
        <v>7.549704639E9</v>
      </c>
      <c r="P232" s="13">
        <v>81.8051</v>
      </c>
      <c r="Q232" s="13">
        <v>72.5643</v>
      </c>
      <c r="R232" s="11">
        <v>76.4953</v>
      </c>
      <c r="S232" s="13">
        <v>48.4269</v>
      </c>
      <c r="T232" s="13">
        <v>48.1061</v>
      </c>
      <c r="U232" s="13">
        <v>47.6989</v>
      </c>
      <c r="V232" s="13">
        <v>47.1724</v>
      </c>
      <c r="W232" s="13">
        <v>47.0155</v>
      </c>
      <c r="X232" s="13">
        <v>46.0516</v>
      </c>
      <c r="Y232" s="13">
        <v>43.7593</v>
      </c>
      <c r="Z232" s="13">
        <v>42.9197</v>
      </c>
      <c r="AA232" s="13">
        <v>49.42</v>
      </c>
      <c r="AB232" s="13">
        <v>9.3305</v>
      </c>
      <c r="AC232" s="13">
        <v>5.2516</v>
      </c>
      <c r="AD232" s="13">
        <v>16.167</v>
      </c>
      <c r="AE232" s="13">
        <v>34.9751</v>
      </c>
      <c r="AF232" s="13">
        <v>27.4161</v>
      </c>
      <c r="AG232" s="13">
        <v>0.075</v>
      </c>
      <c r="AH232" s="13">
        <v>0.0</v>
      </c>
      <c r="AI232" s="13">
        <v>1.4856</v>
      </c>
      <c r="AJ232" s="11">
        <v>0.42</v>
      </c>
      <c r="AK232" s="8" t="s">
        <v>1754</v>
      </c>
      <c r="AL232" s="14">
        <f>IFERROR(__xludf.DUMMYFUNCTION("IFERROR(GOOGLEFINANCE(B232,""price""),"""")"),51.62)</f>
        <v>51.62</v>
      </c>
    </row>
    <row r="233">
      <c r="A233" s="7">
        <v>46069.626201897336</v>
      </c>
      <c r="B233" s="8" t="s">
        <v>1386</v>
      </c>
      <c r="C233" s="8" t="s">
        <v>1387</v>
      </c>
      <c r="D233" s="9">
        <v>46075.0</v>
      </c>
      <c r="E233" s="8" t="s">
        <v>1388</v>
      </c>
      <c r="F233" s="10">
        <v>206.77</v>
      </c>
      <c r="G233" s="11">
        <v>0.0629</v>
      </c>
      <c r="H233" s="8" t="s">
        <v>102</v>
      </c>
      <c r="I233" s="12">
        <v>1478240.0</v>
      </c>
      <c r="J233" s="11">
        <v>38.6682</v>
      </c>
      <c r="K233" s="13">
        <v>0.518</v>
      </c>
      <c r="L233" s="13">
        <v>3.2012</v>
      </c>
      <c r="M233" s="8">
        <v>1252942.0</v>
      </c>
      <c r="N233" s="13">
        <v>1.2061</v>
      </c>
      <c r="O233" s="12">
        <v>9.881824226E9</v>
      </c>
      <c r="P233" s="13">
        <v>6.8179</v>
      </c>
      <c r="Q233" s="13">
        <v>14.0687</v>
      </c>
      <c r="R233" s="11">
        <v>47.0786</v>
      </c>
      <c r="S233" s="13">
        <v>207.0135</v>
      </c>
      <c r="T233" s="13">
        <v>207.021</v>
      </c>
      <c r="U233" s="13">
        <v>206.6879</v>
      </c>
      <c r="V233" s="13">
        <v>205.9864</v>
      </c>
      <c r="W233" s="13">
        <v>205.702</v>
      </c>
      <c r="X233" s="13">
        <v>203.06</v>
      </c>
      <c r="Y233" s="13">
        <v>192.5559</v>
      </c>
      <c r="Z233" s="13">
        <v>189.4376</v>
      </c>
      <c r="AA233" s="13">
        <v>208.24</v>
      </c>
      <c r="AB233" s="13">
        <v>249.421</v>
      </c>
      <c r="AC233" s="13">
        <v>0.829</v>
      </c>
      <c r="AD233" s="13">
        <v>2.2484</v>
      </c>
      <c r="AE233" s="13">
        <v>16.3754</v>
      </c>
      <c r="AF233" s="13">
        <v>5.4738</v>
      </c>
      <c r="AG233" s="13">
        <v>1.1744</v>
      </c>
      <c r="AH233" s="13">
        <v>1.4021</v>
      </c>
      <c r="AI233" s="13">
        <v>0.1575</v>
      </c>
      <c r="AJ233" s="11">
        <v>0.32</v>
      </c>
      <c r="AK233" s="8" t="s">
        <v>1345</v>
      </c>
      <c r="AL233" s="14">
        <f>IFERROR(__xludf.DUMMYFUNCTION("IFERROR(GOOGLEFINANCE(B233,""price""),"""")"),207.79)</f>
        <v>207.79</v>
      </c>
    </row>
    <row r="234">
      <c r="A234" s="15">
        <v>46069.626201897336</v>
      </c>
      <c r="B234" s="16" t="s">
        <v>1746</v>
      </c>
      <c r="C234" s="16" t="s">
        <v>1747</v>
      </c>
      <c r="D234" s="17">
        <v>46075.0</v>
      </c>
      <c r="E234" s="16" t="s">
        <v>1748</v>
      </c>
      <c r="F234" s="18">
        <v>10.429</v>
      </c>
      <c r="G234" s="19">
        <v>0.2788</v>
      </c>
      <c r="H234" s="16" t="s">
        <v>93</v>
      </c>
      <c r="I234" s="20">
        <v>348780.0</v>
      </c>
      <c r="J234" s="19">
        <v>21.667</v>
      </c>
      <c r="K234" s="21">
        <v>0.0293</v>
      </c>
      <c r="L234" s="21">
        <v>0.0509</v>
      </c>
      <c r="M234" s="21">
        <v>64904.5</v>
      </c>
      <c r="N234" s="21">
        <v>6.558</v>
      </c>
      <c r="O234" s="20">
        <v>2.87973501E8</v>
      </c>
      <c r="P234" s="21">
        <v>56.3333</v>
      </c>
      <c r="Q234" s="21">
        <v>63.2222</v>
      </c>
      <c r="R234" s="19">
        <v>57.22</v>
      </c>
      <c r="S234" s="21">
        <v>10.4202</v>
      </c>
      <c r="T234" s="21">
        <v>10.4039</v>
      </c>
      <c r="U234" s="21">
        <v>10.3849</v>
      </c>
      <c r="V234" s="21">
        <v>10.3609</v>
      </c>
      <c r="W234" s="21">
        <v>10.3536</v>
      </c>
      <c r="X234" s="21">
        <v>10.3091</v>
      </c>
      <c r="Y234" s="21">
        <v>10.1951</v>
      </c>
      <c r="Z234" s="21">
        <v>10.1977</v>
      </c>
      <c r="AA234" s="21">
        <v>10.46</v>
      </c>
      <c r="AB234" s="21">
        <v>69.7126</v>
      </c>
      <c r="AC234" s="21">
        <v>0.1496</v>
      </c>
      <c r="AD234" s="21">
        <v>4.1088</v>
      </c>
      <c r="AE234" s="21">
        <v>0.0</v>
      </c>
      <c r="AF234" s="21">
        <v>0.0</v>
      </c>
      <c r="AG234" s="21">
        <v>0.0</v>
      </c>
      <c r="AH234" s="21">
        <v>7.5311</v>
      </c>
      <c r="AI234" s="21">
        <v>0.3381</v>
      </c>
      <c r="AJ234" s="19">
        <v>1.15</v>
      </c>
      <c r="AK234" s="16" t="s">
        <v>1749</v>
      </c>
      <c r="AL234" s="22">
        <f>IFERROR(__xludf.DUMMYFUNCTION("IFERROR(GOOGLEFINANCE(B234,""price""),"""")"),10.38)</f>
        <v>10.38</v>
      </c>
    </row>
    <row r="235">
      <c r="A235" s="7">
        <v>46069.626201897336</v>
      </c>
      <c r="B235" s="8" t="s">
        <v>1750</v>
      </c>
      <c r="C235" s="8" t="s">
        <v>1751</v>
      </c>
      <c r="D235" s="9">
        <v>46075.0</v>
      </c>
      <c r="E235" s="8" t="s">
        <v>1752</v>
      </c>
      <c r="F235" s="10">
        <v>15.57</v>
      </c>
      <c r="G235" s="11">
        <v>0.1286</v>
      </c>
      <c r="H235" s="8" t="s">
        <v>186</v>
      </c>
      <c r="I235" s="12">
        <v>541569.0</v>
      </c>
      <c r="J235" s="11">
        <v>32.1678</v>
      </c>
      <c r="K235" s="13">
        <v>0.048</v>
      </c>
      <c r="L235" s="13">
        <v>0.3589</v>
      </c>
      <c r="M235" s="13">
        <v>179099.5</v>
      </c>
      <c r="N235" s="13">
        <v>3.5452</v>
      </c>
      <c r="O235" s="12">
        <v>4.62720631E8</v>
      </c>
      <c r="P235" s="13">
        <v>74.4074</v>
      </c>
      <c r="Q235" s="13">
        <v>78.4701</v>
      </c>
      <c r="R235" s="11">
        <v>64.9393</v>
      </c>
      <c r="S235" s="13">
        <v>15.5407</v>
      </c>
      <c r="T235" s="13">
        <v>15.5068</v>
      </c>
      <c r="U235" s="13">
        <v>15.4635</v>
      </c>
      <c r="V235" s="13">
        <v>15.3763</v>
      </c>
      <c r="W235" s="13">
        <v>15.341</v>
      </c>
      <c r="X235" s="13">
        <v>15.0596</v>
      </c>
      <c r="Y235" s="13">
        <v>14.7658</v>
      </c>
      <c r="Z235" s="13">
        <v>13.411</v>
      </c>
      <c r="AA235" s="13">
        <v>18.54</v>
      </c>
      <c r="AB235" s="13">
        <v>12.1993</v>
      </c>
      <c r="AC235" s="13">
        <v>1.2763</v>
      </c>
      <c r="AD235" s="13">
        <v>26.8402</v>
      </c>
      <c r="AE235" s="13">
        <v>-1.5087</v>
      </c>
      <c r="AF235" s="13">
        <v>-6.5691</v>
      </c>
      <c r="AG235" s="13">
        <v>1.2101</v>
      </c>
      <c r="AH235" s="13">
        <v>2.0275</v>
      </c>
      <c r="AI235" s="13">
        <v>0.4955</v>
      </c>
      <c r="AJ235" s="11">
        <v>0.27</v>
      </c>
      <c r="AK235" s="8" t="s">
        <v>1755</v>
      </c>
      <c r="AL235" s="14">
        <f>IFERROR(__xludf.DUMMYFUNCTION("IFERROR(GOOGLEFINANCE(B235,""price""),"""")"),15.82)</f>
        <v>15.82</v>
      </c>
    </row>
    <row r="236">
      <c r="A236" s="15">
        <v>46069.626201897336</v>
      </c>
      <c r="B236" s="16" t="s">
        <v>1756</v>
      </c>
      <c r="C236" s="16" t="s">
        <v>1757</v>
      </c>
      <c r="D236" s="17">
        <v>46075.0</v>
      </c>
      <c r="E236" s="16" t="s">
        <v>1758</v>
      </c>
      <c r="F236" s="18">
        <v>33.69</v>
      </c>
      <c r="G236" s="19">
        <v>4.9206</v>
      </c>
      <c r="H236" s="16" t="s">
        <v>88</v>
      </c>
      <c r="I236" s="20">
        <v>499754.0</v>
      </c>
      <c r="J236" s="19">
        <v>21.8849</v>
      </c>
      <c r="K236" s="21">
        <v>1.8429</v>
      </c>
      <c r="L236" s="21">
        <v>3.1604</v>
      </c>
      <c r="M236" s="21">
        <v>358247.6</v>
      </c>
      <c r="N236" s="21">
        <v>1.4335</v>
      </c>
      <c r="O236" s="20">
        <v>1.331191647E9</v>
      </c>
      <c r="P236" s="21">
        <v>68.5653</v>
      </c>
      <c r="Q236" s="21">
        <v>56.2818</v>
      </c>
      <c r="R236" s="19">
        <v>58.3802</v>
      </c>
      <c r="S236" s="21">
        <v>31.649</v>
      </c>
      <c r="T236" s="21">
        <v>31.5938</v>
      </c>
      <c r="U236" s="21">
        <v>31.3296</v>
      </c>
      <c r="V236" s="21">
        <v>30.7565</v>
      </c>
      <c r="W236" s="21">
        <v>30.5588</v>
      </c>
      <c r="X236" s="21">
        <v>29.2525</v>
      </c>
      <c r="Y236" s="21">
        <v>27.0439</v>
      </c>
      <c r="Z236" s="21">
        <v>24.7571</v>
      </c>
      <c r="AA236" s="21">
        <v>36.99</v>
      </c>
      <c r="AB236" s="21">
        <v>0.0</v>
      </c>
      <c r="AC236" s="21">
        <v>-0.0169</v>
      </c>
      <c r="AD236" s="21">
        <v>-0.2476</v>
      </c>
      <c r="AE236" s="21">
        <v>2.6696</v>
      </c>
      <c r="AF236" s="21">
        <v>22.0427</v>
      </c>
      <c r="AG236" s="21">
        <v>0.2687</v>
      </c>
      <c r="AH236" s="21">
        <v>2.2797</v>
      </c>
      <c r="AI236" s="21">
        <v>0.9481</v>
      </c>
      <c r="AJ236" s="19">
        <v>1.17</v>
      </c>
      <c r="AK236" s="16" t="s">
        <v>1283</v>
      </c>
      <c r="AL236" s="22">
        <f>IFERROR(__xludf.DUMMYFUNCTION("IFERROR(GOOGLEFINANCE(B236,""price""),"""")"),38.83)</f>
        <v>38.83</v>
      </c>
    </row>
    <row r="237">
      <c r="A237" s="7">
        <v>46069.626201897336</v>
      </c>
      <c r="B237" s="8" t="s">
        <v>1759</v>
      </c>
      <c r="C237" s="8" t="s">
        <v>1760</v>
      </c>
      <c r="D237" s="9">
        <v>46075.0</v>
      </c>
      <c r="E237" s="8" t="s">
        <v>1761</v>
      </c>
      <c r="F237" s="10">
        <v>17.07</v>
      </c>
      <c r="G237" s="11">
        <v>1.6677</v>
      </c>
      <c r="H237" s="8" t="s">
        <v>117</v>
      </c>
      <c r="I237" s="12">
        <v>326872.0</v>
      </c>
      <c r="J237" s="11">
        <v>28.614</v>
      </c>
      <c r="K237" s="13">
        <v>0.7196</v>
      </c>
      <c r="L237" s="13">
        <v>1.685</v>
      </c>
      <c r="M237" s="13">
        <v>268747.1</v>
      </c>
      <c r="N237" s="13">
        <v>1.2885</v>
      </c>
      <c r="O237" s="12">
        <v>4.57775321E8</v>
      </c>
      <c r="P237" s="13">
        <v>86.9552</v>
      </c>
      <c r="Q237" s="13">
        <v>76.6264</v>
      </c>
      <c r="R237" s="11">
        <v>66.1723</v>
      </c>
      <c r="S237" s="13">
        <v>15.8862</v>
      </c>
      <c r="T237" s="13">
        <v>15.5796</v>
      </c>
      <c r="U237" s="13">
        <v>15.7012</v>
      </c>
      <c r="V237" s="13">
        <v>15.926</v>
      </c>
      <c r="W237" s="13">
        <v>15.9925</v>
      </c>
      <c r="X237" s="13">
        <v>16.3002</v>
      </c>
      <c r="Y237" s="13">
        <v>15.9297</v>
      </c>
      <c r="Z237" s="13">
        <v>16.7913</v>
      </c>
      <c r="AA237" s="13">
        <v>23.0</v>
      </c>
      <c r="AB237" s="13">
        <v>0.0</v>
      </c>
      <c r="AC237" s="13">
        <v>-0.2491</v>
      </c>
      <c r="AD237" s="13">
        <v>-34.1729</v>
      </c>
      <c r="AE237" s="13">
        <v>-2.5172</v>
      </c>
      <c r="AF237" s="13">
        <v>102.7742</v>
      </c>
      <c r="AG237" s="13">
        <v>1.3352</v>
      </c>
      <c r="AH237" s="13">
        <v>1.6296</v>
      </c>
      <c r="AI237" s="13">
        <v>1.0839</v>
      </c>
      <c r="AJ237" s="11">
        <v>0.85</v>
      </c>
      <c r="AK237" s="23"/>
      <c r="AL237" s="14">
        <f>IFERROR(__xludf.DUMMYFUNCTION("IFERROR(GOOGLEFINANCE(B237,""price""),"""")"),26.36)</f>
        <v>26.36</v>
      </c>
    </row>
    <row r="238">
      <c r="A238" s="15">
        <v>46069.626201897336</v>
      </c>
      <c r="B238" s="16" t="s">
        <v>1649</v>
      </c>
      <c r="C238" s="16" t="s">
        <v>1650</v>
      </c>
      <c r="D238" s="17">
        <v>46075.0</v>
      </c>
      <c r="E238" s="16" t="s">
        <v>1651</v>
      </c>
      <c r="F238" s="18">
        <v>49.05</v>
      </c>
      <c r="G238" s="19">
        <v>1.0299</v>
      </c>
      <c r="H238" s="16" t="s">
        <v>93</v>
      </c>
      <c r="I238" s="20">
        <v>5730694.0</v>
      </c>
      <c r="J238" s="19">
        <v>43.0615</v>
      </c>
      <c r="K238" s="21">
        <v>0.3385</v>
      </c>
      <c r="L238" s="21">
        <v>1.619</v>
      </c>
      <c r="M238" s="16">
        <v>2267254.0</v>
      </c>
      <c r="N238" s="21">
        <v>3.1312</v>
      </c>
      <c r="O238" s="20">
        <v>7.557408421E9</v>
      </c>
      <c r="P238" s="21">
        <v>83.1826</v>
      </c>
      <c r="Q238" s="21">
        <v>73.0235</v>
      </c>
      <c r="R238" s="19">
        <v>77.0225</v>
      </c>
      <c r="S238" s="21">
        <v>48.438</v>
      </c>
      <c r="T238" s="21">
        <v>48.1106</v>
      </c>
      <c r="U238" s="21">
        <v>47.7018</v>
      </c>
      <c r="V238" s="21">
        <v>47.1743</v>
      </c>
      <c r="W238" s="21">
        <v>47.0172</v>
      </c>
      <c r="X238" s="21">
        <v>46.0527</v>
      </c>
      <c r="Y238" s="21">
        <v>43.7598</v>
      </c>
      <c r="Z238" s="21">
        <v>42.92</v>
      </c>
      <c r="AA238" s="21">
        <v>49.42</v>
      </c>
      <c r="AB238" s="21">
        <v>9.34</v>
      </c>
      <c r="AC238" s="21">
        <v>5.2516</v>
      </c>
      <c r="AD238" s="21">
        <v>16.167</v>
      </c>
      <c r="AE238" s="21">
        <v>34.9751</v>
      </c>
      <c r="AF238" s="21">
        <v>27.4161</v>
      </c>
      <c r="AG238" s="21">
        <v>0.075</v>
      </c>
      <c r="AH238" s="21">
        <v>0.0</v>
      </c>
      <c r="AI238" s="21">
        <v>1.5009</v>
      </c>
      <c r="AJ238" s="19">
        <v>0.42</v>
      </c>
      <c r="AK238" s="16" t="s">
        <v>1762</v>
      </c>
      <c r="AL238" s="22">
        <f>IFERROR(__xludf.DUMMYFUNCTION("IFERROR(GOOGLEFINANCE(B238,""price""),"""")"),51.62)</f>
        <v>51.62</v>
      </c>
    </row>
    <row r="239">
      <c r="A239" s="7">
        <v>46069.626201897336</v>
      </c>
      <c r="B239" s="8" t="s">
        <v>1763</v>
      </c>
      <c r="C239" s="8" t="s">
        <v>1764</v>
      </c>
      <c r="D239" s="9">
        <v>46075.0</v>
      </c>
      <c r="E239" s="8" t="s">
        <v>1765</v>
      </c>
      <c r="F239" s="10">
        <v>104.94</v>
      </c>
      <c r="G239" s="11">
        <v>6.7548</v>
      </c>
      <c r="H239" s="8" t="s">
        <v>102</v>
      </c>
      <c r="I239" s="12">
        <v>915609.0</v>
      </c>
      <c r="J239" s="11">
        <v>20.9838</v>
      </c>
      <c r="K239" s="13">
        <v>3.7098</v>
      </c>
      <c r="L239" s="13">
        <v>6.9745</v>
      </c>
      <c r="M239" s="13">
        <v>610291.1</v>
      </c>
      <c r="N239" s="13">
        <v>1.5544</v>
      </c>
      <c r="O239" s="12">
        <v>2.863384627E9</v>
      </c>
      <c r="P239" s="13">
        <v>83.6128</v>
      </c>
      <c r="Q239" s="13">
        <v>80.4037</v>
      </c>
      <c r="R239" s="11">
        <v>61.2537</v>
      </c>
      <c r="S239" s="13">
        <v>100.2178</v>
      </c>
      <c r="T239" s="13">
        <v>98.2765</v>
      </c>
      <c r="U239" s="13">
        <v>98.3628</v>
      </c>
      <c r="V239" s="13">
        <v>99.3115</v>
      </c>
      <c r="W239" s="13">
        <v>99.6603</v>
      </c>
      <c r="X239" s="13">
        <v>101.5649</v>
      </c>
      <c r="Y239" s="13">
        <v>102.1934</v>
      </c>
      <c r="Z239" s="13">
        <v>104.3237</v>
      </c>
      <c r="AA239" s="13">
        <v>129.1</v>
      </c>
      <c r="AB239" s="13">
        <v>9.4248</v>
      </c>
      <c r="AC239" s="13">
        <v>11.1345</v>
      </c>
      <c r="AD239" s="13">
        <v>23.1634</v>
      </c>
      <c r="AE239" s="13">
        <v>9.0716</v>
      </c>
      <c r="AF239" s="13">
        <v>-4.0337</v>
      </c>
      <c r="AG239" s="13">
        <v>0.298</v>
      </c>
      <c r="AH239" s="13">
        <v>1.8895</v>
      </c>
      <c r="AI239" s="13">
        <v>1.7677</v>
      </c>
      <c r="AJ239" s="11">
        <v>1.06</v>
      </c>
      <c r="AK239" s="23"/>
      <c r="AL239" s="14">
        <f>IFERROR(__xludf.DUMMYFUNCTION("IFERROR(GOOGLEFINANCE(B239,""price""),"""")"),94.0)</f>
        <v>94</v>
      </c>
    </row>
    <row r="240">
      <c r="A240" s="15">
        <v>46069.626201897336</v>
      </c>
      <c r="B240" s="16" t="s">
        <v>1766</v>
      </c>
      <c r="C240" s="16" t="s">
        <v>1767</v>
      </c>
      <c r="D240" s="17">
        <v>46075.0</v>
      </c>
      <c r="E240" s="16" t="s">
        <v>1768</v>
      </c>
      <c r="F240" s="18">
        <v>94.78</v>
      </c>
      <c r="G240" s="19">
        <v>2.1446</v>
      </c>
      <c r="H240" s="16" t="s">
        <v>917</v>
      </c>
      <c r="I240" s="20">
        <v>6225140.0</v>
      </c>
      <c r="J240" s="19">
        <v>26.44</v>
      </c>
      <c r="K240" s="21">
        <v>1.9909</v>
      </c>
      <c r="L240" s="21">
        <v>4.058</v>
      </c>
      <c r="M240" s="16">
        <v>4542431.0</v>
      </c>
      <c r="N240" s="21">
        <v>1.3181</v>
      </c>
      <c r="O240" s="20">
        <v>6.1861153532E10</v>
      </c>
      <c r="P240" s="21">
        <v>94.2052</v>
      </c>
      <c r="Q240" s="21">
        <v>92.1832</v>
      </c>
      <c r="R240" s="19">
        <v>73.1749</v>
      </c>
      <c r="S240" s="21">
        <v>90.6038</v>
      </c>
      <c r="T240" s="21">
        <v>89.0369</v>
      </c>
      <c r="U240" s="21">
        <v>88.867</v>
      </c>
      <c r="V240" s="21">
        <v>88.8755</v>
      </c>
      <c r="W240" s="21">
        <v>88.8578</v>
      </c>
      <c r="X240" s="21">
        <v>88.3539</v>
      </c>
      <c r="Y240" s="21">
        <v>85.7322</v>
      </c>
      <c r="Z240" s="21">
        <v>84.2904</v>
      </c>
      <c r="AA240" s="21">
        <v>95.74</v>
      </c>
      <c r="AB240" s="21">
        <v>29.1837</v>
      </c>
      <c r="AC240" s="21">
        <v>3.2477</v>
      </c>
      <c r="AD240" s="21">
        <v>7.0975</v>
      </c>
      <c r="AE240" s="21">
        <v>23.4727</v>
      </c>
      <c r="AF240" s="21">
        <v>9.067</v>
      </c>
      <c r="AG240" s="21">
        <v>1.0777</v>
      </c>
      <c r="AH240" s="21">
        <v>1.5873</v>
      </c>
      <c r="AI240" s="21">
        <v>1.8324</v>
      </c>
      <c r="AJ240" s="19">
        <v>0.98</v>
      </c>
      <c r="AK240" s="24"/>
      <c r="AL240" s="22">
        <f>IFERROR(__xludf.DUMMYFUNCTION("IFERROR(GOOGLEFINANCE(B240,""price""),"""")"),98.82)</f>
        <v>98.82</v>
      </c>
    </row>
    <row r="241">
      <c r="A241" s="7">
        <v>46069.626201897336</v>
      </c>
      <c r="B241" s="8" t="s">
        <v>1769</v>
      </c>
      <c r="C241" s="8" t="s">
        <v>1770</v>
      </c>
      <c r="D241" s="9">
        <v>46075.0</v>
      </c>
      <c r="E241" s="8" t="s">
        <v>1771</v>
      </c>
      <c r="F241" s="10">
        <v>56.63</v>
      </c>
      <c r="G241" s="11">
        <v>10.0253</v>
      </c>
      <c r="H241" s="8" t="s">
        <v>88</v>
      </c>
      <c r="I241" s="12">
        <v>6297974.0</v>
      </c>
      <c r="J241" s="11">
        <v>24.2698</v>
      </c>
      <c r="K241" s="13">
        <v>4.9152</v>
      </c>
      <c r="L241" s="13">
        <v>8.0468</v>
      </c>
      <c r="M241" s="8">
        <v>3396567.0</v>
      </c>
      <c r="N241" s="13">
        <v>2.0696</v>
      </c>
      <c r="O241" s="12">
        <v>3.876741912E9</v>
      </c>
      <c r="P241" s="13">
        <v>59.0915</v>
      </c>
      <c r="Q241" s="13">
        <v>56.4422</v>
      </c>
      <c r="R241" s="11">
        <v>57.0212</v>
      </c>
      <c r="S241" s="13">
        <v>53.3492</v>
      </c>
      <c r="T241" s="13">
        <v>52.9298</v>
      </c>
      <c r="U241" s="13">
        <v>52.2438</v>
      </c>
      <c r="V241" s="13">
        <v>51.264</v>
      </c>
      <c r="W241" s="13">
        <v>50.932</v>
      </c>
      <c r="X241" s="13">
        <v>48.4769</v>
      </c>
      <c r="Y241" s="13">
        <v>41.1393</v>
      </c>
      <c r="Z241" s="13">
        <v>38.9034</v>
      </c>
      <c r="AA241" s="13">
        <v>61.36</v>
      </c>
      <c r="AB241" s="13">
        <v>62.1898</v>
      </c>
      <c r="AC241" s="13">
        <v>0.9106</v>
      </c>
      <c r="AD241" s="13">
        <v>9.447</v>
      </c>
      <c r="AE241" s="13">
        <v>21.1238</v>
      </c>
      <c r="AF241" s="13">
        <v>92.3317</v>
      </c>
      <c r="AG241" s="13">
        <v>0.9976</v>
      </c>
      <c r="AH241" s="13">
        <v>2.3946</v>
      </c>
      <c r="AI241" s="13">
        <v>1.952</v>
      </c>
      <c r="AJ241" s="11">
        <v>1.22</v>
      </c>
      <c r="AK241" s="8" t="s">
        <v>1772</v>
      </c>
      <c r="AL241" s="14">
        <f>IFERROR(__xludf.DUMMYFUNCTION("IFERROR(GOOGLEFINANCE(B241,""price""),"""")"),62.39)</f>
        <v>62.39</v>
      </c>
    </row>
    <row r="242">
      <c r="A242" s="7">
        <v>46070.62594677443</v>
      </c>
      <c r="B242" s="8" t="s">
        <v>1773</v>
      </c>
      <c r="C242" s="8" t="s">
        <v>1774</v>
      </c>
      <c r="D242" s="9">
        <v>46075.0</v>
      </c>
      <c r="E242" s="8" t="s">
        <v>1775</v>
      </c>
      <c r="F242" s="10">
        <v>10.93</v>
      </c>
      <c r="G242" s="11">
        <v>0.0916</v>
      </c>
      <c r="H242" s="8" t="s">
        <v>93</v>
      </c>
      <c r="I242" s="12">
        <v>311396.0</v>
      </c>
      <c r="J242" s="11">
        <v>28.5651</v>
      </c>
      <c r="K242" s="13">
        <v>0.0361</v>
      </c>
      <c r="L242" s="13">
        <v>0.1006</v>
      </c>
      <c r="M242" s="13">
        <v>59392.4</v>
      </c>
      <c r="N242" s="13">
        <v>9.4189</v>
      </c>
      <c r="O242" s="12">
        <v>2.37010012E8</v>
      </c>
      <c r="P242" s="13">
        <v>76.3889</v>
      </c>
      <c r="Q242" s="13">
        <v>69.9074</v>
      </c>
      <c r="R242" s="11">
        <v>56.5941</v>
      </c>
      <c r="S242" s="13">
        <v>10.9136</v>
      </c>
      <c r="T242" s="13">
        <v>10.8979</v>
      </c>
      <c r="U242" s="13">
        <v>10.8856</v>
      </c>
      <c r="V242" s="13">
        <v>10.8729</v>
      </c>
      <c r="W242" s="13">
        <v>10.8689</v>
      </c>
      <c r="X242" s="13">
        <v>10.8386</v>
      </c>
      <c r="Y242" s="13">
        <v>10.7147</v>
      </c>
      <c r="Z242" s="13">
        <v>10.7229</v>
      </c>
      <c r="AA242" s="13">
        <v>11.25</v>
      </c>
      <c r="AB242" s="13">
        <v>35.7073</v>
      </c>
      <c r="AC242" s="13">
        <v>0.3061</v>
      </c>
      <c r="AD242" s="13">
        <v>3.7822</v>
      </c>
      <c r="AE242" s="13">
        <v>0.0</v>
      </c>
      <c r="AF242" s="13">
        <v>0.0</v>
      </c>
      <c r="AG242" s="13">
        <v>0.0</v>
      </c>
      <c r="AH242" s="13">
        <v>0.0</v>
      </c>
      <c r="AI242" s="13">
        <v>0.2565</v>
      </c>
      <c r="AJ242" s="11">
        <v>0.72</v>
      </c>
      <c r="AK242" s="8" t="s">
        <v>1776</v>
      </c>
      <c r="AL242" s="14">
        <f>IFERROR(__xludf.DUMMYFUNCTION("IFERROR(GOOGLEFINANCE(B242,""price""),"""")"),11.01)</f>
        <v>11.01</v>
      </c>
    </row>
    <row r="243">
      <c r="A243" s="15">
        <v>46070.62594677443</v>
      </c>
      <c r="B243" s="16" t="s">
        <v>1530</v>
      </c>
      <c r="C243" s="16" t="s">
        <v>1531</v>
      </c>
      <c r="D243" s="17">
        <v>46075.0</v>
      </c>
      <c r="E243" s="16" t="s">
        <v>1532</v>
      </c>
      <c r="F243" s="18">
        <v>10.74</v>
      </c>
      <c r="G243" s="19">
        <v>0.0932</v>
      </c>
      <c r="H243" s="16" t="s">
        <v>93</v>
      </c>
      <c r="I243" s="20">
        <v>750293.0</v>
      </c>
      <c r="J243" s="19">
        <v>58.6588</v>
      </c>
      <c r="K243" s="21">
        <v>0.0241</v>
      </c>
      <c r="L243" s="21">
        <v>0.0469</v>
      </c>
      <c r="M243" s="21">
        <v>157124.1</v>
      </c>
      <c r="N243" s="21">
        <v>9.018</v>
      </c>
      <c r="O243" s="20">
        <v>3.08775E8</v>
      </c>
      <c r="P243" s="21">
        <v>50.7407</v>
      </c>
      <c r="Q243" s="21">
        <v>63.0864</v>
      </c>
      <c r="R243" s="19">
        <v>60.0375</v>
      </c>
      <c r="S243" s="21">
        <v>10.7249</v>
      </c>
      <c r="T243" s="21">
        <v>10.703</v>
      </c>
      <c r="U243" s="21">
        <v>10.6859</v>
      </c>
      <c r="V243" s="21">
        <v>10.6689</v>
      </c>
      <c r="W243" s="21">
        <v>10.6641</v>
      </c>
      <c r="X243" s="21">
        <v>10.6322</v>
      </c>
      <c r="Y243" s="21">
        <v>10.5078</v>
      </c>
      <c r="Z243" s="21">
        <v>10.5361</v>
      </c>
      <c r="AA243" s="21">
        <v>10.77</v>
      </c>
      <c r="AB243" s="21">
        <v>31.8222</v>
      </c>
      <c r="AC243" s="21">
        <v>0.3375</v>
      </c>
      <c r="AD243" s="21">
        <v>4.2454</v>
      </c>
      <c r="AE243" s="21">
        <v>0.0</v>
      </c>
      <c r="AF243" s="21">
        <v>0.0</v>
      </c>
      <c r="AG243" s="21">
        <v>0.0</v>
      </c>
      <c r="AH243" s="21">
        <v>3.206</v>
      </c>
      <c r="AI243" s="21">
        <v>0.3629</v>
      </c>
      <c r="AJ243" s="19">
        <v>1.03</v>
      </c>
      <c r="AK243" s="16" t="s">
        <v>1777</v>
      </c>
      <c r="AL243" s="22">
        <f>IFERROR(__xludf.DUMMYFUNCTION("IFERROR(GOOGLEFINANCE(B243,""price""),"""")"),10.79)</f>
        <v>10.79</v>
      </c>
    </row>
    <row r="244">
      <c r="A244" s="7">
        <v>46070.62594677443</v>
      </c>
      <c r="B244" s="8" t="s">
        <v>1778</v>
      </c>
      <c r="C244" s="8" t="s">
        <v>1779</v>
      </c>
      <c r="D244" s="9">
        <v>46075.0</v>
      </c>
      <c r="E244" s="8" t="s">
        <v>1780</v>
      </c>
      <c r="F244" s="10">
        <v>124.0</v>
      </c>
      <c r="G244" s="11">
        <v>4.9158</v>
      </c>
      <c r="H244" s="8" t="s">
        <v>917</v>
      </c>
      <c r="I244" s="12">
        <v>1003690.0</v>
      </c>
      <c r="J244" s="11">
        <v>22.0217</v>
      </c>
      <c r="K244" s="13">
        <v>4.2883</v>
      </c>
      <c r="L244" s="13">
        <v>7.1116</v>
      </c>
      <c r="M244" s="13">
        <v>722161.9</v>
      </c>
      <c r="N244" s="13">
        <v>1.479</v>
      </c>
      <c r="O244" s="12">
        <v>7.536942325E9</v>
      </c>
      <c r="P244" s="13">
        <v>26.46</v>
      </c>
      <c r="Q244" s="13">
        <v>23.5971</v>
      </c>
      <c r="R244" s="11">
        <v>54.4028</v>
      </c>
      <c r="S244" s="13">
        <v>122.469</v>
      </c>
      <c r="T244" s="13">
        <v>122.1737</v>
      </c>
      <c r="U244" s="13">
        <v>120.5676</v>
      </c>
      <c r="V244" s="13">
        <v>118.4453</v>
      </c>
      <c r="W244" s="13">
        <v>117.7825</v>
      </c>
      <c r="X244" s="13">
        <v>113.3733</v>
      </c>
      <c r="Y244" s="13">
        <v>102.0162</v>
      </c>
      <c r="Z244" s="13">
        <v>98.403</v>
      </c>
      <c r="AA244" s="13">
        <v>132.58</v>
      </c>
      <c r="AB244" s="13">
        <v>56.652</v>
      </c>
      <c r="AC244" s="13">
        <v>2.1888</v>
      </c>
      <c r="AD244" s="13">
        <v>5.4451</v>
      </c>
      <c r="AE244" s="13">
        <v>19.1342</v>
      </c>
      <c r="AF244" s="13">
        <v>6.0651</v>
      </c>
      <c r="AG244" s="13">
        <v>1.0976</v>
      </c>
      <c r="AH244" s="13">
        <v>0.7707</v>
      </c>
      <c r="AI244" s="13">
        <v>1.5334</v>
      </c>
      <c r="AJ244" s="11">
        <v>1.21</v>
      </c>
      <c r="AK244" s="8" t="s">
        <v>1712</v>
      </c>
      <c r="AL244" s="14">
        <f>IFERROR(__xludf.DUMMYFUNCTION("IFERROR(GOOGLEFINANCE(B244,""price""),"""")"),115.22)</f>
        <v>115.22</v>
      </c>
    </row>
    <row r="245">
      <c r="A245" s="15">
        <v>46070.62594677443</v>
      </c>
      <c r="B245" s="16" t="s">
        <v>1649</v>
      </c>
      <c r="C245" s="16" t="s">
        <v>1650</v>
      </c>
      <c r="D245" s="17">
        <v>46075.0</v>
      </c>
      <c r="E245" s="16" t="s">
        <v>1651</v>
      </c>
      <c r="F245" s="18">
        <v>49.63</v>
      </c>
      <c r="G245" s="19">
        <v>1.1825</v>
      </c>
      <c r="H245" s="16" t="s">
        <v>93</v>
      </c>
      <c r="I245" s="20">
        <v>2763051.0</v>
      </c>
      <c r="J245" s="19">
        <v>45.1452</v>
      </c>
      <c r="K245" s="21">
        <v>0.3665</v>
      </c>
      <c r="L245" s="21">
        <v>1.5555</v>
      </c>
      <c r="M245" s="16">
        <v>2419395.0</v>
      </c>
      <c r="N245" s="21">
        <v>1.2187</v>
      </c>
      <c r="O245" s="20">
        <v>7.646772272E9</v>
      </c>
      <c r="P245" s="21">
        <v>96.0873</v>
      </c>
      <c r="Q245" s="21">
        <v>83.9742</v>
      </c>
      <c r="R245" s="19">
        <v>82.0516</v>
      </c>
      <c r="S245" s="21">
        <v>48.7029</v>
      </c>
      <c r="T245" s="21">
        <v>48.2487</v>
      </c>
      <c r="U245" s="21">
        <v>47.812</v>
      </c>
      <c r="V245" s="21">
        <v>47.2706</v>
      </c>
      <c r="W245" s="21">
        <v>47.1106</v>
      </c>
      <c r="X245" s="21">
        <v>46.1322</v>
      </c>
      <c r="Y245" s="21">
        <v>43.8182</v>
      </c>
      <c r="Z245" s="21">
        <v>43.0021</v>
      </c>
      <c r="AA245" s="21">
        <v>49.64</v>
      </c>
      <c r="AB245" s="21">
        <v>9.4505</v>
      </c>
      <c r="AC245" s="21">
        <v>5.2516</v>
      </c>
      <c r="AD245" s="21">
        <v>16.167</v>
      </c>
      <c r="AE245" s="21">
        <v>34.9751</v>
      </c>
      <c r="AF245" s="21">
        <v>27.4161</v>
      </c>
      <c r="AG245" s="21">
        <v>0.075</v>
      </c>
      <c r="AH245" s="21">
        <v>0.0</v>
      </c>
      <c r="AI245" s="21">
        <v>1.7951</v>
      </c>
      <c r="AJ245" s="19">
        <v>0.47</v>
      </c>
      <c r="AK245" s="16" t="s">
        <v>1781</v>
      </c>
      <c r="AL245" s="22">
        <f>IFERROR(__xludf.DUMMYFUNCTION("IFERROR(GOOGLEFINANCE(B245,""price""),"""")"),51.62)</f>
        <v>51.62</v>
      </c>
    </row>
    <row r="246">
      <c r="A246" s="7">
        <v>46071.62864797856</v>
      </c>
      <c r="B246" s="8" t="s">
        <v>1782</v>
      </c>
      <c r="C246" s="8" t="s">
        <v>1783</v>
      </c>
      <c r="D246" s="9">
        <v>46075.0</v>
      </c>
      <c r="E246" s="8" t="s">
        <v>1784</v>
      </c>
      <c r="F246" s="10">
        <v>7.99</v>
      </c>
      <c r="G246" s="11">
        <v>7.2483</v>
      </c>
      <c r="H246" s="8" t="s">
        <v>308</v>
      </c>
      <c r="I246" s="12">
        <v>532935.0</v>
      </c>
      <c r="J246" s="11">
        <v>21.0878</v>
      </c>
      <c r="K246" s="13">
        <v>0.5265</v>
      </c>
      <c r="L246" s="13">
        <v>1.0481</v>
      </c>
      <c r="M246" s="13">
        <v>181853.5</v>
      </c>
      <c r="N246" s="13">
        <v>3.6729</v>
      </c>
      <c r="O246" s="12">
        <v>1.36551125E8</v>
      </c>
      <c r="P246" s="13">
        <v>49.1518</v>
      </c>
      <c r="Q246" s="13">
        <v>32.4145</v>
      </c>
      <c r="R246" s="11">
        <v>58.8787</v>
      </c>
      <c r="S246" s="13">
        <v>7.2932</v>
      </c>
      <c r="T246" s="13">
        <v>7.3327</v>
      </c>
      <c r="U246" s="13">
        <v>7.2778</v>
      </c>
      <c r="V246" s="13">
        <v>7.1607</v>
      </c>
      <c r="W246" s="13">
        <v>7.124</v>
      </c>
      <c r="X246" s="13">
        <v>6.9148</v>
      </c>
      <c r="Y246" s="13">
        <v>6.7731</v>
      </c>
      <c r="Z246" s="13">
        <v>6.3252</v>
      </c>
      <c r="AA246" s="13">
        <v>9.265</v>
      </c>
      <c r="AB246" s="13">
        <v>0.0</v>
      </c>
      <c r="AC246" s="13">
        <v>-0.5745</v>
      </c>
      <c r="AD246" s="13">
        <v>-39.7203</v>
      </c>
      <c r="AE246" s="13">
        <v>-52.5911</v>
      </c>
      <c r="AF246" s="13">
        <v>-28.0545</v>
      </c>
      <c r="AG246" s="13">
        <v>0.6992</v>
      </c>
      <c r="AH246" s="13">
        <v>1.153</v>
      </c>
      <c r="AI246" s="13">
        <v>0.1922</v>
      </c>
      <c r="AJ246" s="11">
        <v>1.0</v>
      </c>
      <c r="AK246" s="8" t="s">
        <v>1785</v>
      </c>
      <c r="AL246" s="14">
        <f>IFERROR(__xludf.DUMMYFUNCTION("IFERROR(GOOGLEFINANCE(B246,""price""),"""")"),11.11)</f>
        <v>11.11</v>
      </c>
    </row>
    <row r="247">
      <c r="A247" s="15">
        <v>46071.62864797856</v>
      </c>
      <c r="B247" s="16" t="s">
        <v>1750</v>
      </c>
      <c r="C247" s="16" t="s">
        <v>1751</v>
      </c>
      <c r="D247" s="17">
        <v>46075.0</v>
      </c>
      <c r="E247" s="16" t="s">
        <v>1752</v>
      </c>
      <c r="F247" s="18">
        <v>15.51</v>
      </c>
      <c r="G247" s="19">
        <v>-0.2572</v>
      </c>
      <c r="H247" s="16" t="s">
        <v>186</v>
      </c>
      <c r="I247" s="20">
        <v>333312.0</v>
      </c>
      <c r="J247" s="19">
        <v>32.8147</v>
      </c>
      <c r="K247" s="21">
        <v>0.0474</v>
      </c>
      <c r="L247" s="21">
        <v>0.3382</v>
      </c>
      <c r="M247" s="21">
        <v>196970.3</v>
      </c>
      <c r="N247" s="21">
        <v>1.8547</v>
      </c>
      <c r="O247" s="20">
        <v>4.60937523E8</v>
      </c>
      <c r="P247" s="21">
        <v>54.6296</v>
      </c>
      <c r="Q247" s="21">
        <v>65.8519</v>
      </c>
      <c r="R247" s="19">
        <v>52.6485</v>
      </c>
      <c r="S247" s="21">
        <v>15.5355</v>
      </c>
      <c r="T247" s="21">
        <v>15.5107</v>
      </c>
      <c r="U247" s="21">
        <v>15.4708</v>
      </c>
      <c r="V247" s="21">
        <v>15.3881</v>
      </c>
      <c r="W247" s="21">
        <v>15.3542</v>
      </c>
      <c r="X247" s="21">
        <v>15.0803</v>
      </c>
      <c r="Y247" s="21">
        <v>14.7809</v>
      </c>
      <c r="Z247" s="21">
        <v>13.4436</v>
      </c>
      <c r="AA247" s="21">
        <v>18.48</v>
      </c>
      <c r="AB247" s="21">
        <v>12.1523</v>
      </c>
      <c r="AC247" s="21">
        <v>1.2763</v>
      </c>
      <c r="AD247" s="21">
        <v>26.8402</v>
      </c>
      <c r="AE247" s="21">
        <v>-1.5087</v>
      </c>
      <c r="AF247" s="21">
        <v>-6.5691</v>
      </c>
      <c r="AG247" s="21">
        <v>1.2101</v>
      </c>
      <c r="AH247" s="21">
        <v>2.0275</v>
      </c>
      <c r="AI247" s="21">
        <v>0.4167</v>
      </c>
      <c r="AJ247" s="19">
        <v>0.28</v>
      </c>
      <c r="AK247" s="16" t="s">
        <v>1604</v>
      </c>
      <c r="AL247" s="22">
        <f>IFERROR(__xludf.DUMMYFUNCTION("IFERROR(GOOGLEFINANCE(B247,""price""),"""")"),15.82)</f>
        <v>15.82</v>
      </c>
    </row>
    <row r="248">
      <c r="A248" s="7">
        <v>46071.62864797856</v>
      </c>
      <c r="B248" s="8" t="s">
        <v>1786</v>
      </c>
      <c r="C248" s="8" t="s">
        <v>1787</v>
      </c>
      <c r="D248" s="9">
        <v>46075.0</v>
      </c>
      <c r="E248" s="8" t="s">
        <v>1788</v>
      </c>
      <c r="F248" s="10">
        <v>33.024</v>
      </c>
      <c r="G248" s="11">
        <v>17.7326</v>
      </c>
      <c r="H248" s="8" t="s">
        <v>117</v>
      </c>
      <c r="I248" s="12">
        <v>1382876.0</v>
      </c>
      <c r="J248" s="11">
        <v>26.8609</v>
      </c>
      <c r="K248" s="13">
        <v>1.8165</v>
      </c>
      <c r="L248" s="13">
        <v>2.7726</v>
      </c>
      <c r="M248" s="13">
        <v>391819.5</v>
      </c>
      <c r="N248" s="13">
        <v>5.0027</v>
      </c>
      <c r="O248" s="12">
        <v>7.37610265E8</v>
      </c>
      <c r="P248" s="13">
        <v>44.1172</v>
      </c>
      <c r="Q248" s="13">
        <v>30.4108</v>
      </c>
      <c r="R248" s="11">
        <v>70.591</v>
      </c>
      <c r="S248" s="13">
        <v>28.7034</v>
      </c>
      <c r="T248" s="13">
        <v>28.5501</v>
      </c>
      <c r="U248" s="13">
        <v>28.3944</v>
      </c>
      <c r="V248" s="13">
        <v>27.706</v>
      </c>
      <c r="W248" s="13">
        <v>27.4251</v>
      </c>
      <c r="X248" s="13">
        <v>25.3485</v>
      </c>
      <c r="Y248" s="13">
        <v>20.835</v>
      </c>
      <c r="Z248" s="13">
        <v>17.6431</v>
      </c>
      <c r="AA248" s="13">
        <v>37.77</v>
      </c>
      <c r="AB248" s="13">
        <v>39.3565</v>
      </c>
      <c r="AC248" s="13">
        <v>0.8391</v>
      </c>
      <c r="AD248" s="13">
        <v>8.7651</v>
      </c>
      <c r="AE248" s="13">
        <v>8.8853</v>
      </c>
      <c r="AF248" s="13">
        <v>12.471</v>
      </c>
      <c r="AG248" s="13">
        <v>0.0729</v>
      </c>
      <c r="AH248" s="13">
        <v>4.0327</v>
      </c>
      <c r="AI248" s="13">
        <v>0.9356</v>
      </c>
      <c r="AJ248" s="11">
        <v>1.31</v>
      </c>
      <c r="AK248" s="8" t="s">
        <v>1789</v>
      </c>
      <c r="AL248" s="14">
        <f>IFERROR(__xludf.DUMMYFUNCTION("IFERROR(GOOGLEFINANCE(B248,""price""),"""")"),23.43)</f>
        <v>23.43</v>
      </c>
    </row>
    <row r="249">
      <c r="A249" s="15">
        <v>46071.62864797856</v>
      </c>
      <c r="B249" s="16" t="s">
        <v>1649</v>
      </c>
      <c r="C249" s="16" t="s">
        <v>1650</v>
      </c>
      <c r="D249" s="17">
        <v>46075.0</v>
      </c>
      <c r="E249" s="16" t="s">
        <v>1651</v>
      </c>
      <c r="F249" s="18">
        <v>49.05</v>
      </c>
      <c r="G249" s="19">
        <v>-0.9091</v>
      </c>
      <c r="H249" s="16" t="s">
        <v>93</v>
      </c>
      <c r="I249" s="20">
        <v>3231427.0</v>
      </c>
      <c r="J249" s="19">
        <v>47.2613</v>
      </c>
      <c r="K249" s="21">
        <v>0.4015</v>
      </c>
      <c r="L249" s="21">
        <v>1.5683</v>
      </c>
      <c r="M249" s="16">
        <v>2640619.0</v>
      </c>
      <c r="N249" s="21">
        <v>1.2984</v>
      </c>
      <c r="O249" s="20">
        <v>7.557408538E9</v>
      </c>
      <c r="P249" s="21">
        <v>81.9745</v>
      </c>
      <c r="Q249" s="21">
        <v>86.0276</v>
      </c>
      <c r="R249" s="19">
        <v>68.0407</v>
      </c>
      <c r="S249" s="21">
        <v>48.7575</v>
      </c>
      <c r="T249" s="21">
        <v>48.3108</v>
      </c>
      <c r="U249" s="21">
        <v>47.8757</v>
      </c>
      <c r="V249" s="21">
        <v>47.3355</v>
      </c>
      <c r="W249" s="21">
        <v>47.1753</v>
      </c>
      <c r="X249" s="21">
        <v>46.1942</v>
      </c>
      <c r="Y249" s="21">
        <v>43.869</v>
      </c>
      <c r="Z249" s="21">
        <v>43.0734</v>
      </c>
      <c r="AA249" s="21">
        <v>49.82</v>
      </c>
      <c r="AB249" s="21">
        <v>9.34</v>
      </c>
      <c r="AC249" s="21">
        <v>5.2516</v>
      </c>
      <c r="AD249" s="21">
        <v>16.167</v>
      </c>
      <c r="AE249" s="21">
        <v>34.9751</v>
      </c>
      <c r="AF249" s="21">
        <v>27.4161</v>
      </c>
      <c r="AG249" s="21">
        <v>0.075</v>
      </c>
      <c r="AH249" s="21">
        <v>0.0</v>
      </c>
      <c r="AI249" s="21">
        <v>1.7978</v>
      </c>
      <c r="AJ249" s="19">
        <v>0.51</v>
      </c>
      <c r="AK249" s="16" t="s">
        <v>1790</v>
      </c>
      <c r="AL249" s="22">
        <f>IFERROR(__xludf.DUMMYFUNCTION("IFERROR(GOOGLEFINANCE(B249,""price""),"""")"),51.62)</f>
        <v>51.62</v>
      </c>
    </row>
    <row r="250">
      <c r="A250" s="7">
        <v>46072.625892154465</v>
      </c>
      <c r="B250" s="8" t="s">
        <v>1406</v>
      </c>
      <c r="C250" s="8" t="s">
        <v>1407</v>
      </c>
      <c r="D250" s="9">
        <v>46075.0</v>
      </c>
      <c r="E250" s="8" t="s">
        <v>1408</v>
      </c>
      <c r="F250" s="10">
        <v>10.59</v>
      </c>
      <c r="G250" s="11">
        <v>0.0945</v>
      </c>
      <c r="H250" s="8" t="s">
        <v>93</v>
      </c>
      <c r="I250" s="12">
        <v>607764.0</v>
      </c>
      <c r="J250" s="11">
        <v>36.7233</v>
      </c>
      <c r="K250" s="13">
        <v>0.0328</v>
      </c>
      <c r="L250" s="13">
        <v>0.1442</v>
      </c>
      <c r="M250" s="13">
        <v>404880.2</v>
      </c>
      <c r="N250" s="13">
        <v>1.752</v>
      </c>
      <c r="O250" s="12">
        <v>3.52999994E8</v>
      </c>
      <c r="P250" s="13">
        <v>56.7829</v>
      </c>
      <c r="Q250" s="13">
        <v>60.1975</v>
      </c>
      <c r="R250" s="11">
        <v>57.3881</v>
      </c>
      <c r="S250" s="13">
        <v>10.5862</v>
      </c>
      <c r="T250" s="13">
        <v>10.576</v>
      </c>
      <c r="U250" s="13">
        <v>10.5687</v>
      </c>
      <c r="V250" s="13">
        <v>10.5656</v>
      </c>
      <c r="W250" s="13">
        <v>10.5647</v>
      </c>
      <c r="X250" s="13">
        <v>10.5501</v>
      </c>
      <c r="Y250" s="13">
        <v>10.4409</v>
      </c>
      <c r="Z250" s="13">
        <v>10.4408</v>
      </c>
      <c r="AA250" s="13">
        <v>12.5</v>
      </c>
      <c r="AB250" s="13">
        <v>73.7979</v>
      </c>
      <c r="AC250" s="13">
        <v>0.1435</v>
      </c>
      <c r="AD250" s="13">
        <v>2.333</v>
      </c>
      <c r="AE250" s="13">
        <v>0.0</v>
      </c>
      <c r="AF250" s="13">
        <v>0.0</v>
      </c>
      <c r="AG250" s="13">
        <v>0.0</v>
      </c>
      <c r="AH250" s="13">
        <v>0.5306</v>
      </c>
      <c r="AI250" s="13">
        <v>0.1653</v>
      </c>
      <c r="AJ250" s="11">
        <v>0.45</v>
      </c>
      <c r="AK250" s="8" t="s">
        <v>1679</v>
      </c>
      <c r="AL250" s="14">
        <f>IFERROR(__xludf.DUMMYFUNCTION("IFERROR(GOOGLEFINANCE(B250,""price""),"""")"),10.66)</f>
        <v>10.66</v>
      </c>
    </row>
    <row r="251">
      <c r="A251" s="15">
        <v>46072.625892154465</v>
      </c>
      <c r="B251" s="16" t="s">
        <v>1530</v>
      </c>
      <c r="C251" s="16" t="s">
        <v>1531</v>
      </c>
      <c r="D251" s="17">
        <v>46075.0</v>
      </c>
      <c r="E251" s="16" t="s">
        <v>1532</v>
      </c>
      <c r="F251" s="18">
        <v>10.74</v>
      </c>
      <c r="G251" s="19">
        <v>-0.093</v>
      </c>
      <c r="H251" s="16" t="s">
        <v>93</v>
      </c>
      <c r="I251" s="20">
        <v>725212.0</v>
      </c>
      <c r="J251" s="19">
        <v>56.5689</v>
      </c>
      <c r="K251" s="21">
        <v>0.0243</v>
      </c>
      <c r="L251" s="21">
        <v>0.0477</v>
      </c>
      <c r="M251" s="21">
        <v>171381.7</v>
      </c>
      <c r="N251" s="21">
        <v>4.827</v>
      </c>
      <c r="O251" s="20">
        <v>3.8596875E8</v>
      </c>
      <c r="P251" s="21">
        <v>67.1958</v>
      </c>
      <c r="Q251" s="21">
        <v>61.5344</v>
      </c>
      <c r="R251" s="19">
        <v>59.0382</v>
      </c>
      <c r="S251" s="21">
        <v>10.7326</v>
      </c>
      <c r="T251" s="21">
        <v>10.7103</v>
      </c>
      <c r="U251" s="21">
        <v>10.6924</v>
      </c>
      <c r="V251" s="21">
        <v>10.6748</v>
      </c>
      <c r="W251" s="21">
        <v>10.6698</v>
      </c>
      <c r="X251" s="21">
        <v>10.6372</v>
      </c>
      <c r="Y251" s="21">
        <v>10.5125</v>
      </c>
      <c r="Z251" s="21">
        <v>10.5411</v>
      </c>
      <c r="AA251" s="21">
        <v>10.77</v>
      </c>
      <c r="AB251" s="21">
        <v>31.8222</v>
      </c>
      <c r="AC251" s="21">
        <v>0.3375</v>
      </c>
      <c r="AD251" s="21">
        <v>4.2454</v>
      </c>
      <c r="AE251" s="21">
        <v>0.0</v>
      </c>
      <c r="AF251" s="21">
        <v>0.0</v>
      </c>
      <c r="AG251" s="21">
        <v>0.0</v>
      </c>
      <c r="AH251" s="21">
        <v>3.206</v>
      </c>
      <c r="AI251" s="21">
        <v>0.3738</v>
      </c>
      <c r="AJ251" s="19">
        <v>1.02</v>
      </c>
      <c r="AK251" s="16" t="s">
        <v>1791</v>
      </c>
      <c r="AL251" s="22">
        <f>IFERROR(__xludf.DUMMYFUNCTION("IFERROR(GOOGLEFINANCE(B251,""price""),"""")"),10.79)</f>
        <v>10.79</v>
      </c>
    </row>
    <row r="252">
      <c r="A252" s="7">
        <v>46072.625892154465</v>
      </c>
      <c r="B252" s="8" t="s">
        <v>1786</v>
      </c>
      <c r="C252" s="8" t="s">
        <v>1787</v>
      </c>
      <c r="D252" s="9">
        <v>46075.0</v>
      </c>
      <c r="E252" s="8" t="s">
        <v>1788</v>
      </c>
      <c r="F252" s="10">
        <v>28.505</v>
      </c>
      <c r="G252" s="11">
        <v>-13.7519</v>
      </c>
      <c r="H252" s="8" t="s">
        <v>117</v>
      </c>
      <c r="I252" s="12">
        <v>932856.0</v>
      </c>
      <c r="J252" s="11">
        <v>26.3922</v>
      </c>
      <c r="K252" s="13">
        <v>2.0296</v>
      </c>
      <c r="L252" s="13">
        <v>2.7726</v>
      </c>
      <c r="M252" s="13">
        <v>499171.6</v>
      </c>
      <c r="N252" s="13">
        <v>2.1376</v>
      </c>
      <c r="O252" s="12">
        <v>6.39621591E8</v>
      </c>
      <c r="P252" s="13">
        <v>46.9247</v>
      </c>
      <c r="Q252" s="13">
        <v>39.6412</v>
      </c>
      <c r="R252" s="11">
        <v>49.9077</v>
      </c>
      <c r="S252" s="13">
        <v>28.6638</v>
      </c>
      <c r="T252" s="13">
        <v>28.5481</v>
      </c>
      <c r="U252" s="13">
        <v>28.4021</v>
      </c>
      <c r="V252" s="13">
        <v>27.7383</v>
      </c>
      <c r="W252" s="13">
        <v>27.4645</v>
      </c>
      <c r="X252" s="13">
        <v>25.4192</v>
      </c>
      <c r="Y252" s="13">
        <v>20.9116</v>
      </c>
      <c r="Z252" s="13">
        <v>17.7154</v>
      </c>
      <c r="AA252" s="13">
        <v>37.77</v>
      </c>
      <c r="AB252" s="13">
        <v>33.9709</v>
      </c>
      <c r="AC252" s="13">
        <v>0.8391</v>
      </c>
      <c r="AD252" s="13">
        <v>8.7651</v>
      </c>
      <c r="AE252" s="13">
        <v>8.8853</v>
      </c>
      <c r="AF252" s="13">
        <v>12.471</v>
      </c>
      <c r="AG252" s="13">
        <v>0.0729</v>
      </c>
      <c r="AH252" s="13">
        <v>4.0327</v>
      </c>
      <c r="AI252" s="13">
        <v>0.9179</v>
      </c>
      <c r="AJ252" s="11">
        <v>1.46</v>
      </c>
      <c r="AK252" s="8" t="s">
        <v>1792</v>
      </c>
      <c r="AL252" s="14">
        <f>IFERROR(__xludf.DUMMYFUNCTION("IFERROR(GOOGLEFINANCE(B252,""price""),"""")"),23.43)</f>
        <v>23.43</v>
      </c>
    </row>
    <row r="253">
      <c r="A253" s="15">
        <v>46072.625892154465</v>
      </c>
      <c r="B253" s="16" t="s">
        <v>1793</v>
      </c>
      <c r="C253" s="16" t="s">
        <v>1794</v>
      </c>
      <c r="D253" s="17">
        <v>46075.0</v>
      </c>
      <c r="E253" s="16" t="s">
        <v>1795</v>
      </c>
      <c r="F253" s="18">
        <v>10.355</v>
      </c>
      <c r="G253" s="19">
        <v>24.012</v>
      </c>
      <c r="H253" s="16" t="s">
        <v>308</v>
      </c>
      <c r="I253" s="20">
        <v>4494118.0</v>
      </c>
      <c r="J253" s="19">
        <v>21.538</v>
      </c>
      <c r="K253" s="21">
        <v>1.02</v>
      </c>
      <c r="L253" s="21">
        <v>1.6233</v>
      </c>
      <c r="M253" s="16">
        <v>1694162.0</v>
      </c>
      <c r="N253" s="21">
        <v>3.0682</v>
      </c>
      <c r="O253" s="20">
        <v>2.53857906E8</v>
      </c>
      <c r="P253" s="21">
        <v>38.4697</v>
      </c>
      <c r="Q253" s="21">
        <v>23.8501</v>
      </c>
      <c r="R253" s="19">
        <v>58.0131</v>
      </c>
      <c r="S253" s="21">
        <v>9.1538</v>
      </c>
      <c r="T253" s="21">
        <v>9.271</v>
      </c>
      <c r="U253" s="21">
        <v>9.0562</v>
      </c>
      <c r="V253" s="21">
        <v>8.6592</v>
      </c>
      <c r="W253" s="21">
        <v>8.5358</v>
      </c>
      <c r="X253" s="21">
        <v>7.8026</v>
      </c>
      <c r="Y253" s="21">
        <v>6.2954</v>
      </c>
      <c r="Z253" s="21">
        <v>5.8262</v>
      </c>
      <c r="AA253" s="21">
        <v>12.75</v>
      </c>
      <c r="AB253" s="21">
        <v>0.0</v>
      </c>
      <c r="AC253" s="21">
        <v>-0.3244</v>
      </c>
      <c r="AD253" s="21">
        <v>-24.2597</v>
      </c>
      <c r="AE253" s="21">
        <v>-10.4617</v>
      </c>
      <c r="AF253" s="21">
        <v>14.3325</v>
      </c>
      <c r="AG253" s="21">
        <v>0.2467</v>
      </c>
      <c r="AH253" s="21">
        <v>2.7981</v>
      </c>
      <c r="AI253" s="21">
        <v>0.9427</v>
      </c>
      <c r="AJ253" s="19">
        <v>1.26</v>
      </c>
      <c r="AK253" s="16" t="s">
        <v>1796</v>
      </c>
      <c r="AL253" s="22">
        <f>IFERROR(__xludf.DUMMYFUNCTION("IFERROR(GOOGLEFINANCE(B253,""price""),"""")"),7.8)</f>
        <v>7.8</v>
      </c>
    </row>
    <row r="254">
      <c r="A254" s="7">
        <v>46072.625892154465</v>
      </c>
      <c r="B254" s="8" t="s">
        <v>1797</v>
      </c>
      <c r="C254" s="8" t="s">
        <v>1798</v>
      </c>
      <c r="D254" s="9">
        <v>46075.0</v>
      </c>
      <c r="E254" s="8" t="s">
        <v>1799</v>
      </c>
      <c r="F254" s="10">
        <v>24.51</v>
      </c>
      <c r="G254" s="11">
        <v>0.4508</v>
      </c>
      <c r="H254" s="8" t="s">
        <v>93</v>
      </c>
      <c r="I254" s="12">
        <v>825214.0</v>
      </c>
      <c r="J254" s="11">
        <v>49.554</v>
      </c>
      <c r="K254" s="13">
        <v>0.2313</v>
      </c>
      <c r="L254" s="13">
        <v>0.6114</v>
      </c>
      <c r="M254" s="13">
        <v>121920.1</v>
      </c>
      <c r="N254" s="13">
        <v>18.3144</v>
      </c>
      <c r="O254" s="12">
        <v>0.0</v>
      </c>
      <c r="P254" s="13">
        <v>70.7273</v>
      </c>
      <c r="Q254" s="13">
        <v>61.7457</v>
      </c>
      <c r="R254" s="11">
        <v>66.2193</v>
      </c>
      <c r="S254" s="13">
        <v>24.3528</v>
      </c>
      <c r="T254" s="13">
        <v>24.2445</v>
      </c>
      <c r="U254" s="13">
        <v>24.1165</v>
      </c>
      <c r="V254" s="13">
        <v>23.9307</v>
      </c>
      <c r="W254" s="13">
        <v>23.8721</v>
      </c>
      <c r="X254" s="13">
        <v>23.5274</v>
      </c>
      <c r="Y254" s="13">
        <v>23.1981</v>
      </c>
      <c r="Z254" s="13">
        <v>22.4838</v>
      </c>
      <c r="AA254" s="13">
        <v>24.84</v>
      </c>
      <c r="AB254" s="13">
        <v>0.0</v>
      </c>
      <c r="AC254" s="13">
        <v>0.0</v>
      </c>
      <c r="AD254" s="13">
        <v>0.0</v>
      </c>
      <c r="AE254" s="13">
        <v>0.0</v>
      </c>
      <c r="AF254" s="13">
        <v>0.0</v>
      </c>
      <c r="AG254" s="13">
        <v>0.0</v>
      </c>
      <c r="AH254" s="13">
        <v>0.0</v>
      </c>
      <c r="AI254" s="13">
        <v>0.964</v>
      </c>
      <c r="AJ254" s="11">
        <v>0.76</v>
      </c>
      <c r="AK254" s="8" t="s">
        <v>1800</v>
      </c>
      <c r="AL254" s="14" t="str">
        <f>IFERROR(__xludf.DUMMYFUNCTION("IFERROR(GOOGLEFINANCE(B254,""price""),"""")"),"")</f>
        <v/>
      </c>
    </row>
    <row r="255">
      <c r="A255" s="15">
        <v>46072.625892154465</v>
      </c>
      <c r="B255" s="16" t="s">
        <v>1801</v>
      </c>
      <c r="C255" s="16" t="s">
        <v>1802</v>
      </c>
      <c r="D255" s="17">
        <v>46075.0</v>
      </c>
      <c r="E255" s="16" t="s">
        <v>1803</v>
      </c>
      <c r="F255" s="18">
        <v>114.15</v>
      </c>
      <c r="G255" s="19">
        <v>-2.3775</v>
      </c>
      <c r="H255" s="16" t="s">
        <v>93</v>
      </c>
      <c r="I255" s="20">
        <v>799406.0</v>
      </c>
      <c r="J255" s="19">
        <v>25.8425</v>
      </c>
      <c r="K255" s="21">
        <v>3.7751</v>
      </c>
      <c r="L255" s="21">
        <v>6.665</v>
      </c>
      <c r="M255" s="21">
        <v>616581.6</v>
      </c>
      <c r="N255" s="21">
        <v>1.3332</v>
      </c>
      <c r="O255" s="20">
        <v>7.758759112E9</v>
      </c>
      <c r="P255" s="21">
        <v>44.0084</v>
      </c>
      <c r="Q255" s="21">
        <v>39.7103</v>
      </c>
      <c r="R255" s="19">
        <v>48.5838</v>
      </c>
      <c r="S255" s="21">
        <v>115.5688</v>
      </c>
      <c r="T255" s="21">
        <v>115.4557</v>
      </c>
      <c r="U255" s="21">
        <v>113.9683</v>
      </c>
      <c r="V255" s="21">
        <v>111.8725</v>
      </c>
      <c r="W255" s="21">
        <v>111.2477</v>
      </c>
      <c r="X255" s="21">
        <v>107.5743</v>
      </c>
      <c r="Y255" s="21">
        <v>100.0506</v>
      </c>
      <c r="Z255" s="21">
        <v>97.181</v>
      </c>
      <c r="AA255" s="21">
        <v>123.61</v>
      </c>
      <c r="AB255" s="21">
        <v>0.0</v>
      </c>
      <c r="AC255" s="21">
        <v>-0.3378</v>
      </c>
      <c r="AD255" s="21">
        <v>0.2739</v>
      </c>
      <c r="AE255" s="21">
        <v>-0.2095</v>
      </c>
      <c r="AF255" s="21">
        <v>104.3106</v>
      </c>
      <c r="AG255" s="21">
        <v>0.463</v>
      </c>
      <c r="AH255" s="21">
        <v>0.0</v>
      </c>
      <c r="AI255" s="21">
        <v>1.4021</v>
      </c>
      <c r="AJ255" s="19">
        <v>1.13</v>
      </c>
      <c r="AK255" s="24"/>
      <c r="AL255" s="22">
        <f>IFERROR(__xludf.DUMMYFUNCTION("IFERROR(GOOGLEFINANCE(B255,""price""),"""")"),101.62)</f>
        <v>101.62</v>
      </c>
    </row>
    <row r="256">
      <c r="A256" s="7">
        <v>46072.86656771406</v>
      </c>
      <c r="B256" s="8" t="s">
        <v>1406</v>
      </c>
      <c r="C256" s="8" t="s">
        <v>1407</v>
      </c>
      <c r="D256" s="9">
        <v>46075.0</v>
      </c>
      <c r="E256" s="8" t="s">
        <v>1408</v>
      </c>
      <c r="F256" s="10">
        <v>10.61</v>
      </c>
      <c r="G256" s="11">
        <v>0.2836</v>
      </c>
      <c r="H256" s="8" t="s">
        <v>93</v>
      </c>
      <c r="I256" s="12">
        <v>611192.0</v>
      </c>
      <c r="J256" s="11">
        <v>36.7233</v>
      </c>
      <c r="K256" s="13">
        <v>0.0328</v>
      </c>
      <c r="L256" s="13">
        <v>0.1442</v>
      </c>
      <c r="M256" s="13">
        <v>405223.0</v>
      </c>
      <c r="N256" s="13">
        <v>1.7619</v>
      </c>
      <c r="O256" s="12">
        <v>3.53666661E8</v>
      </c>
      <c r="P256" s="13">
        <v>67.1189</v>
      </c>
      <c r="Q256" s="13">
        <v>63.6428</v>
      </c>
      <c r="R256" s="11">
        <v>62.9783</v>
      </c>
      <c r="S256" s="13">
        <v>10.5907</v>
      </c>
      <c r="T256" s="13">
        <v>10.5778</v>
      </c>
      <c r="U256" s="13">
        <v>10.5698</v>
      </c>
      <c r="V256" s="13">
        <v>10.5663</v>
      </c>
      <c r="W256" s="13">
        <v>10.5654</v>
      </c>
      <c r="X256" s="13">
        <v>10.5505</v>
      </c>
      <c r="Y256" s="13">
        <v>10.4411</v>
      </c>
      <c r="Z256" s="13">
        <v>10.4409</v>
      </c>
      <c r="AA256" s="13">
        <v>12.5</v>
      </c>
      <c r="AB256" s="13">
        <v>73.9373</v>
      </c>
      <c r="AC256" s="13">
        <v>0.1435</v>
      </c>
      <c r="AD256" s="13">
        <v>2.333</v>
      </c>
      <c r="AE256" s="13">
        <v>0.0</v>
      </c>
      <c r="AF256" s="13">
        <v>0.0</v>
      </c>
      <c r="AG256" s="13">
        <v>0.0</v>
      </c>
      <c r="AH256" s="13">
        <v>0.5306</v>
      </c>
      <c r="AI256" s="13">
        <v>0.1961</v>
      </c>
      <c r="AJ256" s="11">
        <v>0.45</v>
      </c>
      <c r="AK256" s="8" t="s">
        <v>1679</v>
      </c>
      <c r="AL256" s="14">
        <f>IFERROR(__xludf.DUMMYFUNCTION("IFERROR(GOOGLEFINANCE(B256,""price""),"""")"),10.66)</f>
        <v>10.66</v>
      </c>
    </row>
    <row r="257">
      <c r="A257" s="15">
        <v>46072.86656771406</v>
      </c>
      <c r="B257" s="16" t="s">
        <v>1530</v>
      </c>
      <c r="C257" s="16" t="s">
        <v>1531</v>
      </c>
      <c r="D257" s="17">
        <v>46075.0</v>
      </c>
      <c r="E257" s="16" t="s">
        <v>1532</v>
      </c>
      <c r="F257" s="18">
        <v>10.74</v>
      </c>
      <c r="G257" s="19">
        <v>-0.093</v>
      </c>
      <c r="H257" s="16" t="s">
        <v>93</v>
      </c>
      <c r="I257" s="20">
        <v>725215.0</v>
      </c>
      <c r="J257" s="19">
        <v>56.5689</v>
      </c>
      <c r="K257" s="21">
        <v>0.0243</v>
      </c>
      <c r="L257" s="21">
        <v>0.0477</v>
      </c>
      <c r="M257" s="21">
        <v>171382.0</v>
      </c>
      <c r="N257" s="21">
        <v>4.8271</v>
      </c>
      <c r="O257" s="20">
        <v>3.8596875E8</v>
      </c>
      <c r="P257" s="21">
        <v>67.1958</v>
      </c>
      <c r="Q257" s="21">
        <v>61.5344</v>
      </c>
      <c r="R257" s="19">
        <v>59.0382</v>
      </c>
      <c r="S257" s="21">
        <v>10.7326</v>
      </c>
      <c r="T257" s="21">
        <v>10.7103</v>
      </c>
      <c r="U257" s="21">
        <v>10.6924</v>
      </c>
      <c r="V257" s="21">
        <v>10.6748</v>
      </c>
      <c r="W257" s="21">
        <v>10.6698</v>
      </c>
      <c r="X257" s="21">
        <v>10.6372</v>
      </c>
      <c r="Y257" s="21">
        <v>10.5125</v>
      </c>
      <c r="Z257" s="21">
        <v>10.5411</v>
      </c>
      <c r="AA257" s="21">
        <v>10.77</v>
      </c>
      <c r="AB257" s="21">
        <v>31.8222</v>
      </c>
      <c r="AC257" s="21">
        <v>0.3375</v>
      </c>
      <c r="AD257" s="21">
        <v>4.2454</v>
      </c>
      <c r="AE257" s="21">
        <v>0.0</v>
      </c>
      <c r="AF257" s="21">
        <v>0.0</v>
      </c>
      <c r="AG257" s="21">
        <v>0.0</v>
      </c>
      <c r="AH257" s="21">
        <v>3.206</v>
      </c>
      <c r="AI257" s="21">
        <v>0.3738</v>
      </c>
      <c r="AJ257" s="19">
        <v>1.02</v>
      </c>
      <c r="AK257" s="16" t="s">
        <v>1791</v>
      </c>
      <c r="AL257" s="22">
        <f>IFERROR(__xludf.DUMMYFUNCTION("IFERROR(GOOGLEFINANCE(B257,""price""),"""")"),10.79)</f>
        <v>10.79</v>
      </c>
    </row>
    <row r="258">
      <c r="A258" s="7">
        <v>46072.86656771406</v>
      </c>
      <c r="B258" s="8" t="s">
        <v>1804</v>
      </c>
      <c r="C258" s="8" t="s">
        <v>1805</v>
      </c>
      <c r="D258" s="9">
        <v>46075.0</v>
      </c>
      <c r="E258" s="8" t="s">
        <v>1806</v>
      </c>
      <c r="F258" s="10">
        <v>106.78</v>
      </c>
      <c r="G258" s="11">
        <v>1.0122</v>
      </c>
      <c r="H258" s="8" t="s">
        <v>117</v>
      </c>
      <c r="I258" s="12">
        <v>951015.0</v>
      </c>
      <c r="J258" s="11">
        <v>20.3381</v>
      </c>
      <c r="K258" s="13">
        <v>5.7879</v>
      </c>
      <c r="L258" s="13">
        <v>9.7425</v>
      </c>
      <c r="M258" s="13">
        <v>690123.8</v>
      </c>
      <c r="N258" s="13">
        <v>1.2861</v>
      </c>
      <c r="O258" s="12">
        <v>4.940845026E9</v>
      </c>
      <c r="P258" s="13">
        <v>50.5053</v>
      </c>
      <c r="Q258" s="13">
        <v>43.5011</v>
      </c>
      <c r="R258" s="11">
        <v>50.3465</v>
      </c>
      <c r="S258" s="13">
        <v>106.2676</v>
      </c>
      <c r="T258" s="13">
        <v>106.9021</v>
      </c>
      <c r="U258" s="13">
        <v>105.8258</v>
      </c>
      <c r="V258" s="13">
        <v>102.9133</v>
      </c>
      <c r="W258" s="13">
        <v>101.7841</v>
      </c>
      <c r="X258" s="13">
        <v>93.1086</v>
      </c>
      <c r="Y258" s="13">
        <v>69.4479</v>
      </c>
      <c r="Z258" s="13">
        <v>59.1067</v>
      </c>
      <c r="AA258" s="13">
        <v>120.315</v>
      </c>
      <c r="AB258" s="13">
        <v>0.0</v>
      </c>
      <c r="AC258" s="13">
        <v>-3.6714</v>
      </c>
      <c r="AD258" s="13">
        <v>-122.0393</v>
      </c>
      <c r="AE258" s="13">
        <v>0.0</v>
      </c>
      <c r="AF258" s="13">
        <v>0.0</v>
      </c>
      <c r="AG258" s="13">
        <v>2.7389</v>
      </c>
      <c r="AH258" s="13">
        <v>12.2576</v>
      </c>
      <c r="AI258" s="13">
        <v>0.4138</v>
      </c>
      <c r="AJ258" s="11">
        <v>1.19</v>
      </c>
      <c r="AK258" s="8" t="s">
        <v>1267</v>
      </c>
      <c r="AL258" s="14">
        <f>IFERROR(__xludf.DUMMYFUNCTION("IFERROR(GOOGLEFINANCE(B258,""price""),"""")"),117.14)</f>
        <v>117.14</v>
      </c>
    </row>
    <row r="259">
      <c r="A259" s="15">
        <v>46072.86656771406</v>
      </c>
      <c r="B259" s="16" t="s">
        <v>1656</v>
      </c>
      <c r="C259" s="16" t="s">
        <v>1657</v>
      </c>
      <c r="D259" s="17">
        <v>46075.0</v>
      </c>
      <c r="E259" s="16" t="s">
        <v>1658</v>
      </c>
      <c r="F259" s="18">
        <v>44.54</v>
      </c>
      <c r="G259" s="19">
        <v>0.0899</v>
      </c>
      <c r="H259" s="16" t="s">
        <v>88</v>
      </c>
      <c r="I259" s="20">
        <v>402954.0</v>
      </c>
      <c r="J259" s="19">
        <v>38.2581</v>
      </c>
      <c r="K259" s="21">
        <v>0.1584</v>
      </c>
      <c r="L259" s="21">
        <v>1.6038</v>
      </c>
      <c r="M259" s="21">
        <v>288316.0</v>
      </c>
      <c r="N259" s="21">
        <v>1.5123</v>
      </c>
      <c r="O259" s="20">
        <v>6.16638769E8</v>
      </c>
      <c r="P259" s="21">
        <v>10.912</v>
      </c>
      <c r="Q259" s="21">
        <v>24.9333</v>
      </c>
      <c r="R259" s="19">
        <v>52.9877</v>
      </c>
      <c r="S259" s="21">
        <v>44.5904</v>
      </c>
      <c r="T259" s="21">
        <v>44.5908</v>
      </c>
      <c r="U259" s="21">
        <v>44.2158</v>
      </c>
      <c r="V259" s="21">
        <v>43.0709</v>
      </c>
      <c r="W259" s="21">
        <v>42.6115</v>
      </c>
      <c r="X259" s="21">
        <v>39.1619</v>
      </c>
      <c r="Y259" s="21">
        <v>31.1662</v>
      </c>
      <c r="Z259" s="21">
        <v>27.1202</v>
      </c>
      <c r="AA259" s="21">
        <v>44.88</v>
      </c>
      <c r="AB259" s="21">
        <v>0.0</v>
      </c>
      <c r="AC259" s="21">
        <v>-4.9273</v>
      </c>
      <c r="AD259" s="21">
        <v>-28.6468</v>
      </c>
      <c r="AE259" s="21">
        <v>-70.4578</v>
      </c>
      <c r="AF259" s="21">
        <v>16.3974</v>
      </c>
      <c r="AG259" s="21">
        <v>0.069</v>
      </c>
      <c r="AH259" s="21">
        <v>2.5494</v>
      </c>
      <c r="AI259" s="21">
        <v>0.8412</v>
      </c>
      <c r="AJ259" s="19">
        <v>0.2</v>
      </c>
      <c r="AK259" s="16" t="s">
        <v>1807</v>
      </c>
      <c r="AL259" s="22" t="str">
        <f>IFERROR(__xludf.DUMMYFUNCTION("IFERROR(GOOGLEFINANCE(B259,""price""),"""")"),"")</f>
        <v/>
      </c>
    </row>
    <row r="260">
      <c r="A260" s="7">
        <v>46072.86656771406</v>
      </c>
      <c r="B260" s="8" t="s">
        <v>1808</v>
      </c>
      <c r="C260" s="8" t="s">
        <v>1809</v>
      </c>
      <c r="D260" s="9">
        <v>46075.0</v>
      </c>
      <c r="E260" s="8" t="s">
        <v>1810</v>
      </c>
      <c r="F260" s="10">
        <v>101.53</v>
      </c>
      <c r="G260" s="11">
        <v>-0.7333</v>
      </c>
      <c r="H260" s="8" t="s">
        <v>117</v>
      </c>
      <c r="I260" s="12">
        <v>2843791.0</v>
      </c>
      <c r="J260" s="11">
        <v>23.6057</v>
      </c>
      <c r="K260" s="13">
        <v>7.4879</v>
      </c>
      <c r="L260" s="13">
        <v>14.2339</v>
      </c>
      <c r="M260" s="13">
        <v>844558.8</v>
      </c>
      <c r="N260" s="13">
        <v>4.3775</v>
      </c>
      <c r="O260" s="12">
        <v>3.957865106E9</v>
      </c>
      <c r="P260" s="13">
        <v>50.1286</v>
      </c>
      <c r="Q260" s="13">
        <v>39.6674</v>
      </c>
      <c r="R260" s="11">
        <v>51.694</v>
      </c>
      <c r="S260" s="13">
        <v>100.2807</v>
      </c>
      <c r="T260" s="13">
        <v>100.3168</v>
      </c>
      <c r="U260" s="13">
        <v>99.3834</v>
      </c>
      <c r="V260" s="13">
        <v>97.1853</v>
      </c>
      <c r="W260" s="13">
        <v>96.3291</v>
      </c>
      <c r="X260" s="13">
        <v>89.6715</v>
      </c>
      <c r="Y260" s="13">
        <v>70.7854</v>
      </c>
      <c r="Z260" s="13">
        <v>64.4877</v>
      </c>
      <c r="AA260" s="13">
        <v>118.84</v>
      </c>
      <c r="AB260" s="13">
        <v>0.0</v>
      </c>
      <c r="AC260" s="13">
        <v>-11.6073</v>
      </c>
      <c r="AD260" s="13">
        <v>-16.8299</v>
      </c>
      <c r="AE260" s="13">
        <v>-385.9759</v>
      </c>
      <c r="AF260" s="13">
        <v>20.5305</v>
      </c>
      <c r="AG260" s="13">
        <v>0.0262</v>
      </c>
      <c r="AH260" s="13">
        <v>7.6115</v>
      </c>
      <c r="AI260" s="13">
        <v>0.8837</v>
      </c>
      <c r="AJ260" s="11">
        <v>1.05</v>
      </c>
      <c r="AK260" s="8" t="s">
        <v>1349</v>
      </c>
      <c r="AL260" s="14">
        <f>IFERROR(__xludf.DUMMYFUNCTION("IFERROR(GOOGLEFINANCE(B260,""price""),"""")"),45.63)</f>
        <v>45.63</v>
      </c>
    </row>
    <row r="261">
      <c r="A261" s="15">
        <v>46072.86656771406</v>
      </c>
      <c r="B261" s="16" t="s">
        <v>1797</v>
      </c>
      <c r="C261" s="16" t="s">
        <v>1798</v>
      </c>
      <c r="D261" s="17">
        <v>46075.0</v>
      </c>
      <c r="E261" s="16" t="s">
        <v>1799</v>
      </c>
      <c r="F261" s="18">
        <v>24.51</v>
      </c>
      <c r="G261" s="19">
        <v>0.4508</v>
      </c>
      <c r="H261" s="16" t="s">
        <v>93</v>
      </c>
      <c r="I261" s="20">
        <v>825883.0</v>
      </c>
      <c r="J261" s="19">
        <v>49.554</v>
      </c>
      <c r="K261" s="21">
        <v>0.2313</v>
      </c>
      <c r="L261" s="21">
        <v>0.6114</v>
      </c>
      <c r="M261" s="21">
        <v>121987.0</v>
      </c>
      <c r="N261" s="21">
        <v>18.3292</v>
      </c>
      <c r="O261" s="20">
        <v>0.0</v>
      </c>
      <c r="P261" s="21">
        <v>70.7273</v>
      </c>
      <c r="Q261" s="21">
        <v>61.7457</v>
      </c>
      <c r="R261" s="19">
        <v>66.2193</v>
      </c>
      <c r="S261" s="21">
        <v>24.3528</v>
      </c>
      <c r="T261" s="21">
        <v>24.2445</v>
      </c>
      <c r="U261" s="21">
        <v>24.1165</v>
      </c>
      <c r="V261" s="21">
        <v>23.9307</v>
      </c>
      <c r="W261" s="21">
        <v>23.8721</v>
      </c>
      <c r="X261" s="21">
        <v>23.5274</v>
      </c>
      <c r="Y261" s="21">
        <v>23.1981</v>
      </c>
      <c r="Z261" s="21">
        <v>22.4838</v>
      </c>
      <c r="AA261" s="21">
        <v>24.84</v>
      </c>
      <c r="AB261" s="21">
        <v>0.0</v>
      </c>
      <c r="AC261" s="21">
        <v>0.0</v>
      </c>
      <c r="AD261" s="21">
        <v>0.0</v>
      </c>
      <c r="AE261" s="21">
        <v>0.0</v>
      </c>
      <c r="AF261" s="21">
        <v>0.0</v>
      </c>
      <c r="AG261" s="21">
        <v>0.0</v>
      </c>
      <c r="AH261" s="21">
        <v>0.0</v>
      </c>
      <c r="AI261" s="21">
        <v>0.964</v>
      </c>
      <c r="AJ261" s="19">
        <v>0.76</v>
      </c>
      <c r="AK261" s="16" t="s">
        <v>1800</v>
      </c>
      <c r="AL261" s="22" t="str">
        <f>IFERROR(__xludf.DUMMYFUNCTION("IFERROR(GOOGLEFINANCE(B261,""price""),"""")"),"")</f>
        <v/>
      </c>
    </row>
    <row r="262">
      <c r="A262" s="7">
        <v>46072.86656771406</v>
      </c>
      <c r="B262" s="8" t="s">
        <v>1811</v>
      </c>
      <c r="C262" s="8" t="s">
        <v>1812</v>
      </c>
      <c r="D262" s="9">
        <v>46075.0</v>
      </c>
      <c r="E262" s="8" t="s">
        <v>1813</v>
      </c>
      <c r="F262" s="10">
        <v>41.07</v>
      </c>
      <c r="G262" s="11">
        <v>2.9323</v>
      </c>
      <c r="H262" s="8" t="s">
        <v>308</v>
      </c>
      <c r="I262" s="12">
        <v>1402037.0</v>
      </c>
      <c r="J262" s="11">
        <v>20.1403</v>
      </c>
      <c r="K262" s="13">
        <v>1.5114</v>
      </c>
      <c r="L262" s="13">
        <v>2.9754</v>
      </c>
      <c r="M262" s="13">
        <v>986818.9</v>
      </c>
      <c r="N262" s="13">
        <v>1.3409</v>
      </c>
      <c r="O262" s="12">
        <v>1.0925718359E10</v>
      </c>
      <c r="P262" s="13">
        <v>56.5781</v>
      </c>
      <c r="Q262" s="13">
        <v>37.3822</v>
      </c>
      <c r="R262" s="11">
        <v>57.5605</v>
      </c>
      <c r="S262" s="13">
        <v>39.5279</v>
      </c>
      <c r="T262" s="13">
        <v>39.4834</v>
      </c>
      <c r="U262" s="13">
        <v>39.108</v>
      </c>
      <c r="V262" s="13">
        <v>38.7411</v>
      </c>
      <c r="W262" s="13">
        <v>38.6778</v>
      </c>
      <c r="X262" s="13">
        <v>38.624</v>
      </c>
      <c r="Y262" s="13">
        <v>38.3469</v>
      </c>
      <c r="Z262" s="13">
        <v>40.7332</v>
      </c>
      <c r="AA262" s="13">
        <v>49.31</v>
      </c>
      <c r="AB262" s="13">
        <v>41.6574</v>
      </c>
      <c r="AC262" s="13">
        <v>0.9859</v>
      </c>
      <c r="AD262" s="13">
        <v>10.3475</v>
      </c>
      <c r="AE262" s="13">
        <v>9.6666</v>
      </c>
      <c r="AF262" s="13">
        <v>12.268</v>
      </c>
      <c r="AG262" s="13">
        <v>0.1779</v>
      </c>
      <c r="AH262" s="13">
        <v>2.0018</v>
      </c>
      <c r="AI262" s="13">
        <v>1.0225</v>
      </c>
      <c r="AJ262" s="11">
        <v>1.02</v>
      </c>
      <c r="AK262" s="23"/>
      <c r="AL262" s="14">
        <f>IFERROR(__xludf.DUMMYFUNCTION("IFERROR(GOOGLEFINANCE(B262,""price""),"""")"),46.06)</f>
        <v>46.06</v>
      </c>
    </row>
    <row r="263">
      <c r="A263" s="15">
        <v>46072.86656771406</v>
      </c>
      <c r="B263" s="16" t="s">
        <v>1793</v>
      </c>
      <c r="C263" s="16" t="s">
        <v>1794</v>
      </c>
      <c r="D263" s="17">
        <v>46075.0</v>
      </c>
      <c r="E263" s="16" t="s">
        <v>1795</v>
      </c>
      <c r="F263" s="18">
        <v>10.54</v>
      </c>
      <c r="G263" s="19">
        <v>26.2275</v>
      </c>
      <c r="H263" s="16" t="s">
        <v>308</v>
      </c>
      <c r="I263" s="20">
        <v>5083728.0</v>
      </c>
      <c r="J263" s="19">
        <v>21.7625</v>
      </c>
      <c r="K263" s="21">
        <v>1.0379</v>
      </c>
      <c r="L263" s="21">
        <v>1.6412</v>
      </c>
      <c r="M263" s="16">
        <v>1753123.0</v>
      </c>
      <c r="N263" s="21">
        <v>3.4708</v>
      </c>
      <c r="O263" s="20">
        <v>2.58393272E8</v>
      </c>
      <c r="P263" s="21">
        <v>39.8378</v>
      </c>
      <c r="Q263" s="21">
        <v>24.3062</v>
      </c>
      <c r="R263" s="19">
        <v>58.9899</v>
      </c>
      <c r="S263" s="21">
        <v>9.1949</v>
      </c>
      <c r="T263" s="21">
        <v>9.2878</v>
      </c>
      <c r="U263" s="21">
        <v>9.0667</v>
      </c>
      <c r="V263" s="21">
        <v>8.6665</v>
      </c>
      <c r="W263" s="21">
        <v>8.5424</v>
      </c>
      <c r="X263" s="21">
        <v>7.8067</v>
      </c>
      <c r="Y263" s="21">
        <v>6.2972</v>
      </c>
      <c r="Z263" s="21">
        <v>5.8271</v>
      </c>
      <c r="AA263" s="21">
        <v>12.75</v>
      </c>
      <c r="AB263" s="21">
        <v>0.0</v>
      </c>
      <c r="AC263" s="21">
        <v>-0.3244</v>
      </c>
      <c r="AD263" s="21">
        <v>-24.2597</v>
      </c>
      <c r="AE263" s="21">
        <v>-10.4617</v>
      </c>
      <c r="AF263" s="21">
        <v>14.3325</v>
      </c>
      <c r="AG263" s="21">
        <v>0.2467</v>
      </c>
      <c r="AH263" s="21">
        <v>2.7981</v>
      </c>
      <c r="AI263" s="21">
        <v>1.2159</v>
      </c>
      <c r="AJ263" s="19">
        <v>1.26</v>
      </c>
      <c r="AK263" s="16" t="s">
        <v>1814</v>
      </c>
      <c r="AL263" s="22">
        <f>IFERROR(__xludf.DUMMYFUNCTION("IFERROR(GOOGLEFINANCE(B263,""price""),"""")"),7.8)</f>
        <v>7.8</v>
      </c>
    </row>
    <row r="264">
      <c r="A264" s="7">
        <v>46072.86656771406</v>
      </c>
      <c r="B264" s="8" t="s">
        <v>1815</v>
      </c>
      <c r="C264" s="8" t="s">
        <v>1816</v>
      </c>
      <c r="D264" s="9">
        <v>46075.0</v>
      </c>
      <c r="E264" s="8" t="s">
        <v>1817</v>
      </c>
      <c r="F264" s="10">
        <v>2.52</v>
      </c>
      <c r="G264" s="11">
        <v>5.0</v>
      </c>
      <c r="H264" s="8" t="s">
        <v>117</v>
      </c>
      <c r="I264" s="12">
        <v>708877.0</v>
      </c>
      <c r="J264" s="11">
        <v>21.311</v>
      </c>
      <c r="K264" s="13">
        <v>0.2492</v>
      </c>
      <c r="L264" s="13">
        <v>0.4495</v>
      </c>
      <c r="M264" s="13">
        <v>458767.1</v>
      </c>
      <c r="N264" s="13">
        <v>1.5287</v>
      </c>
      <c r="O264" s="12">
        <v>1.82071969E8</v>
      </c>
      <c r="P264" s="13">
        <v>36.0619</v>
      </c>
      <c r="Q264" s="13">
        <v>29.0318</v>
      </c>
      <c r="R264" s="11">
        <v>52.0643</v>
      </c>
      <c r="S264" s="13">
        <v>2.4341</v>
      </c>
      <c r="T264" s="13">
        <v>2.4758</v>
      </c>
      <c r="U264" s="13">
        <v>2.4032</v>
      </c>
      <c r="V264" s="13">
        <v>2.2809</v>
      </c>
      <c r="W264" s="13">
        <v>2.2454</v>
      </c>
      <c r="X264" s="13">
        <v>2.063</v>
      </c>
      <c r="Y264" s="13">
        <v>2.1007</v>
      </c>
      <c r="Z264" s="13">
        <v>1.6379</v>
      </c>
      <c r="AA264" s="13">
        <v>3.95</v>
      </c>
      <c r="AB264" s="13">
        <v>0.0</v>
      </c>
      <c r="AC264" s="13">
        <v>-2.0832</v>
      </c>
      <c r="AD264" s="13">
        <v>-49.1814</v>
      </c>
      <c r="AE264" s="13">
        <v>-567.9509</v>
      </c>
      <c r="AF264" s="13">
        <v>-33.7648</v>
      </c>
      <c r="AG264" s="13">
        <v>0.16</v>
      </c>
      <c r="AH264" s="13">
        <v>7.7567</v>
      </c>
      <c r="AI264" s="13">
        <v>1.2264</v>
      </c>
      <c r="AJ264" s="11">
        <v>1.11</v>
      </c>
      <c r="AK264" s="23"/>
      <c r="AL264" s="14">
        <f>IFERROR(__xludf.DUMMYFUNCTION("IFERROR(GOOGLEFINANCE(B264,""price""),"""")"),6.61)</f>
        <v>6.61</v>
      </c>
    </row>
    <row r="265">
      <c r="A265" s="15">
        <v>46072.86656771406</v>
      </c>
      <c r="B265" s="16" t="s">
        <v>1818</v>
      </c>
      <c r="C265" s="16" t="s">
        <v>1819</v>
      </c>
      <c r="D265" s="17">
        <v>46075.0</v>
      </c>
      <c r="E265" s="16" t="s">
        <v>1820</v>
      </c>
      <c r="F265" s="18">
        <v>2.36</v>
      </c>
      <c r="G265" s="19">
        <v>5.8296</v>
      </c>
      <c r="H265" s="16" t="s">
        <v>117</v>
      </c>
      <c r="I265" s="20">
        <v>795125.0</v>
      </c>
      <c r="J265" s="19">
        <v>22.1001</v>
      </c>
      <c r="K265" s="21">
        <v>0.135</v>
      </c>
      <c r="L265" s="21">
        <v>0.2973</v>
      </c>
      <c r="M265" s="21">
        <v>640358.9</v>
      </c>
      <c r="N265" s="21">
        <v>1.2894</v>
      </c>
      <c r="O265" s="20">
        <v>1.67629664E8</v>
      </c>
      <c r="P265" s="21">
        <v>56.2719</v>
      </c>
      <c r="Q265" s="21">
        <v>33.3965</v>
      </c>
      <c r="R265" s="19">
        <v>62.6365</v>
      </c>
      <c r="S265" s="21">
        <v>2.1402</v>
      </c>
      <c r="T265" s="21">
        <v>2.1221</v>
      </c>
      <c r="U265" s="21">
        <v>2.0999</v>
      </c>
      <c r="V265" s="21">
        <v>2.0768</v>
      </c>
      <c r="W265" s="21">
        <v>2.0716</v>
      </c>
      <c r="X265" s="21">
        <v>2.0531</v>
      </c>
      <c r="Y265" s="21">
        <v>2.1837</v>
      </c>
      <c r="Z265" s="21">
        <v>2.0041</v>
      </c>
      <c r="AA265" s="21">
        <v>2.74</v>
      </c>
      <c r="AB265" s="21">
        <v>0.0</v>
      </c>
      <c r="AC265" s="21">
        <v>-1.389</v>
      </c>
      <c r="AD265" s="21">
        <v>-26.6945</v>
      </c>
      <c r="AE265" s="21">
        <v>0.0</v>
      </c>
      <c r="AF265" s="21">
        <v>0.0</v>
      </c>
      <c r="AG265" s="21">
        <v>0.2268</v>
      </c>
      <c r="AH265" s="21">
        <v>15.2346</v>
      </c>
      <c r="AI265" s="21">
        <v>1.7039</v>
      </c>
      <c r="AJ265" s="19">
        <v>0.91</v>
      </c>
      <c r="AK265" s="24"/>
      <c r="AL265" s="22">
        <f>IFERROR(__xludf.DUMMYFUNCTION("IFERROR(GOOGLEFINANCE(B265,""price""),"""")"),2.17)</f>
        <v>2.17</v>
      </c>
    </row>
    <row r="266">
      <c r="A266" s="7">
        <v>46072.86656771406</v>
      </c>
      <c r="B266" s="8" t="s">
        <v>1821</v>
      </c>
      <c r="C266" s="8" t="s">
        <v>1822</v>
      </c>
      <c r="D266" s="9">
        <v>46075.0</v>
      </c>
      <c r="E266" s="8" t="s">
        <v>1823</v>
      </c>
      <c r="F266" s="10">
        <v>33.52</v>
      </c>
      <c r="G266" s="11">
        <v>0.9031</v>
      </c>
      <c r="H266" s="8" t="s">
        <v>112</v>
      </c>
      <c r="I266" s="12">
        <v>4362983.0</v>
      </c>
      <c r="J266" s="11">
        <v>27.1856</v>
      </c>
      <c r="K266" s="13">
        <v>1.1055</v>
      </c>
      <c r="L266" s="13">
        <v>2.1763</v>
      </c>
      <c r="M266" s="8">
        <v>2374668.0</v>
      </c>
      <c r="N266" s="13">
        <v>1.8999</v>
      </c>
      <c r="O266" s="12">
        <v>8.57998075E9</v>
      </c>
      <c r="P266" s="13">
        <v>28.7778</v>
      </c>
      <c r="Q266" s="13">
        <v>33.4889</v>
      </c>
      <c r="R266" s="11">
        <v>51.9558</v>
      </c>
      <c r="S266" s="13">
        <v>33.6256</v>
      </c>
      <c r="T266" s="13">
        <v>33.4592</v>
      </c>
      <c r="U266" s="13">
        <v>33.03</v>
      </c>
      <c r="V266" s="13">
        <v>32.5937</v>
      </c>
      <c r="W266" s="13">
        <v>32.4944</v>
      </c>
      <c r="X266" s="13">
        <v>32.2365</v>
      </c>
      <c r="Y266" s="13">
        <v>33.4688</v>
      </c>
      <c r="Z266" s="13">
        <v>33.3591</v>
      </c>
      <c r="AA266" s="13">
        <v>44.82</v>
      </c>
      <c r="AB266" s="13">
        <v>12.442</v>
      </c>
      <c r="AC266" s="13">
        <v>2.6941</v>
      </c>
      <c r="AD266" s="13">
        <v>9.495</v>
      </c>
      <c r="AE266" s="13">
        <v>8.6885</v>
      </c>
      <c r="AF266" s="13">
        <v>-3.7106</v>
      </c>
      <c r="AG266" s="13">
        <v>0.7742</v>
      </c>
      <c r="AH266" s="13">
        <v>1.6729</v>
      </c>
      <c r="AI266" s="13">
        <v>1.7768</v>
      </c>
      <c r="AJ266" s="11">
        <v>1.02</v>
      </c>
      <c r="AK266" s="23"/>
      <c r="AL266" s="14">
        <f>IFERROR(__xludf.DUMMYFUNCTION("IFERROR(GOOGLEFINANCE(B266,""price""),"""")"),30.38)</f>
        <v>30.38</v>
      </c>
    </row>
    <row r="267">
      <c r="A267" s="15">
        <v>46072.86656771406</v>
      </c>
      <c r="B267" s="16" t="s">
        <v>1649</v>
      </c>
      <c r="C267" s="16" t="s">
        <v>1650</v>
      </c>
      <c r="D267" s="17">
        <v>46075.0</v>
      </c>
      <c r="E267" s="16" t="s">
        <v>1651</v>
      </c>
      <c r="F267" s="18">
        <v>49.04</v>
      </c>
      <c r="G267" s="19">
        <v>0.0408</v>
      </c>
      <c r="H267" s="16" t="s">
        <v>93</v>
      </c>
      <c r="I267" s="20">
        <v>4095935.0</v>
      </c>
      <c r="J267" s="19">
        <v>48.1701</v>
      </c>
      <c r="K267" s="21">
        <v>0.4085</v>
      </c>
      <c r="L267" s="21">
        <v>1.5766</v>
      </c>
      <c r="M267" s="16">
        <v>2938480.0</v>
      </c>
      <c r="N267" s="21">
        <v>1.4985</v>
      </c>
      <c r="O267" s="20">
        <v>7.555867852E9</v>
      </c>
      <c r="P267" s="21">
        <v>69.0745</v>
      </c>
      <c r="Q267" s="21">
        <v>81.1522</v>
      </c>
      <c r="R267" s="19">
        <v>67.5645</v>
      </c>
      <c r="S267" s="21">
        <v>48.8151</v>
      </c>
      <c r="T267" s="21">
        <v>48.3746</v>
      </c>
      <c r="U267" s="21">
        <v>47.9406</v>
      </c>
      <c r="V267" s="21">
        <v>47.4012</v>
      </c>
      <c r="W267" s="21">
        <v>47.2409</v>
      </c>
      <c r="X267" s="21">
        <v>46.2568</v>
      </c>
      <c r="Y267" s="21">
        <v>43.9201</v>
      </c>
      <c r="Z267" s="21">
        <v>43.1403</v>
      </c>
      <c r="AA267" s="21">
        <v>49.82</v>
      </c>
      <c r="AB267" s="21">
        <v>9.3381</v>
      </c>
      <c r="AC267" s="21">
        <v>5.2516</v>
      </c>
      <c r="AD267" s="21">
        <v>16.167</v>
      </c>
      <c r="AE267" s="21">
        <v>34.9751</v>
      </c>
      <c r="AF267" s="21">
        <v>27.4161</v>
      </c>
      <c r="AG267" s="21">
        <v>0.075</v>
      </c>
      <c r="AH267" s="21">
        <v>0.0</v>
      </c>
      <c r="AI267" s="21">
        <v>1.7833</v>
      </c>
      <c r="AJ267" s="19">
        <v>0.52</v>
      </c>
      <c r="AK267" s="16" t="s">
        <v>1824</v>
      </c>
      <c r="AL267" s="22">
        <f>IFERROR(__xludf.DUMMYFUNCTION("IFERROR(GOOGLEFINANCE(B267,""price""),"""")"),51.62)</f>
        <v>51.62</v>
      </c>
    </row>
    <row r="268">
      <c r="A268" s="7">
        <v>46072.8680385853</v>
      </c>
      <c r="B268" s="8" t="s">
        <v>1406</v>
      </c>
      <c r="C268" s="8" t="s">
        <v>1407</v>
      </c>
      <c r="D268" s="9">
        <v>46075.0</v>
      </c>
      <c r="E268" s="8" t="s">
        <v>1408</v>
      </c>
      <c r="F268" s="10">
        <v>10.61</v>
      </c>
      <c r="G268" s="11">
        <v>0.2836</v>
      </c>
      <c r="H268" s="8" t="s">
        <v>93</v>
      </c>
      <c r="I268" s="12">
        <v>611192.0</v>
      </c>
      <c r="J268" s="11">
        <v>36.7233</v>
      </c>
      <c r="K268" s="13">
        <v>0.0328</v>
      </c>
      <c r="L268" s="13">
        <v>0.1442</v>
      </c>
      <c r="M268" s="13">
        <v>405223.0</v>
      </c>
      <c r="N268" s="13">
        <v>1.7619</v>
      </c>
      <c r="O268" s="12">
        <v>3.53666661E8</v>
      </c>
      <c r="P268" s="13">
        <v>67.1189</v>
      </c>
      <c r="Q268" s="13">
        <v>63.6428</v>
      </c>
      <c r="R268" s="11">
        <v>62.9783</v>
      </c>
      <c r="S268" s="13">
        <v>10.5907</v>
      </c>
      <c r="T268" s="13">
        <v>10.5778</v>
      </c>
      <c r="U268" s="13">
        <v>10.5698</v>
      </c>
      <c r="V268" s="13">
        <v>10.5663</v>
      </c>
      <c r="W268" s="13">
        <v>10.5654</v>
      </c>
      <c r="X268" s="13">
        <v>10.5505</v>
      </c>
      <c r="Y268" s="13">
        <v>10.4411</v>
      </c>
      <c r="Z268" s="13">
        <v>10.4409</v>
      </c>
      <c r="AA268" s="13">
        <v>12.5</v>
      </c>
      <c r="AB268" s="13">
        <v>73.9373</v>
      </c>
      <c r="AC268" s="13">
        <v>0.1435</v>
      </c>
      <c r="AD268" s="13">
        <v>2.333</v>
      </c>
      <c r="AE268" s="13">
        <v>0.0</v>
      </c>
      <c r="AF268" s="13">
        <v>0.0</v>
      </c>
      <c r="AG268" s="13">
        <v>0.0</v>
      </c>
      <c r="AH268" s="13">
        <v>0.5306</v>
      </c>
      <c r="AI268" s="13">
        <v>0.1961</v>
      </c>
      <c r="AJ268" s="11">
        <v>0.45</v>
      </c>
      <c r="AK268" s="8" t="s">
        <v>1679</v>
      </c>
      <c r="AL268" s="14">
        <f>IFERROR(__xludf.DUMMYFUNCTION("IFERROR(GOOGLEFINANCE(B268,""price""),"""")"),10.66)</f>
        <v>10.66</v>
      </c>
    </row>
    <row r="269">
      <c r="A269" s="15">
        <v>46072.8680385853</v>
      </c>
      <c r="B269" s="16" t="s">
        <v>1530</v>
      </c>
      <c r="C269" s="16" t="s">
        <v>1531</v>
      </c>
      <c r="D269" s="17">
        <v>46075.0</v>
      </c>
      <c r="E269" s="16" t="s">
        <v>1532</v>
      </c>
      <c r="F269" s="18">
        <v>10.74</v>
      </c>
      <c r="G269" s="19">
        <v>-0.093</v>
      </c>
      <c r="H269" s="16" t="s">
        <v>93</v>
      </c>
      <c r="I269" s="20">
        <v>725215.0</v>
      </c>
      <c r="J269" s="19">
        <v>56.5689</v>
      </c>
      <c r="K269" s="21">
        <v>0.0243</v>
      </c>
      <c r="L269" s="21">
        <v>0.0477</v>
      </c>
      <c r="M269" s="21">
        <v>171382.0</v>
      </c>
      <c r="N269" s="21">
        <v>4.8271</v>
      </c>
      <c r="O269" s="20">
        <v>3.8596875E8</v>
      </c>
      <c r="P269" s="21">
        <v>67.1958</v>
      </c>
      <c r="Q269" s="21">
        <v>61.5344</v>
      </c>
      <c r="R269" s="19">
        <v>59.0382</v>
      </c>
      <c r="S269" s="21">
        <v>10.7326</v>
      </c>
      <c r="T269" s="21">
        <v>10.7103</v>
      </c>
      <c r="U269" s="21">
        <v>10.6924</v>
      </c>
      <c r="V269" s="21">
        <v>10.6748</v>
      </c>
      <c r="W269" s="21">
        <v>10.6698</v>
      </c>
      <c r="X269" s="21">
        <v>10.6372</v>
      </c>
      <c r="Y269" s="21">
        <v>10.5125</v>
      </c>
      <c r="Z269" s="21">
        <v>10.5411</v>
      </c>
      <c r="AA269" s="21">
        <v>10.77</v>
      </c>
      <c r="AB269" s="21">
        <v>31.8222</v>
      </c>
      <c r="AC269" s="21">
        <v>0.3375</v>
      </c>
      <c r="AD269" s="21">
        <v>4.2454</v>
      </c>
      <c r="AE269" s="21">
        <v>0.0</v>
      </c>
      <c r="AF269" s="21">
        <v>0.0</v>
      </c>
      <c r="AG269" s="21">
        <v>0.0</v>
      </c>
      <c r="AH269" s="21">
        <v>3.206</v>
      </c>
      <c r="AI269" s="21">
        <v>0.3738</v>
      </c>
      <c r="AJ269" s="19">
        <v>1.02</v>
      </c>
      <c r="AK269" s="16" t="s">
        <v>1791</v>
      </c>
      <c r="AL269" s="22">
        <f>IFERROR(__xludf.DUMMYFUNCTION("IFERROR(GOOGLEFINANCE(B269,""price""),"""")"),10.79)</f>
        <v>10.79</v>
      </c>
    </row>
    <row r="270">
      <c r="A270" s="7">
        <v>46072.8680385853</v>
      </c>
      <c r="B270" s="8" t="s">
        <v>1804</v>
      </c>
      <c r="C270" s="8" t="s">
        <v>1805</v>
      </c>
      <c r="D270" s="9">
        <v>46075.0</v>
      </c>
      <c r="E270" s="8" t="s">
        <v>1806</v>
      </c>
      <c r="F270" s="10">
        <v>106.78</v>
      </c>
      <c r="G270" s="11">
        <v>1.0122</v>
      </c>
      <c r="H270" s="8" t="s">
        <v>117</v>
      </c>
      <c r="I270" s="12">
        <v>951015.0</v>
      </c>
      <c r="J270" s="11">
        <v>20.3381</v>
      </c>
      <c r="K270" s="13">
        <v>5.7879</v>
      </c>
      <c r="L270" s="13">
        <v>9.7425</v>
      </c>
      <c r="M270" s="13">
        <v>690123.8</v>
      </c>
      <c r="N270" s="13">
        <v>1.2861</v>
      </c>
      <c r="O270" s="12">
        <v>4.940845026E9</v>
      </c>
      <c r="P270" s="13">
        <v>50.5053</v>
      </c>
      <c r="Q270" s="13">
        <v>43.5011</v>
      </c>
      <c r="R270" s="11">
        <v>50.3465</v>
      </c>
      <c r="S270" s="13">
        <v>106.2676</v>
      </c>
      <c r="T270" s="13">
        <v>106.9021</v>
      </c>
      <c r="U270" s="13">
        <v>105.8258</v>
      </c>
      <c r="V270" s="13">
        <v>102.9133</v>
      </c>
      <c r="W270" s="13">
        <v>101.7841</v>
      </c>
      <c r="X270" s="13">
        <v>93.1086</v>
      </c>
      <c r="Y270" s="13">
        <v>69.4479</v>
      </c>
      <c r="Z270" s="13">
        <v>59.1067</v>
      </c>
      <c r="AA270" s="13">
        <v>120.315</v>
      </c>
      <c r="AB270" s="13">
        <v>0.0</v>
      </c>
      <c r="AC270" s="13">
        <v>-3.6714</v>
      </c>
      <c r="AD270" s="13">
        <v>-122.0393</v>
      </c>
      <c r="AE270" s="13">
        <v>0.0</v>
      </c>
      <c r="AF270" s="13">
        <v>0.0</v>
      </c>
      <c r="AG270" s="13">
        <v>2.7389</v>
      </c>
      <c r="AH270" s="13">
        <v>12.2576</v>
      </c>
      <c r="AI270" s="13">
        <v>0.4138</v>
      </c>
      <c r="AJ270" s="11">
        <v>1.19</v>
      </c>
      <c r="AK270" s="8" t="s">
        <v>1267</v>
      </c>
      <c r="AL270" s="14">
        <f>IFERROR(__xludf.DUMMYFUNCTION("IFERROR(GOOGLEFINANCE(B270,""price""),"""")"),117.14)</f>
        <v>117.14</v>
      </c>
    </row>
    <row r="271">
      <c r="A271" s="15">
        <v>46072.8680385853</v>
      </c>
      <c r="B271" s="16" t="s">
        <v>1656</v>
      </c>
      <c r="C271" s="16" t="s">
        <v>1657</v>
      </c>
      <c r="D271" s="17">
        <v>46075.0</v>
      </c>
      <c r="E271" s="16" t="s">
        <v>1658</v>
      </c>
      <c r="F271" s="18">
        <v>44.54</v>
      </c>
      <c r="G271" s="19">
        <v>0.0899</v>
      </c>
      <c r="H271" s="16" t="s">
        <v>88</v>
      </c>
      <c r="I271" s="20">
        <v>402954.0</v>
      </c>
      <c r="J271" s="19">
        <v>38.2581</v>
      </c>
      <c r="K271" s="21">
        <v>0.1584</v>
      </c>
      <c r="L271" s="21">
        <v>1.6038</v>
      </c>
      <c r="M271" s="21">
        <v>288316.0</v>
      </c>
      <c r="N271" s="21">
        <v>1.5123</v>
      </c>
      <c r="O271" s="20">
        <v>6.16638769E8</v>
      </c>
      <c r="P271" s="21">
        <v>10.912</v>
      </c>
      <c r="Q271" s="21">
        <v>24.9333</v>
      </c>
      <c r="R271" s="19">
        <v>52.9877</v>
      </c>
      <c r="S271" s="21">
        <v>44.5904</v>
      </c>
      <c r="T271" s="21">
        <v>44.5908</v>
      </c>
      <c r="U271" s="21">
        <v>44.2158</v>
      </c>
      <c r="V271" s="21">
        <v>43.0709</v>
      </c>
      <c r="W271" s="21">
        <v>42.6115</v>
      </c>
      <c r="X271" s="21">
        <v>39.1619</v>
      </c>
      <c r="Y271" s="21">
        <v>31.1662</v>
      </c>
      <c r="Z271" s="21">
        <v>27.1202</v>
      </c>
      <c r="AA271" s="21">
        <v>44.88</v>
      </c>
      <c r="AB271" s="21">
        <v>0.0</v>
      </c>
      <c r="AC271" s="21">
        <v>-4.9273</v>
      </c>
      <c r="AD271" s="21">
        <v>-28.6468</v>
      </c>
      <c r="AE271" s="21">
        <v>-70.4578</v>
      </c>
      <c r="AF271" s="21">
        <v>16.3974</v>
      </c>
      <c r="AG271" s="21">
        <v>0.069</v>
      </c>
      <c r="AH271" s="21">
        <v>2.5494</v>
      </c>
      <c r="AI271" s="21">
        <v>0.8412</v>
      </c>
      <c r="AJ271" s="19">
        <v>0.2</v>
      </c>
      <c r="AK271" s="16" t="s">
        <v>1807</v>
      </c>
      <c r="AL271" s="22" t="str">
        <f>IFERROR(__xludf.DUMMYFUNCTION("IFERROR(GOOGLEFINANCE(B271,""price""),"""")"),"")</f>
        <v/>
      </c>
    </row>
    <row r="272">
      <c r="A272" s="7">
        <v>46072.8680385853</v>
      </c>
      <c r="B272" s="8" t="s">
        <v>1808</v>
      </c>
      <c r="C272" s="8" t="s">
        <v>1809</v>
      </c>
      <c r="D272" s="9">
        <v>46075.0</v>
      </c>
      <c r="E272" s="8" t="s">
        <v>1810</v>
      </c>
      <c r="F272" s="10">
        <v>101.53</v>
      </c>
      <c r="G272" s="11">
        <v>-0.7333</v>
      </c>
      <c r="H272" s="8" t="s">
        <v>117</v>
      </c>
      <c r="I272" s="12">
        <v>2843791.0</v>
      </c>
      <c r="J272" s="11">
        <v>23.6057</v>
      </c>
      <c r="K272" s="13">
        <v>7.4879</v>
      </c>
      <c r="L272" s="13">
        <v>14.2339</v>
      </c>
      <c r="M272" s="13">
        <v>844558.8</v>
      </c>
      <c r="N272" s="13">
        <v>4.3775</v>
      </c>
      <c r="O272" s="12">
        <v>3.957865106E9</v>
      </c>
      <c r="P272" s="13">
        <v>50.1286</v>
      </c>
      <c r="Q272" s="13">
        <v>39.6674</v>
      </c>
      <c r="R272" s="11">
        <v>51.694</v>
      </c>
      <c r="S272" s="13">
        <v>100.2807</v>
      </c>
      <c r="T272" s="13">
        <v>100.3168</v>
      </c>
      <c r="U272" s="13">
        <v>99.3834</v>
      </c>
      <c r="V272" s="13">
        <v>97.1853</v>
      </c>
      <c r="W272" s="13">
        <v>96.3291</v>
      </c>
      <c r="X272" s="13">
        <v>89.6715</v>
      </c>
      <c r="Y272" s="13">
        <v>70.7854</v>
      </c>
      <c r="Z272" s="13">
        <v>64.4877</v>
      </c>
      <c r="AA272" s="13">
        <v>118.84</v>
      </c>
      <c r="AB272" s="13">
        <v>0.0</v>
      </c>
      <c r="AC272" s="13">
        <v>-11.6073</v>
      </c>
      <c r="AD272" s="13">
        <v>-16.8299</v>
      </c>
      <c r="AE272" s="13">
        <v>-385.9759</v>
      </c>
      <c r="AF272" s="13">
        <v>20.5305</v>
      </c>
      <c r="AG272" s="13">
        <v>0.0262</v>
      </c>
      <c r="AH272" s="13">
        <v>7.6115</v>
      </c>
      <c r="AI272" s="13">
        <v>0.8837</v>
      </c>
      <c r="AJ272" s="11">
        <v>1.05</v>
      </c>
      <c r="AK272" s="8" t="s">
        <v>1349</v>
      </c>
      <c r="AL272" s="14">
        <f>IFERROR(__xludf.DUMMYFUNCTION("IFERROR(GOOGLEFINANCE(B272,""price""),"""")"),45.63)</f>
        <v>45.63</v>
      </c>
    </row>
    <row r="273">
      <c r="A273" s="15">
        <v>46072.8680385853</v>
      </c>
      <c r="B273" s="16" t="s">
        <v>1797</v>
      </c>
      <c r="C273" s="16" t="s">
        <v>1798</v>
      </c>
      <c r="D273" s="17">
        <v>46075.0</v>
      </c>
      <c r="E273" s="16" t="s">
        <v>1799</v>
      </c>
      <c r="F273" s="18">
        <v>24.51</v>
      </c>
      <c r="G273" s="19">
        <v>0.4508</v>
      </c>
      <c r="H273" s="16" t="s">
        <v>93</v>
      </c>
      <c r="I273" s="20">
        <v>825883.0</v>
      </c>
      <c r="J273" s="19">
        <v>49.554</v>
      </c>
      <c r="K273" s="21">
        <v>0.2313</v>
      </c>
      <c r="L273" s="21">
        <v>0.6114</v>
      </c>
      <c r="M273" s="21">
        <v>121987.0</v>
      </c>
      <c r="N273" s="21">
        <v>18.3292</v>
      </c>
      <c r="O273" s="20">
        <v>0.0</v>
      </c>
      <c r="P273" s="21">
        <v>70.7273</v>
      </c>
      <c r="Q273" s="21">
        <v>61.7457</v>
      </c>
      <c r="R273" s="19">
        <v>66.2193</v>
      </c>
      <c r="S273" s="21">
        <v>24.3528</v>
      </c>
      <c r="T273" s="21">
        <v>24.2445</v>
      </c>
      <c r="U273" s="21">
        <v>24.1165</v>
      </c>
      <c r="V273" s="21">
        <v>23.9307</v>
      </c>
      <c r="W273" s="21">
        <v>23.8721</v>
      </c>
      <c r="X273" s="21">
        <v>23.5274</v>
      </c>
      <c r="Y273" s="21">
        <v>23.1981</v>
      </c>
      <c r="Z273" s="21">
        <v>22.4838</v>
      </c>
      <c r="AA273" s="21">
        <v>24.84</v>
      </c>
      <c r="AB273" s="21">
        <v>0.0</v>
      </c>
      <c r="AC273" s="21">
        <v>0.0</v>
      </c>
      <c r="AD273" s="21">
        <v>0.0</v>
      </c>
      <c r="AE273" s="21">
        <v>0.0</v>
      </c>
      <c r="AF273" s="21">
        <v>0.0</v>
      </c>
      <c r="AG273" s="21">
        <v>0.0</v>
      </c>
      <c r="AH273" s="21">
        <v>0.0</v>
      </c>
      <c r="AI273" s="21">
        <v>0.964</v>
      </c>
      <c r="AJ273" s="19">
        <v>0.76</v>
      </c>
      <c r="AK273" s="16" t="s">
        <v>1800</v>
      </c>
      <c r="AL273" s="22" t="str">
        <f>IFERROR(__xludf.DUMMYFUNCTION("IFERROR(GOOGLEFINANCE(B273,""price""),"""")"),"")</f>
        <v/>
      </c>
    </row>
    <row r="274">
      <c r="A274" s="7">
        <v>46072.8680385853</v>
      </c>
      <c r="B274" s="8" t="s">
        <v>1811</v>
      </c>
      <c r="C274" s="8" t="s">
        <v>1812</v>
      </c>
      <c r="D274" s="9">
        <v>46075.0</v>
      </c>
      <c r="E274" s="8" t="s">
        <v>1813</v>
      </c>
      <c r="F274" s="10">
        <v>41.07</v>
      </c>
      <c r="G274" s="11">
        <v>2.9323</v>
      </c>
      <c r="H274" s="8" t="s">
        <v>308</v>
      </c>
      <c r="I274" s="12">
        <v>1402037.0</v>
      </c>
      <c r="J274" s="11">
        <v>20.1403</v>
      </c>
      <c r="K274" s="13">
        <v>1.5114</v>
      </c>
      <c r="L274" s="13">
        <v>2.9754</v>
      </c>
      <c r="M274" s="13">
        <v>986818.9</v>
      </c>
      <c r="N274" s="13">
        <v>1.3409</v>
      </c>
      <c r="O274" s="12">
        <v>1.0925718359E10</v>
      </c>
      <c r="P274" s="13">
        <v>56.5781</v>
      </c>
      <c r="Q274" s="13">
        <v>37.3822</v>
      </c>
      <c r="R274" s="11">
        <v>57.5605</v>
      </c>
      <c r="S274" s="13">
        <v>39.5279</v>
      </c>
      <c r="T274" s="13">
        <v>39.4834</v>
      </c>
      <c r="U274" s="13">
        <v>39.108</v>
      </c>
      <c r="V274" s="13">
        <v>38.7411</v>
      </c>
      <c r="W274" s="13">
        <v>38.6778</v>
      </c>
      <c r="X274" s="13">
        <v>38.624</v>
      </c>
      <c r="Y274" s="13">
        <v>38.3469</v>
      </c>
      <c r="Z274" s="13">
        <v>40.7332</v>
      </c>
      <c r="AA274" s="13">
        <v>49.31</v>
      </c>
      <c r="AB274" s="13">
        <v>41.6574</v>
      </c>
      <c r="AC274" s="13">
        <v>0.9859</v>
      </c>
      <c r="AD274" s="13">
        <v>10.3475</v>
      </c>
      <c r="AE274" s="13">
        <v>9.6666</v>
      </c>
      <c r="AF274" s="13">
        <v>12.268</v>
      </c>
      <c r="AG274" s="13">
        <v>0.1779</v>
      </c>
      <c r="AH274" s="13">
        <v>2.0018</v>
      </c>
      <c r="AI274" s="13">
        <v>1.0225</v>
      </c>
      <c r="AJ274" s="11">
        <v>1.02</v>
      </c>
      <c r="AK274" s="23"/>
      <c r="AL274" s="14">
        <f>IFERROR(__xludf.DUMMYFUNCTION("IFERROR(GOOGLEFINANCE(B274,""price""),"""")"),46.06)</f>
        <v>46.06</v>
      </c>
    </row>
    <row r="275">
      <c r="A275" s="15">
        <v>46072.8680385853</v>
      </c>
      <c r="B275" s="16" t="s">
        <v>1793</v>
      </c>
      <c r="C275" s="16" t="s">
        <v>1794</v>
      </c>
      <c r="D275" s="17">
        <v>46075.0</v>
      </c>
      <c r="E275" s="16" t="s">
        <v>1795</v>
      </c>
      <c r="F275" s="18">
        <v>10.54</v>
      </c>
      <c r="G275" s="19">
        <v>26.2275</v>
      </c>
      <c r="H275" s="16" t="s">
        <v>308</v>
      </c>
      <c r="I275" s="20">
        <v>5083728.0</v>
      </c>
      <c r="J275" s="19">
        <v>21.7625</v>
      </c>
      <c r="K275" s="21">
        <v>1.0379</v>
      </c>
      <c r="L275" s="21">
        <v>1.6412</v>
      </c>
      <c r="M275" s="16">
        <v>1753123.0</v>
      </c>
      <c r="N275" s="21">
        <v>3.4708</v>
      </c>
      <c r="O275" s="20">
        <v>2.58393272E8</v>
      </c>
      <c r="P275" s="21">
        <v>39.8378</v>
      </c>
      <c r="Q275" s="21">
        <v>24.3062</v>
      </c>
      <c r="R275" s="19">
        <v>58.9899</v>
      </c>
      <c r="S275" s="21">
        <v>9.1949</v>
      </c>
      <c r="T275" s="21">
        <v>9.2878</v>
      </c>
      <c r="U275" s="21">
        <v>9.0667</v>
      </c>
      <c r="V275" s="21">
        <v>8.6665</v>
      </c>
      <c r="W275" s="21">
        <v>8.5424</v>
      </c>
      <c r="X275" s="21">
        <v>7.8067</v>
      </c>
      <c r="Y275" s="21">
        <v>6.2972</v>
      </c>
      <c r="Z275" s="21">
        <v>5.8271</v>
      </c>
      <c r="AA275" s="21">
        <v>12.75</v>
      </c>
      <c r="AB275" s="21">
        <v>0.0</v>
      </c>
      <c r="AC275" s="21">
        <v>-0.3244</v>
      </c>
      <c r="AD275" s="21">
        <v>-24.2597</v>
      </c>
      <c r="AE275" s="21">
        <v>-10.4617</v>
      </c>
      <c r="AF275" s="21">
        <v>14.3325</v>
      </c>
      <c r="AG275" s="21">
        <v>0.2467</v>
      </c>
      <c r="AH275" s="21">
        <v>2.7981</v>
      </c>
      <c r="AI275" s="21">
        <v>1.2159</v>
      </c>
      <c r="AJ275" s="19">
        <v>1.26</v>
      </c>
      <c r="AK275" s="16" t="s">
        <v>1814</v>
      </c>
      <c r="AL275" s="22">
        <f>IFERROR(__xludf.DUMMYFUNCTION("IFERROR(GOOGLEFINANCE(B275,""price""),"""")"),7.8)</f>
        <v>7.8</v>
      </c>
    </row>
    <row r="276">
      <c r="A276" s="7">
        <v>46072.8680385853</v>
      </c>
      <c r="B276" s="8" t="s">
        <v>1815</v>
      </c>
      <c r="C276" s="8" t="s">
        <v>1816</v>
      </c>
      <c r="D276" s="9">
        <v>46075.0</v>
      </c>
      <c r="E276" s="8" t="s">
        <v>1817</v>
      </c>
      <c r="F276" s="10">
        <v>2.52</v>
      </c>
      <c r="G276" s="11">
        <v>5.0</v>
      </c>
      <c r="H276" s="8" t="s">
        <v>117</v>
      </c>
      <c r="I276" s="12">
        <v>708877.0</v>
      </c>
      <c r="J276" s="11">
        <v>21.311</v>
      </c>
      <c r="K276" s="13">
        <v>0.2492</v>
      </c>
      <c r="L276" s="13">
        <v>0.4495</v>
      </c>
      <c r="M276" s="13">
        <v>458767.1</v>
      </c>
      <c r="N276" s="13">
        <v>1.5287</v>
      </c>
      <c r="O276" s="12">
        <v>1.82071969E8</v>
      </c>
      <c r="P276" s="13">
        <v>36.0619</v>
      </c>
      <c r="Q276" s="13">
        <v>29.0318</v>
      </c>
      <c r="R276" s="11">
        <v>52.0643</v>
      </c>
      <c r="S276" s="13">
        <v>2.4341</v>
      </c>
      <c r="T276" s="13">
        <v>2.4758</v>
      </c>
      <c r="U276" s="13">
        <v>2.4032</v>
      </c>
      <c r="V276" s="13">
        <v>2.2809</v>
      </c>
      <c r="W276" s="13">
        <v>2.2454</v>
      </c>
      <c r="X276" s="13">
        <v>2.063</v>
      </c>
      <c r="Y276" s="13">
        <v>2.1007</v>
      </c>
      <c r="Z276" s="13">
        <v>1.6379</v>
      </c>
      <c r="AA276" s="13">
        <v>3.95</v>
      </c>
      <c r="AB276" s="13">
        <v>0.0</v>
      </c>
      <c r="AC276" s="13">
        <v>-2.0832</v>
      </c>
      <c r="AD276" s="13">
        <v>-49.1814</v>
      </c>
      <c r="AE276" s="13">
        <v>-567.9509</v>
      </c>
      <c r="AF276" s="13">
        <v>-33.7648</v>
      </c>
      <c r="AG276" s="13">
        <v>0.16</v>
      </c>
      <c r="AH276" s="13">
        <v>7.7567</v>
      </c>
      <c r="AI276" s="13">
        <v>1.2264</v>
      </c>
      <c r="AJ276" s="11">
        <v>1.11</v>
      </c>
      <c r="AK276" s="23"/>
      <c r="AL276" s="14">
        <f>IFERROR(__xludf.DUMMYFUNCTION("IFERROR(GOOGLEFINANCE(B276,""price""),"""")"),6.61)</f>
        <v>6.61</v>
      </c>
    </row>
    <row r="277">
      <c r="A277" s="15">
        <v>46072.8680385853</v>
      </c>
      <c r="B277" s="16" t="s">
        <v>1818</v>
      </c>
      <c r="C277" s="16" t="s">
        <v>1819</v>
      </c>
      <c r="D277" s="17">
        <v>46075.0</v>
      </c>
      <c r="E277" s="16" t="s">
        <v>1820</v>
      </c>
      <c r="F277" s="18">
        <v>2.36</v>
      </c>
      <c r="G277" s="19">
        <v>5.8296</v>
      </c>
      <c r="H277" s="16" t="s">
        <v>117</v>
      </c>
      <c r="I277" s="20">
        <v>795125.0</v>
      </c>
      <c r="J277" s="19">
        <v>22.1001</v>
      </c>
      <c r="K277" s="21">
        <v>0.135</v>
      </c>
      <c r="L277" s="21">
        <v>0.2973</v>
      </c>
      <c r="M277" s="21">
        <v>640358.9</v>
      </c>
      <c r="N277" s="21">
        <v>1.2894</v>
      </c>
      <c r="O277" s="20">
        <v>1.67629664E8</v>
      </c>
      <c r="P277" s="21">
        <v>56.2719</v>
      </c>
      <c r="Q277" s="21">
        <v>33.3965</v>
      </c>
      <c r="R277" s="19">
        <v>62.6365</v>
      </c>
      <c r="S277" s="21">
        <v>2.1402</v>
      </c>
      <c r="T277" s="21">
        <v>2.1221</v>
      </c>
      <c r="U277" s="21">
        <v>2.0999</v>
      </c>
      <c r="V277" s="21">
        <v>2.0768</v>
      </c>
      <c r="W277" s="21">
        <v>2.0716</v>
      </c>
      <c r="X277" s="21">
        <v>2.0531</v>
      </c>
      <c r="Y277" s="21">
        <v>2.1837</v>
      </c>
      <c r="Z277" s="21">
        <v>2.0041</v>
      </c>
      <c r="AA277" s="21">
        <v>2.74</v>
      </c>
      <c r="AB277" s="21">
        <v>0.0</v>
      </c>
      <c r="AC277" s="21">
        <v>-1.389</v>
      </c>
      <c r="AD277" s="21">
        <v>-26.6945</v>
      </c>
      <c r="AE277" s="21">
        <v>0.0</v>
      </c>
      <c r="AF277" s="21">
        <v>0.0</v>
      </c>
      <c r="AG277" s="21">
        <v>0.2268</v>
      </c>
      <c r="AH277" s="21">
        <v>15.2346</v>
      </c>
      <c r="AI277" s="21">
        <v>1.7039</v>
      </c>
      <c r="AJ277" s="19">
        <v>0.91</v>
      </c>
      <c r="AK277" s="24"/>
      <c r="AL277" s="22">
        <f>IFERROR(__xludf.DUMMYFUNCTION("IFERROR(GOOGLEFINANCE(B277,""price""),"""")"),2.17)</f>
        <v>2.17</v>
      </c>
    </row>
    <row r="278">
      <c r="A278" s="7">
        <v>46072.8680385853</v>
      </c>
      <c r="B278" s="8" t="s">
        <v>1821</v>
      </c>
      <c r="C278" s="8" t="s">
        <v>1822</v>
      </c>
      <c r="D278" s="9">
        <v>46075.0</v>
      </c>
      <c r="E278" s="8" t="s">
        <v>1823</v>
      </c>
      <c r="F278" s="10">
        <v>33.52</v>
      </c>
      <c r="G278" s="11">
        <v>0.9031</v>
      </c>
      <c r="H278" s="8" t="s">
        <v>112</v>
      </c>
      <c r="I278" s="12">
        <v>4362983.0</v>
      </c>
      <c r="J278" s="11">
        <v>27.1856</v>
      </c>
      <c r="K278" s="13">
        <v>1.1055</v>
      </c>
      <c r="L278" s="13">
        <v>2.1763</v>
      </c>
      <c r="M278" s="8">
        <v>2374668.0</v>
      </c>
      <c r="N278" s="13">
        <v>1.8999</v>
      </c>
      <c r="O278" s="12">
        <v>8.57998075E9</v>
      </c>
      <c r="P278" s="13">
        <v>28.7778</v>
      </c>
      <c r="Q278" s="13">
        <v>33.4889</v>
      </c>
      <c r="R278" s="11">
        <v>51.9558</v>
      </c>
      <c r="S278" s="13">
        <v>33.6256</v>
      </c>
      <c r="T278" s="13">
        <v>33.4592</v>
      </c>
      <c r="U278" s="13">
        <v>33.03</v>
      </c>
      <c r="V278" s="13">
        <v>32.5937</v>
      </c>
      <c r="W278" s="13">
        <v>32.4944</v>
      </c>
      <c r="X278" s="13">
        <v>32.2365</v>
      </c>
      <c r="Y278" s="13">
        <v>33.4688</v>
      </c>
      <c r="Z278" s="13">
        <v>33.3591</v>
      </c>
      <c r="AA278" s="13">
        <v>44.82</v>
      </c>
      <c r="AB278" s="13">
        <v>12.442</v>
      </c>
      <c r="AC278" s="13">
        <v>2.6941</v>
      </c>
      <c r="AD278" s="13">
        <v>9.495</v>
      </c>
      <c r="AE278" s="13">
        <v>8.6885</v>
      </c>
      <c r="AF278" s="13">
        <v>-3.7106</v>
      </c>
      <c r="AG278" s="13">
        <v>0.7742</v>
      </c>
      <c r="AH278" s="13">
        <v>1.6729</v>
      </c>
      <c r="AI278" s="13">
        <v>1.7768</v>
      </c>
      <c r="AJ278" s="11">
        <v>1.02</v>
      </c>
      <c r="AK278" s="23"/>
      <c r="AL278" s="14">
        <f>IFERROR(__xludf.DUMMYFUNCTION("IFERROR(GOOGLEFINANCE(B278,""price""),"""")"),30.38)</f>
        <v>30.38</v>
      </c>
    </row>
    <row r="279">
      <c r="A279" s="15">
        <v>46072.8680385853</v>
      </c>
      <c r="B279" s="16" t="s">
        <v>1649</v>
      </c>
      <c r="C279" s="16" t="s">
        <v>1650</v>
      </c>
      <c r="D279" s="17">
        <v>46075.0</v>
      </c>
      <c r="E279" s="16" t="s">
        <v>1651</v>
      </c>
      <c r="F279" s="18">
        <v>49.04</v>
      </c>
      <c r="G279" s="19">
        <v>0.0408</v>
      </c>
      <c r="H279" s="16" t="s">
        <v>93</v>
      </c>
      <c r="I279" s="20">
        <v>4095935.0</v>
      </c>
      <c r="J279" s="19">
        <v>48.1701</v>
      </c>
      <c r="K279" s="21">
        <v>0.4085</v>
      </c>
      <c r="L279" s="21">
        <v>1.5766</v>
      </c>
      <c r="M279" s="16">
        <v>2938480.0</v>
      </c>
      <c r="N279" s="21">
        <v>1.4985</v>
      </c>
      <c r="O279" s="20">
        <v>7.555867852E9</v>
      </c>
      <c r="P279" s="21">
        <v>69.0745</v>
      </c>
      <c r="Q279" s="21">
        <v>81.1522</v>
      </c>
      <c r="R279" s="19">
        <v>67.5645</v>
      </c>
      <c r="S279" s="21">
        <v>48.8151</v>
      </c>
      <c r="T279" s="21">
        <v>48.3746</v>
      </c>
      <c r="U279" s="21">
        <v>47.9406</v>
      </c>
      <c r="V279" s="21">
        <v>47.4012</v>
      </c>
      <c r="W279" s="21">
        <v>47.2409</v>
      </c>
      <c r="X279" s="21">
        <v>46.2568</v>
      </c>
      <c r="Y279" s="21">
        <v>43.9201</v>
      </c>
      <c r="Z279" s="21">
        <v>43.1403</v>
      </c>
      <c r="AA279" s="21">
        <v>49.82</v>
      </c>
      <c r="AB279" s="21">
        <v>9.3381</v>
      </c>
      <c r="AC279" s="21">
        <v>5.2516</v>
      </c>
      <c r="AD279" s="21">
        <v>16.167</v>
      </c>
      <c r="AE279" s="21">
        <v>34.9751</v>
      </c>
      <c r="AF279" s="21">
        <v>27.4161</v>
      </c>
      <c r="AG279" s="21">
        <v>0.075</v>
      </c>
      <c r="AH279" s="21">
        <v>0.0</v>
      </c>
      <c r="AI279" s="21">
        <v>1.7833</v>
      </c>
      <c r="AJ279" s="19">
        <v>0.52</v>
      </c>
      <c r="AK279" s="16" t="s">
        <v>1824</v>
      </c>
      <c r="AL279" s="22">
        <f>IFERROR(__xludf.DUMMYFUNCTION("IFERROR(GOOGLEFINANCE(B279,""price""),"""")"),51.62)</f>
        <v>51.62</v>
      </c>
    </row>
    <row r="280">
      <c r="A280" s="7">
        <v>46072.87018345902</v>
      </c>
      <c r="B280" s="8" t="s">
        <v>1406</v>
      </c>
      <c r="C280" s="8" t="s">
        <v>1407</v>
      </c>
      <c r="D280" s="9">
        <v>46075.0</v>
      </c>
      <c r="E280" s="8" t="s">
        <v>1408</v>
      </c>
      <c r="F280" s="10">
        <v>10.61</v>
      </c>
      <c r="G280" s="11">
        <v>0.2836</v>
      </c>
      <c r="H280" s="8" t="s">
        <v>93</v>
      </c>
      <c r="I280" s="12">
        <v>611192.0</v>
      </c>
      <c r="J280" s="11">
        <v>36.7233</v>
      </c>
      <c r="K280" s="13">
        <v>0.0328</v>
      </c>
      <c r="L280" s="13">
        <v>0.1442</v>
      </c>
      <c r="M280" s="13">
        <v>405223.0</v>
      </c>
      <c r="N280" s="13">
        <v>1.7619</v>
      </c>
      <c r="O280" s="12">
        <v>3.53666661E8</v>
      </c>
      <c r="P280" s="13">
        <v>67.1189</v>
      </c>
      <c r="Q280" s="13">
        <v>63.6428</v>
      </c>
      <c r="R280" s="11">
        <v>62.9783</v>
      </c>
      <c r="S280" s="13">
        <v>10.5907</v>
      </c>
      <c r="T280" s="13">
        <v>10.5778</v>
      </c>
      <c r="U280" s="13">
        <v>10.5698</v>
      </c>
      <c r="V280" s="13">
        <v>10.5663</v>
      </c>
      <c r="W280" s="13">
        <v>10.5654</v>
      </c>
      <c r="X280" s="13">
        <v>10.5505</v>
      </c>
      <c r="Y280" s="13">
        <v>10.4411</v>
      </c>
      <c r="Z280" s="13">
        <v>10.4409</v>
      </c>
      <c r="AA280" s="13">
        <v>12.5</v>
      </c>
      <c r="AB280" s="13">
        <v>73.9373</v>
      </c>
      <c r="AC280" s="13">
        <v>0.1435</v>
      </c>
      <c r="AD280" s="13">
        <v>2.333</v>
      </c>
      <c r="AE280" s="13">
        <v>0.0</v>
      </c>
      <c r="AF280" s="13">
        <v>0.0</v>
      </c>
      <c r="AG280" s="13">
        <v>0.0</v>
      </c>
      <c r="AH280" s="13">
        <v>0.5306</v>
      </c>
      <c r="AI280" s="13">
        <v>0.1961</v>
      </c>
      <c r="AJ280" s="11">
        <v>0.45</v>
      </c>
      <c r="AK280" s="8" t="s">
        <v>1679</v>
      </c>
      <c r="AL280" s="14">
        <f>IFERROR(__xludf.DUMMYFUNCTION("IFERROR(GOOGLEFINANCE(B280,""price""),"""")"),10.66)</f>
        <v>10.66</v>
      </c>
    </row>
    <row r="281">
      <c r="A281" s="15">
        <v>46072.87018345902</v>
      </c>
      <c r="B281" s="16" t="s">
        <v>1530</v>
      </c>
      <c r="C281" s="16" t="s">
        <v>1531</v>
      </c>
      <c r="D281" s="17">
        <v>46075.0</v>
      </c>
      <c r="E281" s="16" t="s">
        <v>1532</v>
      </c>
      <c r="F281" s="18">
        <v>10.74</v>
      </c>
      <c r="G281" s="19">
        <v>-0.093</v>
      </c>
      <c r="H281" s="16" t="s">
        <v>93</v>
      </c>
      <c r="I281" s="20">
        <v>725215.0</v>
      </c>
      <c r="J281" s="19">
        <v>56.5689</v>
      </c>
      <c r="K281" s="21">
        <v>0.0243</v>
      </c>
      <c r="L281" s="21">
        <v>0.0477</v>
      </c>
      <c r="M281" s="21">
        <v>171382.0</v>
      </c>
      <c r="N281" s="21">
        <v>4.8271</v>
      </c>
      <c r="O281" s="20">
        <v>3.8596875E8</v>
      </c>
      <c r="P281" s="21">
        <v>67.1958</v>
      </c>
      <c r="Q281" s="21">
        <v>61.5344</v>
      </c>
      <c r="R281" s="19">
        <v>59.0382</v>
      </c>
      <c r="S281" s="21">
        <v>10.7326</v>
      </c>
      <c r="T281" s="21">
        <v>10.7103</v>
      </c>
      <c r="U281" s="21">
        <v>10.6924</v>
      </c>
      <c r="V281" s="21">
        <v>10.6748</v>
      </c>
      <c r="W281" s="21">
        <v>10.6698</v>
      </c>
      <c r="X281" s="21">
        <v>10.6372</v>
      </c>
      <c r="Y281" s="21">
        <v>10.5125</v>
      </c>
      <c r="Z281" s="21">
        <v>10.5411</v>
      </c>
      <c r="AA281" s="21">
        <v>10.77</v>
      </c>
      <c r="AB281" s="21">
        <v>31.8222</v>
      </c>
      <c r="AC281" s="21">
        <v>0.3375</v>
      </c>
      <c r="AD281" s="21">
        <v>4.2454</v>
      </c>
      <c r="AE281" s="21">
        <v>0.0</v>
      </c>
      <c r="AF281" s="21">
        <v>0.0</v>
      </c>
      <c r="AG281" s="21">
        <v>0.0</v>
      </c>
      <c r="AH281" s="21">
        <v>3.206</v>
      </c>
      <c r="AI281" s="21">
        <v>0.3738</v>
      </c>
      <c r="AJ281" s="19">
        <v>1.02</v>
      </c>
      <c r="AK281" s="16" t="s">
        <v>1791</v>
      </c>
      <c r="AL281" s="22">
        <f>IFERROR(__xludf.DUMMYFUNCTION("IFERROR(GOOGLEFINANCE(B281,""price""),"""")"),10.79)</f>
        <v>10.79</v>
      </c>
    </row>
    <row r="282">
      <c r="A282" s="7">
        <v>46072.87018345902</v>
      </c>
      <c r="B282" s="8" t="s">
        <v>1804</v>
      </c>
      <c r="C282" s="8" t="s">
        <v>1805</v>
      </c>
      <c r="D282" s="9">
        <v>46075.0</v>
      </c>
      <c r="E282" s="8" t="s">
        <v>1806</v>
      </c>
      <c r="F282" s="10">
        <v>106.78</v>
      </c>
      <c r="G282" s="11">
        <v>1.0122</v>
      </c>
      <c r="H282" s="8" t="s">
        <v>117</v>
      </c>
      <c r="I282" s="12">
        <v>951015.0</v>
      </c>
      <c r="J282" s="11">
        <v>20.3381</v>
      </c>
      <c r="K282" s="13">
        <v>5.7879</v>
      </c>
      <c r="L282" s="13">
        <v>9.7425</v>
      </c>
      <c r="M282" s="13">
        <v>690123.8</v>
      </c>
      <c r="N282" s="13">
        <v>1.2861</v>
      </c>
      <c r="O282" s="12">
        <v>4.940845026E9</v>
      </c>
      <c r="P282" s="13">
        <v>50.5053</v>
      </c>
      <c r="Q282" s="13">
        <v>43.5011</v>
      </c>
      <c r="R282" s="11">
        <v>50.3465</v>
      </c>
      <c r="S282" s="13">
        <v>106.2676</v>
      </c>
      <c r="T282" s="13">
        <v>106.9021</v>
      </c>
      <c r="U282" s="13">
        <v>105.8258</v>
      </c>
      <c r="V282" s="13">
        <v>102.9133</v>
      </c>
      <c r="W282" s="13">
        <v>101.7841</v>
      </c>
      <c r="X282" s="13">
        <v>93.1086</v>
      </c>
      <c r="Y282" s="13">
        <v>69.4479</v>
      </c>
      <c r="Z282" s="13">
        <v>59.1067</v>
      </c>
      <c r="AA282" s="13">
        <v>120.315</v>
      </c>
      <c r="AB282" s="13">
        <v>0.0</v>
      </c>
      <c r="AC282" s="13">
        <v>-3.6714</v>
      </c>
      <c r="AD282" s="13">
        <v>-122.0393</v>
      </c>
      <c r="AE282" s="13">
        <v>0.0</v>
      </c>
      <c r="AF282" s="13">
        <v>0.0</v>
      </c>
      <c r="AG282" s="13">
        <v>2.7389</v>
      </c>
      <c r="AH282" s="13">
        <v>12.2576</v>
      </c>
      <c r="AI282" s="13">
        <v>0.4138</v>
      </c>
      <c r="AJ282" s="11">
        <v>1.19</v>
      </c>
      <c r="AK282" s="8" t="s">
        <v>1267</v>
      </c>
      <c r="AL282" s="14">
        <f>IFERROR(__xludf.DUMMYFUNCTION("IFERROR(GOOGLEFINANCE(B282,""price""),"""")"),117.14)</f>
        <v>117.14</v>
      </c>
    </row>
    <row r="283">
      <c r="A283" s="15">
        <v>46072.87018345902</v>
      </c>
      <c r="B283" s="16" t="s">
        <v>1656</v>
      </c>
      <c r="C283" s="16" t="s">
        <v>1657</v>
      </c>
      <c r="D283" s="17">
        <v>46075.0</v>
      </c>
      <c r="E283" s="16" t="s">
        <v>1658</v>
      </c>
      <c r="F283" s="18">
        <v>44.54</v>
      </c>
      <c r="G283" s="19">
        <v>0.0899</v>
      </c>
      <c r="H283" s="16" t="s">
        <v>88</v>
      </c>
      <c r="I283" s="20">
        <v>402954.0</v>
      </c>
      <c r="J283" s="19">
        <v>38.2581</v>
      </c>
      <c r="K283" s="21">
        <v>0.1584</v>
      </c>
      <c r="L283" s="21">
        <v>1.6038</v>
      </c>
      <c r="M283" s="21">
        <v>288316.0</v>
      </c>
      <c r="N283" s="21">
        <v>1.5123</v>
      </c>
      <c r="O283" s="20">
        <v>6.16638769E8</v>
      </c>
      <c r="P283" s="21">
        <v>10.912</v>
      </c>
      <c r="Q283" s="21">
        <v>24.9333</v>
      </c>
      <c r="R283" s="19">
        <v>52.9877</v>
      </c>
      <c r="S283" s="21">
        <v>44.5904</v>
      </c>
      <c r="T283" s="21">
        <v>44.5908</v>
      </c>
      <c r="U283" s="21">
        <v>44.2158</v>
      </c>
      <c r="V283" s="21">
        <v>43.0709</v>
      </c>
      <c r="W283" s="21">
        <v>42.6115</v>
      </c>
      <c r="X283" s="21">
        <v>39.1619</v>
      </c>
      <c r="Y283" s="21">
        <v>31.1662</v>
      </c>
      <c r="Z283" s="21">
        <v>27.1202</v>
      </c>
      <c r="AA283" s="21">
        <v>44.88</v>
      </c>
      <c r="AB283" s="21">
        <v>0.0</v>
      </c>
      <c r="AC283" s="21">
        <v>-4.9273</v>
      </c>
      <c r="AD283" s="21">
        <v>-28.6468</v>
      </c>
      <c r="AE283" s="21">
        <v>-70.4578</v>
      </c>
      <c r="AF283" s="21">
        <v>16.3974</v>
      </c>
      <c r="AG283" s="21">
        <v>0.069</v>
      </c>
      <c r="AH283" s="21">
        <v>2.5494</v>
      </c>
      <c r="AI283" s="21">
        <v>0.8412</v>
      </c>
      <c r="AJ283" s="19">
        <v>0.2</v>
      </c>
      <c r="AK283" s="16" t="s">
        <v>1807</v>
      </c>
      <c r="AL283" s="22" t="str">
        <f>IFERROR(__xludf.DUMMYFUNCTION("IFERROR(GOOGLEFINANCE(B283,""price""),"""")"),"")</f>
        <v/>
      </c>
    </row>
    <row r="284">
      <c r="A284" s="7">
        <v>46072.87018345902</v>
      </c>
      <c r="B284" s="8" t="s">
        <v>1808</v>
      </c>
      <c r="C284" s="8" t="s">
        <v>1809</v>
      </c>
      <c r="D284" s="9">
        <v>46075.0</v>
      </c>
      <c r="E284" s="8" t="s">
        <v>1810</v>
      </c>
      <c r="F284" s="10">
        <v>101.53</v>
      </c>
      <c r="G284" s="11">
        <v>-0.7333</v>
      </c>
      <c r="H284" s="8" t="s">
        <v>117</v>
      </c>
      <c r="I284" s="12">
        <v>2843791.0</v>
      </c>
      <c r="J284" s="11">
        <v>23.6057</v>
      </c>
      <c r="K284" s="13">
        <v>7.4879</v>
      </c>
      <c r="L284" s="13">
        <v>14.2339</v>
      </c>
      <c r="M284" s="13">
        <v>844558.8</v>
      </c>
      <c r="N284" s="13">
        <v>4.3775</v>
      </c>
      <c r="O284" s="12">
        <v>3.957865106E9</v>
      </c>
      <c r="P284" s="13">
        <v>50.1286</v>
      </c>
      <c r="Q284" s="13">
        <v>39.6674</v>
      </c>
      <c r="R284" s="11">
        <v>51.694</v>
      </c>
      <c r="S284" s="13">
        <v>100.2807</v>
      </c>
      <c r="T284" s="13">
        <v>100.3168</v>
      </c>
      <c r="U284" s="13">
        <v>99.3834</v>
      </c>
      <c r="V284" s="13">
        <v>97.1853</v>
      </c>
      <c r="W284" s="13">
        <v>96.3291</v>
      </c>
      <c r="X284" s="13">
        <v>89.6715</v>
      </c>
      <c r="Y284" s="13">
        <v>70.7854</v>
      </c>
      <c r="Z284" s="13">
        <v>64.4877</v>
      </c>
      <c r="AA284" s="13">
        <v>118.84</v>
      </c>
      <c r="AB284" s="13">
        <v>0.0</v>
      </c>
      <c r="AC284" s="13">
        <v>-11.6073</v>
      </c>
      <c r="AD284" s="13">
        <v>-16.8299</v>
      </c>
      <c r="AE284" s="13">
        <v>-385.9759</v>
      </c>
      <c r="AF284" s="13">
        <v>20.5305</v>
      </c>
      <c r="AG284" s="13">
        <v>0.0262</v>
      </c>
      <c r="AH284" s="13">
        <v>7.6115</v>
      </c>
      <c r="AI284" s="13">
        <v>0.8837</v>
      </c>
      <c r="AJ284" s="11">
        <v>1.05</v>
      </c>
      <c r="AK284" s="8" t="s">
        <v>1349</v>
      </c>
      <c r="AL284" s="14">
        <f>IFERROR(__xludf.DUMMYFUNCTION("IFERROR(GOOGLEFINANCE(B284,""price""),"""")"),45.63)</f>
        <v>45.63</v>
      </c>
    </row>
    <row r="285">
      <c r="A285" s="15">
        <v>46072.87018345902</v>
      </c>
      <c r="B285" s="16" t="s">
        <v>1797</v>
      </c>
      <c r="C285" s="16" t="s">
        <v>1798</v>
      </c>
      <c r="D285" s="17">
        <v>46075.0</v>
      </c>
      <c r="E285" s="16" t="s">
        <v>1799</v>
      </c>
      <c r="F285" s="18">
        <v>24.51</v>
      </c>
      <c r="G285" s="19">
        <v>0.4508</v>
      </c>
      <c r="H285" s="16" t="s">
        <v>93</v>
      </c>
      <c r="I285" s="20">
        <v>825883.0</v>
      </c>
      <c r="J285" s="19">
        <v>49.554</v>
      </c>
      <c r="K285" s="21">
        <v>0.2313</v>
      </c>
      <c r="L285" s="21">
        <v>0.6114</v>
      </c>
      <c r="M285" s="21">
        <v>121987.0</v>
      </c>
      <c r="N285" s="21">
        <v>18.3292</v>
      </c>
      <c r="O285" s="20">
        <v>0.0</v>
      </c>
      <c r="P285" s="21">
        <v>70.7273</v>
      </c>
      <c r="Q285" s="21">
        <v>61.7457</v>
      </c>
      <c r="R285" s="19">
        <v>66.2193</v>
      </c>
      <c r="S285" s="21">
        <v>24.3528</v>
      </c>
      <c r="T285" s="21">
        <v>24.2445</v>
      </c>
      <c r="U285" s="21">
        <v>24.1165</v>
      </c>
      <c r="V285" s="21">
        <v>23.9307</v>
      </c>
      <c r="W285" s="21">
        <v>23.8721</v>
      </c>
      <c r="X285" s="21">
        <v>23.5274</v>
      </c>
      <c r="Y285" s="21">
        <v>23.1981</v>
      </c>
      <c r="Z285" s="21">
        <v>22.4838</v>
      </c>
      <c r="AA285" s="21">
        <v>24.84</v>
      </c>
      <c r="AB285" s="21">
        <v>0.0</v>
      </c>
      <c r="AC285" s="21">
        <v>0.0</v>
      </c>
      <c r="AD285" s="21">
        <v>0.0</v>
      </c>
      <c r="AE285" s="21">
        <v>0.0</v>
      </c>
      <c r="AF285" s="21">
        <v>0.0</v>
      </c>
      <c r="AG285" s="21">
        <v>0.0</v>
      </c>
      <c r="AH285" s="21">
        <v>0.0</v>
      </c>
      <c r="AI285" s="21">
        <v>0.964</v>
      </c>
      <c r="AJ285" s="19">
        <v>0.76</v>
      </c>
      <c r="AK285" s="16" t="s">
        <v>1800</v>
      </c>
      <c r="AL285" s="22" t="str">
        <f>IFERROR(__xludf.DUMMYFUNCTION("IFERROR(GOOGLEFINANCE(B285,""price""),"""")"),"")</f>
        <v/>
      </c>
    </row>
    <row r="286">
      <c r="A286" s="7">
        <v>46072.87018345902</v>
      </c>
      <c r="B286" s="8" t="s">
        <v>1811</v>
      </c>
      <c r="C286" s="8" t="s">
        <v>1812</v>
      </c>
      <c r="D286" s="9">
        <v>46075.0</v>
      </c>
      <c r="E286" s="8" t="s">
        <v>1813</v>
      </c>
      <c r="F286" s="10">
        <v>41.07</v>
      </c>
      <c r="G286" s="11">
        <v>2.9323</v>
      </c>
      <c r="H286" s="8" t="s">
        <v>308</v>
      </c>
      <c r="I286" s="12">
        <v>1402037.0</v>
      </c>
      <c r="J286" s="11">
        <v>20.1403</v>
      </c>
      <c r="K286" s="13">
        <v>1.5114</v>
      </c>
      <c r="L286" s="13">
        <v>2.9754</v>
      </c>
      <c r="M286" s="13">
        <v>986818.9</v>
      </c>
      <c r="N286" s="13">
        <v>1.3409</v>
      </c>
      <c r="O286" s="12">
        <v>1.0925718359E10</v>
      </c>
      <c r="P286" s="13">
        <v>56.5781</v>
      </c>
      <c r="Q286" s="13">
        <v>37.3822</v>
      </c>
      <c r="R286" s="11">
        <v>57.5605</v>
      </c>
      <c r="S286" s="13">
        <v>39.5279</v>
      </c>
      <c r="T286" s="13">
        <v>39.4834</v>
      </c>
      <c r="U286" s="13">
        <v>39.108</v>
      </c>
      <c r="V286" s="13">
        <v>38.7411</v>
      </c>
      <c r="W286" s="13">
        <v>38.6778</v>
      </c>
      <c r="X286" s="13">
        <v>38.624</v>
      </c>
      <c r="Y286" s="13">
        <v>38.3469</v>
      </c>
      <c r="Z286" s="13">
        <v>40.7332</v>
      </c>
      <c r="AA286" s="13">
        <v>49.31</v>
      </c>
      <c r="AB286" s="13">
        <v>41.6574</v>
      </c>
      <c r="AC286" s="13">
        <v>0.9859</v>
      </c>
      <c r="AD286" s="13">
        <v>10.3475</v>
      </c>
      <c r="AE286" s="13">
        <v>9.6666</v>
      </c>
      <c r="AF286" s="13">
        <v>12.268</v>
      </c>
      <c r="AG286" s="13">
        <v>0.1779</v>
      </c>
      <c r="AH286" s="13">
        <v>2.0018</v>
      </c>
      <c r="AI286" s="13">
        <v>1.0225</v>
      </c>
      <c r="AJ286" s="11">
        <v>1.02</v>
      </c>
      <c r="AK286" s="23"/>
      <c r="AL286" s="14">
        <f>IFERROR(__xludf.DUMMYFUNCTION("IFERROR(GOOGLEFINANCE(B286,""price""),"""")"),46.06)</f>
        <v>46.06</v>
      </c>
    </row>
    <row r="287">
      <c r="A287" s="15">
        <v>46072.87018345902</v>
      </c>
      <c r="B287" s="16" t="s">
        <v>1793</v>
      </c>
      <c r="C287" s="16" t="s">
        <v>1794</v>
      </c>
      <c r="D287" s="17">
        <v>46075.0</v>
      </c>
      <c r="E287" s="16" t="s">
        <v>1795</v>
      </c>
      <c r="F287" s="18">
        <v>10.54</v>
      </c>
      <c r="G287" s="19">
        <v>26.2275</v>
      </c>
      <c r="H287" s="16" t="s">
        <v>308</v>
      </c>
      <c r="I287" s="20">
        <v>5083728.0</v>
      </c>
      <c r="J287" s="19">
        <v>21.7625</v>
      </c>
      <c r="K287" s="21">
        <v>1.0379</v>
      </c>
      <c r="L287" s="21">
        <v>1.6412</v>
      </c>
      <c r="M287" s="16">
        <v>1753123.0</v>
      </c>
      <c r="N287" s="21">
        <v>3.4708</v>
      </c>
      <c r="O287" s="20">
        <v>2.58393272E8</v>
      </c>
      <c r="P287" s="21">
        <v>39.8378</v>
      </c>
      <c r="Q287" s="21">
        <v>24.3062</v>
      </c>
      <c r="R287" s="19">
        <v>58.9899</v>
      </c>
      <c r="S287" s="21">
        <v>9.1949</v>
      </c>
      <c r="T287" s="21">
        <v>9.2878</v>
      </c>
      <c r="U287" s="21">
        <v>9.0667</v>
      </c>
      <c r="V287" s="21">
        <v>8.6665</v>
      </c>
      <c r="W287" s="21">
        <v>8.5424</v>
      </c>
      <c r="X287" s="21">
        <v>7.8067</v>
      </c>
      <c r="Y287" s="21">
        <v>6.2972</v>
      </c>
      <c r="Z287" s="21">
        <v>5.8271</v>
      </c>
      <c r="AA287" s="21">
        <v>12.75</v>
      </c>
      <c r="AB287" s="21">
        <v>0.0</v>
      </c>
      <c r="AC287" s="21">
        <v>-0.3244</v>
      </c>
      <c r="AD287" s="21">
        <v>-24.2597</v>
      </c>
      <c r="AE287" s="21">
        <v>-10.4617</v>
      </c>
      <c r="AF287" s="21">
        <v>14.3325</v>
      </c>
      <c r="AG287" s="21">
        <v>0.2467</v>
      </c>
      <c r="AH287" s="21">
        <v>2.7981</v>
      </c>
      <c r="AI287" s="21">
        <v>1.2159</v>
      </c>
      <c r="AJ287" s="19">
        <v>1.26</v>
      </c>
      <c r="AK287" s="16" t="s">
        <v>1814</v>
      </c>
      <c r="AL287" s="22">
        <f>IFERROR(__xludf.DUMMYFUNCTION("IFERROR(GOOGLEFINANCE(B287,""price""),"""")"),7.8)</f>
        <v>7.8</v>
      </c>
    </row>
    <row r="288">
      <c r="A288" s="7">
        <v>46072.87018345902</v>
      </c>
      <c r="B288" s="8" t="s">
        <v>1815</v>
      </c>
      <c r="C288" s="8" t="s">
        <v>1816</v>
      </c>
      <c r="D288" s="9">
        <v>46075.0</v>
      </c>
      <c r="E288" s="8" t="s">
        <v>1817</v>
      </c>
      <c r="F288" s="10">
        <v>2.52</v>
      </c>
      <c r="G288" s="11">
        <v>5.0</v>
      </c>
      <c r="H288" s="8" t="s">
        <v>117</v>
      </c>
      <c r="I288" s="12">
        <v>708877.0</v>
      </c>
      <c r="J288" s="11">
        <v>21.311</v>
      </c>
      <c r="K288" s="13">
        <v>0.2492</v>
      </c>
      <c r="L288" s="13">
        <v>0.4495</v>
      </c>
      <c r="M288" s="13">
        <v>458767.1</v>
      </c>
      <c r="N288" s="13">
        <v>1.5287</v>
      </c>
      <c r="O288" s="12">
        <v>1.82071969E8</v>
      </c>
      <c r="P288" s="13">
        <v>36.0619</v>
      </c>
      <c r="Q288" s="13">
        <v>29.0318</v>
      </c>
      <c r="R288" s="11">
        <v>52.0643</v>
      </c>
      <c r="S288" s="13">
        <v>2.4341</v>
      </c>
      <c r="T288" s="13">
        <v>2.4758</v>
      </c>
      <c r="U288" s="13">
        <v>2.4032</v>
      </c>
      <c r="V288" s="13">
        <v>2.2809</v>
      </c>
      <c r="W288" s="13">
        <v>2.2454</v>
      </c>
      <c r="X288" s="13">
        <v>2.063</v>
      </c>
      <c r="Y288" s="13">
        <v>2.1007</v>
      </c>
      <c r="Z288" s="13">
        <v>1.6379</v>
      </c>
      <c r="AA288" s="13">
        <v>3.95</v>
      </c>
      <c r="AB288" s="13">
        <v>0.0</v>
      </c>
      <c r="AC288" s="13">
        <v>-2.0832</v>
      </c>
      <c r="AD288" s="13">
        <v>-49.1814</v>
      </c>
      <c r="AE288" s="13">
        <v>-567.9509</v>
      </c>
      <c r="AF288" s="13">
        <v>-33.7648</v>
      </c>
      <c r="AG288" s="13">
        <v>0.16</v>
      </c>
      <c r="AH288" s="13">
        <v>7.7567</v>
      </c>
      <c r="AI288" s="13">
        <v>1.2264</v>
      </c>
      <c r="AJ288" s="11">
        <v>1.11</v>
      </c>
      <c r="AK288" s="23"/>
      <c r="AL288" s="14">
        <f>IFERROR(__xludf.DUMMYFUNCTION("IFERROR(GOOGLEFINANCE(B288,""price""),"""")"),6.61)</f>
        <v>6.61</v>
      </c>
    </row>
    <row r="289">
      <c r="A289" s="15">
        <v>46072.87018345902</v>
      </c>
      <c r="B289" s="16" t="s">
        <v>1818</v>
      </c>
      <c r="C289" s="16" t="s">
        <v>1819</v>
      </c>
      <c r="D289" s="17">
        <v>46075.0</v>
      </c>
      <c r="E289" s="16" t="s">
        <v>1820</v>
      </c>
      <c r="F289" s="18">
        <v>2.36</v>
      </c>
      <c r="G289" s="19">
        <v>5.8296</v>
      </c>
      <c r="H289" s="16" t="s">
        <v>117</v>
      </c>
      <c r="I289" s="20">
        <v>795125.0</v>
      </c>
      <c r="J289" s="19">
        <v>22.1001</v>
      </c>
      <c r="K289" s="21">
        <v>0.135</v>
      </c>
      <c r="L289" s="21">
        <v>0.2973</v>
      </c>
      <c r="M289" s="21">
        <v>640358.9</v>
      </c>
      <c r="N289" s="21">
        <v>1.2894</v>
      </c>
      <c r="O289" s="20">
        <v>1.67629664E8</v>
      </c>
      <c r="P289" s="21">
        <v>56.2719</v>
      </c>
      <c r="Q289" s="21">
        <v>33.3965</v>
      </c>
      <c r="R289" s="19">
        <v>62.6365</v>
      </c>
      <c r="S289" s="21">
        <v>2.1402</v>
      </c>
      <c r="T289" s="21">
        <v>2.1221</v>
      </c>
      <c r="U289" s="21">
        <v>2.0999</v>
      </c>
      <c r="V289" s="21">
        <v>2.0768</v>
      </c>
      <c r="W289" s="21">
        <v>2.0716</v>
      </c>
      <c r="X289" s="21">
        <v>2.0531</v>
      </c>
      <c r="Y289" s="21">
        <v>2.1837</v>
      </c>
      <c r="Z289" s="21">
        <v>2.0041</v>
      </c>
      <c r="AA289" s="21">
        <v>2.74</v>
      </c>
      <c r="AB289" s="21">
        <v>0.0</v>
      </c>
      <c r="AC289" s="21">
        <v>-1.389</v>
      </c>
      <c r="AD289" s="21">
        <v>-26.6945</v>
      </c>
      <c r="AE289" s="21">
        <v>0.0</v>
      </c>
      <c r="AF289" s="21">
        <v>0.0</v>
      </c>
      <c r="AG289" s="21">
        <v>0.2268</v>
      </c>
      <c r="AH289" s="21">
        <v>15.2346</v>
      </c>
      <c r="AI289" s="21">
        <v>1.7039</v>
      </c>
      <c r="AJ289" s="19">
        <v>0.91</v>
      </c>
      <c r="AK289" s="24"/>
      <c r="AL289" s="22">
        <f>IFERROR(__xludf.DUMMYFUNCTION("IFERROR(GOOGLEFINANCE(B289,""price""),"""")"),2.17)</f>
        <v>2.17</v>
      </c>
    </row>
    <row r="290">
      <c r="A290" s="7">
        <v>46072.87018345902</v>
      </c>
      <c r="B290" s="8" t="s">
        <v>1821</v>
      </c>
      <c r="C290" s="8" t="s">
        <v>1822</v>
      </c>
      <c r="D290" s="9">
        <v>46075.0</v>
      </c>
      <c r="E290" s="8" t="s">
        <v>1823</v>
      </c>
      <c r="F290" s="10">
        <v>33.52</v>
      </c>
      <c r="G290" s="11">
        <v>0.9031</v>
      </c>
      <c r="H290" s="8" t="s">
        <v>112</v>
      </c>
      <c r="I290" s="12">
        <v>4362983.0</v>
      </c>
      <c r="J290" s="11">
        <v>27.1856</v>
      </c>
      <c r="K290" s="13">
        <v>1.1055</v>
      </c>
      <c r="L290" s="13">
        <v>2.1763</v>
      </c>
      <c r="M290" s="8">
        <v>2374668.0</v>
      </c>
      <c r="N290" s="13">
        <v>1.8999</v>
      </c>
      <c r="O290" s="12">
        <v>8.57998075E9</v>
      </c>
      <c r="P290" s="13">
        <v>28.7778</v>
      </c>
      <c r="Q290" s="13">
        <v>33.4889</v>
      </c>
      <c r="R290" s="11">
        <v>51.9558</v>
      </c>
      <c r="S290" s="13">
        <v>33.6256</v>
      </c>
      <c r="T290" s="13">
        <v>33.4592</v>
      </c>
      <c r="U290" s="13">
        <v>33.03</v>
      </c>
      <c r="V290" s="13">
        <v>32.5937</v>
      </c>
      <c r="W290" s="13">
        <v>32.4944</v>
      </c>
      <c r="X290" s="13">
        <v>32.2365</v>
      </c>
      <c r="Y290" s="13">
        <v>33.4688</v>
      </c>
      <c r="Z290" s="13">
        <v>33.3591</v>
      </c>
      <c r="AA290" s="13">
        <v>44.82</v>
      </c>
      <c r="AB290" s="13">
        <v>12.442</v>
      </c>
      <c r="AC290" s="13">
        <v>2.6941</v>
      </c>
      <c r="AD290" s="13">
        <v>9.495</v>
      </c>
      <c r="AE290" s="13">
        <v>8.6885</v>
      </c>
      <c r="AF290" s="13">
        <v>-3.7106</v>
      </c>
      <c r="AG290" s="13">
        <v>0.7742</v>
      </c>
      <c r="AH290" s="13">
        <v>1.6729</v>
      </c>
      <c r="AI290" s="13">
        <v>1.7768</v>
      </c>
      <c r="AJ290" s="11">
        <v>1.02</v>
      </c>
      <c r="AK290" s="23"/>
      <c r="AL290" s="14">
        <f>IFERROR(__xludf.DUMMYFUNCTION("IFERROR(GOOGLEFINANCE(B290,""price""),"""")"),30.38)</f>
        <v>30.38</v>
      </c>
    </row>
    <row r="291">
      <c r="A291" s="15">
        <v>46072.87018345902</v>
      </c>
      <c r="B291" s="16" t="s">
        <v>1649</v>
      </c>
      <c r="C291" s="16" t="s">
        <v>1650</v>
      </c>
      <c r="D291" s="17">
        <v>46075.0</v>
      </c>
      <c r="E291" s="16" t="s">
        <v>1651</v>
      </c>
      <c r="F291" s="18">
        <v>49.04</v>
      </c>
      <c r="G291" s="19">
        <v>0.0408</v>
      </c>
      <c r="H291" s="16" t="s">
        <v>93</v>
      </c>
      <c r="I291" s="20">
        <v>4095935.0</v>
      </c>
      <c r="J291" s="19">
        <v>48.1701</v>
      </c>
      <c r="K291" s="21">
        <v>0.4085</v>
      </c>
      <c r="L291" s="21">
        <v>1.5766</v>
      </c>
      <c r="M291" s="16">
        <v>2938480.0</v>
      </c>
      <c r="N291" s="21">
        <v>1.4985</v>
      </c>
      <c r="O291" s="20">
        <v>7.555867852E9</v>
      </c>
      <c r="P291" s="21">
        <v>69.0745</v>
      </c>
      <c r="Q291" s="21">
        <v>81.1522</v>
      </c>
      <c r="R291" s="19">
        <v>67.5645</v>
      </c>
      <c r="S291" s="21">
        <v>48.8151</v>
      </c>
      <c r="T291" s="21">
        <v>48.3746</v>
      </c>
      <c r="U291" s="21">
        <v>47.9406</v>
      </c>
      <c r="V291" s="21">
        <v>47.4012</v>
      </c>
      <c r="W291" s="21">
        <v>47.2409</v>
      </c>
      <c r="X291" s="21">
        <v>46.2568</v>
      </c>
      <c r="Y291" s="21">
        <v>43.9201</v>
      </c>
      <c r="Z291" s="21">
        <v>43.1403</v>
      </c>
      <c r="AA291" s="21">
        <v>49.82</v>
      </c>
      <c r="AB291" s="21">
        <v>9.3381</v>
      </c>
      <c r="AC291" s="21">
        <v>5.2516</v>
      </c>
      <c r="AD291" s="21">
        <v>16.167</v>
      </c>
      <c r="AE291" s="21">
        <v>34.9751</v>
      </c>
      <c r="AF291" s="21">
        <v>27.4161</v>
      </c>
      <c r="AG291" s="21">
        <v>0.075</v>
      </c>
      <c r="AH291" s="21">
        <v>0.0</v>
      </c>
      <c r="AI291" s="21">
        <v>1.7833</v>
      </c>
      <c r="AJ291" s="19">
        <v>0.52</v>
      </c>
      <c r="AK291" s="16" t="s">
        <v>1824</v>
      </c>
      <c r="AL291" s="22">
        <f>IFERROR(__xludf.DUMMYFUNCTION("IFERROR(GOOGLEFINANCE(B291,""price""),"""")"),51.62)</f>
        <v>51.62</v>
      </c>
    </row>
    <row r="292">
      <c r="A292" s="7">
        <v>46072.87230999051</v>
      </c>
      <c r="B292" s="8" t="s">
        <v>1406</v>
      </c>
      <c r="C292" s="8" t="s">
        <v>1407</v>
      </c>
      <c r="D292" s="9">
        <v>46075.0</v>
      </c>
      <c r="E292" s="8" t="s">
        <v>1408</v>
      </c>
      <c r="F292" s="10">
        <v>10.61</v>
      </c>
      <c r="G292" s="11">
        <v>0.2836</v>
      </c>
      <c r="H292" s="8" t="s">
        <v>93</v>
      </c>
      <c r="I292" s="12">
        <v>611192.0</v>
      </c>
      <c r="J292" s="11">
        <v>36.7233</v>
      </c>
      <c r="K292" s="13">
        <v>0.0328</v>
      </c>
      <c r="L292" s="13">
        <v>0.1442</v>
      </c>
      <c r="M292" s="13">
        <v>405223.0</v>
      </c>
      <c r="N292" s="13">
        <v>1.7619</v>
      </c>
      <c r="O292" s="12">
        <v>3.53666661E8</v>
      </c>
      <c r="P292" s="13">
        <v>67.1189</v>
      </c>
      <c r="Q292" s="13">
        <v>63.6428</v>
      </c>
      <c r="R292" s="11">
        <v>62.9783</v>
      </c>
      <c r="S292" s="13">
        <v>10.5907</v>
      </c>
      <c r="T292" s="13">
        <v>10.5778</v>
      </c>
      <c r="U292" s="13">
        <v>10.5698</v>
      </c>
      <c r="V292" s="13">
        <v>10.5663</v>
      </c>
      <c r="W292" s="13">
        <v>10.5654</v>
      </c>
      <c r="X292" s="13">
        <v>10.5505</v>
      </c>
      <c r="Y292" s="13">
        <v>10.4411</v>
      </c>
      <c r="Z292" s="13">
        <v>10.4409</v>
      </c>
      <c r="AA292" s="13">
        <v>12.5</v>
      </c>
      <c r="AB292" s="13">
        <v>73.9373</v>
      </c>
      <c r="AC292" s="13">
        <v>0.1435</v>
      </c>
      <c r="AD292" s="13">
        <v>2.333</v>
      </c>
      <c r="AE292" s="13">
        <v>0.0</v>
      </c>
      <c r="AF292" s="13">
        <v>0.0</v>
      </c>
      <c r="AG292" s="13">
        <v>0.0</v>
      </c>
      <c r="AH292" s="13">
        <v>0.5306</v>
      </c>
      <c r="AI292" s="13">
        <v>0.1961</v>
      </c>
      <c r="AJ292" s="11">
        <v>0.45</v>
      </c>
      <c r="AK292" s="8" t="s">
        <v>1679</v>
      </c>
      <c r="AL292" s="14">
        <f>IFERROR(__xludf.DUMMYFUNCTION("IFERROR(GOOGLEFINANCE(B292,""price""),"""")"),10.66)</f>
        <v>10.66</v>
      </c>
    </row>
    <row r="293">
      <c r="A293" s="15">
        <v>46072.87230999051</v>
      </c>
      <c r="B293" s="16" t="s">
        <v>1530</v>
      </c>
      <c r="C293" s="16" t="s">
        <v>1531</v>
      </c>
      <c r="D293" s="17">
        <v>46075.0</v>
      </c>
      <c r="E293" s="16" t="s">
        <v>1532</v>
      </c>
      <c r="F293" s="18">
        <v>10.74</v>
      </c>
      <c r="G293" s="19">
        <v>-0.093</v>
      </c>
      <c r="H293" s="16" t="s">
        <v>93</v>
      </c>
      <c r="I293" s="20">
        <v>725215.0</v>
      </c>
      <c r="J293" s="19">
        <v>56.5689</v>
      </c>
      <c r="K293" s="21">
        <v>0.0243</v>
      </c>
      <c r="L293" s="21">
        <v>0.0477</v>
      </c>
      <c r="M293" s="21">
        <v>171382.0</v>
      </c>
      <c r="N293" s="21">
        <v>4.8271</v>
      </c>
      <c r="O293" s="20">
        <v>3.8596875E8</v>
      </c>
      <c r="P293" s="21">
        <v>67.1958</v>
      </c>
      <c r="Q293" s="21">
        <v>61.5344</v>
      </c>
      <c r="R293" s="19">
        <v>59.0382</v>
      </c>
      <c r="S293" s="21">
        <v>10.7326</v>
      </c>
      <c r="T293" s="21">
        <v>10.7103</v>
      </c>
      <c r="U293" s="21">
        <v>10.6924</v>
      </c>
      <c r="V293" s="21">
        <v>10.6748</v>
      </c>
      <c r="W293" s="21">
        <v>10.6698</v>
      </c>
      <c r="X293" s="21">
        <v>10.6372</v>
      </c>
      <c r="Y293" s="21">
        <v>10.5125</v>
      </c>
      <c r="Z293" s="21">
        <v>10.5411</v>
      </c>
      <c r="AA293" s="21">
        <v>10.77</v>
      </c>
      <c r="AB293" s="21">
        <v>31.8222</v>
      </c>
      <c r="AC293" s="21">
        <v>0.3375</v>
      </c>
      <c r="AD293" s="21">
        <v>4.2454</v>
      </c>
      <c r="AE293" s="21">
        <v>0.0</v>
      </c>
      <c r="AF293" s="21">
        <v>0.0</v>
      </c>
      <c r="AG293" s="21">
        <v>0.0</v>
      </c>
      <c r="AH293" s="21">
        <v>3.206</v>
      </c>
      <c r="AI293" s="21">
        <v>0.3738</v>
      </c>
      <c r="AJ293" s="19">
        <v>1.02</v>
      </c>
      <c r="AK293" s="16" t="s">
        <v>1791</v>
      </c>
      <c r="AL293" s="22">
        <f>IFERROR(__xludf.DUMMYFUNCTION("IFERROR(GOOGLEFINANCE(B293,""price""),"""")"),10.79)</f>
        <v>10.79</v>
      </c>
    </row>
    <row r="294">
      <c r="A294" s="7">
        <v>46072.87230999051</v>
      </c>
      <c r="B294" s="8" t="s">
        <v>1804</v>
      </c>
      <c r="C294" s="8" t="s">
        <v>1805</v>
      </c>
      <c r="D294" s="9">
        <v>46075.0</v>
      </c>
      <c r="E294" s="8" t="s">
        <v>1806</v>
      </c>
      <c r="F294" s="10">
        <v>106.78</v>
      </c>
      <c r="G294" s="11">
        <v>1.0122</v>
      </c>
      <c r="H294" s="8" t="s">
        <v>117</v>
      </c>
      <c r="I294" s="12">
        <v>951015.0</v>
      </c>
      <c r="J294" s="11">
        <v>20.3381</v>
      </c>
      <c r="K294" s="13">
        <v>5.7879</v>
      </c>
      <c r="L294" s="13">
        <v>9.7425</v>
      </c>
      <c r="M294" s="13">
        <v>690123.8</v>
      </c>
      <c r="N294" s="13">
        <v>1.2861</v>
      </c>
      <c r="O294" s="12">
        <v>4.940845026E9</v>
      </c>
      <c r="P294" s="13">
        <v>50.5053</v>
      </c>
      <c r="Q294" s="13">
        <v>43.5011</v>
      </c>
      <c r="R294" s="11">
        <v>50.3465</v>
      </c>
      <c r="S294" s="13">
        <v>106.2676</v>
      </c>
      <c r="T294" s="13">
        <v>106.9021</v>
      </c>
      <c r="U294" s="13">
        <v>105.8258</v>
      </c>
      <c r="V294" s="13">
        <v>102.9133</v>
      </c>
      <c r="W294" s="13">
        <v>101.7841</v>
      </c>
      <c r="X294" s="13">
        <v>93.1086</v>
      </c>
      <c r="Y294" s="13">
        <v>69.4479</v>
      </c>
      <c r="Z294" s="13">
        <v>59.1067</v>
      </c>
      <c r="AA294" s="13">
        <v>120.315</v>
      </c>
      <c r="AB294" s="13">
        <v>0.0</v>
      </c>
      <c r="AC294" s="13">
        <v>-3.6714</v>
      </c>
      <c r="AD294" s="13">
        <v>-122.0393</v>
      </c>
      <c r="AE294" s="13">
        <v>0.0</v>
      </c>
      <c r="AF294" s="13">
        <v>0.0</v>
      </c>
      <c r="AG294" s="13">
        <v>2.7389</v>
      </c>
      <c r="AH294" s="13">
        <v>12.2576</v>
      </c>
      <c r="AI294" s="13">
        <v>0.4138</v>
      </c>
      <c r="AJ294" s="11">
        <v>1.19</v>
      </c>
      <c r="AK294" s="8" t="s">
        <v>1267</v>
      </c>
      <c r="AL294" s="14">
        <f>IFERROR(__xludf.DUMMYFUNCTION("IFERROR(GOOGLEFINANCE(B294,""price""),"""")"),117.14)</f>
        <v>117.14</v>
      </c>
    </row>
    <row r="295">
      <c r="A295" s="15">
        <v>46072.87230999051</v>
      </c>
      <c r="B295" s="16" t="s">
        <v>1656</v>
      </c>
      <c r="C295" s="16" t="s">
        <v>1657</v>
      </c>
      <c r="D295" s="17">
        <v>46075.0</v>
      </c>
      <c r="E295" s="16" t="s">
        <v>1658</v>
      </c>
      <c r="F295" s="18">
        <v>44.54</v>
      </c>
      <c r="G295" s="19">
        <v>0.0899</v>
      </c>
      <c r="H295" s="16" t="s">
        <v>88</v>
      </c>
      <c r="I295" s="20">
        <v>402954.0</v>
      </c>
      <c r="J295" s="19">
        <v>38.2581</v>
      </c>
      <c r="K295" s="21">
        <v>0.1584</v>
      </c>
      <c r="L295" s="21">
        <v>1.6038</v>
      </c>
      <c r="M295" s="21">
        <v>288316.0</v>
      </c>
      <c r="N295" s="21">
        <v>1.5123</v>
      </c>
      <c r="O295" s="20">
        <v>6.16638769E8</v>
      </c>
      <c r="P295" s="21">
        <v>10.912</v>
      </c>
      <c r="Q295" s="21">
        <v>24.9333</v>
      </c>
      <c r="R295" s="19">
        <v>52.9877</v>
      </c>
      <c r="S295" s="21">
        <v>44.5904</v>
      </c>
      <c r="T295" s="21">
        <v>44.5908</v>
      </c>
      <c r="U295" s="21">
        <v>44.2158</v>
      </c>
      <c r="V295" s="21">
        <v>43.0709</v>
      </c>
      <c r="W295" s="21">
        <v>42.6115</v>
      </c>
      <c r="X295" s="21">
        <v>39.1619</v>
      </c>
      <c r="Y295" s="21">
        <v>31.1662</v>
      </c>
      <c r="Z295" s="21">
        <v>27.1202</v>
      </c>
      <c r="AA295" s="21">
        <v>44.88</v>
      </c>
      <c r="AB295" s="21">
        <v>0.0</v>
      </c>
      <c r="AC295" s="21">
        <v>-4.9273</v>
      </c>
      <c r="AD295" s="21">
        <v>-28.6468</v>
      </c>
      <c r="AE295" s="21">
        <v>-70.4578</v>
      </c>
      <c r="AF295" s="21">
        <v>16.3974</v>
      </c>
      <c r="AG295" s="21">
        <v>0.069</v>
      </c>
      <c r="AH295" s="21">
        <v>2.5494</v>
      </c>
      <c r="AI295" s="21">
        <v>0.8412</v>
      </c>
      <c r="AJ295" s="19">
        <v>0.2</v>
      </c>
      <c r="AK295" s="16" t="s">
        <v>1807</v>
      </c>
      <c r="AL295" s="22" t="str">
        <f>IFERROR(__xludf.DUMMYFUNCTION("IFERROR(GOOGLEFINANCE(B295,""price""),"""")"),"")</f>
        <v/>
      </c>
    </row>
    <row r="296">
      <c r="A296" s="7">
        <v>46072.87230999051</v>
      </c>
      <c r="B296" s="8" t="s">
        <v>1808</v>
      </c>
      <c r="C296" s="8" t="s">
        <v>1809</v>
      </c>
      <c r="D296" s="9">
        <v>46075.0</v>
      </c>
      <c r="E296" s="8" t="s">
        <v>1810</v>
      </c>
      <c r="F296" s="10">
        <v>101.53</v>
      </c>
      <c r="G296" s="11">
        <v>-0.7333</v>
      </c>
      <c r="H296" s="8" t="s">
        <v>117</v>
      </c>
      <c r="I296" s="12">
        <v>2843791.0</v>
      </c>
      <c r="J296" s="11">
        <v>23.6057</v>
      </c>
      <c r="K296" s="13">
        <v>7.4879</v>
      </c>
      <c r="L296" s="13">
        <v>14.2339</v>
      </c>
      <c r="M296" s="13">
        <v>844558.8</v>
      </c>
      <c r="N296" s="13">
        <v>4.3775</v>
      </c>
      <c r="O296" s="12">
        <v>3.957865106E9</v>
      </c>
      <c r="P296" s="13">
        <v>50.1286</v>
      </c>
      <c r="Q296" s="13">
        <v>39.6674</v>
      </c>
      <c r="R296" s="11">
        <v>51.694</v>
      </c>
      <c r="S296" s="13">
        <v>100.2807</v>
      </c>
      <c r="T296" s="13">
        <v>100.3168</v>
      </c>
      <c r="U296" s="13">
        <v>99.3834</v>
      </c>
      <c r="V296" s="13">
        <v>97.1853</v>
      </c>
      <c r="W296" s="13">
        <v>96.3291</v>
      </c>
      <c r="X296" s="13">
        <v>89.6715</v>
      </c>
      <c r="Y296" s="13">
        <v>70.7854</v>
      </c>
      <c r="Z296" s="13">
        <v>64.4877</v>
      </c>
      <c r="AA296" s="13">
        <v>118.84</v>
      </c>
      <c r="AB296" s="13">
        <v>0.0</v>
      </c>
      <c r="AC296" s="13">
        <v>-11.6073</v>
      </c>
      <c r="AD296" s="13">
        <v>-16.8299</v>
      </c>
      <c r="AE296" s="13">
        <v>-385.9759</v>
      </c>
      <c r="AF296" s="13">
        <v>20.5305</v>
      </c>
      <c r="AG296" s="13">
        <v>0.0262</v>
      </c>
      <c r="AH296" s="13">
        <v>7.6115</v>
      </c>
      <c r="AI296" s="13">
        <v>0.8837</v>
      </c>
      <c r="AJ296" s="11">
        <v>1.05</v>
      </c>
      <c r="AK296" s="8" t="s">
        <v>1349</v>
      </c>
      <c r="AL296" s="14">
        <f>IFERROR(__xludf.DUMMYFUNCTION("IFERROR(GOOGLEFINANCE(B296,""price""),"""")"),45.63)</f>
        <v>45.63</v>
      </c>
    </row>
    <row r="297">
      <c r="A297" s="15">
        <v>46072.87230999051</v>
      </c>
      <c r="B297" s="16" t="s">
        <v>1797</v>
      </c>
      <c r="C297" s="16" t="s">
        <v>1798</v>
      </c>
      <c r="D297" s="17">
        <v>46075.0</v>
      </c>
      <c r="E297" s="16" t="s">
        <v>1799</v>
      </c>
      <c r="F297" s="18">
        <v>24.51</v>
      </c>
      <c r="G297" s="19">
        <v>0.4508</v>
      </c>
      <c r="H297" s="16" t="s">
        <v>93</v>
      </c>
      <c r="I297" s="20">
        <v>825883.0</v>
      </c>
      <c r="J297" s="19">
        <v>49.554</v>
      </c>
      <c r="K297" s="21">
        <v>0.2313</v>
      </c>
      <c r="L297" s="21">
        <v>0.6114</v>
      </c>
      <c r="M297" s="21">
        <v>121987.0</v>
      </c>
      <c r="N297" s="21">
        <v>18.3292</v>
      </c>
      <c r="O297" s="20">
        <v>0.0</v>
      </c>
      <c r="P297" s="21">
        <v>70.7273</v>
      </c>
      <c r="Q297" s="21">
        <v>61.7457</v>
      </c>
      <c r="R297" s="19">
        <v>66.2193</v>
      </c>
      <c r="S297" s="21">
        <v>24.3528</v>
      </c>
      <c r="T297" s="21">
        <v>24.2445</v>
      </c>
      <c r="U297" s="21">
        <v>24.1165</v>
      </c>
      <c r="V297" s="21">
        <v>23.9307</v>
      </c>
      <c r="W297" s="21">
        <v>23.8721</v>
      </c>
      <c r="X297" s="21">
        <v>23.5274</v>
      </c>
      <c r="Y297" s="21">
        <v>23.1981</v>
      </c>
      <c r="Z297" s="21">
        <v>22.4838</v>
      </c>
      <c r="AA297" s="21">
        <v>24.84</v>
      </c>
      <c r="AB297" s="21">
        <v>0.0</v>
      </c>
      <c r="AC297" s="21">
        <v>0.0</v>
      </c>
      <c r="AD297" s="21">
        <v>0.0</v>
      </c>
      <c r="AE297" s="21">
        <v>0.0</v>
      </c>
      <c r="AF297" s="21">
        <v>0.0</v>
      </c>
      <c r="AG297" s="21">
        <v>0.0</v>
      </c>
      <c r="AH297" s="21">
        <v>0.0</v>
      </c>
      <c r="AI297" s="21">
        <v>0.964</v>
      </c>
      <c r="AJ297" s="19">
        <v>0.76</v>
      </c>
      <c r="AK297" s="16" t="s">
        <v>1800</v>
      </c>
      <c r="AL297" s="22" t="str">
        <f>IFERROR(__xludf.DUMMYFUNCTION("IFERROR(GOOGLEFINANCE(B297,""price""),"""")"),"")</f>
        <v/>
      </c>
    </row>
    <row r="298">
      <c r="A298" s="7">
        <v>46072.87230999051</v>
      </c>
      <c r="B298" s="8" t="s">
        <v>1811</v>
      </c>
      <c r="C298" s="8" t="s">
        <v>1812</v>
      </c>
      <c r="D298" s="9">
        <v>46075.0</v>
      </c>
      <c r="E298" s="8" t="s">
        <v>1813</v>
      </c>
      <c r="F298" s="10">
        <v>41.07</v>
      </c>
      <c r="G298" s="11">
        <v>2.9323</v>
      </c>
      <c r="H298" s="8" t="s">
        <v>308</v>
      </c>
      <c r="I298" s="12">
        <v>1402037.0</v>
      </c>
      <c r="J298" s="11">
        <v>20.1403</v>
      </c>
      <c r="K298" s="13">
        <v>1.5114</v>
      </c>
      <c r="L298" s="13">
        <v>2.9754</v>
      </c>
      <c r="M298" s="13">
        <v>986818.9</v>
      </c>
      <c r="N298" s="13">
        <v>1.3409</v>
      </c>
      <c r="O298" s="12">
        <v>1.0925718359E10</v>
      </c>
      <c r="P298" s="13">
        <v>56.5781</v>
      </c>
      <c r="Q298" s="13">
        <v>37.3822</v>
      </c>
      <c r="R298" s="11">
        <v>57.5605</v>
      </c>
      <c r="S298" s="13">
        <v>39.5279</v>
      </c>
      <c r="T298" s="13">
        <v>39.4834</v>
      </c>
      <c r="U298" s="13">
        <v>39.108</v>
      </c>
      <c r="V298" s="13">
        <v>38.7411</v>
      </c>
      <c r="W298" s="13">
        <v>38.6778</v>
      </c>
      <c r="X298" s="13">
        <v>38.624</v>
      </c>
      <c r="Y298" s="13">
        <v>38.3469</v>
      </c>
      <c r="Z298" s="13">
        <v>40.7332</v>
      </c>
      <c r="AA298" s="13">
        <v>49.31</v>
      </c>
      <c r="AB298" s="13">
        <v>41.6574</v>
      </c>
      <c r="AC298" s="13">
        <v>0.9859</v>
      </c>
      <c r="AD298" s="13">
        <v>10.3475</v>
      </c>
      <c r="AE298" s="13">
        <v>9.6666</v>
      </c>
      <c r="AF298" s="13">
        <v>12.268</v>
      </c>
      <c r="AG298" s="13">
        <v>0.1779</v>
      </c>
      <c r="AH298" s="13">
        <v>2.0018</v>
      </c>
      <c r="AI298" s="13">
        <v>1.0225</v>
      </c>
      <c r="AJ298" s="11">
        <v>1.02</v>
      </c>
      <c r="AK298" s="23"/>
      <c r="AL298" s="14">
        <f>IFERROR(__xludf.DUMMYFUNCTION("IFERROR(GOOGLEFINANCE(B298,""price""),"""")"),46.06)</f>
        <v>46.06</v>
      </c>
    </row>
    <row r="299">
      <c r="A299" s="15">
        <v>46072.87230999051</v>
      </c>
      <c r="B299" s="16" t="s">
        <v>1793</v>
      </c>
      <c r="C299" s="16" t="s">
        <v>1794</v>
      </c>
      <c r="D299" s="17">
        <v>46075.0</v>
      </c>
      <c r="E299" s="16" t="s">
        <v>1795</v>
      </c>
      <c r="F299" s="18">
        <v>10.54</v>
      </c>
      <c r="G299" s="19">
        <v>26.2275</v>
      </c>
      <c r="H299" s="16" t="s">
        <v>308</v>
      </c>
      <c r="I299" s="20">
        <v>5083728.0</v>
      </c>
      <c r="J299" s="19">
        <v>21.7625</v>
      </c>
      <c r="K299" s="21">
        <v>1.0379</v>
      </c>
      <c r="L299" s="21">
        <v>1.6412</v>
      </c>
      <c r="M299" s="16">
        <v>1753123.0</v>
      </c>
      <c r="N299" s="21">
        <v>3.4708</v>
      </c>
      <c r="O299" s="20">
        <v>2.58393272E8</v>
      </c>
      <c r="P299" s="21">
        <v>39.8378</v>
      </c>
      <c r="Q299" s="21">
        <v>24.3062</v>
      </c>
      <c r="R299" s="19">
        <v>58.9899</v>
      </c>
      <c r="S299" s="21">
        <v>9.1949</v>
      </c>
      <c r="T299" s="21">
        <v>9.2878</v>
      </c>
      <c r="U299" s="21">
        <v>9.0667</v>
      </c>
      <c r="V299" s="21">
        <v>8.6665</v>
      </c>
      <c r="W299" s="21">
        <v>8.5424</v>
      </c>
      <c r="X299" s="21">
        <v>7.8067</v>
      </c>
      <c r="Y299" s="21">
        <v>6.2972</v>
      </c>
      <c r="Z299" s="21">
        <v>5.8271</v>
      </c>
      <c r="AA299" s="21">
        <v>12.75</v>
      </c>
      <c r="AB299" s="21">
        <v>0.0</v>
      </c>
      <c r="AC299" s="21">
        <v>-0.3244</v>
      </c>
      <c r="AD299" s="21">
        <v>-24.2597</v>
      </c>
      <c r="AE299" s="21">
        <v>-10.4617</v>
      </c>
      <c r="AF299" s="21">
        <v>14.3325</v>
      </c>
      <c r="AG299" s="21">
        <v>0.2467</v>
      </c>
      <c r="AH299" s="21">
        <v>2.7981</v>
      </c>
      <c r="AI299" s="21">
        <v>1.2159</v>
      </c>
      <c r="AJ299" s="19">
        <v>1.26</v>
      </c>
      <c r="AK299" s="16" t="s">
        <v>1814</v>
      </c>
      <c r="AL299" s="22">
        <f>IFERROR(__xludf.DUMMYFUNCTION("IFERROR(GOOGLEFINANCE(B299,""price""),"""")"),7.8)</f>
        <v>7.8</v>
      </c>
    </row>
    <row r="300">
      <c r="A300" s="7">
        <v>46072.87230999051</v>
      </c>
      <c r="B300" s="8" t="s">
        <v>1815</v>
      </c>
      <c r="C300" s="8" t="s">
        <v>1816</v>
      </c>
      <c r="D300" s="9">
        <v>46075.0</v>
      </c>
      <c r="E300" s="8" t="s">
        <v>1817</v>
      </c>
      <c r="F300" s="10">
        <v>2.52</v>
      </c>
      <c r="G300" s="11">
        <v>5.0</v>
      </c>
      <c r="H300" s="8" t="s">
        <v>117</v>
      </c>
      <c r="I300" s="12">
        <v>708877.0</v>
      </c>
      <c r="J300" s="11">
        <v>21.311</v>
      </c>
      <c r="K300" s="13">
        <v>0.2492</v>
      </c>
      <c r="L300" s="13">
        <v>0.4495</v>
      </c>
      <c r="M300" s="13">
        <v>458767.1</v>
      </c>
      <c r="N300" s="13">
        <v>1.5287</v>
      </c>
      <c r="O300" s="12">
        <v>1.82071969E8</v>
      </c>
      <c r="P300" s="13">
        <v>36.0619</v>
      </c>
      <c r="Q300" s="13">
        <v>29.0318</v>
      </c>
      <c r="R300" s="11">
        <v>52.0643</v>
      </c>
      <c r="S300" s="13">
        <v>2.4341</v>
      </c>
      <c r="T300" s="13">
        <v>2.4758</v>
      </c>
      <c r="U300" s="13">
        <v>2.4032</v>
      </c>
      <c r="V300" s="13">
        <v>2.2809</v>
      </c>
      <c r="W300" s="13">
        <v>2.2454</v>
      </c>
      <c r="X300" s="13">
        <v>2.063</v>
      </c>
      <c r="Y300" s="13">
        <v>2.1007</v>
      </c>
      <c r="Z300" s="13">
        <v>1.6379</v>
      </c>
      <c r="AA300" s="13">
        <v>3.95</v>
      </c>
      <c r="AB300" s="13">
        <v>0.0</v>
      </c>
      <c r="AC300" s="13">
        <v>-2.0832</v>
      </c>
      <c r="AD300" s="13">
        <v>-49.1814</v>
      </c>
      <c r="AE300" s="13">
        <v>-567.9509</v>
      </c>
      <c r="AF300" s="13">
        <v>-33.7648</v>
      </c>
      <c r="AG300" s="13">
        <v>0.16</v>
      </c>
      <c r="AH300" s="13">
        <v>7.7567</v>
      </c>
      <c r="AI300" s="13">
        <v>1.2264</v>
      </c>
      <c r="AJ300" s="11">
        <v>1.11</v>
      </c>
      <c r="AK300" s="23"/>
      <c r="AL300" s="14">
        <f>IFERROR(__xludf.DUMMYFUNCTION("IFERROR(GOOGLEFINANCE(B300,""price""),"""")"),6.61)</f>
        <v>6.61</v>
      </c>
    </row>
    <row r="301">
      <c r="A301" s="15">
        <v>46072.87230999051</v>
      </c>
      <c r="B301" s="16" t="s">
        <v>1818</v>
      </c>
      <c r="C301" s="16" t="s">
        <v>1819</v>
      </c>
      <c r="D301" s="17">
        <v>46075.0</v>
      </c>
      <c r="E301" s="16" t="s">
        <v>1820</v>
      </c>
      <c r="F301" s="18">
        <v>2.36</v>
      </c>
      <c r="G301" s="19">
        <v>5.8296</v>
      </c>
      <c r="H301" s="16" t="s">
        <v>117</v>
      </c>
      <c r="I301" s="20">
        <v>795125.0</v>
      </c>
      <c r="J301" s="19">
        <v>22.1001</v>
      </c>
      <c r="K301" s="21">
        <v>0.135</v>
      </c>
      <c r="L301" s="21">
        <v>0.2973</v>
      </c>
      <c r="M301" s="21">
        <v>640358.9</v>
      </c>
      <c r="N301" s="21">
        <v>1.2894</v>
      </c>
      <c r="O301" s="20">
        <v>1.67629664E8</v>
      </c>
      <c r="P301" s="21">
        <v>56.2719</v>
      </c>
      <c r="Q301" s="21">
        <v>33.3965</v>
      </c>
      <c r="R301" s="19">
        <v>62.6365</v>
      </c>
      <c r="S301" s="21">
        <v>2.1402</v>
      </c>
      <c r="T301" s="21">
        <v>2.1221</v>
      </c>
      <c r="U301" s="21">
        <v>2.0999</v>
      </c>
      <c r="V301" s="21">
        <v>2.0768</v>
      </c>
      <c r="W301" s="21">
        <v>2.0716</v>
      </c>
      <c r="X301" s="21">
        <v>2.0531</v>
      </c>
      <c r="Y301" s="21">
        <v>2.1837</v>
      </c>
      <c r="Z301" s="21">
        <v>2.0041</v>
      </c>
      <c r="AA301" s="21">
        <v>2.74</v>
      </c>
      <c r="AB301" s="21">
        <v>0.0</v>
      </c>
      <c r="AC301" s="21">
        <v>-1.389</v>
      </c>
      <c r="AD301" s="21">
        <v>-26.6945</v>
      </c>
      <c r="AE301" s="21">
        <v>0.0</v>
      </c>
      <c r="AF301" s="21">
        <v>0.0</v>
      </c>
      <c r="AG301" s="21">
        <v>0.2268</v>
      </c>
      <c r="AH301" s="21">
        <v>15.2346</v>
      </c>
      <c r="AI301" s="21">
        <v>1.7039</v>
      </c>
      <c r="AJ301" s="19">
        <v>0.91</v>
      </c>
      <c r="AK301" s="24"/>
      <c r="AL301" s="22">
        <f>IFERROR(__xludf.DUMMYFUNCTION("IFERROR(GOOGLEFINANCE(B301,""price""),"""")"),2.17)</f>
        <v>2.17</v>
      </c>
    </row>
    <row r="302">
      <c r="A302" s="7">
        <v>46072.87230999051</v>
      </c>
      <c r="B302" s="8" t="s">
        <v>1821</v>
      </c>
      <c r="C302" s="8" t="s">
        <v>1822</v>
      </c>
      <c r="D302" s="9">
        <v>46075.0</v>
      </c>
      <c r="E302" s="8" t="s">
        <v>1823</v>
      </c>
      <c r="F302" s="10">
        <v>33.52</v>
      </c>
      <c r="G302" s="11">
        <v>0.9031</v>
      </c>
      <c r="H302" s="8" t="s">
        <v>112</v>
      </c>
      <c r="I302" s="12">
        <v>4362983.0</v>
      </c>
      <c r="J302" s="11">
        <v>27.1856</v>
      </c>
      <c r="K302" s="13">
        <v>1.1055</v>
      </c>
      <c r="L302" s="13">
        <v>2.1763</v>
      </c>
      <c r="M302" s="8">
        <v>2374668.0</v>
      </c>
      <c r="N302" s="13">
        <v>1.8999</v>
      </c>
      <c r="O302" s="12">
        <v>8.57998075E9</v>
      </c>
      <c r="P302" s="13">
        <v>28.7778</v>
      </c>
      <c r="Q302" s="13">
        <v>33.4889</v>
      </c>
      <c r="R302" s="11">
        <v>51.9558</v>
      </c>
      <c r="S302" s="13">
        <v>33.6256</v>
      </c>
      <c r="T302" s="13">
        <v>33.4592</v>
      </c>
      <c r="U302" s="13">
        <v>33.03</v>
      </c>
      <c r="V302" s="13">
        <v>32.5937</v>
      </c>
      <c r="W302" s="13">
        <v>32.4944</v>
      </c>
      <c r="X302" s="13">
        <v>32.2365</v>
      </c>
      <c r="Y302" s="13">
        <v>33.4688</v>
      </c>
      <c r="Z302" s="13">
        <v>33.3591</v>
      </c>
      <c r="AA302" s="13">
        <v>44.82</v>
      </c>
      <c r="AB302" s="13">
        <v>12.442</v>
      </c>
      <c r="AC302" s="13">
        <v>2.6941</v>
      </c>
      <c r="AD302" s="13">
        <v>9.495</v>
      </c>
      <c r="AE302" s="13">
        <v>8.6885</v>
      </c>
      <c r="AF302" s="13">
        <v>-3.7106</v>
      </c>
      <c r="AG302" s="13">
        <v>0.7742</v>
      </c>
      <c r="AH302" s="13">
        <v>1.6729</v>
      </c>
      <c r="AI302" s="13">
        <v>1.7768</v>
      </c>
      <c r="AJ302" s="11">
        <v>1.02</v>
      </c>
      <c r="AK302" s="23"/>
      <c r="AL302" s="14">
        <f>IFERROR(__xludf.DUMMYFUNCTION("IFERROR(GOOGLEFINANCE(B302,""price""),"""")"),30.38)</f>
        <v>30.38</v>
      </c>
    </row>
    <row r="303">
      <c r="A303" s="15">
        <v>46072.87230999051</v>
      </c>
      <c r="B303" s="16" t="s">
        <v>1649</v>
      </c>
      <c r="C303" s="16" t="s">
        <v>1650</v>
      </c>
      <c r="D303" s="17">
        <v>46075.0</v>
      </c>
      <c r="E303" s="16" t="s">
        <v>1651</v>
      </c>
      <c r="F303" s="18">
        <v>49.04</v>
      </c>
      <c r="G303" s="19">
        <v>0.0408</v>
      </c>
      <c r="H303" s="16" t="s">
        <v>93</v>
      </c>
      <c r="I303" s="20">
        <v>4095935.0</v>
      </c>
      <c r="J303" s="19">
        <v>48.1701</v>
      </c>
      <c r="K303" s="21">
        <v>0.4085</v>
      </c>
      <c r="L303" s="21">
        <v>1.5766</v>
      </c>
      <c r="M303" s="16">
        <v>2938480.0</v>
      </c>
      <c r="N303" s="21">
        <v>1.4985</v>
      </c>
      <c r="O303" s="20">
        <v>7.555867852E9</v>
      </c>
      <c r="P303" s="21">
        <v>69.0745</v>
      </c>
      <c r="Q303" s="21">
        <v>81.1522</v>
      </c>
      <c r="R303" s="19">
        <v>67.5645</v>
      </c>
      <c r="S303" s="21">
        <v>48.8151</v>
      </c>
      <c r="T303" s="21">
        <v>48.3746</v>
      </c>
      <c r="U303" s="21">
        <v>47.9406</v>
      </c>
      <c r="V303" s="21">
        <v>47.4012</v>
      </c>
      <c r="W303" s="21">
        <v>47.2409</v>
      </c>
      <c r="X303" s="21">
        <v>46.2568</v>
      </c>
      <c r="Y303" s="21">
        <v>43.9201</v>
      </c>
      <c r="Z303" s="21">
        <v>43.1403</v>
      </c>
      <c r="AA303" s="21">
        <v>49.82</v>
      </c>
      <c r="AB303" s="21">
        <v>9.3381</v>
      </c>
      <c r="AC303" s="21">
        <v>5.2516</v>
      </c>
      <c r="AD303" s="21">
        <v>16.167</v>
      </c>
      <c r="AE303" s="21">
        <v>34.9751</v>
      </c>
      <c r="AF303" s="21">
        <v>27.4161</v>
      </c>
      <c r="AG303" s="21">
        <v>0.075</v>
      </c>
      <c r="AH303" s="21">
        <v>0.0</v>
      </c>
      <c r="AI303" s="21">
        <v>1.7833</v>
      </c>
      <c r="AJ303" s="19">
        <v>0.52</v>
      </c>
      <c r="AK303" s="16" t="s">
        <v>1824</v>
      </c>
      <c r="AL303" s="22">
        <f>IFERROR(__xludf.DUMMYFUNCTION("IFERROR(GOOGLEFINANCE(B303,""price""),"""")"),51.62)</f>
        <v>51.62</v>
      </c>
    </row>
    <row r="304">
      <c r="A304" s="7">
        <v>46073.629103303574</v>
      </c>
      <c r="B304" s="8" t="s">
        <v>1386</v>
      </c>
      <c r="C304" s="8" t="s">
        <v>1387</v>
      </c>
      <c r="D304" s="9">
        <v>46075.0</v>
      </c>
      <c r="E304" s="8" t="s">
        <v>1388</v>
      </c>
      <c r="F304" s="10">
        <v>207.125</v>
      </c>
      <c r="G304" s="11">
        <v>0.0797</v>
      </c>
      <c r="H304" s="8" t="s">
        <v>102</v>
      </c>
      <c r="I304" s="12">
        <v>1876484.0</v>
      </c>
      <c r="J304" s="11">
        <v>31.3984</v>
      </c>
      <c r="K304" s="13">
        <v>0.5146</v>
      </c>
      <c r="L304" s="13">
        <v>3.0311</v>
      </c>
      <c r="M304" s="8">
        <v>1368943.0</v>
      </c>
      <c r="N304" s="13">
        <v>1.3926</v>
      </c>
      <c r="O304" s="12">
        <v>9.898790284E9</v>
      </c>
      <c r="P304" s="13">
        <v>31.1458</v>
      </c>
      <c r="Q304" s="13">
        <v>33.0903</v>
      </c>
      <c r="R304" s="11">
        <v>53.1872</v>
      </c>
      <c r="S304" s="13">
        <v>207.1097</v>
      </c>
      <c r="T304" s="13">
        <v>207.0726</v>
      </c>
      <c r="U304" s="13">
        <v>206.7928</v>
      </c>
      <c r="V304" s="13">
        <v>206.1645</v>
      </c>
      <c r="W304" s="13">
        <v>205.9036</v>
      </c>
      <c r="X304" s="13">
        <v>203.4154</v>
      </c>
      <c r="Y304" s="13">
        <v>193.1299</v>
      </c>
      <c r="Z304" s="13">
        <v>190.595</v>
      </c>
      <c r="AA304" s="13">
        <v>208.24</v>
      </c>
      <c r="AB304" s="13">
        <v>249.8492</v>
      </c>
      <c r="AC304" s="13">
        <v>0.829</v>
      </c>
      <c r="AD304" s="13">
        <v>2.2484</v>
      </c>
      <c r="AE304" s="13">
        <v>16.3754</v>
      </c>
      <c r="AF304" s="13">
        <v>5.4738</v>
      </c>
      <c r="AG304" s="13">
        <v>1.1744</v>
      </c>
      <c r="AH304" s="13">
        <v>1.4021</v>
      </c>
      <c r="AI304" s="13">
        <v>0.153</v>
      </c>
      <c r="AJ304" s="11">
        <v>0.34</v>
      </c>
      <c r="AK304" s="8" t="s">
        <v>1825</v>
      </c>
      <c r="AL304" s="14">
        <f>IFERROR(__xludf.DUMMYFUNCTION("IFERROR(GOOGLEFINANCE(B304,""price""),"""")"),207.79)</f>
        <v>207.79</v>
      </c>
    </row>
    <row r="305">
      <c r="A305" s="15">
        <v>46073.629103303574</v>
      </c>
      <c r="B305" s="16" t="s">
        <v>1276</v>
      </c>
      <c r="C305" s="16" t="s">
        <v>1277</v>
      </c>
      <c r="D305" s="17">
        <v>46075.0</v>
      </c>
      <c r="E305" s="16" t="s">
        <v>1278</v>
      </c>
      <c r="F305" s="18">
        <v>59.045</v>
      </c>
      <c r="G305" s="19">
        <v>0.3484</v>
      </c>
      <c r="H305" s="16" t="s">
        <v>917</v>
      </c>
      <c r="I305" s="20">
        <v>1944385.0</v>
      </c>
      <c r="J305" s="19">
        <v>24.859</v>
      </c>
      <c r="K305" s="21">
        <v>0.2837</v>
      </c>
      <c r="L305" s="21">
        <v>0.6419</v>
      </c>
      <c r="M305" s="16">
        <v>1218020.0</v>
      </c>
      <c r="N305" s="21">
        <v>1.6545</v>
      </c>
      <c r="O305" s="20">
        <v>6.431261493E9</v>
      </c>
      <c r="P305" s="21">
        <v>42.3001</v>
      </c>
      <c r="Q305" s="21">
        <v>56.1348</v>
      </c>
      <c r="R305" s="19">
        <v>49.2148</v>
      </c>
      <c r="S305" s="21">
        <v>59.1142</v>
      </c>
      <c r="T305" s="21">
        <v>59.0995</v>
      </c>
      <c r="U305" s="21">
        <v>59.0163</v>
      </c>
      <c r="V305" s="21">
        <v>58.8571</v>
      </c>
      <c r="W305" s="21">
        <v>58.8014</v>
      </c>
      <c r="X305" s="21">
        <v>58.3858</v>
      </c>
      <c r="Y305" s="21">
        <v>56.5282</v>
      </c>
      <c r="Z305" s="21">
        <v>57.2556</v>
      </c>
      <c r="AA305" s="21">
        <v>59.52</v>
      </c>
      <c r="AB305" s="21">
        <v>34.507</v>
      </c>
      <c r="AC305" s="21">
        <v>1.7111</v>
      </c>
      <c r="AD305" s="21">
        <v>6.0162</v>
      </c>
      <c r="AE305" s="21">
        <v>19.9703</v>
      </c>
      <c r="AF305" s="21">
        <v>10.6481</v>
      </c>
      <c r="AG305" s="21">
        <v>1.6763</v>
      </c>
      <c r="AH305" s="21">
        <v>0.5062</v>
      </c>
      <c r="AI305" s="21">
        <v>0.1658</v>
      </c>
      <c r="AJ305" s="19">
        <v>0.88</v>
      </c>
      <c r="AK305" s="16" t="s">
        <v>1267</v>
      </c>
      <c r="AL305" s="22">
        <f>IFERROR(__xludf.DUMMYFUNCTION("IFERROR(GOOGLEFINANCE(B305,""price""),"""")"),59.18)</f>
        <v>59.18</v>
      </c>
    </row>
    <row r="306">
      <c r="A306" s="7">
        <v>46073.629103303574</v>
      </c>
      <c r="B306" s="8" t="s">
        <v>1601</v>
      </c>
      <c r="C306" s="8" t="s">
        <v>1602</v>
      </c>
      <c r="D306" s="9">
        <v>46075.0</v>
      </c>
      <c r="E306" s="8" t="s">
        <v>1603</v>
      </c>
      <c r="F306" s="10">
        <v>64.895</v>
      </c>
      <c r="G306" s="11">
        <v>0.1621</v>
      </c>
      <c r="H306" s="8" t="s">
        <v>93</v>
      </c>
      <c r="I306" s="12">
        <v>2208304.0</v>
      </c>
      <c r="J306" s="11">
        <v>46.7199</v>
      </c>
      <c r="K306" s="13">
        <v>0.1072</v>
      </c>
      <c r="L306" s="13">
        <v>0.7491</v>
      </c>
      <c r="M306" s="8">
        <v>1836161.0</v>
      </c>
      <c r="N306" s="13">
        <v>1.2296</v>
      </c>
      <c r="O306" s="12">
        <v>7.270537906E9</v>
      </c>
      <c r="P306" s="13">
        <v>92.3345</v>
      </c>
      <c r="Q306" s="13">
        <v>89.8751</v>
      </c>
      <c r="R306" s="11">
        <v>73.8869</v>
      </c>
      <c r="S306" s="13">
        <v>64.7538</v>
      </c>
      <c r="T306" s="13">
        <v>64.6152</v>
      </c>
      <c r="U306" s="13">
        <v>64.5011</v>
      </c>
      <c r="V306" s="13">
        <v>64.3432</v>
      </c>
      <c r="W306" s="13">
        <v>64.2819</v>
      </c>
      <c r="X306" s="13">
        <v>63.6679</v>
      </c>
      <c r="Y306" s="13">
        <v>60.5562</v>
      </c>
      <c r="Z306" s="13">
        <v>61.3111</v>
      </c>
      <c r="AA306" s="13">
        <v>64.91</v>
      </c>
      <c r="AB306" s="13">
        <v>6.9742</v>
      </c>
      <c r="AC306" s="13">
        <v>9.305</v>
      </c>
      <c r="AD306" s="13">
        <v>13.6003</v>
      </c>
      <c r="AE306" s="13">
        <v>49.5099</v>
      </c>
      <c r="AF306" s="13">
        <v>14.2078</v>
      </c>
      <c r="AG306" s="13">
        <v>2.3287</v>
      </c>
      <c r="AH306" s="13">
        <v>0.0521</v>
      </c>
      <c r="AI306" s="13">
        <v>0.3894</v>
      </c>
      <c r="AJ306" s="11">
        <v>0.29</v>
      </c>
      <c r="AK306" s="8" t="s">
        <v>1826</v>
      </c>
      <c r="AL306" s="14">
        <f>IFERROR(__xludf.DUMMYFUNCTION("IFERROR(GOOGLEFINANCE(B306,""price""),"""")"),65.0)</f>
        <v>65</v>
      </c>
    </row>
    <row r="307">
      <c r="A307" s="15">
        <v>46073.629103303574</v>
      </c>
      <c r="B307" s="16" t="s">
        <v>1750</v>
      </c>
      <c r="C307" s="16" t="s">
        <v>1751</v>
      </c>
      <c r="D307" s="17">
        <v>46075.0</v>
      </c>
      <c r="E307" s="16" t="s">
        <v>1752</v>
      </c>
      <c r="F307" s="18">
        <v>15.69</v>
      </c>
      <c r="G307" s="19">
        <v>1.1605</v>
      </c>
      <c r="H307" s="16" t="s">
        <v>186</v>
      </c>
      <c r="I307" s="20">
        <v>399911.0</v>
      </c>
      <c r="J307" s="19">
        <v>34.0536</v>
      </c>
      <c r="K307" s="21">
        <v>0.0575</v>
      </c>
      <c r="L307" s="21">
        <v>0.3482</v>
      </c>
      <c r="M307" s="21">
        <v>238295.8</v>
      </c>
      <c r="N307" s="21">
        <v>1.8838</v>
      </c>
      <c r="O307" s="20">
        <v>4.66286895E8</v>
      </c>
      <c r="P307" s="21">
        <v>54.8917</v>
      </c>
      <c r="Q307" s="21">
        <v>51.0133</v>
      </c>
      <c r="R307" s="19">
        <v>71.7232</v>
      </c>
      <c r="S307" s="21">
        <v>15.5654</v>
      </c>
      <c r="T307" s="21">
        <v>15.5269</v>
      </c>
      <c r="U307" s="21">
        <v>15.4855</v>
      </c>
      <c r="V307" s="21">
        <v>15.4045</v>
      </c>
      <c r="W307" s="21">
        <v>15.3716</v>
      </c>
      <c r="X307" s="21">
        <v>15.1031</v>
      </c>
      <c r="Y307" s="21">
        <v>14.7972</v>
      </c>
      <c r="Z307" s="21">
        <v>13.4742</v>
      </c>
      <c r="AA307" s="21">
        <v>18.47</v>
      </c>
      <c r="AB307" s="21">
        <v>12.2933</v>
      </c>
      <c r="AC307" s="21">
        <v>1.2763</v>
      </c>
      <c r="AD307" s="21">
        <v>26.8402</v>
      </c>
      <c r="AE307" s="21">
        <v>-1.5087</v>
      </c>
      <c r="AF307" s="21">
        <v>-6.5691</v>
      </c>
      <c r="AG307" s="21">
        <v>1.2101</v>
      </c>
      <c r="AH307" s="21">
        <v>2.0275</v>
      </c>
      <c r="AI307" s="21">
        <v>0.5095</v>
      </c>
      <c r="AJ307" s="19">
        <v>0.33</v>
      </c>
      <c r="AK307" s="16" t="s">
        <v>1827</v>
      </c>
      <c r="AL307" s="22">
        <f>IFERROR(__xludf.DUMMYFUNCTION("IFERROR(GOOGLEFINANCE(B307,""price""),"""")"),15.82)</f>
        <v>15.82</v>
      </c>
    </row>
    <row r="308">
      <c r="A308" s="7">
        <v>46073.629103303574</v>
      </c>
      <c r="B308" s="8" t="s">
        <v>1576</v>
      </c>
      <c r="C308" s="8" t="s">
        <v>1577</v>
      </c>
      <c r="D308" s="9">
        <v>46075.0</v>
      </c>
      <c r="E308" s="8" t="s">
        <v>1578</v>
      </c>
      <c r="F308" s="10">
        <v>11.8</v>
      </c>
      <c r="G308" s="11">
        <v>-0.1692</v>
      </c>
      <c r="H308" s="8" t="s">
        <v>88</v>
      </c>
      <c r="I308" s="12">
        <v>2392722.0</v>
      </c>
      <c r="J308" s="11">
        <v>39.5168</v>
      </c>
      <c r="K308" s="13">
        <v>0.042</v>
      </c>
      <c r="L308" s="13">
        <v>0.493</v>
      </c>
      <c r="M308" s="8">
        <v>1919887.0</v>
      </c>
      <c r="N308" s="13">
        <v>1.2331</v>
      </c>
      <c r="O308" s="12">
        <v>1.787182429E9</v>
      </c>
      <c r="P308" s="13">
        <v>19.2308</v>
      </c>
      <c r="Q308" s="13">
        <v>17.5214</v>
      </c>
      <c r="R308" s="11">
        <v>47.9753</v>
      </c>
      <c r="S308" s="13">
        <v>11.8245</v>
      </c>
      <c r="T308" s="13">
        <v>11.8366</v>
      </c>
      <c r="U308" s="13">
        <v>11.7459</v>
      </c>
      <c r="V308" s="13">
        <v>11.5054</v>
      </c>
      <c r="W308" s="13">
        <v>11.4188</v>
      </c>
      <c r="X308" s="13">
        <v>10.8896</v>
      </c>
      <c r="Y308" s="13">
        <v>10.4168</v>
      </c>
      <c r="Z308" s="13">
        <v>9.4956</v>
      </c>
      <c r="AA308" s="13">
        <v>16.19</v>
      </c>
      <c r="AB308" s="13">
        <v>0.0</v>
      </c>
      <c r="AC308" s="13">
        <v>-0.0307</v>
      </c>
      <c r="AD308" s="13">
        <v>-1.6774</v>
      </c>
      <c r="AE308" s="13">
        <v>-1.5659</v>
      </c>
      <c r="AF308" s="13">
        <v>19.8732</v>
      </c>
      <c r="AG308" s="13">
        <v>0.0481</v>
      </c>
      <c r="AH308" s="13">
        <v>2.2132</v>
      </c>
      <c r="AI308" s="13">
        <v>0.6664</v>
      </c>
      <c r="AJ308" s="11">
        <v>0.17</v>
      </c>
      <c r="AK308" s="8" t="s">
        <v>1828</v>
      </c>
      <c r="AL308" s="14">
        <f>IFERROR(__xludf.DUMMYFUNCTION("IFERROR(GOOGLEFINANCE(B308,""price""),"""")"),11.94)</f>
        <v>11.94</v>
      </c>
    </row>
    <row r="309">
      <c r="A309" s="15">
        <v>46073.629103303574</v>
      </c>
      <c r="B309" s="16" t="s">
        <v>1560</v>
      </c>
      <c r="C309" s="16" t="s">
        <v>1561</v>
      </c>
      <c r="D309" s="17">
        <v>46075.0</v>
      </c>
      <c r="E309" s="16" t="s">
        <v>1562</v>
      </c>
      <c r="F309" s="18">
        <v>72.85</v>
      </c>
      <c r="G309" s="19">
        <v>-0.0137</v>
      </c>
      <c r="H309" s="16" t="s">
        <v>117</v>
      </c>
      <c r="I309" s="20">
        <v>6213785.0</v>
      </c>
      <c r="J309" s="19">
        <v>42.5455</v>
      </c>
      <c r="K309" s="21">
        <v>0.2156</v>
      </c>
      <c r="L309" s="21">
        <v>2.4234</v>
      </c>
      <c r="M309" s="16">
        <v>2962220.0</v>
      </c>
      <c r="N309" s="21">
        <v>2.3126</v>
      </c>
      <c r="O309" s="20">
        <v>1.1272821722E10</v>
      </c>
      <c r="P309" s="21">
        <v>67.6768</v>
      </c>
      <c r="Q309" s="21">
        <v>68.1818</v>
      </c>
      <c r="R309" s="19">
        <v>63.024</v>
      </c>
      <c r="S309" s="21">
        <v>72.8519</v>
      </c>
      <c r="T309" s="21">
        <v>72.735</v>
      </c>
      <c r="U309" s="21">
        <v>72.3617</v>
      </c>
      <c r="V309" s="21">
        <v>71.3213</v>
      </c>
      <c r="W309" s="21">
        <v>70.8832</v>
      </c>
      <c r="X309" s="21">
        <v>67.2427</v>
      </c>
      <c r="Y309" s="21">
        <v>56.8351</v>
      </c>
      <c r="Z309" s="21">
        <v>51.7684</v>
      </c>
      <c r="AA309" s="21">
        <v>73.06</v>
      </c>
      <c r="AB309" s="21">
        <v>0.0</v>
      </c>
      <c r="AC309" s="21">
        <v>-4.1703</v>
      </c>
      <c r="AD309" s="21">
        <v>-32.4392</v>
      </c>
      <c r="AE309" s="21">
        <v>-2934.9003</v>
      </c>
      <c r="AF309" s="21">
        <v>106.2667</v>
      </c>
      <c r="AG309" s="21">
        <v>0.0265</v>
      </c>
      <c r="AH309" s="21">
        <v>11.573</v>
      </c>
      <c r="AI309" s="21">
        <v>0.6729</v>
      </c>
      <c r="AJ309" s="19">
        <v>0.18</v>
      </c>
      <c r="AK309" s="16" t="s">
        <v>1829</v>
      </c>
      <c r="AL309" s="22">
        <f>IFERROR(__xludf.DUMMYFUNCTION("IFERROR(GOOGLEFINANCE(B309,""price""),"""")"),12.71)</f>
        <v>12.71</v>
      </c>
    </row>
    <row r="310">
      <c r="A310" s="7">
        <v>46073.629103303574</v>
      </c>
      <c r="B310" s="8" t="s">
        <v>1815</v>
      </c>
      <c r="C310" s="8" t="s">
        <v>1816</v>
      </c>
      <c r="D310" s="9">
        <v>46075.0</v>
      </c>
      <c r="E310" s="8" t="s">
        <v>1817</v>
      </c>
      <c r="F310" s="10">
        <v>2.415</v>
      </c>
      <c r="G310" s="11">
        <v>-4.1667</v>
      </c>
      <c r="H310" s="8" t="s">
        <v>117</v>
      </c>
      <c r="I310" s="12">
        <v>1060145.0</v>
      </c>
      <c r="J310" s="11">
        <v>21.3371</v>
      </c>
      <c r="K310" s="13">
        <v>0.2461</v>
      </c>
      <c r="L310" s="13">
        <v>0.4495</v>
      </c>
      <c r="M310" s="13">
        <v>492961.4</v>
      </c>
      <c r="N310" s="13">
        <v>2.3109</v>
      </c>
      <c r="O310" s="12">
        <v>1.74485628E8</v>
      </c>
      <c r="P310" s="13">
        <v>40.4412</v>
      </c>
      <c r="Q310" s="13">
        <v>34.7478</v>
      </c>
      <c r="R310" s="11">
        <v>48.9998</v>
      </c>
      <c r="S310" s="13">
        <v>2.4298</v>
      </c>
      <c r="T310" s="13">
        <v>2.4702</v>
      </c>
      <c r="U310" s="13">
        <v>2.4038</v>
      </c>
      <c r="V310" s="13">
        <v>2.2862</v>
      </c>
      <c r="W310" s="13">
        <v>2.2515</v>
      </c>
      <c r="X310" s="13">
        <v>2.0708</v>
      </c>
      <c r="Y310" s="13">
        <v>2.1038</v>
      </c>
      <c r="Z310" s="13">
        <v>1.6431</v>
      </c>
      <c r="AA310" s="13">
        <v>3.95</v>
      </c>
      <c r="AB310" s="13">
        <v>0.0</v>
      </c>
      <c r="AC310" s="13">
        <v>-2.0832</v>
      </c>
      <c r="AD310" s="13">
        <v>-49.1814</v>
      </c>
      <c r="AE310" s="13">
        <v>-567.9509</v>
      </c>
      <c r="AF310" s="13">
        <v>-33.7648</v>
      </c>
      <c r="AG310" s="13">
        <v>0.16</v>
      </c>
      <c r="AH310" s="13">
        <v>7.7567</v>
      </c>
      <c r="AI310" s="13">
        <v>1.0763</v>
      </c>
      <c r="AJ310" s="11">
        <v>1.09</v>
      </c>
      <c r="AK310" s="8" t="s">
        <v>1830</v>
      </c>
      <c r="AL310" s="14">
        <f>IFERROR(__xludf.DUMMYFUNCTION("IFERROR(GOOGLEFINANCE(B310,""price""),"""")"),6.61)</f>
        <v>6.61</v>
      </c>
    </row>
    <row r="311">
      <c r="A311" s="15">
        <v>46073.629103303574</v>
      </c>
      <c r="B311" s="16" t="s">
        <v>1831</v>
      </c>
      <c r="C311" s="16" t="s">
        <v>1832</v>
      </c>
      <c r="D311" s="17">
        <v>46075.0</v>
      </c>
      <c r="E311" s="16" t="s">
        <v>1833</v>
      </c>
      <c r="F311" s="18">
        <v>8.49</v>
      </c>
      <c r="G311" s="19">
        <v>4.5567</v>
      </c>
      <c r="H311" s="16" t="s">
        <v>117</v>
      </c>
      <c r="I311" s="20">
        <v>577321.0</v>
      </c>
      <c r="J311" s="19">
        <v>28.0513</v>
      </c>
      <c r="K311" s="21">
        <v>0.4977</v>
      </c>
      <c r="L311" s="21">
        <v>0.9068</v>
      </c>
      <c r="M311" s="21">
        <v>308045.4</v>
      </c>
      <c r="N311" s="21">
        <v>2.164</v>
      </c>
      <c r="O311" s="20">
        <v>4.3000434E8</v>
      </c>
      <c r="P311" s="21">
        <v>44.3512</v>
      </c>
      <c r="Q311" s="21">
        <v>37.0173</v>
      </c>
      <c r="R311" s="19">
        <v>53.3956</v>
      </c>
      <c r="S311" s="21">
        <v>8.3332</v>
      </c>
      <c r="T311" s="21">
        <v>8.3476</v>
      </c>
      <c r="U311" s="21">
        <v>8.1739</v>
      </c>
      <c r="V311" s="21">
        <v>7.8998</v>
      </c>
      <c r="W311" s="21">
        <v>7.8156</v>
      </c>
      <c r="X311" s="21">
        <v>7.3078</v>
      </c>
      <c r="Y311" s="21">
        <v>6.1978</v>
      </c>
      <c r="Z311" s="21">
        <v>5.9147</v>
      </c>
      <c r="AA311" s="21">
        <v>9.32</v>
      </c>
      <c r="AB311" s="21">
        <v>0.0</v>
      </c>
      <c r="AC311" s="21">
        <v>-0.8722</v>
      </c>
      <c r="AD311" s="21">
        <v>-59.4646</v>
      </c>
      <c r="AE311" s="21">
        <v>0.0</v>
      </c>
      <c r="AF311" s="21">
        <v>0.0</v>
      </c>
      <c r="AG311" s="21">
        <v>0.0019</v>
      </c>
      <c r="AH311" s="21">
        <v>23.983</v>
      </c>
      <c r="AI311" s="21">
        <v>1.8769</v>
      </c>
      <c r="AJ311" s="19">
        <v>1.1</v>
      </c>
      <c r="AK311" s="16" t="s">
        <v>1482</v>
      </c>
      <c r="AL311" s="22">
        <f>IFERROR(__xludf.DUMMYFUNCTION("IFERROR(GOOGLEFINANCE(B311,""price""),"""")"),6.86)</f>
        <v>6.86</v>
      </c>
    </row>
    <row r="312">
      <c r="A312" s="7">
        <v>46073.779733759235</v>
      </c>
      <c r="B312" s="8" t="s">
        <v>1386</v>
      </c>
      <c r="C312" s="8" t="s">
        <v>1387</v>
      </c>
      <c r="D312" s="9">
        <v>46075.0</v>
      </c>
      <c r="E312" s="8" t="s">
        <v>1388</v>
      </c>
      <c r="F312" s="10">
        <v>207.17</v>
      </c>
      <c r="G312" s="11">
        <v>0.1015</v>
      </c>
      <c r="H312" s="8" t="s">
        <v>102</v>
      </c>
      <c r="I312" s="12">
        <v>2072164.0</v>
      </c>
      <c r="J312" s="11">
        <v>31.3984</v>
      </c>
      <c r="K312" s="13">
        <v>0.5146</v>
      </c>
      <c r="L312" s="13">
        <v>3.0311</v>
      </c>
      <c r="M312" s="8">
        <v>1389106.0</v>
      </c>
      <c r="N312" s="13">
        <v>1.5427</v>
      </c>
      <c r="O312" s="12">
        <v>9.900940897E9</v>
      </c>
      <c r="P312" s="13">
        <v>31.875</v>
      </c>
      <c r="Q312" s="13">
        <v>33.3333</v>
      </c>
      <c r="R312" s="11">
        <v>53.7715</v>
      </c>
      <c r="S312" s="13">
        <v>207.1175</v>
      </c>
      <c r="T312" s="13">
        <v>207.0758</v>
      </c>
      <c r="U312" s="13">
        <v>206.7948</v>
      </c>
      <c r="V312" s="13">
        <v>206.1659</v>
      </c>
      <c r="W312" s="13">
        <v>205.9049</v>
      </c>
      <c r="X312" s="13">
        <v>203.4161</v>
      </c>
      <c r="Y312" s="13">
        <v>193.1302</v>
      </c>
      <c r="Z312" s="13">
        <v>190.5952</v>
      </c>
      <c r="AA312" s="13">
        <v>208.24</v>
      </c>
      <c r="AB312" s="13">
        <v>249.9035</v>
      </c>
      <c r="AC312" s="13">
        <v>0.829</v>
      </c>
      <c r="AD312" s="13">
        <v>2.2484</v>
      </c>
      <c r="AE312" s="13">
        <v>16.3754</v>
      </c>
      <c r="AF312" s="13">
        <v>5.4738</v>
      </c>
      <c r="AG312" s="13">
        <v>1.1744</v>
      </c>
      <c r="AH312" s="13">
        <v>1.4021</v>
      </c>
      <c r="AI312" s="13">
        <v>0.1557</v>
      </c>
      <c r="AJ312" s="11">
        <v>0.34</v>
      </c>
      <c r="AK312" s="8" t="s">
        <v>1825</v>
      </c>
      <c r="AL312" s="14">
        <f>IFERROR(__xludf.DUMMYFUNCTION("IFERROR(GOOGLEFINANCE(B312,""price""),"""")"),207.79)</f>
        <v>207.79</v>
      </c>
    </row>
    <row r="313">
      <c r="A313" s="15">
        <v>46073.779733759235</v>
      </c>
      <c r="B313" s="16" t="s">
        <v>1276</v>
      </c>
      <c r="C313" s="16" t="s">
        <v>1277</v>
      </c>
      <c r="D313" s="17">
        <v>46075.0</v>
      </c>
      <c r="E313" s="16" t="s">
        <v>1278</v>
      </c>
      <c r="F313" s="18">
        <v>59.05</v>
      </c>
      <c r="G313" s="19">
        <v>0.3569</v>
      </c>
      <c r="H313" s="16" t="s">
        <v>917</v>
      </c>
      <c r="I313" s="20">
        <v>2309822.0</v>
      </c>
      <c r="J313" s="19">
        <v>24.859</v>
      </c>
      <c r="K313" s="21">
        <v>0.2837</v>
      </c>
      <c r="L313" s="21">
        <v>0.6419</v>
      </c>
      <c r="M313" s="16">
        <v>1254564.0</v>
      </c>
      <c r="N313" s="21">
        <v>1.9655</v>
      </c>
      <c r="O313" s="20">
        <v>6.4318061E9</v>
      </c>
      <c r="P313" s="21">
        <v>42.5058</v>
      </c>
      <c r="Q313" s="21">
        <v>56.2034</v>
      </c>
      <c r="R313" s="19">
        <v>49.3715</v>
      </c>
      <c r="S313" s="21">
        <v>59.1153</v>
      </c>
      <c r="T313" s="21">
        <v>59.0999</v>
      </c>
      <c r="U313" s="21">
        <v>59.0166</v>
      </c>
      <c r="V313" s="21">
        <v>58.8573</v>
      </c>
      <c r="W313" s="21">
        <v>58.8016</v>
      </c>
      <c r="X313" s="21">
        <v>58.3859</v>
      </c>
      <c r="Y313" s="21">
        <v>56.5283</v>
      </c>
      <c r="Z313" s="21">
        <v>57.2556</v>
      </c>
      <c r="AA313" s="21">
        <v>59.52</v>
      </c>
      <c r="AB313" s="21">
        <v>34.51</v>
      </c>
      <c r="AC313" s="21">
        <v>1.7111</v>
      </c>
      <c r="AD313" s="21">
        <v>6.0162</v>
      </c>
      <c r="AE313" s="21">
        <v>19.9703</v>
      </c>
      <c r="AF313" s="21">
        <v>10.6481</v>
      </c>
      <c r="AG313" s="21">
        <v>1.6763</v>
      </c>
      <c r="AH313" s="21">
        <v>0.5062</v>
      </c>
      <c r="AI313" s="21">
        <v>0.1672</v>
      </c>
      <c r="AJ313" s="19">
        <v>0.88</v>
      </c>
      <c r="AK313" s="16" t="s">
        <v>1267</v>
      </c>
      <c r="AL313" s="22">
        <f>IFERROR(__xludf.DUMMYFUNCTION("IFERROR(GOOGLEFINANCE(B313,""price""),"""")"),59.18)</f>
        <v>59.18</v>
      </c>
    </row>
    <row r="314">
      <c r="A314" s="7">
        <v>46073.779733759235</v>
      </c>
      <c r="B314" s="8" t="s">
        <v>1601</v>
      </c>
      <c r="C314" s="8" t="s">
        <v>1602</v>
      </c>
      <c r="D314" s="9">
        <v>46075.0</v>
      </c>
      <c r="E314" s="8" t="s">
        <v>1603</v>
      </c>
      <c r="F314" s="10">
        <v>64.91</v>
      </c>
      <c r="G314" s="11">
        <v>0.1852</v>
      </c>
      <c r="H314" s="8" t="s">
        <v>93</v>
      </c>
      <c r="I314" s="12">
        <v>3178278.0</v>
      </c>
      <c r="J314" s="11">
        <v>46.7656</v>
      </c>
      <c r="K314" s="13">
        <v>0.1079</v>
      </c>
      <c r="L314" s="13">
        <v>0.7498</v>
      </c>
      <c r="M314" s="8">
        <v>1933158.0</v>
      </c>
      <c r="N314" s="13">
        <v>1.7697</v>
      </c>
      <c r="O314" s="12">
        <v>7.272218437E9</v>
      </c>
      <c r="P314" s="13">
        <v>92.7604</v>
      </c>
      <c r="Q314" s="13">
        <v>90.0171</v>
      </c>
      <c r="R314" s="11">
        <v>74.3978</v>
      </c>
      <c r="S314" s="13">
        <v>64.7571</v>
      </c>
      <c r="T314" s="13">
        <v>64.6165</v>
      </c>
      <c r="U314" s="13">
        <v>64.502</v>
      </c>
      <c r="V314" s="13">
        <v>64.3438</v>
      </c>
      <c r="W314" s="13">
        <v>64.2824</v>
      </c>
      <c r="X314" s="13">
        <v>63.6683</v>
      </c>
      <c r="Y314" s="13">
        <v>60.5564</v>
      </c>
      <c r="Z314" s="13">
        <v>61.3112</v>
      </c>
      <c r="AA314" s="13">
        <v>64.92</v>
      </c>
      <c r="AB314" s="13">
        <v>6.9758</v>
      </c>
      <c r="AC314" s="13">
        <v>9.305</v>
      </c>
      <c r="AD314" s="13">
        <v>13.6003</v>
      </c>
      <c r="AE314" s="13">
        <v>49.5099</v>
      </c>
      <c r="AF314" s="13">
        <v>14.2078</v>
      </c>
      <c r="AG314" s="13">
        <v>2.3287</v>
      </c>
      <c r="AH314" s="13">
        <v>0.0521</v>
      </c>
      <c r="AI314" s="13">
        <v>0.3931</v>
      </c>
      <c r="AJ314" s="11">
        <v>0.29</v>
      </c>
      <c r="AK314" s="8" t="s">
        <v>1826</v>
      </c>
      <c r="AL314" s="14">
        <f>IFERROR(__xludf.DUMMYFUNCTION("IFERROR(GOOGLEFINANCE(B314,""price""),"""")"),65.0)</f>
        <v>65</v>
      </c>
    </row>
    <row r="315">
      <c r="A315" s="15">
        <v>46073.779733759235</v>
      </c>
      <c r="B315" s="16" t="s">
        <v>1750</v>
      </c>
      <c r="C315" s="16" t="s">
        <v>1751</v>
      </c>
      <c r="D315" s="17">
        <v>46075.0</v>
      </c>
      <c r="E315" s="16" t="s">
        <v>1752</v>
      </c>
      <c r="F315" s="18">
        <v>15.69</v>
      </c>
      <c r="G315" s="19">
        <v>1.1605</v>
      </c>
      <c r="H315" s="16" t="s">
        <v>186</v>
      </c>
      <c r="I315" s="20">
        <v>470008.0</v>
      </c>
      <c r="J315" s="19">
        <v>34.0536</v>
      </c>
      <c r="K315" s="21">
        <v>0.0575</v>
      </c>
      <c r="L315" s="21">
        <v>0.3482</v>
      </c>
      <c r="M315" s="21">
        <v>245305.5</v>
      </c>
      <c r="N315" s="21">
        <v>2.214</v>
      </c>
      <c r="O315" s="20">
        <v>4.66286895E8</v>
      </c>
      <c r="P315" s="21">
        <v>54.8917</v>
      </c>
      <c r="Q315" s="21">
        <v>51.0133</v>
      </c>
      <c r="R315" s="19">
        <v>71.7232</v>
      </c>
      <c r="S315" s="21">
        <v>15.5654</v>
      </c>
      <c r="T315" s="21">
        <v>15.5269</v>
      </c>
      <c r="U315" s="21">
        <v>15.4855</v>
      </c>
      <c r="V315" s="21">
        <v>15.4045</v>
      </c>
      <c r="W315" s="21">
        <v>15.3716</v>
      </c>
      <c r="X315" s="21">
        <v>15.1031</v>
      </c>
      <c r="Y315" s="21">
        <v>14.7972</v>
      </c>
      <c r="Z315" s="21">
        <v>13.4742</v>
      </c>
      <c r="AA315" s="21">
        <v>18.47</v>
      </c>
      <c r="AB315" s="21">
        <v>12.2933</v>
      </c>
      <c r="AC315" s="21">
        <v>1.2763</v>
      </c>
      <c r="AD315" s="21">
        <v>26.8402</v>
      </c>
      <c r="AE315" s="21">
        <v>-1.5087</v>
      </c>
      <c r="AF315" s="21">
        <v>-6.5691</v>
      </c>
      <c r="AG315" s="21">
        <v>1.2101</v>
      </c>
      <c r="AH315" s="21">
        <v>2.0275</v>
      </c>
      <c r="AI315" s="21">
        <v>0.5095</v>
      </c>
      <c r="AJ315" s="19">
        <v>0.33</v>
      </c>
      <c r="AK315" s="16" t="s">
        <v>1834</v>
      </c>
      <c r="AL315" s="22">
        <f>IFERROR(__xludf.DUMMYFUNCTION("IFERROR(GOOGLEFINANCE(B315,""price""),"""")"),15.82)</f>
        <v>15.82</v>
      </c>
    </row>
    <row r="316">
      <c r="A316" s="7">
        <v>46073.779733759235</v>
      </c>
      <c r="B316" s="8" t="s">
        <v>1560</v>
      </c>
      <c r="C316" s="8" t="s">
        <v>1561</v>
      </c>
      <c r="D316" s="9">
        <v>46075.0</v>
      </c>
      <c r="E316" s="8" t="s">
        <v>1562</v>
      </c>
      <c r="F316" s="10">
        <v>72.86</v>
      </c>
      <c r="G316" s="11">
        <v>0.0</v>
      </c>
      <c r="H316" s="8" t="s">
        <v>117</v>
      </c>
      <c r="I316" s="12">
        <v>8083145.0</v>
      </c>
      <c r="J316" s="11">
        <v>42.5455</v>
      </c>
      <c r="K316" s="13">
        <v>0.2156</v>
      </c>
      <c r="L316" s="13">
        <v>2.4234</v>
      </c>
      <c r="M316" s="8">
        <v>3149156.0</v>
      </c>
      <c r="N316" s="13">
        <v>3.0083</v>
      </c>
      <c r="O316" s="12">
        <v>1.1274369124E10</v>
      </c>
      <c r="P316" s="13">
        <v>68.1818</v>
      </c>
      <c r="Q316" s="13">
        <v>68.3502</v>
      </c>
      <c r="R316" s="11">
        <v>63.6682</v>
      </c>
      <c r="S316" s="13">
        <v>72.8541</v>
      </c>
      <c r="T316" s="13">
        <v>72.7359</v>
      </c>
      <c r="U316" s="13">
        <v>72.3623</v>
      </c>
      <c r="V316" s="13">
        <v>71.3217</v>
      </c>
      <c r="W316" s="13">
        <v>70.8836</v>
      </c>
      <c r="X316" s="13">
        <v>67.243</v>
      </c>
      <c r="Y316" s="13">
        <v>56.8352</v>
      </c>
      <c r="Z316" s="13">
        <v>51.7684</v>
      </c>
      <c r="AA316" s="13">
        <v>73.06</v>
      </c>
      <c r="AB316" s="13">
        <v>0.0</v>
      </c>
      <c r="AC316" s="13">
        <v>-4.1703</v>
      </c>
      <c r="AD316" s="13">
        <v>-32.4392</v>
      </c>
      <c r="AE316" s="13">
        <v>-2934.9003</v>
      </c>
      <c r="AF316" s="13">
        <v>106.2667</v>
      </c>
      <c r="AG316" s="13">
        <v>0.0265</v>
      </c>
      <c r="AH316" s="13">
        <v>11.573</v>
      </c>
      <c r="AI316" s="13">
        <v>0.675</v>
      </c>
      <c r="AJ316" s="11">
        <v>0.18</v>
      </c>
      <c r="AK316" s="8" t="s">
        <v>1835</v>
      </c>
      <c r="AL316" s="14">
        <f>IFERROR(__xludf.DUMMYFUNCTION("IFERROR(GOOGLEFINANCE(B316,""price""),"""")"),12.71)</f>
        <v>12.71</v>
      </c>
    </row>
    <row r="317">
      <c r="A317" s="15">
        <v>46073.779733759235</v>
      </c>
      <c r="B317" s="16" t="s">
        <v>1576</v>
      </c>
      <c r="C317" s="16" t="s">
        <v>1577</v>
      </c>
      <c r="D317" s="17">
        <v>46075.0</v>
      </c>
      <c r="E317" s="16" t="s">
        <v>1578</v>
      </c>
      <c r="F317" s="18">
        <v>11.82</v>
      </c>
      <c r="G317" s="19">
        <v>0.0</v>
      </c>
      <c r="H317" s="16" t="s">
        <v>88</v>
      </c>
      <c r="I317" s="20">
        <v>4705635.0</v>
      </c>
      <c r="J317" s="19">
        <v>39.5168</v>
      </c>
      <c r="K317" s="21">
        <v>0.042</v>
      </c>
      <c r="L317" s="21">
        <v>0.493</v>
      </c>
      <c r="M317" s="16">
        <v>2151178.0</v>
      </c>
      <c r="N317" s="21">
        <v>2.4251</v>
      </c>
      <c r="O317" s="20">
        <v>1.790211552E9</v>
      </c>
      <c r="P317" s="21">
        <v>24.359</v>
      </c>
      <c r="Q317" s="21">
        <v>19.2308</v>
      </c>
      <c r="R317" s="19">
        <v>51.6778</v>
      </c>
      <c r="S317" s="21">
        <v>11.8289</v>
      </c>
      <c r="T317" s="21">
        <v>11.8384</v>
      </c>
      <c r="U317" s="21">
        <v>11.747</v>
      </c>
      <c r="V317" s="21">
        <v>11.5062</v>
      </c>
      <c r="W317" s="21">
        <v>11.4195</v>
      </c>
      <c r="X317" s="21">
        <v>10.89</v>
      </c>
      <c r="Y317" s="21">
        <v>10.417</v>
      </c>
      <c r="Z317" s="21">
        <v>9.4957</v>
      </c>
      <c r="AA317" s="21">
        <v>16.19</v>
      </c>
      <c r="AB317" s="21">
        <v>0.0</v>
      </c>
      <c r="AC317" s="21">
        <v>-0.0307</v>
      </c>
      <c r="AD317" s="21">
        <v>-1.6774</v>
      </c>
      <c r="AE317" s="21">
        <v>-1.5659</v>
      </c>
      <c r="AF317" s="21">
        <v>19.8732</v>
      </c>
      <c r="AG317" s="21">
        <v>0.0481</v>
      </c>
      <c r="AH317" s="21">
        <v>2.2132</v>
      </c>
      <c r="AI317" s="21">
        <v>0.6932</v>
      </c>
      <c r="AJ317" s="19">
        <v>0.17</v>
      </c>
      <c r="AK317" s="16" t="s">
        <v>1836</v>
      </c>
      <c r="AL317" s="22">
        <f>IFERROR(__xludf.DUMMYFUNCTION("IFERROR(GOOGLEFINANCE(B317,""price""),"""")"),11.94)</f>
        <v>11.94</v>
      </c>
    </row>
    <row r="318">
      <c r="A318" s="7">
        <v>46073.779733759235</v>
      </c>
      <c r="B318" s="8" t="s">
        <v>1786</v>
      </c>
      <c r="C318" s="8" t="s">
        <v>1787</v>
      </c>
      <c r="D318" s="9">
        <v>46075.0</v>
      </c>
      <c r="E318" s="8" t="s">
        <v>1788</v>
      </c>
      <c r="F318" s="10">
        <v>28.72</v>
      </c>
      <c r="G318" s="11">
        <v>1.6637</v>
      </c>
      <c r="H318" s="8" t="s">
        <v>117</v>
      </c>
      <c r="I318" s="12">
        <v>634074.0</v>
      </c>
      <c r="J318" s="11">
        <v>25.6621</v>
      </c>
      <c r="K318" s="13">
        <v>1.9935</v>
      </c>
      <c r="L318" s="13">
        <v>2.7726</v>
      </c>
      <c r="M318" s="13">
        <v>552623.1</v>
      </c>
      <c r="N318" s="13">
        <v>1.2297</v>
      </c>
      <c r="O318" s="12">
        <v>6.44445975E8</v>
      </c>
      <c r="P318" s="13">
        <v>34.0413</v>
      </c>
      <c r="Q318" s="13">
        <v>41.4782</v>
      </c>
      <c r="R318" s="11">
        <v>50.6853</v>
      </c>
      <c r="S318" s="13">
        <v>28.6322</v>
      </c>
      <c r="T318" s="13">
        <v>28.5427</v>
      </c>
      <c r="U318" s="13">
        <v>28.4066</v>
      </c>
      <c r="V318" s="13">
        <v>27.7672</v>
      </c>
      <c r="W318" s="13">
        <v>27.5006</v>
      </c>
      <c r="X318" s="13">
        <v>25.4871</v>
      </c>
      <c r="Y318" s="13">
        <v>20.9868</v>
      </c>
      <c r="Z318" s="13">
        <v>17.788</v>
      </c>
      <c r="AA318" s="13">
        <v>37.77</v>
      </c>
      <c r="AB318" s="13">
        <v>34.2271</v>
      </c>
      <c r="AC318" s="13">
        <v>0.8391</v>
      </c>
      <c r="AD318" s="13">
        <v>8.7651</v>
      </c>
      <c r="AE318" s="13">
        <v>8.8853</v>
      </c>
      <c r="AF318" s="13">
        <v>12.471</v>
      </c>
      <c r="AG318" s="13">
        <v>0.0729</v>
      </c>
      <c r="AH318" s="13">
        <v>4.0327</v>
      </c>
      <c r="AI318" s="13">
        <v>0.7857</v>
      </c>
      <c r="AJ318" s="11">
        <v>1.44</v>
      </c>
      <c r="AK318" s="8" t="s">
        <v>1837</v>
      </c>
      <c r="AL318" s="14">
        <f>IFERROR(__xludf.DUMMYFUNCTION("IFERROR(GOOGLEFINANCE(B318,""price""),"""")"),23.43)</f>
        <v>23.43</v>
      </c>
    </row>
    <row r="319">
      <c r="A319" s="15">
        <v>46073.779733759235</v>
      </c>
      <c r="B319" s="16" t="s">
        <v>1815</v>
      </c>
      <c r="C319" s="16" t="s">
        <v>1816</v>
      </c>
      <c r="D319" s="17">
        <v>46075.0</v>
      </c>
      <c r="E319" s="16" t="s">
        <v>1817</v>
      </c>
      <c r="F319" s="18">
        <v>2.42</v>
      </c>
      <c r="G319" s="19">
        <v>-3.9683</v>
      </c>
      <c r="H319" s="16" t="s">
        <v>117</v>
      </c>
      <c r="I319" s="20">
        <v>1328849.0</v>
      </c>
      <c r="J319" s="19">
        <v>21.3371</v>
      </c>
      <c r="K319" s="21">
        <v>0.2468</v>
      </c>
      <c r="L319" s="21">
        <v>0.4495</v>
      </c>
      <c r="M319" s="21">
        <v>519831.8</v>
      </c>
      <c r="N319" s="21">
        <v>2.8966</v>
      </c>
      <c r="O319" s="20">
        <v>1.74846882E8</v>
      </c>
      <c r="P319" s="21">
        <v>40.6863</v>
      </c>
      <c r="Q319" s="21">
        <v>34.8295</v>
      </c>
      <c r="R319" s="19">
        <v>49.1375</v>
      </c>
      <c r="S319" s="21">
        <v>2.4309</v>
      </c>
      <c r="T319" s="21">
        <v>2.4707</v>
      </c>
      <c r="U319" s="21">
        <v>2.4041</v>
      </c>
      <c r="V319" s="21">
        <v>2.2864</v>
      </c>
      <c r="W319" s="21">
        <v>2.2516</v>
      </c>
      <c r="X319" s="21">
        <v>2.0709</v>
      </c>
      <c r="Y319" s="21">
        <v>2.1039</v>
      </c>
      <c r="Z319" s="21">
        <v>1.6432</v>
      </c>
      <c r="AA319" s="21">
        <v>3.95</v>
      </c>
      <c r="AB319" s="21">
        <v>0.0</v>
      </c>
      <c r="AC319" s="21">
        <v>-2.0832</v>
      </c>
      <c r="AD319" s="21">
        <v>-49.1814</v>
      </c>
      <c r="AE319" s="21">
        <v>-567.9509</v>
      </c>
      <c r="AF319" s="21">
        <v>-33.7648</v>
      </c>
      <c r="AG319" s="21">
        <v>0.16</v>
      </c>
      <c r="AH319" s="21">
        <v>7.7567</v>
      </c>
      <c r="AI319" s="21">
        <v>1.1082</v>
      </c>
      <c r="AJ319" s="19">
        <v>1.1</v>
      </c>
      <c r="AK319" s="16" t="s">
        <v>1838</v>
      </c>
      <c r="AL319" s="22">
        <f>IFERROR(__xludf.DUMMYFUNCTION("IFERROR(GOOGLEFINANCE(B319,""price""),"""")"),6.61)</f>
        <v>6.61</v>
      </c>
    </row>
    <row r="320">
      <c r="A320" s="7">
        <v>46073.779733759235</v>
      </c>
      <c r="B320" s="8" t="s">
        <v>1839</v>
      </c>
      <c r="C320" s="8" t="s">
        <v>1840</v>
      </c>
      <c r="D320" s="9">
        <v>46075.0</v>
      </c>
      <c r="E320" s="8" t="s">
        <v>1841</v>
      </c>
      <c r="F320" s="10">
        <v>14.6</v>
      </c>
      <c r="G320" s="11">
        <v>3.7669</v>
      </c>
      <c r="H320" s="8" t="s">
        <v>112</v>
      </c>
      <c r="I320" s="12">
        <v>5962291.0</v>
      </c>
      <c r="J320" s="11">
        <v>25.2711</v>
      </c>
      <c r="K320" s="13">
        <v>0.7708</v>
      </c>
      <c r="L320" s="13">
        <v>1.5552</v>
      </c>
      <c r="M320" s="8">
        <v>4544079.0</v>
      </c>
      <c r="N320" s="13">
        <v>1.3986</v>
      </c>
      <c r="O320" s="12">
        <v>2.684701034E9</v>
      </c>
      <c r="P320" s="13">
        <v>55.3498</v>
      </c>
      <c r="Q320" s="13">
        <v>42.1707</v>
      </c>
      <c r="R320" s="11">
        <v>54.2022</v>
      </c>
      <c r="S320" s="13">
        <v>14.1319</v>
      </c>
      <c r="T320" s="13">
        <v>14.225</v>
      </c>
      <c r="U320" s="13">
        <v>13.9659</v>
      </c>
      <c r="V320" s="13">
        <v>13.525</v>
      </c>
      <c r="W320" s="13">
        <v>13.3863</v>
      </c>
      <c r="X320" s="13">
        <v>12.5433</v>
      </c>
      <c r="Y320" s="13">
        <v>11.0591</v>
      </c>
      <c r="Z320" s="13">
        <v>10.1491</v>
      </c>
      <c r="AA320" s="13">
        <v>16.65</v>
      </c>
      <c r="AB320" s="13">
        <v>0.0</v>
      </c>
      <c r="AC320" s="13">
        <v>-0.3169</v>
      </c>
      <c r="AD320" s="13">
        <v>0.0</v>
      </c>
      <c r="AE320" s="13">
        <v>4.5173</v>
      </c>
      <c r="AF320" s="13">
        <v>-17.3378</v>
      </c>
      <c r="AG320" s="13">
        <v>0.0</v>
      </c>
      <c r="AH320" s="13">
        <v>0.0</v>
      </c>
      <c r="AI320" s="13">
        <v>1.1368</v>
      </c>
      <c r="AJ320" s="11">
        <v>0.99</v>
      </c>
      <c r="AK320" s="23"/>
      <c r="AL320" s="14">
        <f>IFERROR(__xludf.DUMMYFUNCTION("IFERROR(GOOGLEFINANCE(B320,""price""),"""")"),14.1)</f>
        <v>14.1</v>
      </c>
    </row>
    <row r="321">
      <c r="A321" s="15">
        <v>46073.779733759235</v>
      </c>
      <c r="B321" s="16" t="s">
        <v>1801</v>
      </c>
      <c r="C321" s="16" t="s">
        <v>1802</v>
      </c>
      <c r="D321" s="17">
        <v>46075.0</v>
      </c>
      <c r="E321" s="16" t="s">
        <v>1803</v>
      </c>
      <c r="F321" s="18">
        <v>115.62</v>
      </c>
      <c r="G321" s="19">
        <v>1.6529</v>
      </c>
      <c r="H321" s="16" t="s">
        <v>93</v>
      </c>
      <c r="I321" s="20">
        <v>1001564.0</v>
      </c>
      <c r="J321" s="19">
        <v>25.3612</v>
      </c>
      <c r="K321" s="21">
        <v>3.9045</v>
      </c>
      <c r="L321" s="21">
        <v>6.7691</v>
      </c>
      <c r="M321" s="21">
        <v>660250.6</v>
      </c>
      <c r="N321" s="21">
        <v>1.5573</v>
      </c>
      <c r="O321" s="20">
        <v>7.858674633E9</v>
      </c>
      <c r="P321" s="21">
        <v>42.6769</v>
      </c>
      <c r="Q321" s="21">
        <v>42.9728</v>
      </c>
      <c r="R321" s="19">
        <v>51.5106</v>
      </c>
      <c r="S321" s="21">
        <v>115.5093</v>
      </c>
      <c r="T321" s="21">
        <v>115.4367</v>
      </c>
      <c r="U321" s="21">
        <v>114.0406</v>
      </c>
      <c r="V321" s="21">
        <v>112.004</v>
      </c>
      <c r="W321" s="21">
        <v>111.3897</v>
      </c>
      <c r="X321" s="21">
        <v>107.7442</v>
      </c>
      <c r="Y321" s="21">
        <v>100.2014</v>
      </c>
      <c r="Z321" s="21">
        <v>97.3508</v>
      </c>
      <c r="AA321" s="21">
        <v>123.61</v>
      </c>
      <c r="AB321" s="21">
        <v>0.0</v>
      </c>
      <c r="AC321" s="21">
        <v>-0.3378</v>
      </c>
      <c r="AD321" s="21">
        <v>0.2739</v>
      </c>
      <c r="AE321" s="21">
        <v>-0.2095</v>
      </c>
      <c r="AF321" s="21">
        <v>104.3106</v>
      </c>
      <c r="AG321" s="21">
        <v>0.463</v>
      </c>
      <c r="AH321" s="21">
        <v>0.0</v>
      </c>
      <c r="AI321" s="21">
        <v>1.2703</v>
      </c>
      <c r="AJ321" s="19">
        <v>1.15</v>
      </c>
      <c r="AK321" s="24"/>
      <c r="AL321" s="22">
        <f>IFERROR(__xludf.DUMMYFUNCTION("IFERROR(GOOGLEFINANCE(B321,""price""),"""")"),101.62)</f>
        <v>101.62</v>
      </c>
    </row>
    <row r="322">
      <c r="A322" s="7">
        <v>46073.779733759235</v>
      </c>
      <c r="B322" s="8" t="s">
        <v>1842</v>
      </c>
      <c r="C322" s="8" t="s">
        <v>1843</v>
      </c>
      <c r="D322" s="9">
        <v>46075.0</v>
      </c>
      <c r="E322" s="8" t="s">
        <v>1844</v>
      </c>
      <c r="F322" s="10">
        <v>4.41</v>
      </c>
      <c r="G322" s="11">
        <v>0.0</v>
      </c>
      <c r="H322" s="8" t="s">
        <v>88</v>
      </c>
      <c r="I322" s="12">
        <v>1347406.0</v>
      </c>
      <c r="J322" s="11">
        <v>36.393</v>
      </c>
      <c r="K322" s="13">
        <v>0.0227</v>
      </c>
      <c r="L322" s="13">
        <v>0.2014</v>
      </c>
      <c r="M322" s="13">
        <v>994929.0</v>
      </c>
      <c r="N322" s="13">
        <v>1.2243</v>
      </c>
      <c r="O322" s="12">
        <v>4.42914704E8</v>
      </c>
      <c r="P322" s="13">
        <v>33.3333</v>
      </c>
      <c r="Q322" s="13">
        <v>29.7619</v>
      </c>
      <c r="R322" s="11">
        <v>57.3812</v>
      </c>
      <c r="S322" s="13">
        <v>4.4122</v>
      </c>
      <c r="T322" s="13">
        <v>4.4108</v>
      </c>
      <c r="U322" s="13">
        <v>4.3513</v>
      </c>
      <c r="V322" s="13">
        <v>4.2178</v>
      </c>
      <c r="W322" s="13">
        <v>4.1715</v>
      </c>
      <c r="X322" s="13">
        <v>3.879</v>
      </c>
      <c r="Y322" s="13">
        <v>3.4456</v>
      </c>
      <c r="Z322" s="13">
        <v>3.0423</v>
      </c>
      <c r="AA322" s="13">
        <v>4.48</v>
      </c>
      <c r="AB322" s="13">
        <v>0.0</v>
      </c>
      <c r="AC322" s="13">
        <v>-0.1159</v>
      </c>
      <c r="AD322" s="13">
        <v>-5.8137</v>
      </c>
      <c r="AE322" s="13">
        <v>-13.4574</v>
      </c>
      <c r="AF322" s="13">
        <v>-12.3585</v>
      </c>
      <c r="AG322" s="13">
        <v>0.9297</v>
      </c>
      <c r="AH322" s="13">
        <v>1.1105</v>
      </c>
      <c r="AI322" s="13">
        <v>1.3807</v>
      </c>
      <c r="AJ322" s="11">
        <v>0.23</v>
      </c>
      <c r="AK322" s="8" t="s">
        <v>1845</v>
      </c>
      <c r="AL322" s="14">
        <f>IFERROR(__xludf.DUMMYFUNCTION("IFERROR(GOOGLEFINANCE(B322,""price""),"""")"),4.51)</f>
        <v>4.51</v>
      </c>
    </row>
    <row r="323">
      <c r="A323" s="15">
        <v>46073.779733759235</v>
      </c>
      <c r="B323" s="16" t="s">
        <v>1846</v>
      </c>
      <c r="C323" s="16" t="s">
        <v>1847</v>
      </c>
      <c r="D323" s="17">
        <v>46075.0</v>
      </c>
      <c r="E323" s="16" t="s">
        <v>1848</v>
      </c>
      <c r="F323" s="18">
        <v>8.01</v>
      </c>
      <c r="G323" s="19">
        <v>0.0</v>
      </c>
      <c r="H323" s="16" t="s">
        <v>873</v>
      </c>
      <c r="I323" s="20">
        <v>477996.0</v>
      </c>
      <c r="J323" s="19">
        <v>20.8975</v>
      </c>
      <c r="K323" s="21">
        <v>0.3739</v>
      </c>
      <c r="L323" s="21">
        <v>0.6583</v>
      </c>
      <c r="M323" s="21">
        <v>376168.8</v>
      </c>
      <c r="N323" s="21">
        <v>1.3453</v>
      </c>
      <c r="O323" s="20">
        <v>1.616272027E9</v>
      </c>
      <c r="P323" s="21">
        <v>46.3106</v>
      </c>
      <c r="Q323" s="21">
        <v>45.6822</v>
      </c>
      <c r="R323" s="19">
        <v>56.0735</v>
      </c>
      <c r="S323" s="21">
        <v>7.9246</v>
      </c>
      <c r="T323" s="21">
        <v>7.8259</v>
      </c>
      <c r="U323" s="21">
        <v>7.7886</v>
      </c>
      <c r="V323" s="21">
        <v>7.791</v>
      </c>
      <c r="W323" s="21">
        <v>7.7926</v>
      </c>
      <c r="X323" s="21">
        <v>7.7634</v>
      </c>
      <c r="Y323" s="21">
        <v>7.5477</v>
      </c>
      <c r="Z323" s="21">
        <v>7.2404</v>
      </c>
      <c r="AA323" s="21">
        <v>9.04</v>
      </c>
      <c r="AB323" s="21">
        <v>0.0</v>
      </c>
      <c r="AC323" s="21">
        <v>-3.0663</v>
      </c>
      <c r="AD323" s="21">
        <v>-72.9095</v>
      </c>
      <c r="AE323" s="21">
        <v>16.1969</v>
      </c>
      <c r="AF323" s="21">
        <v>-0.3298</v>
      </c>
      <c r="AG323" s="21">
        <v>15.8348</v>
      </c>
      <c r="AH323" s="21">
        <v>1.1356</v>
      </c>
      <c r="AI323" s="21">
        <v>1.6986</v>
      </c>
      <c r="AJ323" s="19">
        <v>1.14</v>
      </c>
      <c r="AK323" s="24"/>
      <c r="AL323" s="22">
        <f>IFERROR(__xludf.DUMMYFUNCTION("IFERROR(GOOGLEFINANCE(B323,""price""),"""")"),8.13)</f>
        <v>8.13</v>
      </c>
    </row>
    <row r="324">
      <c r="A324" s="7">
        <v>46073.779733759235</v>
      </c>
      <c r="B324" s="8" t="s">
        <v>1849</v>
      </c>
      <c r="C324" s="8" t="s">
        <v>1850</v>
      </c>
      <c r="D324" s="9">
        <v>46075.0</v>
      </c>
      <c r="E324" s="8" t="s">
        <v>1851</v>
      </c>
      <c r="F324" s="10">
        <v>198.92</v>
      </c>
      <c r="G324" s="11">
        <v>1.2367</v>
      </c>
      <c r="H324" s="8" t="s">
        <v>102</v>
      </c>
      <c r="I324" s="12">
        <v>457561.0</v>
      </c>
      <c r="J324" s="11">
        <v>22.3727</v>
      </c>
      <c r="K324" s="13">
        <v>4.6773</v>
      </c>
      <c r="L324" s="13">
        <v>9.1156</v>
      </c>
      <c r="M324" s="13">
        <v>357095.0</v>
      </c>
      <c r="N324" s="13">
        <v>1.3209</v>
      </c>
      <c r="O324" s="12">
        <v>8.579030778E9</v>
      </c>
      <c r="P324" s="13">
        <v>63.0928</v>
      </c>
      <c r="Q324" s="13">
        <v>64.8173</v>
      </c>
      <c r="R324" s="11">
        <v>57.5139</v>
      </c>
      <c r="S324" s="13">
        <v>197.5824</v>
      </c>
      <c r="T324" s="13">
        <v>195.2</v>
      </c>
      <c r="U324" s="13">
        <v>193.8783</v>
      </c>
      <c r="V324" s="13">
        <v>192.9335</v>
      </c>
      <c r="W324" s="13">
        <v>192.6985</v>
      </c>
      <c r="X324" s="13">
        <v>190.937</v>
      </c>
      <c r="Y324" s="13">
        <v>181.5747</v>
      </c>
      <c r="Z324" s="13">
        <v>183.0971</v>
      </c>
      <c r="AA324" s="13">
        <v>206.0799</v>
      </c>
      <c r="AB324" s="13">
        <v>28.4863</v>
      </c>
      <c r="AC324" s="13">
        <v>6.983</v>
      </c>
      <c r="AD324" s="13">
        <v>38.0276</v>
      </c>
      <c r="AE324" s="13">
        <v>19.4163</v>
      </c>
      <c r="AF324" s="13">
        <v>15.0975</v>
      </c>
      <c r="AG324" s="13">
        <v>0.5581</v>
      </c>
      <c r="AH324" s="13">
        <v>1.5155</v>
      </c>
      <c r="AI324" s="13">
        <v>1.8621</v>
      </c>
      <c r="AJ324" s="11">
        <v>1.03</v>
      </c>
      <c r="AK324" s="23"/>
      <c r="AL324" s="14">
        <f>IFERROR(__xludf.DUMMYFUNCTION("IFERROR(GOOGLEFINANCE(B324,""price""),"""")"),175.48)</f>
        <v>175.48</v>
      </c>
    </row>
    <row r="325">
      <c r="A325" s="15">
        <v>46073.779733759235</v>
      </c>
      <c r="B325" s="16" t="s">
        <v>1821</v>
      </c>
      <c r="C325" s="16" t="s">
        <v>1822</v>
      </c>
      <c r="D325" s="17">
        <v>46075.0</v>
      </c>
      <c r="E325" s="16" t="s">
        <v>1823</v>
      </c>
      <c r="F325" s="18">
        <v>34.1</v>
      </c>
      <c r="G325" s="19">
        <v>1.7303</v>
      </c>
      <c r="H325" s="16" t="s">
        <v>112</v>
      </c>
      <c r="I325" s="20">
        <v>3051901.0</v>
      </c>
      <c r="J325" s="19">
        <v>25.3825</v>
      </c>
      <c r="K325" s="21">
        <v>1.1462</v>
      </c>
      <c r="L325" s="21">
        <v>2.1763</v>
      </c>
      <c r="M325" s="16">
        <v>2443124.0</v>
      </c>
      <c r="N325" s="21">
        <v>1.2852</v>
      </c>
      <c r="O325" s="20">
        <v>8.728440836E9</v>
      </c>
      <c r="P325" s="21">
        <v>46.4444</v>
      </c>
      <c r="Q325" s="21">
        <v>36.8148</v>
      </c>
      <c r="R325" s="19">
        <v>55.8576</v>
      </c>
      <c r="S325" s="21">
        <v>33.731</v>
      </c>
      <c r="T325" s="21">
        <v>33.5175</v>
      </c>
      <c r="U325" s="21">
        <v>33.0912</v>
      </c>
      <c r="V325" s="21">
        <v>32.6527</v>
      </c>
      <c r="W325" s="21">
        <v>32.5518</v>
      </c>
      <c r="X325" s="21">
        <v>32.2779</v>
      </c>
      <c r="Y325" s="21">
        <v>33.4751</v>
      </c>
      <c r="Z325" s="21">
        <v>33.3323</v>
      </c>
      <c r="AA325" s="21">
        <v>44.82</v>
      </c>
      <c r="AB325" s="21">
        <v>14.5001</v>
      </c>
      <c r="AC325" s="21">
        <v>2.3517</v>
      </c>
      <c r="AD325" s="21">
        <v>9.7817</v>
      </c>
      <c r="AE325" s="21">
        <v>8.0483</v>
      </c>
      <c r="AF325" s="21">
        <v>-3.0582</v>
      </c>
      <c r="AG325" s="21">
        <v>0.7742</v>
      </c>
      <c r="AH325" s="21">
        <v>1.6729</v>
      </c>
      <c r="AI325" s="21">
        <v>1.8764</v>
      </c>
      <c r="AJ325" s="19">
        <v>1.05</v>
      </c>
      <c r="AK325" s="24"/>
      <c r="AL325" s="22">
        <f>IFERROR(__xludf.DUMMYFUNCTION("IFERROR(GOOGLEFINANCE(B325,""price""),"""")"),30.38)</f>
        <v>30.38</v>
      </c>
    </row>
    <row r="326">
      <c r="A326" s="7">
        <v>46073.779733759235</v>
      </c>
      <c r="B326" s="8" t="s">
        <v>1831</v>
      </c>
      <c r="C326" s="8" t="s">
        <v>1832</v>
      </c>
      <c r="D326" s="9">
        <v>46075.0</v>
      </c>
      <c r="E326" s="8" t="s">
        <v>1833</v>
      </c>
      <c r="F326" s="10">
        <v>8.5</v>
      </c>
      <c r="G326" s="11">
        <v>4.6798</v>
      </c>
      <c r="H326" s="8" t="s">
        <v>117</v>
      </c>
      <c r="I326" s="12">
        <v>612765.0</v>
      </c>
      <c r="J326" s="11">
        <v>28.0513</v>
      </c>
      <c r="K326" s="13">
        <v>0.4977</v>
      </c>
      <c r="L326" s="13">
        <v>0.9068</v>
      </c>
      <c r="M326" s="13">
        <v>311589.8</v>
      </c>
      <c r="N326" s="13">
        <v>2.2968</v>
      </c>
      <c r="O326" s="12">
        <v>4.30510823E8</v>
      </c>
      <c r="P326" s="13">
        <v>44.5299</v>
      </c>
      <c r="Q326" s="13">
        <v>37.0768</v>
      </c>
      <c r="R326" s="11">
        <v>53.5355</v>
      </c>
      <c r="S326" s="13">
        <v>8.3354</v>
      </c>
      <c r="T326" s="13">
        <v>8.3485</v>
      </c>
      <c r="U326" s="13">
        <v>8.1744</v>
      </c>
      <c r="V326" s="13">
        <v>7.9002</v>
      </c>
      <c r="W326" s="13">
        <v>7.816</v>
      </c>
      <c r="X326" s="13">
        <v>7.308</v>
      </c>
      <c r="Y326" s="13">
        <v>6.1979</v>
      </c>
      <c r="Z326" s="13">
        <v>5.9148</v>
      </c>
      <c r="AA326" s="13">
        <v>9.32</v>
      </c>
      <c r="AB326" s="13">
        <v>0.0</v>
      </c>
      <c r="AC326" s="13">
        <v>-0.8722</v>
      </c>
      <c r="AD326" s="13">
        <v>-59.4646</v>
      </c>
      <c r="AE326" s="13">
        <v>0.0</v>
      </c>
      <c r="AF326" s="13">
        <v>0.0</v>
      </c>
      <c r="AG326" s="13">
        <v>0.0019</v>
      </c>
      <c r="AH326" s="13">
        <v>23.983</v>
      </c>
      <c r="AI326" s="13">
        <v>1.8941</v>
      </c>
      <c r="AJ326" s="11">
        <v>1.1</v>
      </c>
      <c r="AK326" s="8" t="s">
        <v>1830</v>
      </c>
      <c r="AL326" s="14">
        <f>IFERROR(__xludf.DUMMYFUNCTION("IFERROR(GOOGLEFINANCE(B326,""price""),"""")"),6.86)</f>
        <v>6.86</v>
      </c>
    </row>
    <row r="327">
      <c r="A327" s="7">
        <v>46076.62760964226</v>
      </c>
      <c r="B327" s="8" t="s">
        <v>1852</v>
      </c>
      <c r="C327" s="8" t="s">
        <v>1853</v>
      </c>
      <c r="D327" s="9">
        <v>46082.0</v>
      </c>
      <c r="E327" s="8" t="s">
        <v>1854</v>
      </c>
      <c r="F327" s="10">
        <v>2.09</v>
      </c>
      <c r="G327" s="11">
        <v>10.582</v>
      </c>
      <c r="H327" s="8" t="s">
        <v>335</v>
      </c>
      <c r="I327" s="12">
        <v>705986.0</v>
      </c>
      <c r="J327" s="11">
        <v>33.0365</v>
      </c>
      <c r="K327" s="13">
        <v>0.2968</v>
      </c>
      <c r="L327" s="13">
        <v>0.5234</v>
      </c>
      <c r="M327" s="13">
        <v>426481.0</v>
      </c>
      <c r="N327" s="13">
        <v>1.7731</v>
      </c>
      <c r="O327" s="12">
        <v>2.8618371E7</v>
      </c>
      <c r="P327" s="13">
        <v>52.9318</v>
      </c>
      <c r="Q327" s="13">
        <v>32.5419</v>
      </c>
      <c r="R327" s="11">
        <v>54.9061</v>
      </c>
      <c r="S327" s="13">
        <v>1.9217</v>
      </c>
      <c r="T327" s="13">
        <v>1.9301</v>
      </c>
      <c r="U327" s="13">
        <v>1.9141</v>
      </c>
      <c r="V327" s="13">
        <v>1.8914</v>
      </c>
      <c r="W327" s="13">
        <v>1.8849</v>
      </c>
      <c r="X327" s="13">
        <v>1.8421</v>
      </c>
      <c r="Y327" s="13">
        <v>1.7146</v>
      </c>
      <c r="Z327" s="13">
        <v>1.6699</v>
      </c>
      <c r="AA327" s="13">
        <v>3.9199</v>
      </c>
      <c r="AB327" s="13">
        <v>0.0</v>
      </c>
      <c r="AC327" s="13">
        <v>-0.1357</v>
      </c>
      <c r="AD327" s="13">
        <v>-19.372</v>
      </c>
      <c r="AE327" s="13">
        <v>0.0</v>
      </c>
      <c r="AF327" s="13">
        <v>0.0</v>
      </c>
      <c r="AG327" s="13">
        <v>0.0</v>
      </c>
      <c r="AH327" s="13">
        <v>47.9076</v>
      </c>
      <c r="AI327" s="13">
        <v>0.3633</v>
      </c>
      <c r="AJ327" s="11">
        <v>1.13</v>
      </c>
      <c r="AK327" s="8" t="s">
        <v>1267</v>
      </c>
      <c r="AL327" s="14">
        <f>IFERROR(__xludf.DUMMYFUNCTION("IFERROR(GOOGLEFINANCE(B327,""price""),"""")"),1.39)</f>
        <v>1.39</v>
      </c>
    </row>
    <row r="328">
      <c r="A328" s="15">
        <v>46076.62760964226</v>
      </c>
      <c r="B328" s="16" t="s">
        <v>1855</v>
      </c>
      <c r="C328" s="16" t="s">
        <v>1856</v>
      </c>
      <c r="D328" s="17">
        <v>46082.0</v>
      </c>
      <c r="E328" s="16" t="s">
        <v>1857</v>
      </c>
      <c r="F328" s="18">
        <v>39.11</v>
      </c>
      <c r="G328" s="19">
        <v>1.1117</v>
      </c>
      <c r="H328" s="16" t="s">
        <v>917</v>
      </c>
      <c r="I328" s="20">
        <v>2489817.0</v>
      </c>
      <c r="J328" s="19">
        <v>20.2271</v>
      </c>
      <c r="K328" s="21">
        <v>0.9805</v>
      </c>
      <c r="L328" s="21">
        <v>1.7379</v>
      </c>
      <c r="M328" s="16">
        <v>2018692.0</v>
      </c>
      <c r="N328" s="21">
        <v>1.2594</v>
      </c>
      <c r="O328" s="20">
        <v>1.1071369362E10</v>
      </c>
      <c r="P328" s="21">
        <v>68.9243</v>
      </c>
      <c r="Q328" s="21">
        <v>70.754</v>
      </c>
      <c r="R328" s="19">
        <v>54.0764</v>
      </c>
      <c r="S328" s="21">
        <v>38.8222</v>
      </c>
      <c r="T328" s="21">
        <v>38.6274</v>
      </c>
      <c r="U328" s="21">
        <v>38.6305</v>
      </c>
      <c r="V328" s="21">
        <v>38.6727</v>
      </c>
      <c r="W328" s="21">
        <v>38.6862</v>
      </c>
      <c r="X328" s="21">
        <v>38.742</v>
      </c>
      <c r="Y328" s="21">
        <v>38.6792</v>
      </c>
      <c r="Z328" s="21">
        <v>38.6315</v>
      </c>
      <c r="AA328" s="21">
        <v>42.37</v>
      </c>
      <c r="AB328" s="21">
        <v>16.2208</v>
      </c>
      <c r="AC328" s="21">
        <v>2.4111</v>
      </c>
      <c r="AD328" s="21">
        <v>10.286</v>
      </c>
      <c r="AE328" s="21">
        <v>38.6814</v>
      </c>
      <c r="AF328" s="21">
        <v>21.3517</v>
      </c>
      <c r="AG328" s="21">
        <v>1.1659</v>
      </c>
      <c r="AH328" s="21">
        <v>0.5955</v>
      </c>
      <c r="AI328" s="21">
        <v>0.4904</v>
      </c>
      <c r="AJ328" s="19">
        <v>1.13</v>
      </c>
      <c r="AK328" s="16" t="s">
        <v>1267</v>
      </c>
      <c r="AL328" s="22">
        <f>IFERROR(__xludf.DUMMYFUNCTION("IFERROR(GOOGLEFINANCE(B328,""price""),"""")"),40.66)</f>
        <v>40.66</v>
      </c>
    </row>
    <row r="329">
      <c r="A329" s="7">
        <v>46076.62760964226</v>
      </c>
      <c r="B329" s="8" t="s">
        <v>1750</v>
      </c>
      <c r="C329" s="8" t="s">
        <v>1751</v>
      </c>
      <c r="D329" s="9">
        <v>46082.0</v>
      </c>
      <c r="E329" s="8" t="s">
        <v>1752</v>
      </c>
      <c r="F329" s="10">
        <v>15.71</v>
      </c>
      <c r="G329" s="11">
        <v>0.1275</v>
      </c>
      <c r="H329" s="8" t="s">
        <v>186</v>
      </c>
      <c r="I329" s="12">
        <v>324396.0</v>
      </c>
      <c r="J329" s="11">
        <v>35.8429</v>
      </c>
      <c r="K329" s="13">
        <v>0.0569</v>
      </c>
      <c r="L329" s="13">
        <v>0.3269</v>
      </c>
      <c r="M329" s="13">
        <v>263659.7</v>
      </c>
      <c r="N329" s="13">
        <v>1.3224</v>
      </c>
      <c r="O329" s="12">
        <v>4.66881251E8</v>
      </c>
      <c r="P329" s="13">
        <v>74.7387</v>
      </c>
      <c r="Q329" s="13">
        <v>57.7163</v>
      </c>
      <c r="R329" s="11">
        <v>73.0235</v>
      </c>
      <c r="S329" s="13">
        <v>15.5975</v>
      </c>
      <c r="T329" s="13">
        <v>15.5436</v>
      </c>
      <c r="U329" s="13">
        <v>15.4983</v>
      </c>
      <c r="V329" s="13">
        <v>15.4165</v>
      </c>
      <c r="W329" s="13">
        <v>15.3837</v>
      </c>
      <c r="X329" s="13">
        <v>15.1166</v>
      </c>
      <c r="Y329" s="13">
        <v>14.8063</v>
      </c>
      <c r="Z329" s="13">
        <v>13.4908</v>
      </c>
      <c r="AA329" s="13">
        <v>18.47</v>
      </c>
      <c r="AB329" s="13">
        <v>12.309</v>
      </c>
      <c r="AC329" s="13">
        <v>1.2763</v>
      </c>
      <c r="AD329" s="13">
        <v>26.8402</v>
      </c>
      <c r="AE329" s="13">
        <v>-1.5087</v>
      </c>
      <c r="AF329" s="13">
        <v>-6.5691</v>
      </c>
      <c r="AG329" s="13">
        <v>1.2101</v>
      </c>
      <c r="AH329" s="13">
        <v>2.0275</v>
      </c>
      <c r="AI329" s="13">
        <v>0.6317</v>
      </c>
      <c r="AJ329" s="11">
        <v>0.35</v>
      </c>
      <c r="AK329" s="8" t="s">
        <v>1858</v>
      </c>
      <c r="AL329" s="14">
        <f>IFERROR(__xludf.DUMMYFUNCTION("IFERROR(GOOGLEFINANCE(B329,""price""),"""")"),15.82)</f>
        <v>15.82</v>
      </c>
    </row>
    <row r="330">
      <c r="A330" s="15">
        <v>46076.62760964226</v>
      </c>
      <c r="B330" s="16" t="s">
        <v>1815</v>
      </c>
      <c r="C330" s="16" t="s">
        <v>1816</v>
      </c>
      <c r="D330" s="17">
        <v>46082.0</v>
      </c>
      <c r="E330" s="16" t="s">
        <v>1817</v>
      </c>
      <c r="F330" s="18">
        <v>2.435</v>
      </c>
      <c r="G330" s="19">
        <v>0.6198</v>
      </c>
      <c r="H330" s="16" t="s">
        <v>117</v>
      </c>
      <c r="I330" s="20">
        <v>684557.0</v>
      </c>
      <c r="J330" s="19">
        <v>21.0576</v>
      </c>
      <c r="K330" s="21">
        <v>0.2413</v>
      </c>
      <c r="L330" s="21">
        <v>0.4296</v>
      </c>
      <c r="M330" s="21">
        <v>504093.2</v>
      </c>
      <c r="N330" s="21">
        <v>1.3169</v>
      </c>
      <c r="O330" s="20">
        <v>1.75930651E8</v>
      </c>
      <c r="P330" s="21">
        <v>42.402</v>
      </c>
      <c r="Q330" s="21">
        <v>39.7167</v>
      </c>
      <c r="R330" s="19">
        <v>49.5952</v>
      </c>
      <c r="S330" s="21">
        <v>2.4318</v>
      </c>
      <c r="T330" s="21">
        <v>2.4674</v>
      </c>
      <c r="U330" s="21">
        <v>2.4059</v>
      </c>
      <c r="V330" s="21">
        <v>2.2922</v>
      </c>
      <c r="W330" s="21">
        <v>2.2582</v>
      </c>
      <c r="X330" s="21">
        <v>2.079</v>
      </c>
      <c r="Y330" s="21">
        <v>2.1072</v>
      </c>
      <c r="Z330" s="21">
        <v>1.6491</v>
      </c>
      <c r="AA330" s="21">
        <v>3.95</v>
      </c>
      <c r="AB330" s="21">
        <v>0.0</v>
      </c>
      <c r="AC330" s="21">
        <v>-2.0832</v>
      </c>
      <c r="AD330" s="21">
        <v>-49.1814</v>
      </c>
      <c r="AE330" s="21">
        <v>-567.9509</v>
      </c>
      <c r="AF330" s="21">
        <v>-33.7648</v>
      </c>
      <c r="AG330" s="21">
        <v>0.16</v>
      </c>
      <c r="AH330" s="21">
        <v>7.7567</v>
      </c>
      <c r="AI330" s="21">
        <v>1.066</v>
      </c>
      <c r="AJ330" s="19">
        <v>1.12</v>
      </c>
      <c r="AK330" s="24"/>
      <c r="AL330" s="22">
        <f>IFERROR(__xludf.DUMMYFUNCTION("IFERROR(GOOGLEFINANCE(B330,""price""),"""")"),6.61)</f>
        <v>6.61</v>
      </c>
    </row>
    <row r="331">
      <c r="A331" s="7">
        <v>46076.62760964226</v>
      </c>
      <c r="B331" s="8" t="s">
        <v>1859</v>
      </c>
      <c r="C331" s="8" t="s">
        <v>1860</v>
      </c>
      <c r="D331" s="9">
        <v>46082.0</v>
      </c>
      <c r="E331" s="8" t="s">
        <v>1861</v>
      </c>
      <c r="F331" s="10">
        <v>11.64</v>
      </c>
      <c r="G331" s="11">
        <v>2.4648</v>
      </c>
      <c r="H331" s="8" t="s">
        <v>335</v>
      </c>
      <c r="I331" s="12">
        <v>843068.0</v>
      </c>
      <c r="J331" s="11">
        <v>31.4847</v>
      </c>
      <c r="K331" s="13">
        <v>0.8066</v>
      </c>
      <c r="L331" s="13">
        <v>1.1255</v>
      </c>
      <c r="M331" s="13">
        <v>638329.9</v>
      </c>
      <c r="N331" s="13">
        <v>1.4028</v>
      </c>
      <c r="O331" s="12">
        <v>1.541585419E9</v>
      </c>
      <c r="P331" s="13">
        <v>22.7741</v>
      </c>
      <c r="Q331" s="13">
        <v>17.9931</v>
      </c>
      <c r="R331" s="11">
        <v>49.4605</v>
      </c>
      <c r="S331" s="13">
        <v>11.6554</v>
      </c>
      <c r="T331" s="13">
        <v>11.8417</v>
      </c>
      <c r="U331" s="13">
        <v>11.4563</v>
      </c>
      <c r="V331" s="13">
        <v>10.8111</v>
      </c>
      <c r="W331" s="13">
        <v>10.6134</v>
      </c>
      <c r="X331" s="13">
        <v>9.4897</v>
      </c>
      <c r="Y331" s="13">
        <v>7.8047</v>
      </c>
      <c r="Z331" s="13">
        <v>6.6612</v>
      </c>
      <c r="AA331" s="13">
        <v>14.94</v>
      </c>
      <c r="AB331" s="13">
        <v>0.0</v>
      </c>
      <c r="AC331" s="13">
        <v>-0.1225</v>
      </c>
      <c r="AD331" s="13">
        <v>-1.6425</v>
      </c>
      <c r="AE331" s="13">
        <v>9.3852</v>
      </c>
      <c r="AF331" s="13">
        <v>7.9181</v>
      </c>
      <c r="AG331" s="13">
        <v>1.9599</v>
      </c>
      <c r="AH331" s="13">
        <v>0.9085</v>
      </c>
      <c r="AI331" s="13">
        <v>1.71</v>
      </c>
      <c r="AJ331" s="11">
        <v>1.43</v>
      </c>
      <c r="AK331" s="8" t="s">
        <v>1712</v>
      </c>
      <c r="AL331" s="14">
        <f>IFERROR(__xludf.DUMMYFUNCTION("IFERROR(GOOGLEFINANCE(B331,""price""),"""")"),11.85)</f>
        <v>11.85</v>
      </c>
    </row>
    <row r="332">
      <c r="A332" s="7">
        <v>46077.627145353516</v>
      </c>
      <c r="B332" s="8" t="s">
        <v>1862</v>
      </c>
      <c r="C332" s="8" t="s">
        <v>1863</v>
      </c>
      <c r="D332" s="9">
        <v>46082.0</v>
      </c>
      <c r="E332" s="8" t="s">
        <v>1864</v>
      </c>
      <c r="F332" s="10">
        <v>10.7</v>
      </c>
      <c r="G332" s="11">
        <v>0.2812</v>
      </c>
      <c r="H332" s="8" t="s">
        <v>93</v>
      </c>
      <c r="I332" s="12">
        <v>399465.0</v>
      </c>
      <c r="J332" s="11">
        <v>50.1061</v>
      </c>
      <c r="K332" s="13">
        <v>0.0474</v>
      </c>
      <c r="L332" s="13">
        <v>0.1682</v>
      </c>
      <c r="M332" s="13">
        <v>66038.5</v>
      </c>
      <c r="N332" s="13">
        <v>15.0075</v>
      </c>
      <c r="O332" s="12">
        <v>3.84531253E8</v>
      </c>
      <c r="P332" s="13">
        <v>62.963</v>
      </c>
      <c r="Q332" s="13">
        <v>50.8148</v>
      </c>
      <c r="R332" s="11">
        <v>55.232</v>
      </c>
      <c r="S332" s="13">
        <v>10.6769</v>
      </c>
      <c r="T332" s="13">
        <v>10.6716</v>
      </c>
      <c r="U332" s="13">
        <v>10.6678</v>
      </c>
      <c r="V332" s="13">
        <v>10.6629</v>
      </c>
      <c r="W332" s="13">
        <v>10.6617</v>
      </c>
      <c r="X332" s="13">
        <v>10.6582</v>
      </c>
      <c r="Y332" s="13">
        <v>10.5949</v>
      </c>
      <c r="Z332" s="13">
        <v>10.7941</v>
      </c>
      <c r="AA332" s="13">
        <v>13.73</v>
      </c>
      <c r="AB332" s="13">
        <v>48.8584</v>
      </c>
      <c r="AC332" s="13">
        <v>0.219</v>
      </c>
      <c r="AD332" s="13">
        <v>2.788</v>
      </c>
      <c r="AE332" s="13">
        <v>0.0</v>
      </c>
      <c r="AF332" s="13">
        <v>0.0</v>
      </c>
      <c r="AG332" s="13">
        <v>0.007</v>
      </c>
      <c r="AH332" s="13">
        <v>0.3104</v>
      </c>
      <c r="AI332" s="13">
        <v>0.0849</v>
      </c>
      <c r="AJ332" s="11">
        <v>0.56</v>
      </c>
      <c r="AK332" s="8" t="s">
        <v>1865</v>
      </c>
      <c r="AL332" s="14">
        <f>IFERROR(__xludf.DUMMYFUNCTION("IFERROR(GOOGLEFINANCE(B332,""price""),"""")"),10.87)</f>
        <v>10.87</v>
      </c>
    </row>
    <row r="333">
      <c r="A333" s="15">
        <v>46077.627145353516</v>
      </c>
      <c r="B333" s="16" t="s">
        <v>1866</v>
      </c>
      <c r="C333" s="16" t="s">
        <v>1867</v>
      </c>
      <c r="D333" s="17">
        <v>46082.0</v>
      </c>
      <c r="E333" s="16" t="s">
        <v>1868</v>
      </c>
      <c r="F333" s="18">
        <v>10.1</v>
      </c>
      <c r="G333" s="19">
        <v>0.0</v>
      </c>
      <c r="H333" s="16" t="s">
        <v>93</v>
      </c>
      <c r="I333" s="20">
        <v>573410.0</v>
      </c>
      <c r="J333" s="19">
        <v>30.51</v>
      </c>
      <c r="K333" s="21">
        <v>0.0153</v>
      </c>
      <c r="L333" s="21">
        <v>0.2769</v>
      </c>
      <c r="M333" s="21">
        <v>184104.7</v>
      </c>
      <c r="N333" s="21">
        <v>4.4067</v>
      </c>
      <c r="O333" s="20">
        <v>3.03757519E8</v>
      </c>
      <c r="P333" s="21">
        <v>68.254</v>
      </c>
      <c r="Q333" s="21">
        <v>69.8413</v>
      </c>
      <c r="R333" s="19">
        <v>55.5383</v>
      </c>
      <c r="S333" s="21">
        <v>10.0986</v>
      </c>
      <c r="T333" s="21">
        <v>10.0877</v>
      </c>
      <c r="U333" s="21">
        <v>10.08</v>
      </c>
      <c r="V333" s="21">
        <v>10.0726</v>
      </c>
      <c r="W333" s="21">
        <v>10.0703</v>
      </c>
      <c r="X333" s="21">
        <v>10.0517</v>
      </c>
      <c r="Y333" s="21">
        <v>9.97</v>
      </c>
      <c r="Z333" s="21">
        <v>9.9694</v>
      </c>
      <c r="AA333" s="21">
        <v>10.12</v>
      </c>
      <c r="AB333" s="21">
        <v>0.0</v>
      </c>
      <c r="AC333" s="21">
        <v>0.0</v>
      </c>
      <c r="AD333" s="21">
        <v>0.0</v>
      </c>
      <c r="AE333" s="21">
        <v>0.0</v>
      </c>
      <c r="AF333" s="21">
        <v>0.0</v>
      </c>
      <c r="AG333" s="21">
        <v>0.0</v>
      </c>
      <c r="AH333" s="21">
        <v>8.5344</v>
      </c>
      <c r="AI333" s="21">
        <v>0.1845</v>
      </c>
      <c r="AJ333" s="19">
        <v>0.11</v>
      </c>
      <c r="AK333" s="16" t="s">
        <v>1869</v>
      </c>
      <c r="AL333" s="22">
        <f>IFERROR(__xludf.DUMMYFUNCTION("IFERROR(GOOGLEFINANCE(B333,""price""),"""")"),10.2)</f>
        <v>10.2</v>
      </c>
    </row>
    <row r="334">
      <c r="A334" s="7">
        <v>46077.627145353516</v>
      </c>
      <c r="B334" s="8" t="s">
        <v>1560</v>
      </c>
      <c r="C334" s="8" t="s">
        <v>1561</v>
      </c>
      <c r="D334" s="9">
        <v>46082.0</v>
      </c>
      <c r="E334" s="8" t="s">
        <v>1562</v>
      </c>
      <c r="F334" s="10">
        <v>72.765</v>
      </c>
      <c r="G334" s="11">
        <v>-0.2126</v>
      </c>
      <c r="H334" s="8" t="s">
        <v>117</v>
      </c>
      <c r="I334" s="12">
        <v>4007021.0</v>
      </c>
      <c r="J334" s="11">
        <v>40.5992</v>
      </c>
      <c r="K334" s="13">
        <v>0.2197</v>
      </c>
      <c r="L334" s="13">
        <v>2.2731</v>
      </c>
      <c r="M334" s="8">
        <v>3406507.0</v>
      </c>
      <c r="N334" s="13">
        <v>1.2557</v>
      </c>
      <c r="O334" s="12">
        <v>1.1259668431E10</v>
      </c>
      <c r="P334" s="13">
        <v>55.1972</v>
      </c>
      <c r="Q334" s="13">
        <v>63.9773</v>
      </c>
      <c r="R334" s="11">
        <v>56.2271</v>
      </c>
      <c r="S334" s="13">
        <v>72.8457</v>
      </c>
      <c r="T334" s="13">
        <v>72.7538</v>
      </c>
      <c r="U334" s="13">
        <v>72.4154</v>
      </c>
      <c r="V334" s="13">
        <v>71.4385</v>
      </c>
      <c r="W334" s="13">
        <v>71.0209</v>
      </c>
      <c r="X334" s="13">
        <v>67.489</v>
      </c>
      <c r="Y334" s="13">
        <v>57.1522</v>
      </c>
      <c r="Z334" s="13">
        <v>52.2347</v>
      </c>
      <c r="AA334" s="13">
        <v>73.06</v>
      </c>
      <c r="AB334" s="13">
        <v>0.0</v>
      </c>
      <c r="AC334" s="13">
        <v>-4.9629</v>
      </c>
      <c r="AD334" s="13">
        <v>-43.9774</v>
      </c>
      <c r="AE334" s="13">
        <v>-3977.3021</v>
      </c>
      <c r="AF334" s="13">
        <v>72.1116</v>
      </c>
      <c r="AG334" s="13">
        <v>0.0292</v>
      </c>
      <c r="AH334" s="13">
        <v>9.2019</v>
      </c>
      <c r="AI334" s="13">
        <v>0.5914</v>
      </c>
      <c r="AJ334" s="11">
        <v>0.19</v>
      </c>
      <c r="AK334" s="8" t="s">
        <v>1870</v>
      </c>
      <c r="AL334" s="14">
        <f>IFERROR(__xludf.DUMMYFUNCTION("IFERROR(GOOGLEFINANCE(B334,""price""),"""")"),12.71)</f>
        <v>12.71</v>
      </c>
    </row>
    <row r="335">
      <c r="A335" s="15">
        <v>46077.627145353516</v>
      </c>
      <c r="B335" s="16" t="s">
        <v>1750</v>
      </c>
      <c r="C335" s="16" t="s">
        <v>1751</v>
      </c>
      <c r="D335" s="17">
        <v>46082.0</v>
      </c>
      <c r="E335" s="16" t="s">
        <v>1752</v>
      </c>
      <c r="F335" s="18">
        <v>15.795</v>
      </c>
      <c r="G335" s="19">
        <v>0.3494</v>
      </c>
      <c r="H335" s="16" t="s">
        <v>186</v>
      </c>
      <c r="I335" s="20">
        <v>997087.0</v>
      </c>
      <c r="J335" s="19">
        <v>38.247</v>
      </c>
      <c r="K335" s="21">
        <v>0.0595</v>
      </c>
      <c r="L335" s="21">
        <v>0.3334</v>
      </c>
      <c r="M335" s="21">
        <v>360662.9</v>
      </c>
      <c r="N335" s="21">
        <v>3.6874</v>
      </c>
      <c r="O335" s="20">
        <v>4.69407348E8</v>
      </c>
      <c r="P335" s="21">
        <v>95.2178</v>
      </c>
      <c r="Q335" s="21">
        <v>75.2146</v>
      </c>
      <c r="R335" s="19">
        <v>77.616</v>
      </c>
      <c r="S335" s="21">
        <v>15.6466</v>
      </c>
      <c r="T335" s="21">
        <v>15.5689</v>
      </c>
      <c r="U335" s="21">
        <v>15.5169</v>
      </c>
      <c r="V335" s="21">
        <v>15.4325</v>
      </c>
      <c r="W335" s="21">
        <v>15.3994</v>
      </c>
      <c r="X335" s="21">
        <v>15.1324</v>
      </c>
      <c r="Y335" s="21">
        <v>14.8164</v>
      </c>
      <c r="Z335" s="21">
        <v>13.5176</v>
      </c>
      <c r="AA335" s="21">
        <v>15.98</v>
      </c>
      <c r="AB335" s="21">
        <v>12.3756</v>
      </c>
      <c r="AC335" s="21">
        <v>1.2763</v>
      </c>
      <c r="AD335" s="21">
        <v>26.8402</v>
      </c>
      <c r="AE335" s="21">
        <v>-1.5087</v>
      </c>
      <c r="AF335" s="21">
        <v>-6.5691</v>
      </c>
      <c r="AG335" s="21">
        <v>1.2101</v>
      </c>
      <c r="AH335" s="21">
        <v>2.0275</v>
      </c>
      <c r="AI335" s="21">
        <v>0.8213</v>
      </c>
      <c r="AJ335" s="19">
        <v>0.36</v>
      </c>
      <c r="AK335" s="16" t="s">
        <v>1871</v>
      </c>
      <c r="AL335" s="22">
        <f>IFERROR(__xludf.DUMMYFUNCTION("IFERROR(GOOGLEFINANCE(B335,""price""),"""")"),15.82)</f>
        <v>15.82</v>
      </c>
    </row>
    <row r="336">
      <c r="A336" s="7">
        <v>46077.627145353516</v>
      </c>
      <c r="B336" s="8" t="s">
        <v>1815</v>
      </c>
      <c r="C336" s="8" t="s">
        <v>1816</v>
      </c>
      <c r="D336" s="9">
        <v>46082.0</v>
      </c>
      <c r="E336" s="8" t="s">
        <v>1817</v>
      </c>
      <c r="F336" s="10">
        <v>2.48</v>
      </c>
      <c r="G336" s="11">
        <v>1.2245</v>
      </c>
      <c r="H336" s="8" t="s">
        <v>117</v>
      </c>
      <c r="I336" s="12">
        <v>1347012.0</v>
      </c>
      <c r="J336" s="11">
        <v>21.1729</v>
      </c>
      <c r="K336" s="13">
        <v>0.2368</v>
      </c>
      <c r="L336" s="13">
        <v>0.436</v>
      </c>
      <c r="M336" s="13">
        <v>595898.9</v>
      </c>
      <c r="N336" s="13">
        <v>2.6384</v>
      </c>
      <c r="O336" s="12">
        <v>1.79181933E8</v>
      </c>
      <c r="P336" s="13">
        <v>41.1765</v>
      </c>
      <c r="Q336" s="13">
        <v>41.6667</v>
      </c>
      <c r="R336" s="11">
        <v>50.9863</v>
      </c>
      <c r="S336" s="13">
        <v>2.4451</v>
      </c>
      <c r="T336" s="13">
        <v>2.4698</v>
      </c>
      <c r="U336" s="13">
        <v>2.4109</v>
      </c>
      <c r="V336" s="13">
        <v>2.3001</v>
      </c>
      <c r="W336" s="13">
        <v>2.2666</v>
      </c>
      <c r="X336" s="13">
        <v>2.0882</v>
      </c>
      <c r="Y336" s="13">
        <v>2.111</v>
      </c>
      <c r="Z336" s="13">
        <v>1.6554</v>
      </c>
      <c r="AA336" s="13">
        <v>3.95</v>
      </c>
      <c r="AB336" s="13">
        <v>0.0</v>
      </c>
      <c r="AC336" s="13">
        <v>-2.0832</v>
      </c>
      <c r="AD336" s="13">
        <v>-49.1814</v>
      </c>
      <c r="AE336" s="13">
        <v>-567.9509</v>
      </c>
      <c r="AF336" s="13">
        <v>-33.7648</v>
      </c>
      <c r="AG336" s="13">
        <v>0.16</v>
      </c>
      <c r="AH336" s="13">
        <v>7.7567</v>
      </c>
      <c r="AI336" s="13">
        <v>1.3794</v>
      </c>
      <c r="AJ336" s="11">
        <v>1.09</v>
      </c>
      <c r="AK336" s="8" t="s">
        <v>1872</v>
      </c>
      <c r="AL336" s="14">
        <f>IFERROR(__xludf.DUMMYFUNCTION("IFERROR(GOOGLEFINANCE(B336,""price""),"""")"),6.61)</f>
        <v>6.61</v>
      </c>
    </row>
    <row r="337">
      <c r="A337" s="15">
        <v>46077.627145353516</v>
      </c>
      <c r="B337" s="16" t="s">
        <v>1873</v>
      </c>
      <c r="C337" s="16" t="s">
        <v>1874</v>
      </c>
      <c r="D337" s="17">
        <v>46082.0</v>
      </c>
      <c r="E337" s="16" t="s">
        <v>1875</v>
      </c>
      <c r="F337" s="18">
        <v>86.34</v>
      </c>
      <c r="G337" s="19">
        <v>7.2014</v>
      </c>
      <c r="H337" s="16" t="s">
        <v>129</v>
      </c>
      <c r="I337" s="20">
        <v>776632.0</v>
      </c>
      <c r="J337" s="19">
        <v>21.9265</v>
      </c>
      <c r="K337" s="21">
        <v>3.5815</v>
      </c>
      <c r="L337" s="21">
        <v>6.4311</v>
      </c>
      <c r="M337" s="21">
        <v>459164.4</v>
      </c>
      <c r="N337" s="21">
        <v>1.8763</v>
      </c>
      <c r="O337" s="20">
        <v>3.198299181E9</v>
      </c>
      <c r="P337" s="21">
        <v>33.0125</v>
      </c>
      <c r="Q337" s="21">
        <v>31.9426</v>
      </c>
      <c r="R337" s="19">
        <v>54.5638</v>
      </c>
      <c r="S337" s="21">
        <v>84.7987</v>
      </c>
      <c r="T337" s="21">
        <v>84.8328</v>
      </c>
      <c r="U337" s="21">
        <v>83.595</v>
      </c>
      <c r="V337" s="21">
        <v>82.1924</v>
      </c>
      <c r="W337" s="21">
        <v>81.8572</v>
      </c>
      <c r="X337" s="21">
        <v>80.8402</v>
      </c>
      <c r="Y337" s="21">
        <v>85.1696</v>
      </c>
      <c r="Z337" s="21">
        <v>81.6851</v>
      </c>
      <c r="AA337" s="21">
        <v>106.67</v>
      </c>
      <c r="AB337" s="21">
        <v>24.5815</v>
      </c>
      <c r="AC337" s="21">
        <v>3.5124</v>
      </c>
      <c r="AD337" s="21">
        <v>6.2864</v>
      </c>
      <c r="AE337" s="21">
        <v>2.8061</v>
      </c>
      <c r="AF337" s="21">
        <v>-4.7544</v>
      </c>
      <c r="AG337" s="21">
        <v>0.2462</v>
      </c>
      <c r="AH337" s="21">
        <v>3.3553</v>
      </c>
      <c r="AI337" s="21">
        <v>1.3941</v>
      </c>
      <c r="AJ337" s="19">
        <v>1.11</v>
      </c>
      <c r="AK337" s="24"/>
      <c r="AL337" s="22">
        <f>IFERROR(__xludf.DUMMYFUNCTION("IFERROR(GOOGLEFINANCE(B337,""price""),"""")"),80.17)</f>
        <v>80.17</v>
      </c>
    </row>
    <row r="338">
      <c r="A338" s="7">
        <v>46077.627145353516</v>
      </c>
      <c r="B338" s="8" t="s">
        <v>1486</v>
      </c>
      <c r="C338" s="8" t="s">
        <v>1487</v>
      </c>
      <c r="D338" s="9">
        <v>46082.0</v>
      </c>
      <c r="E338" s="8" t="s">
        <v>1488</v>
      </c>
      <c r="F338" s="10">
        <v>64.83</v>
      </c>
      <c r="G338" s="11">
        <v>0.4182</v>
      </c>
      <c r="H338" s="8" t="s">
        <v>93</v>
      </c>
      <c r="I338" s="12">
        <v>3076410.0</v>
      </c>
      <c r="J338" s="11">
        <v>31.1775</v>
      </c>
      <c r="K338" s="13">
        <v>1.3463</v>
      </c>
      <c r="L338" s="13">
        <v>2.3295</v>
      </c>
      <c r="M338" s="8">
        <v>1182476.0</v>
      </c>
      <c r="N338" s="13">
        <v>3.2745</v>
      </c>
      <c r="O338" s="12">
        <v>3.5907609909E10</v>
      </c>
      <c r="P338" s="13">
        <v>28.7199</v>
      </c>
      <c r="Q338" s="13">
        <v>37.3062</v>
      </c>
      <c r="R338" s="11">
        <v>50.0824</v>
      </c>
      <c r="S338" s="13">
        <v>65.6785</v>
      </c>
      <c r="T338" s="13">
        <v>65.1456</v>
      </c>
      <c r="U338" s="13">
        <v>64.4057</v>
      </c>
      <c r="V338" s="13">
        <v>63.6794</v>
      </c>
      <c r="W338" s="13">
        <v>63.4945</v>
      </c>
      <c r="X338" s="13">
        <v>62.605</v>
      </c>
      <c r="Y338" s="13">
        <v>61.1516</v>
      </c>
      <c r="Z338" s="13">
        <v>61.6606</v>
      </c>
      <c r="AA338" s="13">
        <v>69.67</v>
      </c>
      <c r="AB338" s="13">
        <v>14.506</v>
      </c>
      <c r="AC338" s="13">
        <v>4.4692</v>
      </c>
      <c r="AD338" s="13">
        <v>14.1788</v>
      </c>
      <c r="AE338" s="13">
        <v>12.7064</v>
      </c>
      <c r="AF338" s="13">
        <v>6.2296</v>
      </c>
      <c r="AG338" s="13">
        <v>0.8684</v>
      </c>
      <c r="AH338" s="13">
        <v>1.0392</v>
      </c>
      <c r="AI338" s="13">
        <v>1.9632</v>
      </c>
      <c r="AJ338" s="11">
        <v>1.16</v>
      </c>
      <c r="AK338" s="8" t="s">
        <v>1381</v>
      </c>
      <c r="AL338" s="14">
        <f>IFERROR(__xludf.DUMMYFUNCTION("IFERROR(GOOGLEFINANCE(B338,""price""),"""")"),65.27)</f>
        <v>65.27</v>
      </c>
    </row>
    <row r="339">
      <c r="A339" s="7">
        <v>46078.628801308805</v>
      </c>
      <c r="B339" s="8" t="s">
        <v>1876</v>
      </c>
      <c r="C339" s="8" t="s">
        <v>1877</v>
      </c>
      <c r="D339" s="9">
        <v>46082.0</v>
      </c>
      <c r="E339" s="8" t="s">
        <v>1878</v>
      </c>
      <c r="F339" s="10">
        <v>15.0279</v>
      </c>
      <c r="G339" s="11">
        <v>28.006</v>
      </c>
      <c r="H339" s="8" t="s">
        <v>117</v>
      </c>
      <c r="I339" s="12">
        <v>7145352.0</v>
      </c>
      <c r="J339" s="11">
        <v>24.005</v>
      </c>
      <c r="K339" s="13">
        <v>1.0566</v>
      </c>
      <c r="L339" s="13">
        <v>2.0415</v>
      </c>
      <c r="M339" s="8">
        <v>4074133.0</v>
      </c>
      <c r="N339" s="13">
        <v>2.0293</v>
      </c>
      <c r="O339" s="12">
        <v>1.68285407E9</v>
      </c>
      <c r="P339" s="13">
        <v>50.7148</v>
      </c>
      <c r="Q339" s="13">
        <v>36.0851</v>
      </c>
      <c r="R339" s="11">
        <v>67.6571</v>
      </c>
      <c r="S339" s="13">
        <v>12.1543</v>
      </c>
      <c r="T339" s="13">
        <v>11.9499</v>
      </c>
      <c r="U339" s="13">
        <v>12.1438</v>
      </c>
      <c r="V339" s="13">
        <v>12.3198</v>
      </c>
      <c r="W339" s="13">
        <v>12.3644</v>
      </c>
      <c r="X339" s="13">
        <v>12.6677</v>
      </c>
      <c r="Y339" s="13">
        <v>14.0604</v>
      </c>
      <c r="Z339" s="13">
        <v>13.8068</v>
      </c>
      <c r="AA339" s="13">
        <v>21.5499</v>
      </c>
      <c r="AB339" s="13">
        <v>0.0</v>
      </c>
      <c r="AC339" s="13">
        <v>-1.6117</v>
      </c>
      <c r="AD339" s="13">
        <v>-50.6043</v>
      </c>
      <c r="AE339" s="13">
        <v>-27.365</v>
      </c>
      <c r="AF339" s="13">
        <v>11.1696</v>
      </c>
      <c r="AG339" s="13">
        <v>2.3377</v>
      </c>
      <c r="AH339" s="13">
        <v>1.5462</v>
      </c>
      <c r="AI339" s="13">
        <v>0.0703</v>
      </c>
      <c r="AJ339" s="11">
        <v>1.04</v>
      </c>
      <c r="AK339" s="8" t="s">
        <v>1879</v>
      </c>
      <c r="AL339" s="14">
        <f>IFERROR(__xludf.DUMMYFUNCTION("IFERROR(GOOGLEFINANCE(B339,""price""),"""")"),10.58)</f>
        <v>10.58</v>
      </c>
    </row>
    <row r="340">
      <c r="A340" s="15">
        <v>46078.628801308805</v>
      </c>
      <c r="B340" s="16" t="s">
        <v>1880</v>
      </c>
      <c r="C340" s="16" t="s">
        <v>1881</v>
      </c>
      <c r="D340" s="17">
        <v>46082.0</v>
      </c>
      <c r="E340" s="16" t="s">
        <v>1882</v>
      </c>
      <c r="F340" s="18">
        <v>11.46</v>
      </c>
      <c r="G340" s="19">
        <v>0.0873</v>
      </c>
      <c r="H340" s="16" t="s">
        <v>93</v>
      </c>
      <c r="I340" s="20">
        <v>643479.0</v>
      </c>
      <c r="J340" s="19">
        <v>23.5467</v>
      </c>
      <c r="K340" s="21">
        <v>0.0332</v>
      </c>
      <c r="L340" s="21">
        <v>0.0617</v>
      </c>
      <c r="M340" s="21">
        <v>112535.9</v>
      </c>
      <c r="N340" s="21">
        <v>13.2707</v>
      </c>
      <c r="O340" s="20">
        <v>3.34351219E8</v>
      </c>
      <c r="P340" s="21">
        <v>40.5976</v>
      </c>
      <c r="Q340" s="21">
        <v>36.1391</v>
      </c>
      <c r="R340" s="19">
        <v>62.0349</v>
      </c>
      <c r="S340" s="21">
        <v>11.4426</v>
      </c>
      <c r="T340" s="21">
        <v>11.4293</v>
      </c>
      <c r="U340" s="21">
        <v>11.4155</v>
      </c>
      <c r="V340" s="21">
        <v>11.3976</v>
      </c>
      <c r="W340" s="21">
        <v>11.3917</v>
      </c>
      <c r="X340" s="21">
        <v>11.3493</v>
      </c>
      <c r="Y340" s="21">
        <v>11.2025</v>
      </c>
      <c r="Z340" s="21">
        <v>11.2007</v>
      </c>
      <c r="AA340" s="21">
        <v>11.5</v>
      </c>
      <c r="AB340" s="21">
        <v>38.1491</v>
      </c>
      <c r="AC340" s="21">
        <v>0.3004</v>
      </c>
      <c r="AD340" s="21">
        <v>3.6877</v>
      </c>
      <c r="AE340" s="21">
        <v>0.0</v>
      </c>
      <c r="AF340" s="21">
        <v>0.0</v>
      </c>
      <c r="AG340" s="21">
        <v>0.0077</v>
      </c>
      <c r="AH340" s="21">
        <v>0.0196</v>
      </c>
      <c r="AI340" s="21">
        <v>0.2367</v>
      </c>
      <c r="AJ340" s="19">
        <v>1.07</v>
      </c>
      <c r="AK340" s="16" t="s">
        <v>1883</v>
      </c>
      <c r="AL340" s="22" t="str">
        <f>IFERROR(__xludf.DUMMYFUNCTION("IFERROR(GOOGLEFINANCE(B340,""price""),"""")"),"")</f>
        <v/>
      </c>
    </row>
    <row r="341">
      <c r="A341" s="7">
        <v>46078.628801308805</v>
      </c>
      <c r="B341" s="8" t="s">
        <v>1884</v>
      </c>
      <c r="C341" s="8" t="s">
        <v>1885</v>
      </c>
      <c r="D341" s="9">
        <v>46082.0</v>
      </c>
      <c r="E341" s="8" t="s">
        <v>1886</v>
      </c>
      <c r="F341" s="10">
        <v>25.3506</v>
      </c>
      <c r="G341" s="11">
        <v>-0.273</v>
      </c>
      <c r="H341" s="8" t="s">
        <v>93</v>
      </c>
      <c r="I341" s="12">
        <v>426474.0</v>
      </c>
      <c r="J341" s="11">
        <v>29.7793</v>
      </c>
      <c r="K341" s="13">
        <v>0.1381</v>
      </c>
      <c r="L341" s="13">
        <v>0.2648</v>
      </c>
      <c r="M341" s="13">
        <v>73895.6</v>
      </c>
      <c r="N341" s="13">
        <v>13.0966</v>
      </c>
      <c r="O341" s="12">
        <v>0.0</v>
      </c>
      <c r="P341" s="13">
        <v>50.2632</v>
      </c>
      <c r="Q341" s="13">
        <v>56.7156</v>
      </c>
      <c r="R341" s="11">
        <v>52.285</v>
      </c>
      <c r="S341" s="13">
        <v>25.3953</v>
      </c>
      <c r="T341" s="13">
        <v>25.3395</v>
      </c>
      <c r="U341" s="13">
        <v>25.3011</v>
      </c>
      <c r="V341" s="13">
        <v>25.2828</v>
      </c>
      <c r="W341" s="13">
        <v>25.281</v>
      </c>
      <c r="X341" s="13">
        <v>25.2846</v>
      </c>
      <c r="Y341" s="13">
        <v>25.2972</v>
      </c>
      <c r="Z341" s="13">
        <v>25.2971</v>
      </c>
      <c r="AA341" s="13">
        <v>26.17</v>
      </c>
      <c r="AB341" s="13">
        <v>0.0</v>
      </c>
      <c r="AC341" s="13">
        <v>0.0</v>
      </c>
      <c r="AD341" s="13">
        <v>14.7129</v>
      </c>
      <c r="AE341" s="13">
        <v>19.8613</v>
      </c>
      <c r="AF341" s="13">
        <v>24.0659</v>
      </c>
      <c r="AG341" s="13">
        <v>0.383</v>
      </c>
      <c r="AH341" s="13">
        <v>0.0</v>
      </c>
      <c r="AI341" s="13">
        <v>0.3715</v>
      </c>
      <c r="AJ341" s="11">
        <v>1.04</v>
      </c>
      <c r="AK341" s="8" t="s">
        <v>1887</v>
      </c>
      <c r="AL341" s="14">
        <f>IFERROR(__xludf.DUMMYFUNCTION("IFERROR(GOOGLEFINANCE(B341,""price""),"""")"),25.1)</f>
        <v>25.1</v>
      </c>
    </row>
    <row r="342">
      <c r="A342" s="15">
        <v>46078.628801308805</v>
      </c>
      <c r="B342" s="16" t="s">
        <v>1888</v>
      </c>
      <c r="C342" s="16" t="s">
        <v>1889</v>
      </c>
      <c r="D342" s="17">
        <v>46082.0</v>
      </c>
      <c r="E342" s="16" t="s">
        <v>1890</v>
      </c>
      <c r="F342" s="18">
        <v>25.32</v>
      </c>
      <c r="G342" s="19">
        <v>0.0791</v>
      </c>
      <c r="H342" s="16" t="s">
        <v>93</v>
      </c>
      <c r="I342" s="20">
        <v>820982.0</v>
      </c>
      <c r="J342" s="19">
        <v>20.1224</v>
      </c>
      <c r="K342" s="21">
        <v>0.093</v>
      </c>
      <c r="L342" s="21">
        <v>0.2031</v>
      </c>
      <c r="M342" s="21">
        <v>191738.2</v>
      </c>
      <c r="N342" s="21">
        <v>7.4255</v>
      </c>
      <c r="O342" s="20">
        <v>1.4319652503E10</v>
      </c>
      <c r="P342" s="21">
        <v>79.9147</v>
      </c>
      <c r="Q342" s="21">
        <v>72.833</v>
      </c>
      <c r="R342" s="19">
        <v>68.8922</v>
      </c>
      <c r="S342" s="21">
        <v>25.2259</v>
      </c>
      <c r="T342" s="21">
        <v>25.1566</v>
      </c>
      <c r="U342" s="21">
        <v>25.1106</v>
      </c>
      <c r="V342" s="21">
        <v>25.0726</v>
      </c>
      <c r="W342" s="21">
        <v>25.0635</v>
      </c>
      <c r="X342" s="21">
        <v>25.0183</v>
      </c>
      <c r="Y342" s="21">
        <v>24.9505</v>
      </c>
      <c r="Z342" s="21">
        <v>24.9141</v>
      </c>
      <c r="AA342" s="21">
        <v>26.0</v>
      </c>
      <c r="AB342" s="21">
        <v>1.4304</v>
      </c>
      <c r="AC342" s="21">
        <v>17.7013</v>
      </c>
      <c r="AD342" s="21">
        <v>9.7376</v>
      </c>
      <c r="AE342" s="21">
        <v>8.0921</v>
      </c>
      <c r="AF342" s="21">
        <v>6.9488</v>
      </c>
      <c r="AG342" s="21">
        <v>0.4242</v>
      </c>
      <c r="AH342" s="21">
        <v>0.0</v>
      </c>
      <c r="AI342" s="21">
        <v>0.4552</v>
      </c>
      <c r="AJ342" s="19">
        <v>0.92</v>
      </c>
      <c r="AK342" s="16" t="s">
        <v>1891</v>
      </c>
      <c r="AL342" s="22">
        <f>IFERROR(__xludf.DUMMYFUNCTION("IFERROR(GOOGLEFINANCE(B342,""price""),"""")"),25.03)</f>
        <v>25.03</v>
      </c>
    </row>
    <row r="343">
      <c r="A343" s="7">
        <v>46078.628801308805</v>
      </c>
      <c r="B343" s="8" t="s">
        <v>1892</v>
      </c>
      <c r="C343" s="8" t="s">
        <v>1893</v>
      </c>
      <c r="D343" s="9">
        <v>46082.0</v>
      </c>
      <c r="E343" s="8" t="s">
        <v>1894</v>
      </c>
      <c r="F343" s="10">
        <v>25.09</v>
      </c>
      <c r="G343" s="11">
        <v>0.6822</v>
      </c>
      <c r="H343" s="8" t="s">
        <v>93</v>
      </c>
      <c r="I343" s="12">
        <v>326748.0</v>
      </c>
      <c r="J343" s="11">
        <v>35.5443</v>
      </c>
      <c r="K343" s="13">
        <v>0.1663</v>
      </c>
      <c r="L343" s="13">
        <v>0.3871</v>
      </c>
      <c r="M343" s="13">
        <v>60269.0</v>
      </c>
      <c r="N343" s="13">
        <v>11.8117</v>
      </c>
      <c r="O343" s="12">
        <v>3.443938637E9</v>
      </c>
      <c r="P343" s="13">
        <v>89.4118</v>
      </c>
      <c r="Q343" s="13">
        <v>90.3754</v>
      </c>
      <c r="R343" s="11">
        <v>64.7198</v>
      </c>
      <c r="S343" s="13">
        <v>24.9172</v>
      </c>
      <c r="T343" s="13">
        <v>24.8046</v>
      </c>
      <c r="U343" s="13">
        <v>24.7956</v>
      </c>
      <c r="V343" s="13">
        <v>24.8178</v>
      </c>
      <c r="W343" s="13">
        <v>24.8256</v>
      </c>
      <c r="X343" s="13">
        <v>24.86</v>
      </c>
      <c r="Y343" s="13">
        <v>24.8684</v>
      </c>
      <c r="Z343" s="13">
        <v>24.8203</v>
      </c>
      <c r="AA343" s="13">
        <v>26.21</v>
      </c>
      <c r="AB343" s="13">
        <v>5.755</v>
      </c>
      <c r="AC343" s="13">
        <v>4.3597</v>
      </c>
      <c r="AD343" s="13">
        <v>13.9722</v>
      </c>
      <c r="AE343" s="13">
        <v>15.2012</v>
      </c>
      <c r="AF343" s="13">
        <v>9.9314</v>
      </c>
      <c r="AG343" s="13">
        <v>0.1049</v>
      </c>
      <c r="AH343" s="13">
        <v>0.8216</v>
      </c>
      <c r="AI343" s="13">
        <v>0.4846</v>
      </c>
      <c r="AJ343" s="11">
        <v>0.86</v>
      </c>
      <c r="AK343" s="8" t="s">
        <v>1895</v>
      </c>
      <c r="AL343" s="14" t="str">
        <f>IFERROR(__xludf.DUMMYFUNCTION("IFERROR(GOOGLEFINANCE(B343,""price""),"""")"),"")</f>
        <v/>
      </c>
    </row>
    <row r="344">
      <c r="A344" s="15">
        <v>46078.628801308805</v>
      </c>
      <c r="B344" s="16" t="s">
        <v>1560</v>
      </c>
      <c r="C344" s="16" t="s">
        <v>1561</v>
      </c>
      <c r="D344" s="17">
        <v>46082.0</v>
      </c>
      <c r="E344" s="16" t="s">
        <v>1562</v>
      </c>
      <c r="F344" s="18">
        <v>72.77</v>
      </c>
      <c r="G344" s="19">
        <v>0.0275</v>
      </c>
      <c r="H344" s="16" t="s">
        <v>117</v>
      </c>
      <c r="I344" s="20">
        <v>6150585.0</v>
      </c>
      <c r="J344" s="19">
        <v>38.9238</v>
      </c>
      <c r="K344" s="21">
        <v>0.2115</v>
      </c>
      <c r="L344" s="21">
        <v>2.2767</v>
      </c>
      <c r="M344" s="16">
        <v>3850618.0</v>
      </c>
      <c r="N344" s="21">
        <v>1.7339</v>
      </c>
      <c r="O344" s="20">
        <v>1.1290239517E10</v>
      </c>
      <c r="P344" s="21">
        <v>41.0184</v>
      </c>
      <c r="Q344" s="21">
        <v>54.5113</v>
      </c>
      <c r="R344" s="19">
        <v>56.3182</v>
      </c>
      <c r="S344" s="21">
        <v>72.8263</v>
      </c>
      <c r="T344" s="21">
        <v>72.754</v>
      </c>
      <c r="U344" s="21">
        <v>72.4348</v>
      </c>
      <c r="V344" s="21">
        <v>71.4902</v>
      </c>
      <c r="W344" s="21">
        <v>71.0829</v>
      </c>
      <c r="X344" s="21">
        <v>67.6061</v>
      </c>
      <c r="Y344" s="21">
        <v>57.3074</v>
      </c>
      <c r="Z344" s="21">
        <v>52.455</v>
      </c>
      <c r="AA344" s="21">
        <v>73.06</v>
      </c>
      <c r="AB344" s="21">
        <v>0.0</v>
      </c>
      <c r="AC344" s="21">
        <v>-4.9629</v>
      </c>
      <c r="AD344" s="21">
        <v>-43.9774</v>
      </c>
      <c r="AE344" s="21">
        <v>-3977.3021</v>
      </c>
      <c r="AF344" s="21">
        <v>72.1116</v>
      </c>
      <c r="AG344" s="21">
        <v>0.0292</v>
      </c>
      <c r="AH344" s="21">
        <v>9.2019</v>
      </c>
      <c r="AI344" s="21">
        <v>0.538</v>
      </c>
      <c r="AJ344" s="19">
        <v>0.19</v>
      </c>
      <c r="AK344" s="16" t="s">
        <v>1896</v>
      </c>
      <c r="AL344" s="22">
        <f>IFERROR(__xludf.DUMMYFUNCTION("IFERROR(GOOGLEFINANCE(B344,""price""),"""")"),12.71)</f>
        <v>12.71</v>
      </c>
    </row>
    <row r="345">
      <c r="A345" s="7">
        <v>46078.628801308805</v>
      </c>
      <c r="B345" s="8" t="s">
        <v>1750</v>
      </c>
      <c r="C345" s="8" t="s">
        <v>1751</v>
      </c>
      <c r="D345" s="9">
        <v>46082.0</v>
      </c>
      <c r="E345" s="8" t="s">
        <v>1752</v>
      </c>
      <c r="F345" s="10">
        <v>15.75</v>
      </c>
      <c r="G345" s="11">
        <v>-0.1901</v>
      </c>
      <c r="H345" s="8" t="s">
        <v>186</v>
      </c>
      <c r="I345" s="12">
        <v>488458.0</v>
      </c>
      <c r="J345" s="11">
        <v>39.263</v>
      </c>
      <c r="K345" s="13">
        <v>0.0631</v>
      </c>
      <c r="L345" s="13">
        <v>0.3334</v>
      </c>
      <c r="M345" s="13">
        <v>404193.3</v>
      </c>
      <c r="N345" s="13">
        <v>1.3408</v>
      </c>
      <c r="O345" s="12">
        <v>4.68070004E8</v>
      </c>
      <c r="P345" s="13">
        <v>89.669</v>
      </c>
      <c r="Q345" s="13">
        <v>86.2694</v>
      </c>
      <c r="R345" s="11">
        <v>71.9746</v>
      </c>
      <c r="S345" s="13">
        <v>15.667</v>
      </c>
      <c r="T345" s="13">
        <v>15.5841</v>
      </c>
      <c r="U345" s="13">
        <v>15.5294</v>
      </c>
      <c r="V345" s="13">
        <v>15.4444</v>
      </c>
      <c r="W345" s="13">
        <v>15.4114</v>
      </c>
      <c r="X345" s="13">
        <v>15.1458</v>
      </c>
      <c r="Y345" s="13">
        <v>14.8255</v>
      </c>
      <c r="Z345" s="13">
        <v>13.542</v>
      </c>
      <c r="AA345" s="13">
        <v>15.98</v>
      </c>
      <c r="AB345" s="13">
        <v>12.3404</v>
      </c>
      <c r="AC345" s="13">
        <v>1.2763</v>
      </c>
      <c r="AD345" s="13">
        <v>26.8402</v>
      </c>
      <c r="AE345" s="13">
        <v>-1.5087</v>
      </c>
      <c r="AF345" s="13">
        <v>-6.5691</v>
      </c>
      <c r="AG345" s="13">
        <v>1.2101</v>
      </c>
      <c r="AH345" s="13">
        <v>2.0275</v>
      </c>
      <c r="AI345" s="13">
        <v>0.8737</v>
      </c>
      <c r="AJ345" s="11">
        <v>0.38</v>
      </c>
      <c r="AK345" s="8" t="s">
        <v>1897</v>
      </c>
      <c r="AL345" s="14">
        <f>IFERROR(__xludf.DUMMYFUNCTION("IFERROR(GOOGLEFINANCE(B345,""price""),"""")"),15.82)</f>
        <v>15.82</v>
      </c>
    </row>
    <row r="346">
      <c r="A346" s="15">
        <v>46078.628801308805</v>
      </c>
      <c r="B346" s="16" t="s">
        <v>1769</v>
      </c>
      <c r="C346" s="16" t="s">
        <v>1770</v>
      </c>
      <c r="D346" s="17">
        <v>46082.0</v>
      </c>
      <c r="E346" s="16" t="s">
        <v>1771</v>
      </c>
      <c r="F346" s="18">
        <v>55.69</v>
      </c>
      <c r="G346" s="19">
        <v>4.1713</v>
      </c>
      <c r="H346" s="16" t="s">
        <v>88</v>
      </c>
      <c r="I346" s="20">
        <v>4453505.0</v>
      </c>
      <c r="J346" s="19">
        <v>20.3858</v>
      </c>
      <c r="K346" s="21">
        <v>4.9544</v>
      </c>
      <c r="L346" s="21">
        <v>8.2697</v>
      </c>
      <c r="M346" s="16">
        <v>3375627.0</v>
      </c>
      <c r="N346" s="21">
        <v>1.4354</v>
      </c>
      <c r="O346" s="20">
        <v>3.81239183E9</v>
      </c>
      <c r="P346" s="21">
        <v>51.7214</v>
      </c>
      <c r="Q346" s="21">
        <v>40.8557</v>
      </c>
      <c r="R346" s="19">
        <v>56.1224</v>
      </c>
      <c r="S346" s="21">
        <v>52.6237</v>
      </c>
      <c r="T346" s="21">
        <v>52.4794</v>
      </c>
      <c r="U346" s="21">
        <v>52.1306</v>
      </c>
      <c r="V346" s="21">
        <v>51.41</v>
      </c>
      <c r="W346" s="21">
        <v>51.1389</v>
      </c>
      <c r="X346" s="21">
        <v>48.9635</v>
      </c>
      <c r="Y346" s="21">
        <v>41.8595</v>
      </c>
      <c r="Z346" s="21">
        <v>39.9326</v>
      </c>
      <c r="AA346" s="21">
        <v>61.36</v>
      </c>
      <c r="AB346" s="21">
        <v>81.8249</v>
      </c>
      <c r="AC346" s="21">
        <v>0.6806</v>
      </c>
      <c r="AD346" s="21">
        <v>0.0</v>
      </c>
      <c r="AE346" s="21">
        <v>21.7591</v>
      </c>
      <c r="AF346" s="21">
        <v>98.7298</v>
      </c>
      <c r="AG346" s="21">
        <v>0.0</v>
      </c>
      <c r="AH346" s="21">
        <v>0.0</v>
      </c>
      <c r="AI346" s="21">
        <v>0.8854</v>
      </c>
      <c r="AJ346" s="19">
        <v>1.2</v>
      </c>
      <c r="AK346" s="16" t="s">
        <v>1283</v>
      </c>
      <c r="AL346" s="22">
        <f>IFERROR(__xludf.DUMMYFUNCTION("IFERROR(GOOGLEFINANCE(B346,""price""),"""")"),62.39)</f>
        <v>62.39</v>
      </c>
    </row>
    <row r="347">
      <c r="A347" s="7">
        <v>46078.628801308805</v>
      </c>
      <c r="B347" s="8" t="s">
        <v>1898</v>
      </c>
      <c r="C347" s="8" t="s">
        <v>1899</v>
      </c>
      <c r="D347" s="9">
        <v>46082.0</v>
      </c>
      <c r="E347" s="8" t="s">
        <v>1900</v>
      </c>
      <c r="F347" s="10">
        <v>30.85</v>
      </c>
      <c r="G347" s="11">
        <v>24.1948</v>
      </c>
      <c r="H347" s="8" t="s">
        <v>117</v>
      </c>
      <c r="I347" s="12">
        <v>3237754.0</v>
      </c>
      <c r="J347" s="11">
        <v>23.3822</v>
      </c>
      <c r="K347" s="13">
        <v>1.5916</v>
      </c>
      <c r="L347" s="13">
        <v>3.0441</v>
      </c>
      <c r="M347" s="13">
        <v>955256.1</v>
      </c>
      <c r="N347" s="13">
        <v>4.8486</v>
      </c>
      <c r="O347" s="12">
        <v>2.049966178E9</v>
      </c>
      <c r="P347" s="13">
        <v>80.8845</v>
      </c>
      <c r="Q347" s="13">
        <v>58.5665</v>
      </c>
      <c r="R347" s="11">
        <v>72.5175</v>
      </c>
      <c r="S347" s="13">
        <v>25.456</v>
      </c>
      <c r="T347" s="13">
        <v>24.8973</v>
      </c>
      <c r="U347" s="13">
        <v>25.0905</v>
      </c>
      <c r="V347" s="13">
        <v>25.2891</v>
      </c>
      <c r="W347" s="13">
        <v>25.3248</v>
      </c>
      <c r="X347" s="13">
        <v>25.3217</v>
      </c>
      <c r="Y347" s="13">
        <v>25.0386</v>
      </c>
      <c r="Z347" s="13">
        <v>24.0632</v>
      </c>
      <c r="AA347" s="13">
        <v>31.0</v>
      </c>
      <c r="AB347" s="13">
        <v>0.0</v>
      </c>
      <c r="AC347" s="13">
        <v>-3.382</v>
      </c>
      <c r="AD347" s="13">
        <v>-32.4405</v>
      </c>
      <c r="AE347" s="13">
        <v>-9855.3846</v>
      </c>
      <c r="AF347" s="13">
        <v>-73.9374</v>
      </c>
      <c r="AG347" s="13">
        <v>0.0044</v>
      </c>
      <c r="AH347" s="13">
        <v>13.0063</v>
      </c>
      <c r="AI347" s="13">
        <v>1.1847</v>
      </c>
      <c r="AJ347" s="11">
        <v>1.05</v>
      </c>
      <c r="AK347" s="8" t="s">
        <v>1901</v>
      </c>
      <c r="AL347" s="14">
        <f>IFERROR(__xludf.DUMMYFUNCTION("IFERROR(GOOGLEFINANCE(B347,""price""),"""")"),32.24)</f>
        <v>32.24</v>
      </c>
    </row>
    <row r="348">
      <c r="A348" s="15">
        <v>46078.628801308805</v>
      </c>
      <c r="B348" s="16" t="s">
        <v>1902</v>
      </c>
      <c r="C348" s="16" t="s">
        <v>1903</v>
      </c>
      <c r="D348" s="17">
        <v>46082.0</v>
      </c>
      <c r="E348" s="16" t="s">
        <v>1904</v>
      </c>
      <c r="F348" s="18">
        <v>530.365</v>
      </c>
      <c r="G348" s="19">
        <v>12.0261</v>
      </c>
      <c r="H348" s="16" t="s">
        <v>117</v>
      </c>
      <c r="I348" s="20">
        <v>851659.0</v>
      </c>
      <c r="J348" s="19">
        <v>22.7596</v>
      </c>
      <c r="K348" s="21">
        <v>14.6899</v>
      </c>
      <c r="L348" s="21">
        <v>28.0353</v>
      </c>
      <c r="M348" s="21">
        <v>318445.7</v>
      </c>
      <c r="N348" s="21">
        <v>3.318</v>
      </c>
      <c r="O348" s="20">
        <v>2.2835712597E10</v>
      </c>
      <c r="P348" s="21">
        <v>57.1078</v>
      </c>
      <c r="Q348" s="21">
        <v>47.4038</v>
      </c>
      <c r="R348" s="19">
        <v>73.5174</v>
      </c>
      <c r="S348" s="21">
        <v>487.7827</v>
      </c>
      <c r="T348" s="21">
        <v>481.5548</v>
      </c>
      <c r="U348" s="21">
        <v>480.5913</v>
      </c>
      <c r="V348" s="21">
        <v>478.1483</v>
      </c>
      <c r="W348" s="21">
        <v>476.8846</v>
      </c>
      <c r="X348" s="21">
        <v>464.2318</v>
      </c>
      <c r="Y348" s="21">
        <v>422.0516</v>
      </c>
      <c r="Z348" s="21">
        <v>398.27</v>
      </c>
      <c r="AA348" s="21">
        <v>533.67</v>
      </c>
      <c r="AB348" s="21">
        <v>20.101</v>
      </c>
      <c r="AC348" s="21">
        <v>26.385</v>
      </c>
      <c r="AD348" s="21">
        <v>20.0408</v>
      </c>
      <c r="AE348" s="21">
        <v>48.4593</v>
      </c>
      <c r="AF348" s="21">
        <v>13.5041</v>
      </c>
      <c r="AG348" s="21">
        <v>0.0</v>
      </c>
      <c r="AH348" s="21">
        <v>6.3958</v>
      </c>
      <c r="AI348" s="21">
        <v>1.3559</v>
      </c>
      <c r="AJ348" s="19">
        <v>1.05</v>
      </c>
      <c r="AK348" s="16" t="s">
        <v>1381</v>
      </c>
      <c r="AL348" s="22">
        <f>IFERROR(__xludf.DUMMYFUNCTION("IFERROR(GOOGLEFINANCE(B348,""price""),"""")"),571.73)</f>
        <v>571.73</v>
      </c>
    </row>
    <row r="349">
      <c r="A349" s="7">
        <v>46078.628801308805</v>
      </c>
      <c r="B349" s="8" t="s">
        <v>1905</v>
      </c>
      <c r="C349" s="8" t="s">
        <v>1906</v>
      </c>
      <c r="D349" s="9">
        <v>46082.0</v>
      </c>
      <c r="E349" s="8" t="s">
        <v>1907</v>
      </c>
      <c r="F349" s="10">
        <v>66.711</v>
      </c>
      <c r="G349" s="11">
        <v>-0.3421</v>
      </c>
      <c r="H349" s="8" t="s">
        <v>308</v>
      </c>
      <c r="I349" s="12">
        <v>541726.0</v>
      </c>
      <c r="J349" s="11">
        <v>31.4553</v>
      </c>
      <c r="K349" s="13">
        <v>2.0693</v>
      </c>
      <c r="L349" s="13">
        <v>4.589</v>
      </c>
      <c r="M349" s="13">
        <v>279587.8</v>
      </c>
      <c r="N349" s="13">
        <v>1.9477</v>
      </c>
      <c r="O349" s="12">
        <v>4.1088413897E10</v>
      </c>
      <c r="P349" s="13">
        <v>29.3141</v>
      </c>
      <c r="Q349" s="13">
        <v>34.356</v>
      </c>
      <c r="R349" s="11">
        <v>48.6892</v>
      </c>
      <c r="S349" s="13">
        <v>67.6409</v>
      </c>
      <c r="T349" s="13">
        <v>67.4533</v>
      </c>
      <c r="U349" s="13">
        <v>66.4873</v>
      </c>
      <c r="V349" s="13">
        <v>65.2528</v>
      </c>
      <c r="W349" s="13">
        <v>64.9157</v>
      </c>
      <c r="X349" s="13">
        <v>63.1317</v>
      </c>
      <c r="Y349" s="13">
        <v>60.6184</v>
      </c>
      <c r="Z349" s="13">
        <v>61.4361</v>
      </c>
      <c r="AA349" s="13">
        <v>72.45</v>
      </c>
      <c r="AB349" s="13">
        <v>0.0</v>
      </c>
      <c r="AC349" s="13">
        <v>-0.2879</v>
      </c>
      <c r="AD349" s="13">
        <v>-1.0928</v>
      </c>
      <c r="AE349" s="13">
        <v>6.3421</v>
      </c>
      <c r="AF349" s="13">
        <v>-8.083</v>
      </c>
      <c r="AG349" s="13">
        <v>0.8238</v>
      </c>
      <c r="AH349" s="13">
        <v>2.1624</v>
      </c>
      <c r="AI349" s="13">
        <v>1.7293</v>
      </c>
      <c r="AJ349" s="11">
        <v>0.9</v>
      </c>
      <c r="AK349" s="23"/>
      <c r="AL349" s="14">
        <f>IFERROR(__xludf.DUMMYFUNCTION("IFERROR(GOOGLEFINANCE(B349,""price""),"""")"),62.44)</f>
        <v>62.44</v>
      </c>
    </row>
    <row r="350">
      <c r="A350" s="15">
        <v>46078.628801308805</v>
      </c>
      <c r="B350" s="16" t="s">
        <v>1908</v>
      </c>
      <c r="C350" s="16" t="s">
        <v>1909</v>
      </c>
      <c r="D350" s="17">
        <v>46082.0</v>
      </c>
      <c r="E350" s="16" t="s">
        <v>1910</v>
      </c>
      <c r="F350" s="18">
        <v>15.665</v>
      </c>
      <c r="G350" s="19">
        <v>-2.0325</v>
      </c>
      <c r="H350" s="16" t="s">
        <v>129</v>
      </c>
      <c r="I350" s="20">
        <v>1060884.0</v>
      </c>
      <c r="J350" s="19">
        <v>34.16</v>
      </c>
      <c r="K350" s="21">
        <v>0.4238</v>
      </c>
      <c r="L350" s="21">
        <v>0.7493</v>
      </c>
      <c r="M350" s="21">
        <v>649827.2</v>
      </c>
      <c r="N350" s="21">
        <v>1.7816</v>
      </c>
      <c r="O350" s="20">
        <v>1.490723027E9</v>
      </c>
      <c r="P350" s="21">
        <v>39.6834</v>
      </c>
      <c r="Q350" s="21">
        <v>35.9059</v>
      </c>
      <c r="R350" s="19">
        <v>49.6605</v>
      </c>
      <c r="S350" s="21">
        <v>15.8618</v>
      </c>
      <c r="T350" s="21">
        <v>15.764</v>
      </c>
      <c r="U350" s="21">
        <v>15.5744</v>
      </c>
      <c r="V350" s="21">
        <v>15.3482</v>
      </c>
      <c r="W350" s="21">
        <v>15.2843</v>
      </c>
      <c r="X350" s="21">
        <v>14.9475</v>
      </c>
      <c r="Y350" s="21">
        <v>14.4973</v>
      </c>
      <c r="Z350" s="21">
        <v>14.2471</v>
      </c>
      <c r="AA350" s="21">
        <v>16.57</v>
      </c>
      <c r="AB350" s="21">
        <v>51.3438</v>
      </c>
      <c r="AC350" s="21">
        <v>0.3051</v>
      </c>
      <c r="AD350" s="21">
        <v>8.753</v>
      </c>
      <c r="AE350" s="21">
        <v>2.6935</v>
      </c>
      <c r="AF350" s="21">
        <v>7.0891</v>
      </c>
      <c r="AG350" s="21">
        <v>0.9638</v>
      </c>
      <c r="AH350" s="21">
        <v>1.2091</v>
      </c>
      <c r="AI350" s="21">
        <v>1.8346</v>
      </c>
      <c r="AJ350" s="19">
        <v>1.13</v>
      </c>
      <c r="AK350" s="24"/>
      <c r="AL350" s="22">
        <f>IFERROR(__xludf.DUMMYFUNCTION("IFERROR(GOOGLEFINANCE(B350,""price""),"""")"),15.69)</f>
        <v>15.69</v>
      </c>
    </row>
    <row r="351">
      <c r="A351" s="7">
        <v>46078.628801308805</v>
      </c>
      <c r="B351" s="8" t="s">
        <v>1911</v>
      </c>
      <c r="C351" s="8" t="s">
        <v>1912</v>
      </c>
      <c r="D351" s="9">
        <v>46082.0</v>
      </c>
      <c r="E351" s="8" t="s">
        <v>1913</v>
      </c>
      <c r="F351" s="10">
        <v>2.535</v>
      </c>
      <c r="G351" s="11">
        <v>-7.4818</v>
      </c>
      <c r="H351" s="8" t="s">
        <v>117</v>
      </c>
      <c r="I351" s="12">
        <v>1027201.0</v>
      </c>
      <c r="J351" s="11">
        <v>41.583</v>
      </c>
      <c r="K351" s="13">
        <v>0.2074</v>
      </c>
      <c r="L351" s="13">
        <v>0.5406</v>
      </c>
      <c r="M351" s="13">
        <v>800285.2</v>
      </c>
      <c r="N351" s="13">
        <v>1.3765</v>
      </c>
      <c r="O351" s="12">
        <v>9.7501387E7</v>
      </c>
      <c r="P351" s="13">
        <v>90.4527</v>
      </c>
      <c r="Q351" s="13">
        <v>91.9096</v>
      </c>
      <c r="R351" s="11">
        <v>63.2539</v>
      </c>
      <c r="S351" s="13">
        <v>2.1855</v>
      </c>
      <c r="T351" s="13">
        <v>2.0574</v>
      </c>
      <c r="U351" s="13">
        <v>2.1368</v>
      </c>
      <c r="V351" s="13">
        <v>2.2295</v>
      </c>
      <c r="W351" s="13">
        <v>2.2488</v>
      </c>
      <c r="X351" s="13">
        <v>2.2939</v>
      </c>
      <c r="Y351" s="13">
        <v>2.2205</v>
      </c>
      <c r="Z351" s="13">
        <v>2.0999</v>
      </c>
      <c r="AA351" s="13">
        <v>4.34</v>
      </c>
      <c r="AB351" s="13">
        <v>0.0</v>
      </c>
      <c r="AC351" s="13">
        <v>-0.6392</v>
      </c>
      <c r="AD351" s="13">
        <v>-261.7179</v>
      </c>
      <c r="AE351" s="13">
        <v>0.0</v>
      </c>
      <c r="AF351" s="13">
        <v>0.0</v>
      </c>
      <c r="AG351" s="13">
        <v>0.1024</v>
      </c>
      <c r="AH351" s="13">
        <v>2.5218</v>
      </c>
      <c r="AI351" s="13">
        <v>1.92</v>
      </c>
      <c r="AJ351" s="11">
        <v>0.77</v>
      </c>
      <c r="AK351" s="8" t="s">
        <v>1914</v>
      </c>
      <c r="AL351" s="14">
        <f>IFERROR(__xludf.DUMMYFUNCTION("IFERROR(GOOGLEFINANCE(B351,""price""),"""")"),1.8)</f>
        <v>1.8</v>
      </c>
    </row>
    <row r="352">
      <c r="A352" s="7">
        <v>46079.62814358893</v>
      </c>
      <c r="B352" s="8" t="s">
        <v>1526</v>
      </c>
      <c r="C352" s="8" t="s">
        <v>1527</v>
      </c>
      <c r="D352" s="9">
        <v>46082.0</v>
      </c>
      <c r="E352" s="8" t="s">
        <v>1528</v>
      </c>
      <c r="F352" s="10">
        <v>10.47</v>
      </c>
      <c r="G352" s="11">
        <v>0.0</v>
      </c>
      <c r="H352" s="8" t="s">
        <v>93</v>
      </c>
      <c r="I352" s="12">
        <v>300206.0</v>
      </c>
      <c r="J352" s="11">
        <v>40.7858</v>
      </c>
      <c r="K352" s="13">
        <v>0.016</v>
      </c>
      <c r="L352" s="13">
        <v>0.0323</v>
      </c>
      <c r="M352" s="13">
        <v>113050.5</v>
      </c>
      <c r="N352" s="13">
        <v>3.6035</v>
      </c>
      <c r="O352" s="12">
        <v>3.50924499E8</v>
      </c>
      <c r="P352" s="13">
        <v>93.3333</v>
      </c>
      <c r="Q352" s="13">
        <v>93.3333</v>
      </c>
      <c r="R352" s="11">
        <v>63.9051</v>
      </c>
      <c r="S352" s="13">
        <v>10.4566</v>
      </c>
      <c r="T352" s="13">
        <v>10.4401</v>
      </c>
      <c r="U352" s="13">
        <v>10.4253</v>
      </c>
      <c r="V352" s="13">
        <v>10.4083</v>
      </c>
      <c r="W352" s="13">
        <v>10.4033</v>
      </c>
      <c r="X352" s="13">
        <v>10.3707</v>
      </c>
      <c r="Y352" s="13">
        <v>10.2688</v>
      </c>
      <c r="Z352" s="13">
        <v>10.2754</v>
      </c>
      <c r="AA352" s="13">
        <v>10.47</v>
      </c>
      <c r="AB352" s="13">
        <v>62.1365</v>
      </c>
      <c r="AC352" s="13">
        <v>0.1685</v>
      </c>
      <c r="AD352" s="13">
        <v>4.8957</v>
      </c>
      <c r="AE352" s="13">
        <v>0.0</v>
      </c>
      <c r="AF352" s="13">
        <v>0.0</v>
      </c>
      <c r="AG352" s="13">
        <v>0.0</v>
      </c>
      <c r="AH352" s="13">
        <v>0.0618</v>
      </c>
      <c r="AI352" s="13">
        <v>0.2989</v>
      </c>
      <c r="AJ352" s="11">
        <v>0.99</v>
      </c>
      <c r="AK352" s="8" t="s">
        <v>1915</v>
      </c>
      <c r="AL352" s="14">
        <f>IFERROR(__xludf.DUMMYFUNCTION("IFERROR(GOOGLEFINANCE(B352,""price""),"""")"),10.52)</f>
        <v>10.52</v>
      </c>
    </row>
    <row r="353">
      <c r="A353" s="15">
        <v>46079.62814358893</v>
      </c>
      <c r="B353" s="16" t="s">
        <v>1656</v>
      </c>
      <c r="C353" s="16" t="s">
        <v>1657</v>
      </c>
      <c r="D353" s="17">
        <v>46082.0</v>
      </c>
      <c r="E353" s="16" t="s">
        <v>1658</v>
      </c>
      <c r="F353" s="18">
        <v>44.825</v>
      </c>
      <c r="G353" s="19">
        <v>0.3021</v>
      </c>
      <c r="H353" s="16" t="s">
        <v>88</v>
      </c>
      <c r="I353" s="20">
        <v>361419.0</v>
      </c>
      <c r="J353" s="19">
        <v>33.2637</v>
      </c>
      <c r="K353" s="21">
        <v>0.1523</v>
      </c>
      <c r="L353" s="21">
        <v>1.5099</v>
      </c>
      <c r="M353" s="21">
        <v>310706.7</v>
      </c>
      <c r="N353" s="21">
        <v>1.2484</v>
      </c>
      <c r="O353" s="20">
        <v>6.20584463E8</v>
      </c>
      <c r="P353" s="21">
        <v>73.1855</v>
      </c>
      <c r="Q353" s="21">
        <v>62.0296</v>
      </c>
      <c r="R353" s="19">
        <v>65.3853</v>
      </c>
      <c r="S353" s="21">
        <v>44.6665</v>
      </c>
      <c r="T353" s="21">
        <v>44.6248</v>
      </c>
      <c r="U353" s="21">
        <v>44.3333</v>
      </c>
      <c r="V353" s="21">
        <v>43.3617</v>
      </c>
      <c r="W353" s="21">
        <v>42.9545</v>
      </c>
      <c r="X353" s="21">
        <v>39.7477</v>
      </c>
      <c r="Y353" s="21">
        <v>31.8249</v>
      </c>
      <c r="Z353" s="21">
        <v>27.9062</v>
      </c>
      <c r="AA353" s="21">
        <v>44.88</v>
      </c>
      <c r="AB353" s="21">
        <v>0.0</v>
      </c>
      <c r="AC353" s="21">
        <v>-4.9273</v>
      </c>
      <c r="AD353" s="21">
        <v>-28.6468</v>
      </c>
      <c r="AE353" s="21">
        <v>-70.4578</v>
      </c>
      <c r="AF353" s="21">
        <v>16.3974</v>
      </c>
      <c r="AG353" s="21">
        <v>0.069</v>
      </c>
      <c r="AH353" s="21">
        <v>2.5494</v>
      </c>
      <c r="AI353" s="21">
        <v>0.7435</v>
      </c>
      <c r="AJ353" s="19">
        <v>0.2</v>
      </c>
      <c r="AK353" s="16" t="s">
        <v>1807</v>
      </c>
      <c r="AL353" s="22" t="str">
        <f>IFERROR(__xludf.DUMMYFUNCTION("IFERROR(GOOGLEFINANCE(B353,""price""),"""")"),"")</f>
        <v/>
      </c>
    </row>
    <row r="354">
      <c r="A354" s="7">
        <v>46079.62814358893</v>
      </c>
      <c r="B354" s="8" t="s">
        <v>1750</v>
      </c>
      <c r="C354" s="8" t="s">
        <v>1751</v>
      </c>
      <c r="D354" s="9">
        <v>46082.0</v>
      </c>
      <c r="E354" s="8" t="s">
        <v>1752</v>
      </c>
      <c r="F354" s="10">
        <v>15.76</v>
      </c>
      <c r="G354" s="11">
        <v>0.0635</v>
      </c>
      <c r="H354" s="8" t="s">
        <v>186</v>
      </c>
      <c r="I354" s="12">
        <v>584466.0</v>
      </c>
      <c r="J354" s="11">
        <v>40.2064</v>
      </c>
      <c r="K354" s="13">
        <v>0.0622</v>
      </c>
      <c r="L354" s="13">
        <v>0.3334</v>
      </c>
      <c r="M354" s="13">
        <v>460940.5</v>
      </c>
      <c r="N354" s="13">
        <v>1.4142</v>
      </c>
      <c r="O354" s="12">
        <v>4.68367199E8</v>
      </c>
      <c r="P354" s="13">
        <v>84.9462</v>
      </c>
      <c r="Q354" s="13">
        <v>89.4067</v>
      </c>
      <c r="R354" s="11">
        <v>72.605</v>
      </c>
      <c r="S354" s="13">
        <v>15.6877</v>
      </c>
      <c r="T354" s="13">
        <v>15.6001</v>
      </c>
      <c r="U354" s="13">
        <v>15.5426</v>
      </c>
      <c r="V354" s="13">
        <v>15.4567</v>
      </c>
      <c r="W354" s="13">
        <v>15.4239</v>
      </c>
      <c r="X354" s="13">
        <v>15.1594</v>
      </c>
      <c r="Y354" s="13">
        <v>14.8348</v>
      </c>
      <c r="Z354" s="13">
        <v>13.5664</v>
      </c>
      <c r="AA354" s="13">
        <v>15.98</v>
      </c>
      <c r="AB354" s="13">
        <v>12.3482</v>
      </c>
      <c r="AC354" s="13">
        <v>1.2763</v>
      </c>
      <c r="AD354" s="13">
        <v>26.8402</v>
      </c>
      <c r="AE354" s="13">
        <v>-1.5087</v>
      </c>
      <c r="AF354" s="13">
        <v>-6.5691</v>
      </c>
      <c r="AG354" s="13">
        <v>1.2101</v>
      </c>
      <c r="AH354" s="13">
        <v>2.0275</v>
      </c>
      <c r="AI354" s="13">
        <v>0.9206</v>
      </c>
      <c r="AJ354" s="11">
        <v>0.37</v>
      </c>
      <c r="AK354" s="8" t="s">
        <v>1916</v>
      </c>
      <c r="AL354" s="14">
        <f>IFERROR(__xludf.DUMMYFUNCTION("IFERROR(GOOGLEFINANCE(B354,""price""),"""")"),15.82)</f>
        <v>15.82</v>
      </c>
    </row>
    <row r="355">
      <c r="A355" s="15">
        <v>46079.62814358893</v>
      </c>
      <c r="B355" s="16" t="s">
        <v>1917</v>
      </c>
      <c r="C355" s="16" t="s">
        <v>1918</v>
      </c>
      <c r="D355" s="17">
        <v>46082.0</v>
      </c>
      <c r="E355" s="16" t="s">
        <v>1919</v>
      </c>
      <c r="F355" s="18">
        <v>54.33</v>
      </c>
      <c r="G355" s="19">
        <v>7.3503</v>
      </c>
      <c r="H355" s="16" t="s">
        <v>286</v>
      </c>
      <c r="I355" s="20">
        <v>1.3143252E7</v>
      </c>
      <c r="J355" s="19">
        <v>29.6545</v>
      </c>
      <c r="K355" s="21">
        <v>2.6282</v>
      </c>
      <c r="L355" s="21">
        <v>5.5756</v>
      </c>
      <c r="M355" s="16">
        <v>6053497.0</v>
      </c>
      <c r="N355" s="21">
        <v>2.4766</v>
      </c>
      <c r="O355" s="20">
        <v>1.4005475998E10</v>
      </c>
      <c r="P355" s="21">
        <v>84.8136</v>
      </c>
      <c r="Q355" s="21">
        <v>80.7381</v>
      </c>
      <c r="R355" s="19">
        <v>64.9187</v>
      </c>
      <c r="S355" s="21">
        <v>49.5899</v>
      </c>
      <c r="T355" s="21">
        <v>48.9817</v>
      </c>
      <c r="U355" s="21">
        <v>49.0658</v>
      </c>
      <c r="V355" s="21">
        <v>49.1341</v>
      </c>
      <c r="W355" s="21">
        <v>49.168</v>
      </c>
      <c r="X355" s="21">
        <v>49.3081</v>
      </c>
      <c r="Y355" s="21">
        <v>47.9252</v>
      </c>
      <c r="Z355" s="21">
        <v>49.353</v>
      </c>
      <c r="AA355" s="21">
        <v>66.74</v>
      </c>
      <c r="AB355" s="21">
        <v>597.6898</v>
      </c>
      <c r="AC355" s="21">
        <v>0.0909</v>
      </c>
      <c r="AD355" s="21">
        <v>3.0575</v>
      </c>
      <c r="AE355" s="21">
        <v>17.3112</v>
      </c>
      <c r="AF355" s="21">
        <v>55.0724</v>
      </c>
      <c r="AG355" s="21">
        <v>0.2937</v>
      </c>
      <c r="AH355" s="21">
        <v>1.8388</v>
      </c>
      <c r="AI355" s="21">
        <v>0.9646</v>
      </c>
      <c r="AJ355" s="19">
        <v>0.94</v>
      </c>
      <c r="AK355" s="16" t="s">
        <v>1688</v>
      </c>
      <c r="AL355" s="22">
        <f>IFERROR(__xludf.DUMMYFUNCTION("IFERROR(GOOGLEFINANCE(B355,""price""),"""")"),34.86)</f>
        <v>34.86</v>
      </c>
    </row>
    <row r="356">
      <c r="A356" s="7">
        <v>46079.62814358893</v>
      </c>
      <c r="B356" s="8" t="s">
        <v>1920</v>
      </c>
      <c r="C356" s="8" t="s">
        <v>1921</v>
      </c>
      <c r="D356" s="9">
        <v>46082.0</v>
      </c>
      <c r="E356" s="8" t="s">
        <v>1922</v>
      </c>
      <c r="F356" s="10">
        <v>4.415</v>
      </c>
      <c r="G356" s="11">
        <v>6.9007</v>
      </c>
      <c r="H356" s="8" t="s">
        <v>117</v>
      </c>
      <c r="I356" s="12">
        <v>6885501.0</v>
      </c>
      <c r="J356" s="11">
        <v>21.0747</v>
      </c>
      <c r="K356" s="13">
        <v>0.299</v>
      </c>
      <c r="L356" s="13">
        <v>0.7841</v>
      </c>
      <c r="M356" s="8">
        <v>2750732.0</v>
      </c>
      <c r="N356" s="13">
        <v>3.1158</v>
      </c>
      <c r="O356" s="12">
        <v>7.96954545E8</v>
      </c>
      <c r="P356" s="13">
        <v>96.3964</v>
      </c>
      <c r="Q356" s="13">
        <v>70.4469</v>
      </c>
      <c r="R356" s="11">
        <v>66.2654</v>
      </c>
      <c r="S356" s="13">
        <v>3.789</v>
      </c>
      <c r="T356" s="13">
        <v>3.692</v>
      </c>
      <c r="U356" s="13">
        <v>3.7324</v>
      </c>
      <c r="V356" s="13">
        <v>3.7936</v>
      </c>
      <c r="W356" s="13">
        <v>3.8112</v>
      </c>
      <c r="X356" s="13">
        <v>3.8769</v>
      </c>
      <c r="Y356" s="13">
        <v>3.8212</v>
      </c>
      <c r="Z356" s="13">
        <v>3.717</v>
      </c>
      <c r="AA356" s="13">
        <v>6.94</v>
      </c>
      <c r="AB356" s="13">
        <v>0.0</v>
      </c>
      <c r="AC356" s="13">
        <v>-1.4752</v>
      </c>
      <c r="AD356" s="13">
        <v>-112.3399</v>
      </c>
      <c r="AE356" s="13">
        <v>-3412.4812</v>
      </c>
      <c r="AF356" s="13">
        <v>647.125</v>
      </c>
      <c r="AG356" s="13">
        <v>0.73</v>
      </c>
      <c r="AH356" s="13">
        <v>6.608</v>
      </c>
      <c r="AI356" s="13">
        <v>1.2815</v>
      </c>
      <c r="AJ356" s="11">
        <v>0.76</v>
      </c>
      <c r="AK356" s="8" t="s">
        <v>1923</v>
      </c>
      <c r="AL356" s="14">
        <f>IFERROR(__xludf.DUMMYFUNCTION("IFERROR(GOOGLEFINANCE(B356,""price""),"""")"),3.43)</f>
        <v>3.43</v>
      </c>
    </row>
    <row r="357">
      <c r="A357" s="15">
        <v>46079.62814358893</v>
      </c>
      <c r="B357" s="16" t="s">
        <v>1924</v>
      </c>
      <c r="C357" s="16" t="s">
        <v>1925</v>
      </c>
      <c r="D357" s="17">
        <v>46082.0</v>
      </c>
      <c r="E357" s="16" t="s">
        <v>1926</v>
      </c>
      <c r="F357" s="18">
        <v>8.05</v>
      </c>
      <c r="G357" s="19">
        <v>3.6036</v>
      </c>
      <c r="H357" s="16" t="s">
        <v>308</v>
      </c>
      <c r="I357" s="20">
        <v>811370.0</v>
      </c>
      <c r="J357" s="19">
        <v>24.1068</v>
      </c>
      <c r="K357" s="21">
        <v>0.6906</v>
      </c>
      <c r="L357" s="21">
        <v>1.6477</v>
      </c>
      <c r="M357" s="21">
        <v>637718.4</v>
      </c>
      <c r="N357" s="21">
        <v>1.3457</v>
      </c>
      <c r="O357" s="20">
        <v>2.91298934E8</v>
      </c>
      <c r="P357" s="21">
        <v>80.2049</v>
      </c>
      <c r="Q357" s="21">
        <v>60.2181</v>
      </c>
      <c r="R357" s="19">
        <v>61.4581</v>
      </c>
      <c r="S357" s="21">
        <v>7.1279</v>
      </c>
      <c r="T357" s="21">
        <v>6.9615</v>
      </c>
      <c r="U357" s="21">
        <v>6.982</v>
      </c>
      <c r="V357" s="21">
        <v>6.9667</v>
      </c>
      <c r="W357" s="21">
        <v>6.9494</v>
      </c>
      <c r="X357" s="21">
        <v>6.7191</v>
      </c>
      <c r="Y357" s="21">
        <v>5.7653</v>
      </c>
      <c r="Z357" s="21">
        <v>5.4217</v>
      </c>
      <c r="AA357" s="21">
        <v>18.15</v>
      </c>
      <c r="AB357" s="21">
        <v>0.0</v>
      </c>
      <c r="AC357" s="21">
        <v>-0.3643</v>
      </c>
      <c r="AD357" s="21">
        <v>-18.7613</v>
      </c>
      <c r="AE357" s="21">
        <v>-58.92</v>
      </c>
      <c r="AF357" s="21">
        <v>24.7587</v>
      </c>
      <c r="AG357" s="21">
        <v>0.1049</v>
      </c>
      <c r="AH357" s="21">
        <v>10.4181</v>
      </c>
      <c r="AI357" s="21">
        <v>1.8113</v>
      </c>
      <c r="AJ357" s="19">
        <v>0.84</v>
      </c>
      <c r="AK357" s="24"/>
      <c r="AL357" s="22">
        <f>IFERROR(__xludf.DUMMYFUNCTION("IFERROR(GOOGLEFINANCE(B357,""price""),"""")"),5.6)</f>
        <v>5.6</v>
      </c>
    </row>
    <row r="358">
      <c r="A358" s="7">
        <v>46079.62814358893</v>
      </c>
      <c r="B358" s="8" t="s">
        <v>1927</v>
      </c>
      <c r="C358" s="8" t="s">
        <v>1928</v>
      </c>
      <c r="D358" s="9">
        <v>46082.0</v>
      </c>
      <c r="E358" s="8" t="s">
        <v>1929</v>
      </c>
      <c r="F358" s="10">
        <v>21.255</v>
      </c>
      <c r="G358" s="11">
        <v>1.796</v>
      </c>
      <c r="H358" s="8" t="s">
        <v>93</v>
      </c>
      <c r="I358" s="12">
        <v>1532274.0</v>
      </c>
      <c r="J358" s="11">
        <v>25.5187</v>
      </c>
      <c r="K358" s="13">
        <v>0.6031</v>
      </c>
      <c r="L358" s="13">
        <v>1.1501</v>
      </c>
      <c r="M358" s="8">
        <v>1078806.0</v>
      </c>
      <c r="N358" s="13">
        <v>1.4226</v>
      </c>
      <c r="O358" s="12">
        <v>3.075972259E9</v>
      </c>
      <c r="P358" s="13">
        <v>35.7546</v>
      </c>
      <c r="Q358" s="13">
        <v>28.4185</v>
      </c>
      <c r="R358" s="11">
        <v>56.4547</v>
      </c>
      <c r="S358" s="13">
        <v>21.0035</v>
      </c>
      <c r="T358" s="13">
        <v>20.8881</v>
      </c>
      <c r="U358" s="13">
        <v>20.5971</v>
      </c>
      <c r="V358" s="13">
        <v>20.2884</v>
      </c>
      <c r="W358" s="13">
        <v>20.2109</v>
      </c>
      <c r="X358" s="13">
        <v>19.8745</v>
      </c>
      <c r="Y358" s="13">
        <v>19.7199</v>
      </c>
      <c r="Z358" s="13">
        <v>19.4183</v>
      </c>
      <c r="AA358" s="13">
        <v>22.34</v>
      </c>
      <c r="AB358" s="13">
        <v>0.0</v>
      </c>
      <c r="AC358" s="13">
        <v>-2.7836</v>
      </c>
      <c r="AD358" s="13">
        <v>-11.4435</v>
      </c>
      <c r="AE358" s="13">
        <v>-84.1001</v>
      </c>
      <c r="AF358" s="13">
        <v>-57.0041</v>
      </c>
      <c r="AG358" s="13">
        <v>0.1876</v>
      </c>
      <c r="AH358" s="13">
        <v>0.193</v>
      </c>
      <c r="AI358" s="13">
        <v>1.9122</v>
      </c>
      <c r="AJ358" s="11">
        <v>1.05</v>
      </c>
      <c r="AK358" s="23"/>
      <c r="AL358" s="14">
        <f>IFERROR(__xludf.DUMMYFUNCTION("IFERROR(GOOGLEFINANCE(B358,""price""),"""")"),20.5)</f>
        <v>20.5</v>
      </c>
    </row>
    <row r="359">
      <c r="A359" s="7">
        <v>46080.627292717996</v>
      </c>
      <c r="B359" s="8" t="s">
        <v>1930</v>
      </c>
      <c r="C359" s="8" t="s">
        <v>1931</v>
      </c>
      <c r="D359" s="9">
        <v>46082.0</v>
      </c>
      <c r="E359" s="8" t="s">
        <v>1932</v>
      </c>
      <c r="F359" s="10">
        <v>15.91</v>
      </c>
      <c r="G359" s="11">
        <v>28.9303</v>
      </c>
      <c r="H359" s="8" t="s">
        <v>308</v>
      </c>
      <c r="I359" s="12">
        <v>4841267.0</v>
      </c>
      <c r="J359" s="11">
        <v>38.1491</v>
      </c>
      <c r="K359" s="13">
        <v>0.7956</v>
      </c>
      <c r="L359" s="13">
        <v>1.6116</v>
      </c>
      <c r="M359" s="8">
        <v>1659147.0</v>
      </c>
      <c r="N359" s="13">
        <v>3.7575</v>
      </c>
      <c r="O359" s="12">
        <v>1.686336937E9</v>
      </c>
      <c r="P359" s="13">
        <v>70.9408</v>
      </c>
      <c r="Q359" s="13">
        <v>50.9888</v>
      </c>
      <c r="R359" s="11">
        <v>75.711</v>
      </c>
      <c r="S359" s="13">
        <v>12.7484</v>
      </c>
      <c r="T359" s="13">
        <v>12.4872</v>
      </c>
      <c r="U359" s="13">
        <v>12.727</v>
      </c>
      <c r="V359" s="13">
        <v>13.0939</v>
      </c>
      <c r="W359" s="13">
        <v>13.2069</v>
      </c>
      <c r="X359" s="13">
        <v>13.8273</v>
      </c>
      <c r="Y359" s="13">
        <v>14.2942</v>
      </c>
      <c r="Z359" s="13">
        <v>15.5371</v>
      </c>
      <c r="AA359" s="13">
        <v>19.94</v>
      </c>
      <c r="AB359" s="13">
        <v>451.9886</v>
      </c>
      <c r="AC359" s="13">
        <v>0.0352</v>
      </c>
      <c r="AD359" s="13">
        <v>3.8039</v>
      </c>
      <c r="AE359" s="13">
        <v>-0.8207</v>
      </c>
      <c r="AF359" s="13">
        <v>-2.8289</v>
      </c>
      <c r="AG359" s="13">
        <v>0.0685</v>
      </c>
      <c r="AH359" s="13">
        <v>1.4217</v>
      </c>
      <c r="AI359" s="13">
        <v>0.1343</v>
      </c>
      <c r="AJ359" s="11">
        <v>0.99</v>
      </c>
      <c r="AK359" s="8" t="s">
        <v>1933</v>
      </c>
      <c r="AL359" s="14">
        <f>IFERROR(__xludf.DUMMYFUNCTION("IFERROR(GOOGLEFINANCE(B359,""price""),"""")"),13.12)</f>
        <v>13.12</v>
      </c>
    </row>
    <row r="360">
      <c r="A360" s="15">
        <v>46080.627292717996</v>
      </c>
      <c r="B360" s="16" t="s">
        <v>1934</v>
      </c>
      <c r="C360" s="16" t="s">
        <v>1561</v>
      </c>
      <c r="D360" s="17">
        <v>46082.0</v>
      </c>
      <c r="E360" s="16" t="s">
        <v>1935</v>
      </c>
      <c r="F360" s="18">
        <v>72.82</v>
      </c>
      <c r="G360" s="19">
        <v>0.0275</v>
      </c>
      <c r="H360" s="16" t="s">
        <v>117</v>
      </c>
      <c r="I360" s="20">
        <v>1.6835884E7</v>
      </c>
      <c r="J360" s="19">
        <v>38.1473</v>
      </c>
      <c r="K360" s="21">
        <v>0.2247</v>
      </c>
      <c r="L360" s="21">
        <v>2.2767</v>
      </c>
      <c r="M360" s="16">
        <v>5907439.0</v>
      </c>
      <c r="N360" s="21">
        <v>3.7909</v>
      </c>
      <c r="O360" s="20">
        <v>1.1297996952E10</v>
      </c>
      <c r="P360" s="21">
        <v>34.0118</v>
      </c>
      <c r="Q360" s="21">
        <v>43.8207</v>
      </c>
      <c r="R360" s="19">
        <v>58.4334</v>
      </c>
      <c r="S360" s="21">
        <v>72.8301</v>
      </c>
      <c r="T360" s="21">
        <v>72.7625</v>
      </c>
      <c r="U360" s="21">
        <v>72.4585</v>
      </c>
      <c r="V360" s="21">
        <v>71.5434</v>
      </c>
      <c r="W360" s="21">
        <v>71.1459</v>
      </c>
      <c r="X360" s="21">
        <v>67.7226</v>
      </c>
      <c r="Y360" s="21">
        <v>57.4621</v>
      </c>
      <c r="Z360" s="21">
        <v>52.6799</v>
      </c>
      <c r="AA360" s="21">
        <v>73.06</v>
      </c>
      <c r="AB360" s="21">
        <v>0.0</v>
      </c>
      <c r="AC360" s="21">
        <v>-4.9629</v>
      </c>
      <c r="AD360" s="21">
        <v>-43.9774</v>
      </c>
      <c r="AE360" s="21">
        <v>-3977.3021</v>
      </c>
      <c r="AF360" s="21">
        <v>72.1116</v>
      </c>
      <c r="AG360" s="21">
        <v>0.0292</v>
      </c>
      <c r="AH360" s="21">
        <v>9.2019</v>
      </c>
      <c r="AI360" s="21">
        <v>0.5103</v>
      </c>
      <c r="AJ360" s="19">
        <v>0.2</v>
      </c>
      <c r="AK360" s="16" t="s">
        <v>1936</v>
      </c>
      <c r="AL360" s="22" t="str">
        <f>IFERROR(__xludf.DUMMYFUNCTION("IFERROR(GOOGLEFINANCE(B360,""price""),"""")"),"")</f>
        <v/>
      </c>
    </row>
    <row r="361">
      <c r="A361" s="7">
        <v>46080.627292717996</v>
      </c>
      <c r="B361" s="8" t="s">
        <v>1656</v>
      </c>
      <c r="C361" s="8" t="s">
        <v>1657</v>
      </c>
      <c r="D361" s="9">
        <v>46082.0</v>
      </c>
      <c r="E361" s="8" t="s">
        <v>1658</v>
      </c>
      <c r="F361" s="10">
        <v>45.005</v>
      </c>
      <c r="G361" s="11">
        <v>0.4352</v>
      </c>
      <c r="H361" s="8" t="s">
        <v>88</v>
      </c>
      <c r="I361" s="12">
        <v>465323.0</v>
      </c>
      <c r="J361" s="11">
        <v>34.4113</v>
      </c>
      <c r="K361" s="13">
        <v>0.1571</v>
      </c>
      <c r="L361" s="13">
        <v>1.5228</v>
      </c>
      <c r="M361" s="13">
        <v>327819.2</v>
      </c>
      <c r="N361" s="13">
        <v>1.4711</v>
      </c>
      <c r="O361" s="12">
        <v>6.2307653E8</v>
      </c>
      <c r="P361" s="13">
        <v>87.703</v>
      </c>
      <c r="Q361" s="13">
        <v>73.2845</v>
      </c>
      <c r="R361" s="11">
        <v>71.1266</v>
      </c>
      <c r="S361" s="13">
        <v>44.7392</v>
      </c>
      <c r="T361" s="13">
        <v>44.6581</v>
      </c>
      <c r="U361" s="13">
        <v>44.3708</v>
      </c>
      <c r="V361" s="13">
        <v>43.4256</v>
      </c>
      <c r="W361" s="13">
        <v>43.0273</v>
      </c>
      <c r="X361" s="13">
        <v>39.8642</v>
      </c>
      <c r="Y361" s="13">
        <v>31.9559</v>
      </c>
      <c r="Z361" s="13">
        <v>28.0533</v>
      </c>
      <c r="AA361" s="13">
        <v>45.03</v>
      </c>
      <c r="AB361" s="13">
        <v>0.0</v>
      </c>
      <c r="AC361" s="13">
        <v>-4.9273</v>
      </c>
      <c r="AD361" s="13">
        <v>-28.6468</v>
      </c>
      <c r="AE361" s="13">
        <v>-70.4578</v>
      </c>
      <c r="AF361" s="13">
        <v>16.3974</v>
      </c>
      <c r="AG361" s="13">
        <v>0.069</v>
      </c>
      <c r="AH361" s="13">
        <v>2.5494</v>
      </c>
      <c r="AI361" s="13">
        <v>0.8184</v>
      </c>
      <c r="AJ361" s="11">
        <v>0.21</v>
      </c>
      <c r="AK361" s="8" t="s">
        <v>1937</v>
      </c>
      <c r="AL361" s="14" t="str">
        <f>IFERROR(__xludf.DUMMYFUNCTION("IFERROR(GOOGLEFINANCE(B361,""price""),"""")"),"")</f>
        <v/>
      </c>
    </row>
    <row r="362">
      <c r="A362" s="15">
        <v>46080.627292717996</v>
      </c>
      <c r="B362" s="16" t="s">
        <v>1938</v>
      </c>
      <c r="C362" s="16" t="s">
        <v>1939</v>
      </c>
      <c r="D362" s="17">
        <v>46082.0</v>
      </c>
      <c r="E362" s="16" t="s">
        <v>1940</v>
      </c>
      <c r="F362" s="18">
        <v>43.82</v>
      </c>
      <c r="G362" s="19">
        <v>-6.7263</v>
      </c>
      <c r="H362" s="16" t="s">
        <v>129</v>
      </c>
      <c r="I362" s="20">
        <v>1687900.0</v>
      </c>
      <c r="J362" s="19">
        <v>28.298</v>
      </c>
      <c r="K362" s="21">
        <v>2.8112</v>
      </c>
      <c r="L362" s="21">
        <v>4.9714</v>
      </c>
      <c r="M362" s="21">
        <v>758233.2</v>
      </c>
      <c r="N362" s="21">
        <v>2.5682</v>
      </c>
      <c r="O362" s="20">
        <v>1.623826462E9</v>
      </c>
      <c r="P362" s="21">
        <v>64.9835</v>
      </c>
      <c r="Q362" s="21">
        <v>41.0615</v>
      </c>
      <c r="R362" s="19">
        <v>61.016</v>
      </c>
      <c r="S362" s="21">
        <v>39.1769</v>
      </c>
      <c r="T362" s="21">
        <v>38.3524</v>
      </c>
      <c r="U362" s="21">
        <v>38.4484</v>
      </c>
      <c r="V362" s="21">
        <v>38.1453</v>
      </c>
      <c r="W362" s="21">
        <v>37.9744</v>
      </c>
      <c r="X362" s="21">
        <v>36.3904</v>
      </c>
      <c r="Y362" s="21">
        <v>31.6021</v>
      </c>
      <c r="Z362" s="21">
        <v>29.6574</v>
      </c>
      <c r="AA362" s="21">
        <v>48.0</v>
      </c>
      <c r="AB362" s="21">
        <v>13.1683</v>
      </c>
      <c r="AC362" s="21">
        <v>3.3277</v>
      </c>
      <c r="AD362" s="21">
        <v>30.2744</v>
      </c>
      <c r="AE362" s="21">
        <v>10.8286</v>
      </c>
      <c r="AF362" s="21">
        <v>10.1744</v>
      </c>
      <c r="AG362" s="21">
        <v>1.0095</v>
      </c>
      <c r="AH362" s="21">
        <v>2.0759</v>
      </c>
      <c r="AI362" s="21">
        <v>1.6625</v>
      </c>
      <c r="AJ362" s="19">
        <v>1.13</v>
      </c>
      <c r="AK362" s="16" t="s">
        <v>1872</v>
      </c>
      <c r="AL362" s="22">
        <f>IFERROR(__xludf.DUMMYFUNCTION("IFERROR(GOOGLEFINANCE(B362,""price""),"""")"),44.55)</f>
        <v>44.55</v>
      </c>
    </row>
    <row r="363">
      <c r="A363" s="7">
        <v>46080.627292717996</v>
      </c>
      <c r="B363" s="8" t="s">
        <v>1941</v>
      </c>
      <c r="C363" s="8" t="s">
        <v>1942</v>
      </c>
      <c r="D363" s="9">
        <v>46082.0</v>
      </c>
      <c r="E363" s="8" t="s">
        <v>1943</v>
      </c>
      <c r="F363" s="10">
        <v>28.195</v>
      </c>
      <c r="G363" s="11">
        <v>-2.1007</v>
      </c>
      <c r="H363" s="8" t="s">
        <v>149</v>
      </c>
      <c r="I363" s="12">
        <v>4.9879066E7</v>
      </c>
      <c r="J363" s="11">
        <v>23.1169</v>
      </c>
      <c r="K363" s="13">
        <v>0.4809</v>
      </c>
      <c r="L363" s="13">
        <v>1.5162</v>
      </c>
      <c r="M363" s="8">
        <v>2.4097453E7</v>
      </c>
      <c r="N363" s="13">
        <v>2.3107</v>
      </c>
      <c r="O363" s="12">
        <v>6.992041795E10</v>
      </c>
      <c r="P363" s="13">
        <v>74.8959</v>
      </c>
      <c r="Q363" s="13">
        <v>85.5789</v>
      </c>
      <c r="R363" s="11">
        <v>49.2923</v>
      </c>
      <c r="S363" s="13">
        <v>28.5983</v>
      </c>
      <c r="T363" s="13">
        <v>28.3423</v>
      </c>
      <c r="U363" s="13">
        <v>28.098</v>
      </c>
      <c r="V363" s="13">
        <v>27.5715</v>
      </c>
      <c r="W363" s="13">
        <v>27.3626</v>
      </c>
      <c r="X363" s="13">
        <v>25.6987</v>
      </c>
      <c r="Y363" s="13">
        <v>20.9883</v>
      </c>
      <c r="Z363" s="13">
        <v>18.9928</v>
      </c>
      <c r="AA363" s="13">
        <v>30.0</v>
      </c>
      <c r="AB363" s="13">
        <v>150.2932</v>
      </c>
      <c r="AC363" s="13">
        <v>0.1876</v>
      </c>
      <c r="AD363" s="13">
        <v>1.3639</v>
      </c>
      <c r="AE363" s="13">
        <v>4.3523</v>
      </c>
      <c r="AF363" s="13">
        <v>-4.2943</v>
      </c>
      <c r="AG363" s="13">
        <v>0.9369</v>
      </c>
      <c r="AH363" s="13">
        <v>1.0739</v>
      </c>
      <c r="AI363" s="13">
        <v>1.7746</v>
      </c>
      <c r="AJ363" s="11">
        <v>0.63</v>
      </c>
      <c r="AK363" s="8" t="s">
        <v>1944</v>
      </c>
      <c r="AL363" s="14">
        <f>IFERROR(__xludf.DUMMYFUNCTION("IFERROR(GOOGLEFINANCE(B363,""price""),"""")"),27.44)</f>
        <v>27.44</v>
      </c>
    </row>
    <row r="364">
      <c r="A364" s="7">
        <v>46083.62872454449</v>
      </c>
      <c r="B364" s="8" t="s">
        <v>1945</v>
      </c>
      <c r="C364" s="8" t="s">
        <v>1946</v>
      </c>
      <c r="D364" s="9">
        <v>46089.0</v>
      </c>
      <c r="E364" s="8" t="s">
        <v>1947</v>
      </c>
      <c r="F364" s="10">
        <v>16.65</v>
      </c>
      <c r="G364" s="11">
        <v>5.7143</v>
      </c>
      <c r="H364" s="8" t="s">
        <v>186</v>
      </c>
      <c r="I364" s="12">
        <v>974861.0</v>
      </c>
      <c r="J364" s="11">
        <v>39.4457</v>
      </c>
      <c r="K364" s="13">
        <v>0.9853</v>
      </c>
      <c r="L364" s="13">
        <v>1.9387</v>
      </c>
      <c r="M364" s="13">
        <v>813039.9</v>
      </c>
      <c r="N364" s="13">
        <v>1.2434</v>
      </c>
      <c r="O364" s="12">
        <v>6.49607108E8</v>
      </c>
      <c r="P364" s="13">
        <v>94.4082</v>
      </c>
      <c r="Q364" s="13">
        <v>87.0119</v>
      </c>
      <c r="R364" s="11">
        <v>71.41</v>
      </c>
      <c r="S364" s="13">
        <v>13.3741</v>
      </c>
      <c r="T364" s="13">
        <v>12.8252</v>
      </c>
      <c r="U364" s="13">
        <v>13.316</v>
      </c>
      <c r="V364" s="13">
        <v>13.8529</v>
      </c>
      <c r="W364" s="13">
        <v>13.984</v>
      </c>
      <c r="X364" s="13">
        <v>14.5908</v>
      </c>
      <c r="Y364" s="13">
        <v>15.7833</v>
      </c>
      <c r="Z364" s="13">
        <v>15.2943</v>
      </c>
      <c r="AA364" s="13">
        <v>22.01</v>
      </c>
      <c r="AB364" s="13">
        <v>0.0</v>
      </c>
      <c r="AC364" s="13">
        <v>-7.8098</v>
      </c>
      <c r="AD364" s="13">
        <v>-28.8566</v>
      </c>
      <c r="AE364" s="13">
        <v>33.4482</v>
      </c>
      <c r="AF364" s="13">
        <v>9.7335</v>
      </c>
      <c r="AG364" s="13">
        <v>3.9145</v>
      </c>
      <c r="AH364" s="13">
        <v>29.7552</v>
      </c>
      <c r="AI364" s="13">
        <v>0.3485</v>
      </c>
      <c r="AJ364" s="11">
        <v>1.02</v>
      </c>
      <c r="AK364" s="8" t="s">
        <v>1267</v>
      </c>
      <c r="AL364" s="14">
        <f>IFERROR(__xludf.DUMMYFUNCTION("IFERROR(GOOGLEFINANCE(B364,""price""),"""")"),19.12)</f>
        <v>19.12</v>
      </c>
    </row>
    <row r="365">
      <c r="A365" s="15">
        <v>46083.62872454449</v>
      </c>
      <c r="B365" s="16" t="s">
        <v>1948</v>
      </c>
      <c r="C365" s="16" t="s">
        <v>1949</v>
      </c>
      <c r="D365" s="17">
        <v>46089.0</v>
      </c>
      <c r="E365" s="16" t="s">
        <v>1950</v>
      </c>
      <c r="F365" s="18">
        <v>3.25</v>
      </c>
      <c r="G365" s="19">
        <v>27.451</v>
      </c>
      <c r="H365" s="16" t="s">
        <v>88</v>
      </c>
      <c r="I365" s="20">
        <v>1724194.0</v>
      </c>
      <c r="J365" s="19">
        <v>22.1368</v>
      </c>
      <c r="K365" s="21">
        <v>0.2753</v>
      </c>
      <c r="L365" s="21">
        <v>0.5888</v>
      </c>
      <c r="M365" s="21">
        <v>335171.7</v>
      </c>
      <c r="N365" s="21">
        <v>9.9265</v>
      </c>
      <c r="O365" s="20">
        <v>4.746812E7</v>
      </c>
      <c r="P365" s="21">
        <v>93.6715</v>
      </c>
      <c r="Q365" s="21">
        <v>83.1507</v>
      </c>
      <c r="R365" s="19">
        <v>70.808</v>
      </c>
      <c r="S365" s="21">
        <v>2.323</v>
      </c>
      <c r="T365" s="21">
        <v>2.2043</v>
      </c>
      <c r="U365" s="21">
        <v>2.2896</v>
      </c>
      <c r="V365" s="21">
        <v>2.4015</v>
      </c>
      <c r="W365" s="21">
        <v>2.4353</v>
      </c>
      <c r="X365" s="21">
        <v>2.6507</v>
      </c>
      <c r="Y365" s="21">
        <v>3.0964</v>
      </c>
      <c r="Z365" s="21">
        <v>3.4305</v>
      </c>
      <c r="AA365" s="21">
        <v>6.27</v>
      </c>
      <c r="AB365" s="21">
        <v>0.0</v>
      </c>
      <c r="AC365" s="21">
        <v>-0.3016</v>
      </c>
      <c r="AD365" s="21">
        <v>-38.2121</v>
      </c>
      <c r="AE365" s="21">
        <v>-5.3627</v>
      </c>
      <c r="AF365" s="21">
        <v>25.1049</v>
      </c>
      <c r="AG365" s="21">
        <v>0.4022</v>
      </c>
      <c r="AH365" s="21">
        <v>0.7425</v>
      </c>
      <c r="AI365" s="21">
        <v>1.0271</v>
      </c>
      <c r="AJ365" s="19">
        <v>0.94</v>
      </c>
      <c r="AK365" s="16" t="s">
        <v>1951</v>
      </c>
      <c r="AL365" s="22">
        <f>IFERROR(__xludf.DUMMYFUNCTION("IFERROR(GOOGLEFINANCE(B365,""price""),"""")"),1.82)</f>
        <v>1.82</v>
      </c>
    </row>
    <row r="366">
      <c r="A366" s="7">
        <v>46083.62872454449</v>
      </c>
      <c r="B366" s="8" t="s">
        <v>1842</v>
      </c>
      <c r="C366" s="8" t="s">
        <v>1843</v>
      </c>
      <c r="D366" s="9">
        <v>46089.0</v>
      </c>
      <c r="E366" s="8" t="s">
        <v>1844</v>
      </c>
      <c r="F366" s="10">
        <v>4.44</v>
      </c>
      <c r="G366" s="11">
        <v>0.4525</v>
      </c>
      <c r="H366" s="8" t="s">
        <v>88</v>
      </c>
      <c r="I366" s="12">
        <v>1708409.0</v>
      </c>
      <c r="J366" s="11">
        <v>34.9984</v>
      </c>
      <c r="K366" s="13">
        <v>0.02</v>
      </c>
      <c r="L366" s="13">
        <v>0.1764</v>
      </c>
      <c r="M366" s="8">
        <v>1034445.0</v>
      </c>
      <c r="N366" s="13">
        <v>1.8576</v>
      </c>
      <c r="O366" s="12">
        <v>4.45927753E8</v>
      </c>
      <c r="P366" s="13">
        <v>66.6667</v>
      </c>
      <c r="Q366" s="13">
        <v>59.2593</v>
      </c>
      <c r="R366" s="11">
        <v>65.3884</v>
      </c>
      <c r="S366" s="13">
        <v>4.4214</v>
      </c>
      <c r="T366" s="13">
        <v>4.4159</v>
      </c>
      <c r="U366" s="13">
        <v>4.3724</v>
      </c>
      <c r="V366" s="13">
        <v>4.2613</v>
      </c>
      <c r="W366" s="13">
        <v>4.2206</v>
      </c>
      <c r="X366" s="13">
        <v>3.9475</v>
      </c>
      <c r="Y366" s="13">
        <v>3.5025</v>
      </c>
      <c r="Z366" s="13">
        <v>3.1049</v>
      </c>
      <c r="AA366" s="13">
        <v>4.48</v>
      </c>
      <c r="AB366" s="13">
        <v>0.0</v>
      </c>
      <c r="AC366" s="13">
        <v>-0.1159</v>
      </c>
      <c r="AD366" s="13">
        <v>-5.8137</v>
      </c>
      <c r="AE366" s="13">
        <v>-13.4574</v>
      </c>
      <c r="AF366" s="13">
        <v>-12.3585</v>
      </c>
      <c r="AG366" s="13">
        <v>0.9297</v>
      </c>
      <c r="AH366" s="13">
        <v>1.1105</v>
      </c>
      <c r="AI366" s="13">
        <v>1.1032</v>
      </c>
      <c r="AJ366" s="11">
        <v>0.23</v>
      </c>
      <c r="AK366" s="8" t="s">
        <v>1845</v>
      </c>
      <c r="AL366" s="14">
        <f>IFERROR(__xludf.DUMMYFUNCTION("IFERROR(GOOGLEFINANCE(B366,""price""),"""")"),4.51)</f>
        <v>4.51</v>
      </c>
    </row>
    <row r="367">
      <c r="A367" s="7">
        <v>46084.627984750565</v>
      </c>
      <c r="B367" s="8" t="s">
        <v>1645</v>
      </c>
      <c r="C367" s="8" t="s">
        <v>1646</v>
      </c>
      <c r="D367" s="9">
        <v>46089.0</v>
      </c>
      <c r="E367" s="8" t="s">
        <v>1647</v>
      </c>
      <c r="F367" s="10">
        <v>16.255</v>
      </c>
      <c r="G367" s="11">
        <v>8.3667</v>
      </c>
      <c r="H367" s="8" t="s">
        <v>190</v>
      </c>
      <c r="I367" s="12">
        <v>9213296.0</v>
      </c>
      <c r="J367" s="11">
        <v>32.1483</v>
      </c>
      <c r="K367" s="13">
        <v>0.4312</v>
      </c>
      <c r="L367" s="13">
        <v>1.0411</v>
      </c>
      <c r="M367" s="8">
        <v>2045380.0</v>
      </c>
      <c r="N367" s="13">
        <v>7.5135</v>
      </c>
      <c r="O367" s="12">
        <v>2.01591739E9</v>
      </c>
      <c r="P367" s="13">
        <v>42.7413</v>
      </c>
      <c r="Q367" s="13">
        <v>27.7643</v>
      </c>
      <c r="R367" s="11">
        <v>64.1584</v>
      </c>
      <c r="S367" s="13">
        <v>15.3825</v>
      </c>
      <c r="T367" s="13">
        <v>15.4124</v>
      </c>
      <c r="U367" s="13">
        <v>15.3494</v>
      </c>
      <c r="V367" s="13">
        <v>15.2182</v>
      </c>
      <c r="W367" s="13">
        <v>15.1742</v>
      </c>
      <c r="X367" s="13">
        <v>14.9302</v>
      </c>
      <c r="Y367" s="13">
        <v>14.9553</v>
      </c>
      <c r="Z367" s="13">
        <v>14.2707</v>
      </c>
      <c r="AA367" s="13">
        <v>18.605</v>
      </c>
      <c r="AB367" s="13">
        <v>14.0347</v>
      </c>
      <c r="AC367" s="13">
        <v>1.1582</v>
      </c>
      <c r="AD367" s="13">
        <v>8.4395</v>
      </c>
      <c r="AE367" s="13">
        <v>6.1359</v>
      </c>
      <c r="AF367" s="13">
        <v>-17.659</v>
      </c>
      <c r="AG367" s="13">
        <v>1.682</v>
      </c>
      <c r="AH367" s="13">
        <v>1.0414</v>
      </c>
      <c r="AI367" s="13">
        <v>0.2037</v>
      </c>
      <c r="AJ367" s="11">
        <v>0.83</v>
      </c>
      <c r="AK367" s="8" t="s">
        <v>1952</v>
      </c>
      <c r="AL367" s="14">
        <f>IFERROR(__xludf.DUMMYFUNCTION("IFERROR(GOOGLEFINANCE(B367,""price""),"""")"),16.37)</f>
        <v>16.37</v>
      </c>
    </row>
    <row r="368">
      <c r="A368" s="15">
        <v>46084.627984750565</v>
      </c>
      <c r="B368" s="16" t="s">
        <v>1953</v>
      </c>
      <c r="C368" s="16" t="s">
        <v>1954</v>
      </c>
      <c r="D368" s="17">
        <v>46089.0</v>
      </c>
      <c r="E368" s="16" t="s">
        <v>1955</v>
      </c>
      <c r="F368" s="18">
        <v>10.7</v>
      </c>
      <c r="G368" s="19">
        <v>0.0</v>
      </c>
      <c r="H368" s="16" t="s">
        <v>93</v>
      </c>
      <c r="I368" s="20">
        <v>479968.0</v>
      </c>
      <c r="J368" s="19">
        <v>31.2712</v>
      </c>
      <c r="K368" s="21">
        <v>0.082</v>
      </c>
      <c r="L368" s="21">
        <v>0.1034</v>
      </c>
      <c r="M368" s="21">
        <v>70805.4</v>
      </c>
      <c r="N368" s="21">
        <v>20.8959</v>
      </c>
      <c r="O368" s="20">
        <v>2.63035618E8</v>
      </c>
      <c r="P368" s="21">
        <v>100.0</v>
      </c>
      <c r="Q368" s="21">
        <v>81.1966</v>
      </c>
      <c r="R368" s="19">
        <v>56.0677</v>
      </c>
      <c r="S368" s="21">
        <v>10.6708</v>
      </c>
      <c r="T368" s="21">
        <v>10.6537</v>
      </c>
      <c r="U368" s="21">
        <v>10.6413</v>
      </c>
      <c r="V368" s="21">
        <v>10.6271</v>
      </c>
      <c r="W368" s="21">
        <v>10.6227</v>
      </c>
      <c r="X368" s="21">
        <v>10.589</v>
      </c>
      <c r="Y368" s="21">
        <v>10.4466</v>
      </c>
      <c r="Z368" s="21">
        <v>10.4841</v>
      </c>
      <c r="AA368" s="21">
        <v>10.85</v>
      </c>
      <c r="AB368" s="21">
        <v>38.2279</v>
      </c>
      <c r="AC368" s="21">
        <v>0.2799</v>
      </c>
      <c r="AD368" s="21">
        <v>7.1299</v>
      </c>
      <c r="AE368" s="21">
        <v>0.0</v>
      </c>
      <c r="AF368" s="21">
        <v>0.0</v>
      </c>
      <c r="AG368" s="21">
        <v>1.0E-4</v>
      </c>
      <c r="AH368" s="21">
        <v>1.2071</v>
      </c>
      <c r="AI368" s="21">
        <v>0.2759</v>
      </c>
      <c r="AJ368" s="19">
        <v>1.59</v>
      </c>
      <c r="AK368" s="16" t="s">
        <v>1956</v>
      </c>
      <c r="AL368" s="22">
        <f>IFERROR(__xludf.DUMMYFUNCTION("IFERROR(GOOGLEFINANCE(B368,""price""),"""")"),10.65)</f>
        <v>10.65</v>
      </c>
    </row>
    <row r="369">
      <c r="A369" s="7">
        <v>46084.627984750565</v>
      </c>
      <c r="B369" s="8" t="s">
        <v>1601</v>
      </c>
      <c r="C369" s="8" t="s">
        <v>1602</v>
      </c>
      <c r="D369" s="9">
        <v>46089.0</v>
      </c>
      <c r="E369" s="8" t="s">
        <v>1603</v>
      </c>
      <c r="F369" s="10">
        <v>64.76</v>
      </c>
      <c r="G369" s="11">
        <v>0.0927</v>
      </c>
      <c r="H369" s="8" t="s">
        <v>93</v>
      </c>
      <c r="I369" s="12">
        <v>2796299.0</v>
      </c>
      <c r="J369" s="11">
        <v>44.6427</v>
      </c>
      <c r="K369" s="13">
        <v>0.1164</v>
      </c>
      <c r="L369" s="13">
        <v>0.6704</v>
      </c>
      <c r="M369" s="8">
        <v>1861387.0</v>
      </c>
      <c r="N369" s="13">
        <v>1.5799</v>
      </c>
      <c r="O369" s="12">
        <v>7.255412681E9</v>
      </c>
      <c r="P369" s="13">
        <v>46.688</v>
      </c>
      <c r="Q369" s="13">
        <v>62.9119</v>
      </c>
      <c r="R369" s="11">
        <v>55.6041</v>
      </c>
      <c r="S369" s="13">
        <v>64.7998</v>
      </c>
      <c r="T369" s="13">
        <v>64.7198</v>
      </c>
      <c r="U369" s="13">
        <v>64.6139</v>
      </c>
      <c r="V369" s="13">
        <v>64.464</v>
      </c>
      <c r="W369" s="13">
        <v>64.407</v>
      </c>
      <c r="X369" s="13">
        <v>63.8386</v>
      </c>
      <c r="Y369" s="13">
        <v>60.846</v>
      </c>
      <c r="Z369" s="13">
        <v>61.6636</v>
      </c>
      <c r="AA369" s="13">
        <v>64.96</v>
      </c>
      <c r="AB369" s="13">
        <v>6.9597</v>
      </c>
      <c r="AC369" s="13">
        <v>9.305</v>
      </c>
      <c r="AD369" s="13">
        <v>13.6003</v>
      </c>
      <c r="AE369" s="13">
        <v>49.5099</v>
      </c>
      <c r="AF369" s="13">
        <v>14.2078</v>
      </c>
      <c r="AG369" s="13">
        <v>2.3287</v>
      </c>
      <c r="AH369" s="13">
        <v>0.0521</v>
      </c>
      <c r="AI369" s="13">
        <v>0.2871</v>
      </c>
      <c r="AJ369" s="11">
        <v>0.35</v>
      </c>
      <c r="AK369" s="8" t="s">
        <v>1957</v>
      </c>
      <c r="AL369" s="14">
        <f>IFERROR(__xludf.DUMMYFUNCTION("IFERROR(GOOGLEFINANCE(B369,""price""),"""")"),65.0)</f>
        <v>65</v>
      </c>
    </row>
    <row r="370">
      <c r="A370" s="15">
        <v>46084.627984750565</v>
      </c>
      <c r="B370" s="16" t="s">
        <v>1576</v>
      </c>
      <c r="C370" s="16" t="s">
        <v>1577</v>
      </c>
      <c r="D370" s="17">
        <v>46089.0</v>
      </c>
      <c r="E370" s="16" t="s">
        <v>1578</v>
      </c>
      <c r="F370" s="18">
        <v>11.93</v>
      </c>
      <c r="G370" s="19">
        <v>1.1017</v>
      </c>
      <c r="H370" s="16" t="s">
        <v>88</v>
      </c>
      <c r="I370" s="20">
        <v>2549324.0</v>
      </c>
      <c r="J370" s="19">
        <v>29.4004</v>
      </c>
      <c r="K370" s="21">
        <v>0.0441</v>
      </c>
      <c r="L370" s="21">
        <v>0.4377</v>
      </c>
      <c r="M370" s="16">
        <v>2025993.0</v>
      </c>
      <c r="N370" s="21">
        <v>1.3177</v>
      </c>
      <c r="O370" s="20">
        <v>1.806871803E9</v>
      </c>
      <c r="P370" s="21">
        <v>58.7302</v>
      </c>
      <c r="Q370" s="21">
        <v>45.4545</v>
      </c>
      <c r="R370" s="19">
        <v>67.3921</v>
      </c>
      <c r="S370" s="21">
        <v>11.8378</v>
      </c>
      <c r="T370" s="21">
        <v>11.8338</v>
      </c>
      <c r="U370" s="21">
        <v>11.7738</v>
      </c>
      <c r="V370" s="21">
        <v>11.5841</v>
      </c>
      <c r="W370" s="21">
        <v>11.5106</v>
      </c>
      <c r="X370" s="21">
        <v>11.026</v>
      </c>
      <c r="Y370" s="21">
        <v>10.5121</v>
      </c>
      <c r="Z370" s="21">
        <v>9.543</v>
      </c>
      <c r="AA370" s="21">
        <v>11.94</v>
      </c>
      <c r="AB370" s="21">
        <v>0.0</v>
      </c>
      <c r="AC370" s="21">
        <v>-0.0307</v>
      </c>
      <c r="AD370" s="21">
        <v>-1.6774</v>
      </c>
      <c r="AE370" s="21">
        <v>-1.5659</v>
      </c>
      <c r="AF370" s="21">
        <v>19.8732</v>
      </c>
      <c r="AG370" s="21">
        <v>0.0481</v>
      </c>
      <c r="AH370" s="21">
        <v>2.2132</v>
      </c>
      <c r="AI370" s="21">
        <v>0.536</v>
      </c>
      <c r="AJ370" s="19">
        <v>0.2</v>
      </c>
      <c r="AK370" s="16" t="s">
        <v>1807</v>
      </c>
      <c r="AL370" s="22">
        <f>IFERROR(__xludf.DUMMYFUNCTION("IFERROR(GOOGLEFINANCE(B370,""price""),"""")"),11.94)</f>
        <v>11.94</v>
      </c>
    </row>
    <row r="371">
      <c r="A371" s="7">
        <v>46084.627984750565</v>
      </c>
      <c r="B371" s="8" t="s">
        <v>1958</v>
      </c>
      <c r="C371" s="8" t="s">
        <v>1959</v>
      </c>
      <c r="D371" s="9">
        <v>46089.0</v>
      </c>
      <c r="E371" s="8" t="s">
        <v>1960</v>
      </c>
      <c r="F371" s="10">
        <v>30.755</v>
      </c>
      <c r="G371" s="11">
        <v>0.1792</v>
      </c>
      <c r="H371" s="8" t="s">
        <v>88</v>
      </c>
      <c r="I371" s="12">
        <v>1.1031863E7</v>
      </c>
      <c r="J371" s="11">
        <v>37.2443</v>
      </c>
      <c r="K371" s="13">
        <v>0.1246</v>
      </c>
      <c r="L371" s="13">
        <v>1.2929</v>
      </c>
      <c r="M371" s="8">
        <v>8777599.0</v>
      </c>
      <c r="N371" s="13">
        <v>1.3223</v>
      </c>
      <c r="O371" s="12">
        <v>1.0999356719E10</v>
      </c>
      <c r="P371" s="13">
        <v>79.6958</v>
      </c>
      <c r="Q371" s="13">
        <v>72.4468</v>
      </c>
      <c r="R371" s="11">
        <v>68.0702</v>
      </c>
      <c r="S371" s="13">
        <v>30.6792</v>
      </c>
      <c r="T371" s="13">
        <v>30.5813</v>
      </c>
      <c r="U371" s="13">
        <v>30.2924</v>
      </c>
      <c r="V371" s="13">
        <v>29.7034</v>
      </c>
      <c r="W371" s="13">
        <v>29.4979</v>
      </c>
      <c r="X371" s="13">
        <v>28.1914</v>
      </c>
      <c r="Y371" s="13">
        <v>26.1889</v>
      </c>
      <c r="Z371" s="13">
        <v>24.4284</v>
      </c>
      <c r="AA371" s="13">
        <v>32.63</v>
      </c>
      <c r="AB371" s="13">
        <v>0.0</v>
      </c>
      <c r="AC371" s="13">
        <v>-0.8587</v>
      </c>
      <c r="AD371" s="13">
        <v>-27.7206</v>
      </c>
      <c r="AE371" s="13">
        <v>-31.2723</v>
      </c>
      <c r="AF371" s="13">
        <v>21.0769</v>
      </c>
      <c r="AG371" s="13">
        <v>0.9455</v>
      </c>
      <c r="AH371" s="13">
        <v>3.7503</v>
      </c>
      <c r="AI371" s="13">
        <v>1.2578</v>
      </c>
      <c r="AJ371" s="11">
        <v>0.19</v>
      </c>
      <c r="AK371" s="8" t="s">
        <v>1961</v>
      </c>
      <c r="AL371" s="14">
        <f>IFERROR(__xludf.DUMMYFUNCTION("IFERROR(GOOGLEFINANCE(B371,""price""),"""")"),535.0)</f>
        <v>535</v>
      </c>
    </row>
    <row r="372">
      <c r="A372" s="7">
        <v>46085.62765968371</v>
      </c>
      <c r="B372" s="8" t="s">
        <v>1386</v>
      </c>
      <c r="C372" s="8" t="s">
        <v>1387</v>
      </c>
      <c r="D372" s="9">
        <v>46089.0</v>
      </c>
      <c r="E372" s="8" t="s">
        <v>1388</v>
      </c>
      <c r="F372" s="10">
        <v>207.29</v>
      </c>
      <c r="G372" s="11">
        <v>0.2757</v>
      </c>
      <c r="H372" s="8" t="s">
        <v>102</v>
      </c>
      <c r="I372" s="12">
        <v>1889677.0</v>
      </c>
      <c r="J372" s="11">
        <v>22.1774</v>
      </c>
      <c r="K372" s="13">
        <v>0.48</v>
      </c>
      <c r="L372" s="13">
        <v>2.7165</v>
      </c>
      <c r="M372" s="8">
        <v>1547435.0</v>
      </c>
      <c r="N372" s="13">
        <v>1.2639</v>
      </c>
      <c r="O372" s="12">
        <v>9.922058822E9</v>
      </c>
      <c r="P372" s="13">
        <v>43.3333</v>
      </c>
      <c r="Q372" s="13">
        <v>47.7826</v>
      </c>
      <c r="R372" s="11">
        <v>53.4043</v>
      </c>
      <c r="S372" s="13">
        <v>207.1617</v>
      </c>
      <c r="T372" s="13">
        <v>207.1468</v>
      </c>
      <c r="U372" s="13">
        <v>206.9542</v>
      </c>
      <c r="V372" s="13">
        <v>206.4559</v>
      </c>
      <c r="W372" s="13">
        <v>206.2383</v>
      </c>
      <c r="X372" s="13">
        <v>204.0437</v>
      </c>
      <c r="Y372" s="13">
        <v>194.2145</v>
      </c>
      <c r="Z372" s="13">
        <v>192.3337</v>
      </c>
      <c r="AA372" s="13">
        <v>208.24</v>
      </c>
      <c r="AB372" s="13">
        <v>250.0483</v>
      </c>
      <c r="AC372" s="13">
        <v>0.829</v>
      </c>
      <c r="AD372" s="13">
        <v>1.3962</v>
      </c>
      <c r="AE372" s="13">
        <v>16.3754</v>
      </c>
      <c r="AF372" s="13">
        <v>5.4738</v>
      </c>
      <c r="AG372" s="13">
        <v>1.1392</v>
      </c>
      <c r="AH372" s="13">
        <v>1.3622</v>
      </c>
      <c r="AI372" s="13">
        <v>0.1001</v>
      </c>
      <c r="AJ372" s="11">
        <v>0.35</v>
      </c>
      <c r="AK372" s="8" t="s">
        <v>1962</v>
      </c>
      <c r="AL372" s="14">
        <f>IFERROR(__xludf.DUMMYFUNCTION("IFERROR(GOOGLEFINANCE(B372,""price""),"""")"),207.79)</f>
        <v>207.79</v>
      </c>
    </row>
    <row r="373">
      <c r="A373" s="15">
        <v>46085.62765968371</v>
      </c>
      <c r="B373" s="16" t="s">
        <v>1182</v>
      </c>
      <c r="C373" s="16" t="s">
        <v>1183</v>
      </c>
      <c r="D373" s="17">
        <v>46089.0</v>
      </c>
      <c r="E373" s="16" t="s">
        <v>1184</v>
      </c>
      <c r="F373" s="18">
        <v>25.89</v>
      </c>
      <c r="G373" s="19">
        <v>0.1547</v>
      </c>
      <c r="H373" s="16" t="s">
        <v>93</v>
      </c>
      <c r="I373" s="20">
        <v>524257.0</v>
      </c>
      <c r="J373" s="19">
        <v>26.5916</v>
      </c>
      <c r="K373" s="21">
        <v>0.1268</v>
      </c>
      <c r="L373" s="21">
        <v>0.3096</v>
      </c>
      <c r="M373" s="21">
        <v>80564.4</v>
      </c>
      <c r="N373" s="21">
        <v>17.5363</v>
      </c>
      <c r="O373" s="20">
        <v>8.1020719675E10</v>
      </c>
      <c r="P373" s="21">
        <v>87.5458</v>
      </c>
      <c r="Q373" s="21">
        <v>74.7408</v>
      </c>
      <c r="R373" s="19">
        <v>58.3169</v>
      </c>
      <c r="S373" s="21">
        <v>25.8356</v>
      </c>
      <c r="T373" s="21">
        <v>25.808</v>
      </c>
      <c r="U373" s="21">
        <v>25.7845</v>
      </c>
      <c r="V373" s="21">
        <v>25.7638</v>
      </c>
      <c r="W373" s="21">
        <v>25.7589</v>
      </c>
      <c r="X373" s="21">
        <v>25.7316</v>
      </c>
      <c r="Y373" s="21">
        <v>25.6229</v>
      </c>
      <c r="Z373" s="21">
        <v>25.6586</v>
      </c>
      <c r="AA373" s="21">
        <v>25.99</v>
      </c>
      <c r="AB373" s="21">
        <v>3.4922</v>
      </c>
      <c r="AC373" s="21">
        <v>7.4136</v>
      </c>
      <c r="AD373" s="21">
        <v>12.9603</v>
      </c>
      <c r="AE373" s="21">
        <v>16.9045</v>
      </c>
      <c r="AF373" s="21">
        <v>2.0861</v>
      </c>
      <c r="AG373" s="21">
        <v>1.7287</v>
      </c>
      <c r="AH373" s="21">
        <v>1.789</v>
      </c>
      <c r="AI373" s="21">
        <v>0.1973</v>
      </c>
      <c r="AJ373" s="19">
        <v>0.82</v>
      </c>
      <c r="AK373" s="16" t="s">
        <v>1963</v>
      </c>
      <c r="AL373" s="22" t="str">
        <f>IFERROR(__xludf.DUMMYFUNCTION("IFERROR(GOOGLEFINANCE(B373,""price""),"""")"),"")</f>
        <v/>
      </c>
    </row>
    <row r="374">
      <c r="A374" s="7">
        <v>46085.62765968371</v>
      </c>
      <c r="B374" s="8" t="s">
        <v>1880</v>
      </c>
      <c r="C374" s="8" t="s">
        <v>1881</v>
      </c>
      <c r="D374" s="9">
        <v>46089.0</v>
      </c>
      <c r="E374" s="8" t="s">
        <v>1882</v>
      </c>
      <c r="F374" s="10">
        <v>11.47</v>
      </c>
      <c r="G374" s="11">
        <v>0.2622</v>
      </c>
      <c r="H374" s="8" t="s">
        <v>93</v>
      </c>
      <c r="I374" s="12">
        <v>3200815.0</v>
      </c>
      <c r="J374" s="11">
        <v>27.2399</v>
      </c>
      <c r="K374" s="13">
        <v>0.0768</v>
      </c>
      <c r="L374" s="13">
        <v>0.1022</v>
      </c>
      <c r="M374" s="13">
        <v>418862.3</v>
      </c>
      <c r="N374" s="13">
        <v>26.2311</v>
      </c>
      <c r="O374" s="12">
        <v>3.34642974E8</v>
      </c>
      <c r="P374" s="13">
        <v>55.5035</v>
      </c>
      <c r="Q374" s="13">
        <v>50.6705</v>
      </c>
      <c r="R374" s="11">
        <v>60.5691</v>
      </c>
      <c r="S374" s="13">
        <v>11.4556</v>
      </c>
      <c r="T374" s="13">
        <v>11.4411</v>
      </c>
      <c r="U374" s="13">
        <v>11.4269</v>
      </c>
      <c r="V374" s="13">
        <v>11.4089</v>
      </c>
      <c r="W374" s="13">
        <v>11.4031</v>
      </c>
      <c r="X374" s="13">
        <v>11.3611</v>
      </c>
      <c r="Y374" s="13">
        <v>11.2151</v>
      </c>
      <c r="Z374" s="13">
        <v>11.2147</v>
      </c>
      <c r="AA374" s="13">
        <v>11.5</v>
      </c>
      <c r="AB374" s="13">
        <v>38.1824</v>
      </c>
      <c r="AC374" s="13">
        <v>0.3004</v>
      </c>
      <c r="AD374" s="13">
        <v>3.6877</v>
      </c>
      <c r="AE374" s="13">
        <v>0.0</v>
      </c>
      <c r="AF374" s="13">
        <v>0.0</v>
      </c>
      <c r="AG374" s="13">
        <v>0.0077</v>
      </c>
      <c r="AH374" s="13">
        <v>0.0196</v>
      </c>
      <c r="AI374" s="13">
        <v>0.2502</v>
      </c>
      <c r="AJ374" s="11">
        <v>1.5</v>
      </c>
      <c r="AK374" s="8" t="s">
        <v>1964</v>
      </c>
      <c r="AL374" s="14" t="str">
        <f>IFERROR(__xludf.DUMMYFUNCTION("IFERROR(GOOGLEFINANCE(B374,""price""),"""")"),"")</f>
        <v/>
      </c>
    </row>
    <row r="375">
      <c r="A375" s="15">
        <v>46085.62765968371</v>
      </c>
      <c r="B375" s="16" t="s">
        <v>1953</v>
      </c>
      <c r="C375" s="16" t="s">
        <v>1954</v>
      </c>
      <c r="D375" s="17">
        <v>46089.0</v>
      </c>
      <c r="E375" s="16" t="s">
        <v>1955</v>
      </c>
      <c r="F375" s="18">
        <v>10.7</v>
      </c>
      <c r="G375" s="19">
        <v>0.0</v>
      </c>
      <c r="H375" s="16" t="s">
        <v>93</v>
      </c>
      <c r="I375" s="20">
        <v>480025.0</v>
      </c>
      <c r="J375" s="19">
        <v>31.2712</v>
      </c>
      <c r="K375" s="21">
        <v>0.082</v>
      </c>
      <c r="L375" s="21">
        <v>0.1034</v>
      </c>
      <c r="M375" s="21">
        <v>70811.1</v>
      </c>
      <c r="N375" s="21">
        <v>20.8984</v>
      </c>
      <c r="O375" s="20">
        <v>2.63035618E8</v>
      </c>
      <c r="P375" s="21">
        <v>100.0</v>
      </c>
      <c r="Q375" s="21">
        <v>81.1966</v>
      </c>
      <c r="R375" s="19">
        <v>56.0677</v>
      </c>
      <c r="S375" s="21">
        <v>10.6708</v>
      </c>
      <c r="T375" s="21">
        <v>10.6537</v>
      </c>
      <c r="U375" s="21">
        <v>10.6413</v>
      </c>
      <c r="V375" s="21">
        <v>10.6271</v>
      </c>
      <c r="W375" s="21">
        <v>10.6227</v>
      </c>
      <c r="X375" s="21">
        <v>10.589</v>
      </c>
      <c r="Y375" s="21">
        <v>10.4466</v>
      </c>
      <c r="Z375" s="21">
        <v>10.4841</v>
      </c>
      <c r="AA375" s="21">
        <v>10.85</v>
      </c>
      <c r="AB375" s="21">
        <v>38.2279</v>
      </c>
      <c r="AC375" s="21">
        <v>0.2799</v>
      </c>
      <c r="AD375" s="21">
        <v>7.1299</v>
      </c>
      <c r="AE375" s="21">
        <v>0.0</v>
      </c>
      <c r="AF375" s="21">
        <v>0.0</v>
      </c>
      <c r="AG375" s="21">
        <v>1.0E-4</v>
      </c>
      <c r="AH375" s="21">
        <v>1.2071</v>
      </c>
      <c r="AI375" s="21">
        <v>0.2759</v>
      </c>
      <c r="AJ375" s="19">
        <v>1.59</v>
      </c>
      <c r="AK375" s="16" t="s">
        <v>1956</v>
      </c>
      <c r="AL375" s="22">
        <f>IFERROR(__xludf.DUMMYFUNCTION("IFERROR(GOOGLEFINANCE(B375,""price""),"""")"),10.65)</f>
        <v>10.65</v>
      </c>
    </row>
    <row r="376">
      <c r="A376" s="7">
        <v>46085.62765968371</v>
      </c>
      <c r="B376" s="8" t="s">
        <v>1645</v>
      </c>
      <c r="C376" s="8" t="s">
        <v>1646</v>
      </c>
      <c r="D376" s="9">
        <v>46089.0</v>
      </c>
      <c r="E376" s="8" t="s">
        <v>1647</v>
      </c>
      <c r="F376" s="10">
        <v>16.235</v>
      </c>
      <c r="G376" s="11">
        <v>-0.1538</v>
      </c>
      <c r="H376" s="8" t="s">
        <v>190</v>
      </c>
      <c r="I376" s="12">
        <v>4426494.0</v>
      </c>
      <c r="J376" s="11">
        <v>31.5801</v>
      </c>
      <c r="K376" s="13">
        <v>0.4057</v>
      </c>
      <c r="L376" s="13">
        <v>1.0422</v>
      </c>
      <c r="M376" s="8">
        <v>2501439.0</v>
      </c>
      <c r="N376" s="13">
        <v>2.0203</v>
      </c>
      <c r="O376" s="12">
        <v>2.013437053E9</v>
      </c>
      <c r="P376" s="13">
        <v>63.3414</v>
      </c>
      <c r="Q376" s="13">
        <v>42.4169</v>
      </c>
      <c r="R376" s="11">
        <v>63.6915</v>
      </c>
      <c r="S376" s="13">
        <v>15.5728</v>
      </c>
      <c r="T376" s="13">
        <v>15.4876</v>
      </c>
      <c r="U376" s="13">
        <v>15.4003</v>
      </c>
      <c r="V376" s="13">
        <v>15.2583</v>
      </c>
      <c r="W376" s="13">
        <v>15.2122</v>
      </c>
      <c r="X376" s="13">
        <v>14.9593</v>
      </c>
      <c r="Y376" s="13">
        <v>14.9681</v>
      </c>
      <c r="Z376" s="13">
        <v>14.2757</v>
      </c>
      <c r="AA376" s="13">
        <v>18.605</v>
      </c>
      <c r="AB376" s="13">
        <v>14.0174</v>
      </c>
      <c r="AC376" s="13">
        <v>1.1582</v>
      </c>
      <c r="AD376" s="13">
        <v>8.4395</v>
      </c>
      <c r="AE376" s="13">
        <v>6.1359</v>
      </c>
      <c r="AF376" s="13">
        <v>-17.659</v>
      </c>
      <c r="AG376" s="13">
        <v>1.682</v>
      </c>
      <c r="AH376" s="13">
        <v>1.0414</v>
      </c>
      <c r="AI376" s="13">
        <v>1.0628</v>
      </c>
      <c r="AJ376" s="11">
        <v>0.78</v>
      </c>
      <c r="AK376" s="8" t="s">
        <v>1965</v>
      </c>
      <c r="AL376" s="14">
        <f>IFERROR(__xludf.DUMMYFUNCTION("IFERROR(GOOGLEFINANCE(B376,""price""),"""")"),16.37)</f>
        <v>16.37</v>
      </c>
    </row>
    <row r="377">
      <c r="A377" s="15">
        <v>46085.62765968371</v>
      </c>
      <c r="B377" s="16" t="s">
        <v>1966</v>
      </c>
      <c r="C377" s="16" t="s">
        <v>1967</v>
      </c>
      <c r="D377" s="17">
        <v>46089.0</v>
      </c>
      <c r="E377" s="16" t="s">
        <v>1968</v>
      </c>
      <c r="F377" s="18">
        <v>12.755</v>
      </c>
      <c r="G377" s="19">
        <v>27.1685</v>
      </c>
      <c r="H377" s="16" t="s">
        <v>117</v>
      </c>
      <c r="I377" s="20">
        <v>1.1023896E7</v>
      </c>
      <c r="J377" s="19">
        <v>22.801</v>
      </c>
      <c r="K377" s="21">
        <v>0.8742</v>
      </c>
      <c r="L377" s="21">
        <v>1.5666</v>
      </c>
      <c r="M377" s="16">
        <v>2921209.0</v>
      </c>
      <c r="N377" s="21">
        <v>5.6047</v>
      </c>
      <c r="O377" s="20">
        <v>1.348262689E9</v>
      </c>
      <c r="P377" s="21">
        <v>35.2089</v>
      </c>
      <c r="Q377" s="21">
        <v>20.1247</v>
      </c>
      <c r="R377" s="19">
        <v>61.4767</v>
      </c>
      <c r="S377" s="21">
        <v>11.223</v>
      </c>
      <c r="T377" s="21">
        <v>11.2136</v>
      </c>
      <c r="U377" s="21">
        <v>11.0248</v>
      </c>
      <c r="V377" s="21">
        <v>10.7082</v>
      </c>
      <c r="W377" s="21">
        <v>10.6076</v>
      </c>
      <c r="X377" s="21">
        <v>10.0105</v>
      </c>
      <c r="Y377" s="21">
        <v>9.3581</v>
      </c>
      <c r="Z377" s="21">
        <v>8.1751</v>
      </c>
      <c r="AA377" s="21">
        <v>13.2</v>
      </c>
      <c r="AB377" s="21">
        <v>0.0</v>
      </c>
      <c r="AC377" s="21">
        <v>-1.0421</v>
      </c>
      <c r="AD377" s="21">
        <v>-22.7398</v>
      </c>
      <c r="AE377" s="21">
        <v>-80.7614</v>
      </c>
      <c r="AF377" s="21">
        <v>20.6014</v>
      </c>
      <c r="AG377" s="21">
        <v>0.0063</v>
      </c>
      <c r="AH377" s="21">
        <v>8.0153</v>
      </c>
      <c r="AI377" s="21">
        <v>1.5537</v>
      </c>
      <c r="AJ377" s="19">
        <v>1.12</v>
      </c>
      <c r="AK377" s="16" t="s">
        <v>1969</v>
      </c>
      <c r="AL377" s="22">
        <f>IFERROR(__xludf.DUMMYFUNCTION("IFERROR(GOOGLEFINANCE(B377,""price""),"""")"),21.47)</f>
        <v>21.47</v>
      </c>
    </row>
    <row r="378">
      <c r="A378" s="7">
        <v>46085.62765968371</v>
      </c>
      <c r="B378" s="8" t="s">
        <v>1970</v>
      </c>
      <c r="C378" s="8" t="s">
        <v>1971</v>
      </c>
      <c r="D378" s="9">
        <v>46089.0</v>
      </c>
      <c r="E378" s="8" t="s">
        <v>1972</v>
      </c>
      <c r="F378" s="10">
        <v>44.91</v>
      </c>
      <c r="G378" s="11">
        <v>-0.9047</v>
      </c>
      <c r="H378" s="8" t="s">
        <v>270</v>
      </c>
      <c r="I378" s="12">
        <v>3053941.0</v>
      </c>
      <c r="J378" s="11">
        <v>28.1463</v>
      </c>
      <c r="K378" s="13">
        <v>1.2459</v>
      </c>
      <c r="L378" s="13">
        <v>2.2734</v>
      </c>
      <c r="M378" s="8">
        <v>1423041.0</v>
      </c>
      <c r="N378" s="13">
        <v>2.4738</v>
      </c>
      <c r="O378" s="12">
        <v>1.6074334494E10</v>
      </c>
      <c r="P378" s="13">
        <v>78.1908</v>
      </c>
      <c r="Q378" s="13">
        <v>72.1603</v>
      </c>
      <c r="R378" s="11">
        <v>60.3505</v>
      </c>
      <c r="S378" s="13">
        <v>44.2092</v>
      </c>
      <c r="T378" s="13">
        <v>43.5812</v>
      </c>
      <c r="U378" s="13">
        <v>43.4635</v>
      </c>
      <c r="V378" s="13">
        <v>43.5363</v>
      </c>
      <c r="W378" s="13">
        <v>43.5853</v>
      </c>
      <c r="X378" s="13">
        <v>44.0418</v>
      </c>
      <c r="Y378" s="13">
        <v>44.9063</v>
      </c>
      <c r="Z378" s="13">
        <v>46.3206</v>
      </c>
      <c r="AA378" s="13">
        <v>52.0</v>
      </c>
      <c r="AB378" s="13">
        <v>0.0</v>
      </c>
      <c r="AC378" s="13">
        <v>-2.7439</v>
      </c>
      <c r="AD378" s="13">
        <v>3.6664</v>
      </c>
      <c r="AE378" s="13">
        <v>6.0445</v>
      </c>
      <c r="AF378" s="13">
        <v>-11.8171</v>
      </c>
      <c r="AG378" s="13">
        <v>1.0863</v>
      </c>
      <c r="AH378" s="13">
        <v>0.5827</v>
      </c>
      <c r="AI378" s="13">
        <v>1.6604</v>
      </c>
      <c r="AJ378" s="11">
        <v>1.1</v>
      </c>
      <c r="AK378" s="8" t="s">
        <v>1495</v>
      </c>
      <c r="AL378" s="14">
        <f>IFERROR(__xludf.DUMMYFUNCTION("IFERROR(GOOGLEFINANCE(B378,""price""),"""")"),43.08)</f>
        <v>43.08</v>
      </c>
    </row>
    <row r="379">
      <c r="A379" s="15">
        <v>46085.62765968371</v>
      </c>
      <c r="B379" s="16" t="s">
        <v>1973</v>
      </c>
      <c r="C379" s="16" t="s">
        <v>1974</v>
      </c>
      <c r="D379" s="17">
        <v>46089.0</v>
      </c>
      <c r="E379" s="16" t="s">
        <v>1975</v>
      </c>
      <c r="F379" s="18">
        <v>56.4414</v>
      </c>
      <c r="G379" s="19">
        <v>-0.5263</v>
      </c>
      <c r="H379" s="16" t="s">
        <v>917</v>
      </c>
      <c r="I379" s="20">
        <v>784253.0</v>
      </c>
      <c r="J379" s="19">
        <v>21.1612</v>
      </c>
      <c r="K379" s="21">
        <v>0.9317</v>
      </c>
      <c r="L379" s="21">
        <v>2.0226</v>
      </c>
      <c r="M379" s="21">
        <v>294724.5</v>
      </c>
      <c r="N379" s="21">
        <v>3.6114</v>
      </c>
      <c r="O379" s="20">
        <v>1.92913291818E11</v>
      </c>
      <c r="P379" s="21">
        <v>36.3057</v>
      </c>
      <c r="Q379" s="21">
        <v>36.2853</v>
      </c>
      <c r="R379" s="19">
        <v>52.612</v>
      </c>
      <c r="S379" s="21">
        <v>56.8075</v>
      </c>
      <c r="T379" s="21">
        <v>56.4514</v>
      </c>
      <c r="U379" s="21">
        <v>55.8162</v>
      </c>
      <c r="V379" s="21">
        <v>55.1828</v>
      </c>
      <c r="W379" s="21">
        <v>55.0151</v>
      </c>
      <c r="X379" s="21">
        <v>54.0881</v>
      </c>
      <c r="Y379" s="21">
        <v>52.482</v>
      </c>
      <c r="Z379" s="21">
        <v>51.4878</v>
      </c>
      <c r="AA379" s="21">
        <v>58.65</v>
      </c>
      <c r="AB379" s="21">
        <v>17.1019</v>
      </c>
      <c r="AC379" s="21">
        <v>3.3003</v>
      </c>
      <c r="AD379" s="21">
        <v>13.0533</v>
      </c>
      <c r="AE379" s="21">
        <v>26.8934</v>
      </c>
      <c r="AF379" s="21">
        <v>8.6905</v>
      </c>
      <c r="AG379" s="21">
        <v>1.7594</v>
      </c>
      <c r="AH379" s="21">
        <v>0.5953</v>
      </c>
      <c r="AI379" s="21">
        <v>1.7563</v>
      </c>
      <c r="AJ379" s="19">
        <v>0.92</v>
      </c>
      <c r="AK379" s="16" t="s">
        <v>1976</v>
      </c>
      <c r="AL379" s="22" t="str">
        <f>IFERROR(__xludf.DUMMYFUNCTION("IFERROR(GOOGLEFINANCE(B379,""price""),"""")"),"")</f>
        <v/>
      </c>
    </row>
    <row r="380">
      <c r="A380" s="7">
        <v>46085.62765968371</v>
      </c>
      <c r="B380" s="8" t="s">
        <v>1977</v>
      </c>
      <c r="C380" s="8" t="s">
        <v>1978</v>
      </c>
      <c r="D380" s="9">
        <v>46089.0</v>
      </c>
      <c r="E380" s="8" t="s">
        <v>1979</v>
      </c>
      <c r="F380" s="10">
        <v>7.36</v>
      </c>
      <c r="G380" s="11">
        <v>14.2857</v>
      </c>
      <c r="H380" s="8" t="s">
        <v>102</v>
      </c>
      <c r="I380" s="12">
        <v>3568881.0</v>
      </c>
      <c r="J380" s="11">
        <v>22.9667</v>
      </c>
      <c r="K380" s="13">
        <v>0.489</v>
      </c>
      <c r="L380" s="13">
        <v>0.8098</v>
      </c>
      <c r="M380" s="8">
        <v>2264506.0</v>
      </c>
      <c r="N380" s="13">
        <v>1.8273</v>
      </c>
      <c r="O380" s="12">
        <v>8.58586526E8</v>
      </c>
      <c r="P380" s="13">
        <v>31.8292</v>
      </c>
      <c r="Q380" s="13">
        <v>33.7375</v>
      </c>
      <c r="R380" s="11">
        <v>62.1813</v>
      </c>
      <c r="S380" s="13">
        <v>6.8323</v>
      </c>
      <c r="T380" s="13">
        <v>6.7302</v>
      </c>
      <c r="U380" s="13">
        <v>6.6882</v>
      </c>
      <c r="V380" s="13">
        <v>6.6885</v>
      </c>
      <c r="W380" s="13">
        <v>6.6948</v>
      </c>
      <c r="X380" s="13">
        <v>6.7491</v>
      </c>
      <c r="Y380" s="13">
        <v>6.7214</v>
      </c>
      <c r="Z380" s="13">
        <v>6.8801</v>
      </c>
      <c r="AA380" s="13">
        <v>8.9662</v>
      </c>
      <c r="AB380" s="13">
        <v>0.0</v>
      </c>
      <c r="AC380" s="13">
        <v>-0.1023</v>
      </c>
      <c r="AD380" s="13">
        <v>-2.6751</v>
      </c>
      <c r="AE380" s="13">
        <v>5.3978</v>
      </c>
      <c r="AF380" s="13">
        <v>4.1243</v>
      </c>
      <c r="AG380" s="13">
        <v>0.7703</v>
      </c>
      <c r="AH380" s="13">
        <v>2.4282</v>
      </c>
      <c r="AI380" s="13">
        <v>1.9579</v>
      </c>
      <c r="AJ380" s="11">
        <v>1.21</v>
      </c>
      <c r="AK380" s="8" t="s">
        <v>1712</v>
      </c>
      <c r="AL380" s="14">
        <f>IFERROR(__xludf.DUMMYFUNCTION("IFERROR(GOOGLEFINANCE(B380,""price""),"""")"),5.75)</f>
        <v>5.75</v>
      </c>
    </row>
    <row r="381">
      <c r="A381" s="7">
        <v>46086.626787729685</v>
      </c>
      <c r="B381" s="8" t="s">
        <v>1386</v>
      </c>
      <c r="C381" s="8" t="s">
        <v>1387</v>
      </c>
      <c r="D381" s="9">
        <v>46089.0</v>
      </c>
      <c r="E381" s="8" t="s">
        <v>1388</v>
      </c>
      <c r="F381" s="10">
        <v>207.205</v>
      </c>
      <c r="G381" s="11">
        <v>-0.0314</v>
      </c>
      <c r="H381" s="8" t="s">
        <v>102</v>
      </c>
      <c r="I381" s="12">
        <v>1912223.0</v>
      </c>
      <c r="J381" s="11">
        <v>21.2991</v>
      </c>
      <c r="K381" s="13">
        <v>0.4725</v>
      </c>
      <c r="L381" s="13">
        <v>2.7183</v>
      </c>
      <c r="M381" s="8">
        <v>1663004.0</v>
      </c>
      <c r="N381" s="13">
        <v>1.2139</v>
      </c>
      <c r="O381" s="12">
        <v>9.917990393E9</v>
      </c>
      <c r="P381" s="13">
        <v>50.4545</v>
      </c>
      <c r="Q381" s="13">
        <v>44.6104</v>
      </c>
      <c r="R381" s="11">
        <v>52.0093</v>
      </c>
      <c r="S381" s="13">
        <v>207.1679</v>
      </c>
      <c r="T381" s="13">
        <v>207.1504</v>
      </c>
      <c r="U381" s="13">
        <v>206.9675</v>
      </c>
      <c r="V381" s="13">
        <v>206.4845</v>
      </c>
      <c r="W381" s="13">
        <v>206.2722</v>
      </c>
      <c r="X381" s="13">
        <v>204.1135</v>
      </c>
      <c r="Y381" s="13">
        <v>194.3436</v>
      </c>
      <c r="Z381" s="13">
        <v>192.5103</v>
      </c>
      <c r="AA381" s="13">
        <v>208.24</v>
      </c>
      <c r="AB381" s="13">
        <v>249.9457</v>
      </c>
      <c r="AC381" s="13">
        <v>0.829</v>
      </c>
      <c r="AD381" s="13">
        <v>1.3962</v>
      </c>
      <c r="AE381" s="13">
        <v>16.3754</v>
      </c>
      <c r="AF381" s="13">
        <v>5.4738</v>
      </c>
      <c r="AG381" s="13">
        <v>1.1392</v>
      </c>
      <c r="AH381" s="13">
        <v>1.3622</v>
      </c>
      <c r="AI381" s="13">
        <v>0.0967</v>
      </c>
      <c r="AJ381" s="11">
        <v>0.35</v>
      </c>
      <c r="AK381" s="8" t="s">
        <v>1962</v>
      </c>
      <c r="AL381" s="14">
        <f>IFERROR(__xludf.DUMMYFUNCTION("IFERROR(GOOGLEFINANCE(B381,""price""),"""")"),207.79)</f>
        <v>207.79</v>
      </c>
    </row>
    <row r="382">
      <c r="A382" s="15">
        <v>46086.626787729685</v>
      </c>
      <c r="B382" s="16" t="s">
        <v>1601</v>
      </c>
      <c r="C382" s="16" t="s">
        <v>1602</v>
      </c>
      <c r="D382" s="17">
        <v>46089.0</v>
      </c>
      <c r="E382" s="16" t="s">
        <v>1603</v>
      </c>
      <c r="F382" s="18">
        <v>64.635</v>
      </c>
      <c r="G382" s="19">
        <v>-0.1313</v>
      </c>
      <c r="H382" s="16" t="s">
        <v>93</v>
      </c>
      <c r="I382" s="20">
        <v>4430681.0</v>
      </c>
      <c r="J382" s="19">
        <v>39.3626</v>
      </c>
      <c r="K382" s="21">
        <v>0.1156</v>
      </c>
      <c r="L382" s="21">
        <v>0.6719</v>
      </c>
      <c r="M382" s="16">
        <v>2305208.0</v>
      </c>
      <c r="N382" s="21">
        <v>2.1819</v>
      </c>
      <c r="O382" s="20">
        <v>7.241408734E9</v>
      </c>
      <c r="P382" s="21">
        <v>18.1373</v>
      </c>
      <c r="Q382" s="21">
        <v>29.4788</v>
      </c>
      <c r="R382" s="19">
        <v>47.6258</v>
      </c>
      <c r="S382" s="21">
        <v>64.744</v>
      </c>
      <c r="T382" s="21">
        <v>64.7091</v>
      </c>
      <c r="U382" s="21">
        <v>64.6188</v>
      </c>
      <c r="V382" s="21">
        <v>64.4789</v>
      </c>
      <c r="W382" s="21">
        <v>64.4246</v>
      </c>
      <c r="X382" s="21">
        <v>63.8746</v>
      </c>
      <c r="Y382" s="21">
        <v>60.9215</v>
      </c>
      <c r="Z382" s="21">
        <v>61.736</v>
      </c>
      <c r="AA382" s="21">
        <v>64.96</v>
      </c>
      <c r="AB382" s="21">
        <v>6.9463</v>
      </c>
      <c r="AC382" s="21">
        <v>9.305</v>
      </c>
      <c r="AD382" s="21">
        <v>13.6003</v>
      </c>
      <c r="AE382" s="21">
        <v>49.5099</v>
      </c>
      <c r="AF382" s="21">
        <v>14.2078</v>
      </c>
      <c r="AG382" s="21">
        <v>2.3287</v>
      </c>
      <c r="AH382" s="21">
        <v>0.0521</v>
      </c>
      <c r="AI382" s="21">
        <v>0.1937</v>
      </c>
      <c r="AJ382" s="19">
        <v>0.34</v>
      </c>
      <c r="AK382" s="16" t="s">
        <v>1980</v>
      </c>
      <c r="AL382" s="22">
        <f>IFERROR(__xludf.DUMMYFUNCTION("IFERROR(GOOGLEFINANCE(B382,""price""),"""")"),65.0)</f>
        <v>65</v>
      </c>
    </row>
    <row r="383">
      <c r="A383" s="7">
        <v>46086.626787729685</v>
      </c>
      <c r="B383" s="8" t="s">
        <v>1773</v>
      </c>
      <c r="C383" s="8" t="s">
        <v>1774</v>
      </c>
      <c r="D383" s="9">
        <v>46089.0</v>
      </c>
      <c r="E383" s="8" t="s">
        <v>1775</v>
      </c>
      <c r="F383" s="10">
        <v>10.95</v>
      </c>
      <c r="G383" s="11">
        <v>0.0914</v>
      </c>
      <c r="H383" s="8" t="s">
        <v>93</v>
      </c>
      <c r="I383" s="12">
        <v>475333.0</v>
      </c>
      <c r="J383" s="11">
        <v>53.3313</v>
      </c>
      <c r="K383" s="13">
        <v>0.0751</v>
      </c>
      <c r="L383" s="13">
        <v>0.1401</v>
      </c>
      <c r="M383" s="13">
        <v>120187.0</v>
      </c>
      <c r="N383" s="13">
        <v>5.9523</v>
      </c>
      <c r="O383" s="12">
        <v>2.37009615E8</v>
      </c>
      <c r="P383" s="13">
        <v>7.2222</v>
      </c>
      <c r="Q383" s="13">
        <v>7.1797</v>
      </c>
      <c r="R383" s="11">
        <v>51.6206</v>
      </c>
      <c r="S383" s="13">
        <v>10.9484</v>
      </c>
      <c r="T383" s="13">
        <v>10.9391</v>
      </c>
      <c r="U383" s="13">
        <v>10.9239</v>
      </c>
      <c r="V383" s="13">
        <v>10.9071</v>
      </c>
      <c r="W383" s="13">
        <v>10.9022</v>
      </c>
      <c r="X383" s="13">
        <v>10.8683</v>
      </c>
      <c r="Y383" s="13">
        <v>10.743</v>
      </c>
      <c r="Z383" s="13">
        <v>10.7558</v>
      </c>
      <c r="AA383" s="13">
        <v>11.5</v>
      </c>
      <c r="AB383" s="13">
        <v>35.7726</v>
      </c>
      <c r="AC383" s="13">
        <v>0.3061</v>
      </c>
      <c r="AD383" s="13">
        <v>3.7822</v>
      </c>
      <c r="AE383" s="13">
        <v>0.0</v>
      </c>
      <c r="AF383" s="13">
        <v>0.0</v>
      </c>
      <c r="AG383" s="13">
        <v>0.0</v>
      </c>
      <c r="AH383" s="13">
        <v>0.0</v>
      </c>
      <c r="AI383" s="13">
        <v>0.2237</v>
      </c>
      <c r="AJ383" s="11">
        <v>1.07</v>
      </c>
      <c r="AK383" s="8" t="s">
        <v>1981</v>
      </c>
      <c r="AL383" s="14">
        <f>IFERROR(__xludf.DUMMYFUNCTION("IFERROR(GOOGLEFINANCE(B383,""price""),"""")"),11.01)</f>
        <v>11.01</v>
      </c>
    </row>
    <row r="384">
      <c r="A384" s="15">
        <v>46086.626787729685</v>
      </c>
      <c r="B384" s="16" t="s">
        <v>1953</v>
      </c>
      <c r="C384" s="16" t="s">
        <v>1954</v>
      </c>
      <c r="D384" s="17">
        <v>46089.0</v>
      </c>
      <c r="E384" s="16" t="s">
        <v>1955</v>
      </c>
      <c r="F384" s="18">
        <v>10.7</v>
      </c>
      <c r="G384" s="19">
        <v>0.0</v>
      </c>
      <c r="H384" s="16" t="s">
        <v>93</v>
      </c>
      <c r="I384" s="20">
        <v>480025.0</v>
      </c>
      <c r="J384" s="19">
        <v>31.2712</v>
      </c>
      <c r="K384" s="21">
        <v>0.082</v>
      </c>
      <c r="L384" s="21">
        <v>0.1034</v>
      </c>
      <c r="M384" s="21">
        <v>70811.1</v>
      </c>
      <c r="N384" s="21">
        <v>20.8984</v>
      </c>
      <c r="O384" s="20">
        <v>2.63035612E8</v>
      </c>
      <c r="P384" s="21">
        <v>100.0</v>
      </c>
      <c r="Q384" s="21">
        <v>81.1966</v>
      </c>
      <c r="R384" s="19">
        <v>56.0677</v>
      </c>
      <c r="S384" s="21">
        <v>10.6708</v>
      </c>
      <c r="T384" s="21">
        <v>10.6537</v>
      </c>
      <c r="U384" s="21">
        <v>10.6413</v>
      </c>
      <c r="V384" s="21">
        <v>10.6271</v>
      </c>
      <c r="W384" s="21">
        <v>10.6227</v>
      </c>
      <c r="X384" s="21">
        <v>10.589</v>
      </c>
      <c r="Y384" s="21">
        <v>10.4466</v>
      </c>
      <c r="Z384" s="21">
        <v>10.4841</v>
      </c>
      <c r="AA384" s="21">
        <v>10.85</v>
      </c>
      <c r="AB384" s="21">
        <v>38.2279</v>
      </c>
      <c r="AC384" s="21">
        <v>0.2799</v>
      </c>
      <c r="AD384" s="21">
        <v>7.1299</v>
      </c>
      <c r="AE384" s="21">
        <v>0.0</v>
      </c>
      <c r="AF384" s="21">
        <v>0.0</v>
      </c>
      <c r="AG384" s="21">
        <v>1.0E-4</v>
      </c>
      <c r="AH384" s="21">
        <v>1.2071</v>
      </c>
      <c r="AI384" s="21">
        <v>0.2759</v>
      </c>
      <c r="AJ384" s="19">
        <v>1.59</v>
      </c>
      <c r="AK384" s="16" t="s">
        <v>1956</v>
      </c>
      <c r="AL384" s="22">
        <f>IFERROR(__xludf.DUMMYFUNCTION("IFERROR(GOOGLEFINANCE(B384,""price""),"""")"),10.65)</f>
        <v>10.65</v>
      </c>
    </row>
    <row r="385">
      <c r="A385" s="7">
        <v>46086.626787729685</v>
      </c>
      <c r="B385" s="8" t="s">
        <v>1982</v>
      </c>
      <c r="C385" s="8" t="s">
        <v>1983</v>
      </c>
      <c r="D385" s="9">
        <v>46089.0</v>
      </c>
      <c r="E385" s="8" t="s">
        <v>1984</v>
      </c>
      <c r="F385" s="10">
        <v>5.175</v>
      </c>
      <c r="G385" s="11">
        <v>3.2934</v>
      </c>
      <c r="H385" s="8" t="s">
        <v>270</v>
      </c>
      <c r="I385" s="12">
        <v>1391021.0</v>
      </c>
      <c r="J385" s="11">
        <v>20.7883</v>
      </c>
      <c r="K385" s="13">
        <v>0.3288</v>
      </c>
      <c r="L385" s="13">
        <v>0.7318</v>
      </c>
      <c r="M385" s="8">
        <v>1145980.0</v>
      </c>
      <c r="N385" s="13">
        <v>1.2208</v>
      </c>
      <c r="O385" s="12">
        <v>9.36008427E8</v>
      </c>
      <c r="P385" s="13">
        <v>24.8619</v>
      </c>
      <c r="Q385" s="13">
        <v>24.0025</v>
      </c>
      <c r="R385" s="11">
        <v>52.3125</v>
      </c>
      <c r="S385" s="13">
        <v>5.1096</v>
      </c>
      <c r="T385" s="13">
        <v>5.13</v>
      </c>
      <c r="U385" s="13">
        <v>5.0296</v>
      </c>
      <c r="V385" s="13">
        <v>4.9008</v>
      </c>
      <c r="W385" s="13">
        <v>4.8693</v>
      </c>
      <c r="X385" s="13">
        <v>4.781</v>
      </c>
      <c r="Y385" s="13">
        <v>5.1512</v>
      </c>
      <c r="Z385" s="13">
        <v>5.3248</v>
      </c>
      <c r="AA385" s="13">
        <v>10.7</v>
      </c>
      <c r="AB385" s="13">
        <v>0.0</v>
      </c>
      <c r="AC385" s="13">
        <v>-2.0478</v>
      </c>
      <c r="AD385" s="13">
        <v>-31.4623</v>
      </c>
      <c r="AE385" s="13">
        <v>-6.7143</v>
      </c>
      <c r="AF385" s="13">
        <v>-11.922</v>
      </c>
      <c r="AG385" s="13">
        <v>1.2992</v>
      </c>
      <c r="AH385" s="13">
        <v>0.9088</v>
      </c>
      <c r="AI385" s="13">
        <v>1.5465</v>
      </c>
      <c r="AJ385" s="11">
        <v>0.9</v>
      </c>
      <c r="AK385" s="23"/>
      <c r="AL385" s="14">
        <f>IFERROR(__xludf.DUMMYFUNCTION("IFERROR(GOOGLEFINANCE(B385,""price""),"""")"),5.88)</f>
        <v>5.88</v>
      </c>
    </row>
    <row r="386">
      <c r="A386" s="15">
        <v>46086.626787729685</v>
      </c>
      <c r="B386" s="16" t="s">
        <v>1985</v>
      </c>
      <c r="C386" s="16" t="s">
        <v>1986</v>
      </c>
      <c r="D386" s="17">
        <v>46089.0</v>
      </c>
      <c r="E386" s="16" t="s">
        <v>1987</v>
      </c>
      <c r="F386" s="18">
        <v>52.16</v>
      </c>
      <c r="G386" s="19">
        <v>1.9746</v>
      </c>
      <c r="H386" s="16" t="s">
        <v>107</v>
      </c>
      <c r="I386" s="20">
        <v>3906533.0</v>
      </c>
      <c r="J386" s="19">
        <v>20.2031</v>
      </c>
      <c r="K386" s="21">
        <v>3.0704</v>
      </c>
      <c r="L386" s="21">
        <v>5.8421</v>
      </c>
      <c r="M386" s="16">
        <v>2602548.0</v>
      </c>
      <c r="N386" s="21">
        <v>1.5674</v>
      </c>
      <c r="O386" s="20">
        <v>5.715274025E9</v>
      </c>
      <c r="P386" s="21">
        <v>33.745</v>
      </c>
      <c r="Q386" s="21">
        <v>27.5899</v>
      </c>
      <c r="R386" s="19">
        <v>52.7906</v>
      </c>
      <c r="S386" s="21">
        <v>51.5091</v>
      </c>
      <c r="T386" s="21">
        <v>51.7109</v>
      </c>
      <c r="U386" s="21">
        <v>50.6818</v>
      </c>
      <c r="V386" s="21">
        <v>49.3628</v>
      </c>
      <c r="W386" s="21">
        <v>49.0197</v>
      </c>
      <c r="X386" s="21">
        <v>47.6617</v>
      </c>
      <c r="Y386" s="21">
        <v>51.0793</v>
      </c>
      <c r="Z386" s="21">
        <v>47.6179</v>
      </c>
      <c r="AA386" s="21">
        <v>63.55</v>
      </c>
      <c r="AB386" s="21">
        <v>0.0</v>
      </c>
      <c r="AC386" s="21">
        <v>-10.5906</v>
      </c>
      <c r="AD386" s="21">
        <v>-24.6964</v>
      </c>
      <c r="AE386" s="21">
        <v>8.0469</v>
      </c>
      <c r="AF386" s="21">
        <v>-7.1595</v>
      </c>
      <c r="AG386" s="21">
        <v>3.1944</v>
      </c>
      <c r="AH386" s="21">
        <v>1.5458</v>
      </c>
      <c r="AI386" s="21">
        <v>1.586</v>
      </c>
      <c r="AJ386" s="19">
        <v>1.05</v>
      </c>
      <c r="AK386" s="24"/>
      <c r="AL386" s="22">
        <f>IFERROR(__xludf.DUMMYFUNCTION("IFERROR(GOOGLEFINANCE(B386,""price""),"""")"),63.13)</f>
        <v>63.13</v>
      </c>
    </row>
    <row r="387">
      <c r="A387" s="7">
        <v>46086.626787729685</v>
      </c>
      <c r="B387" s="8" t="s">
        <v>1645</v>
      </c>
      <c r="C387" s="8" t="s">
        <v>1646</v>
      </c>
      <c r="D387" s="9">
        <v>46089.0</v>
      </c>
      <c r="E387" s="8" t="s">
        <v>1647</v>
      </c>
      <c r="F387" s="10">
        <v>16.245</v>
      </c>
      <c r="G387" s="11">
        <v>-0.0308</v>
      </c>
      <c r="H387" s="8" t="s">
        <v>190</v>
      </c>
      <c r="I387" s="12">
        <v>3130378.0</v>
      </c>
      <c r="J387" s="11">
        <v>31.037</v>
      </c>
      <c r="K387" s="13">
        <v>0.3811</v>
      </c>
      <c r="L387" s="13">
        <v>1.0422</v>
      </c>
      <c r="M387" s="8">
        <v>2788832.0</v>
      </c>
      <c r="N387" s="13">
        <v>1.2024</v>
      </c>
      <c r="O387" s="12">
        <v>2.014677207E9</v>
      </c>
      <c r="P387" s="13">
        <v>83.7794</v>
      </c>
      <c r="Q387" s="13">
        <v>63.3955</v>
      </c>
      <c r="R387" s="11">
        <v>63.891</v>
      </c>
      <c r="S387" s="13">
        <v>15.7248</v>
      </c>
      <c r="T387" s="13">
        <v>15.5577</v>
      </c>
      <c r="U387" s="13">
        <v>15.4493</v>
      </c>
      <c r="V387" s="13">
        <v>15.2975</v>
      </c>
      <c r="W387" s="13">
        <v>15.2496</v>
      </c>
      <c r="X387" s="13">
        <v>14.9882</v>
      </c>
      <c r="Y387" s="13">
        <v>14.981</v>
      </c>
      <c r="Z387" s="13">
        <v>14.2803</v>
      </c>
      <c r="AA387" s="13">
        <v>18.605</v>
      </c>
      <c r="AB387" s="13">
        <v>14.0261</v>
      </c>
      <c r="AC387" s="13">
        <v>1.1582</v>
      </c>
      <c r="AD387" s="13">
        <v>8.4395</v>
      </c>
      <c r="AE387" s="13">
        <v>6.1359</v>
      </c>
      <c r="AF387" s="13">
        <v>-17.659</v>
      </c>
      <c r="AG387" s="13">
        <v>1.682</v>
      </c>
      <c r="AH387" s="13">
        <v>1.0414</v>
      </c>
      <c r="AI387" s="13">
        <v>1.6955</v>
      </c>
      <c r="AJ387" s="11">
        <v>0.73</v>
      </c>
      <c r="AK387" s="8" t="s">
        <v>1988</v>
      </c>
      <c r="AL387" s="14">
        <f>IFERROR(__xludf.DUMMYFUNCTION("IFERROR(GOOGLEFINANCE(B387,""price""),"""")"),16.37)</f>
        <v>16.37</v>
      </c>
    </row>
    <row r="388">
      <c r="A388" s="7">
        <v>46087.6259414212</v>
      </c>
      <c r="B388" s="8" t="s">
        <v>1880</v>
      </c>
      <c r="C388" s="8" t="s">
        <v>1881</v>
      </c>
      <c r="D388" s="9">
        <v>46089.0</v>
      </c>
      <c r="E388" s="8" t="s">
        <v>1882</v>
      </c>
      <c r="F388" s="10">
        <v>11.48</v>
      </c>
      <c r="G388" s="11">
        <v>0.1745</v>
      </c>
      <c r="H388" s="8" t="s">
        <v>93</v>
      </c>
      <c r="I388" s="12">
        <v>1076479.0</v>
      </c>
      <c r="J388" s="11">
        <v>32.1417</v>
      </c>
      <c r="K388" s="13">
        <v>0.0732</v>
      </c>
      <c r="L388" s="13">
        <v>0.1022</v>
      </c>
      <c r="M388" s="13">
        <v>527756.0</v>
      </c>
      <c r="N388" s="13">
        <v>2.5618</v>
      </c>
      <c r="O388" s="12">
        <v>3.34934729E8</v>
      </c>
      <c r="P388" s="13">
        <v>95.082</v>
      </c>
      <c r="Q388" s="13">
        <v>72.7296</v>
      </c>
      <c r="R388" s="11">
        <v>61.7905</v>
      </c>
      <c r="S388" s="13">
        <v>11.4618</v>
      </c>
      <c r="T388" s="13">
        <v>11.4462</v>
      </c>
      <c r="U388" s="13">
        <v>11.4317</v>
      </c>
      <c r="V388" s="13">
        <v>11.4136</v>
      </c>
      <c r="W388" s="13">
        <v>11.4078</v>
      </c>
      <c r="X388" s="13">
        <v>11.3659</v>
      </c>
      <c r="Y388" s="13">
        <v>11.2201</v>
      </c>
      <c r="Z388" s="13">
        <v>11.2203</v>
      </c>
      <c r="AA388" s="13">
        <v>11.5</v>
      </c>
      <c r="AB388" s="13">
        <v>38.2157</v>
      </c>
      <c r="AC388" s="13">
        <v>0.3004</v>
      </c>
      <c r="AD388" s="13">
        <v>3.6877</v>
      </c>
      <c r="AE388" s="13">
        <v>0.0</v>
      </c>
      <c r="AF388" s="13">
        <v>0.0</v>
      </c>
      <c r="AG388" s="13">
        <v>0.0077</v>
      </c>
      <c r="AH388" s="13">
        <v>0.0196</v>
      </c>
      <c r="AI388" s="13">
        <v>0.262</v>
      </c>
      <c r="AJ388" s="11">
        <v>1.43</v>
      </c>
      <c r="AK388" s="8" t="s">
        <v>1989</v>
      </c>
      <c r="AL388" s="14" t="str">
        <f>IFERROR(__xludf.DUMMYFUNCTION("IFERROR(GOOGLEFINANCE(B388,""price""),"""")"),"")</f>
        <v/>
      </c>
    </row>
    <row r="389">
      <c r="A389" s="15">
        <v>46087.6259414212</v>
      </c>
      <c r="B389" s="16" t="s">
        <v>1526</v>
      </c>
      <c r="C389" s="16" t="s">
        <v>1527</v>
      </c>
      <c r="D389" s="17">
        <v>46089.0</v>
      </c>
      <c r="E389" s="16" t="s">
        <v>1528</v>
      </c>
      <c r="F389" s="18">
        <v>10.4701</v>
      </c>
      <c r="G389" s="19">
        <v>-0.1897</v>
      </c>
      <c r="H389" s="16" t="s">
        <v>93</v>
      </c>
      <c r="I389" s="20">
        <v>1411096.0</v>
      </c>
      <c r="J389" s="19">
        <v>36.4628</v>
      </c>
      <c r="K389" s="21">
        <v>0.0216</v>
      </c>
      <c r="L389" s="21">
        <v>0.0374</v>
      </c>
      <c r="M389" s="21">
        <v>217168.6</v>
      </c>
      <c r="N389" s="21">
        <v>18.5498</v>
      </c>
      <c r="O389" s="20">
        <v>3.50927834E8</v>
      </c>
      <c r="P389" s="21">
        <v>86.2691</v>
      </c>
      <c r="Q389" s="21">
        <v>77.6452</v>
      </c>
      <c r="R389" s="19">
        <v>57.9809</v>
      </c>
      <c r="S389" s="21">
        <v>10.4684</v>
      </c>
      <c r="T389" s="21">
        <v>10.4524</v>
      </c>
      <c r="U389" s="21">
        <v>10.4372</v>
      </c>
      <c r="V389" s="21">
        <v>10.4199</v>
      </c>
      <c r="W389" s="21">
        <v>10.4147</v>
      </c>
      <c r="X389" s="21">
        <v>10.3815</v>
      </c>
      <c r="Y389" s="21">
        <v>10.2788</v>
      </c>
      <c r="Z389" s="21">
        <v>10.286</v>
      </c>
      <c r="AA389" s="21">
        <v>10.49</v>
      </c>
      <c r="AB389" s="21">
        <v>62.1371</v>
      </c>
      <c r="AC389" s="21">
        <v>0.1685</v>
      </c>
      <c r="AD389" s="21">
        <v>4.8957</v>
      </c>
      <c r="AE389" s="21">
        <v>0.0</v>
      </c>
      <c r="AF389" s="21">
        <v>0.0</v>
      </c>
      <c r="AG389" s="21">
        <v>0.0</v>
      </c>
      <c r="AH389" s="21">
        <v>0.0618</v>
      </c>
      <c r="AI389" s="21">
        <v>0.2978</v>
      </c>
      <c r="AJ389" s="19">
        <v>1.16</v>
      </c>
      <c r="AK389" s="16" t="s">
        <v>1990</v>
      </c>
      <c r="AL389" s="22">
        <f>IFERROR(__xludf.DUMMYFUNCTION("IFERROR(GOOGLEFINANCE(B389,""price""),"""")"),10.52)</f>
        <v>10.52</v>
      </c>
    </row>
    <row r="390">
      <c r="A390" s="7">
        <v>46087.6259414212</v>
      </c>
      <c r="B390" s="8" t="s">
        <v>1991</v>
      </c>
      <c r="C390" s="8" t="s">
        <v>1992</v>
      </c>
      <c r="D390" s="9">
        <v>46089.0</v>
      </c>
      <c r="E390" s="8" t="s">
        <v>1993</v>
      </c>
      <c r="F390" s="10">
        <v>6.59</v>
      </c>
      <c r="G390" s="11">
        <v>17.4688</v>
      </c>
      <c r="H390" s="8" t="s">
        <v>117</v>
      </c>
      <c r="I390" s="12">
        <v>4071463.0</v>
      </c>
      <c r="J390" s="11">
        <v>20.6894</v>
      </c>
      <c r="K390" s="13">
        <v>0.5009</v>
      </c>
      <c r="L390" s="13">
        <v>0.9519</v>
      </c>
      <c r="M390" s="8">
        <v>1122862.0</v>
      </c>
      <c r="N390" s="13">
        <v>5.1983</v>
      </c>
      <c r="O390" s="12">
        <v>5.13428495E8</v>
      </c>
      <c r="P390" s="13">
        <v>62.4003</v>
      </c>
      <c r="Q390" s="13">
        <v>54.1648</v>
      </c>
      <c r="R390" s="11">
        <v>56.6373</v>
      </c>
      <c r="S390" s="13">
        <v>6.1362</v>
      </c>
      <c r="T390" s="13">
        <v>6.1349</v>
      </c>
      <c r="U390" s="13">
        <v>6.0946</v>
      </c>
      <c r="V390" s="13">
        <v>6.0173</v>
      </c>
      <c r="W390" s="13">
        <v>5.9933</v>
      </c>
      <c r="X390" s="13">
        <v>5.8506</v>
      </c>
      <c r="Y390" s="13">
        <v>5.5972</v>
      </c>
      <c r="Z390" s="13">
        <v>5.512</v>
      </c>
      <c r="AA390" s="13">
        <v>7.37</v>
      </c>
      <c r="AB390" s="13">
        <v>0.0</v>
      </c>
      <c r="AC390" s="13">
        <v>-2.4938</v>
      </c>
      <c r="AD390" s="13">
        <v>-86.8301</v>
      </c>
      <c r="AE390" s="13">
        <v>0.0</v>
      </c>
      <c r="AF390" s="13">
        <v>0.0</v>
      </c>
      <c r="AG390" s="13">
        <v>0.1007</v>
      </c>
      <c r="AH390" s="13">
        <v>6.7374</v>
      </c>
      <c r="AI390" s="13">
        <v>0.6312</v>
      </c>
      <c r="AJ390" s="11">
        <v>1.05</v>
      </c>
      <c r="AK390" s="8" t="s">
        <v>1994</v>
      </c>
      <c r="AL390" s="14">
        <f>IFERROR(__xludf.DUMMYFUNCTION("IFERROR(GOOGLEFINANCE(B390,""price""),"""")"),8.02)</f>
        <v>8.02</v>
      </c>
    </row>
    <row r="391">
      <c r="A391" s="15">
        <v>46087.6259414212</v>
      </c>
      <c r="B391" s="16" t="s">
        <v>1995</v>
      </c>
      <c r="C391" s="16" t="s">
        <v>1996</v>
      </c>
      <c r="D391" s="17">
        <v>46089.0</v>
      </c>
      <c r="E391" s="16" t="s">
        <v>1997</v>
      </c>
      <c r="F391" s="18">
        <v>64.89</v>
      </c>
      <c r="G391" s="19">
        <v>4.5433</v>
      </c>
      <c r="H391" s="16" t="s">
        <v>102</v>
      </c>
      <c r="I391" s="20">
        <v>473875.0</v>
      </c>
      <c r="J391" s="19">
        <v>20.9087</v>
      </c>
      <c r="K391" s="21">
        <v>3.9245</v>
      </c>
      <c r="L391" s="21">
        <v>5.2991</v>
      </c>
      <c r="M391" s="21">
        <v>187793.9</v>
      </c>
      <c r="N391" s="21">
        <v>2.9899</v>
      </c>
      <c r="O391" s="20">
        <v>1.099463495E9</v>
      </c>
      <c r="P391" s="21">
        <v>46.4534</v>
      </c>
      <c r="Q391" s="21">
        <v>36.3305</v>
      </c>
      <c r="R391" s="19">
        <v>51.6099</v>
      </c>
      <c r="S391" s="21">
        <v>64.4359</v>
      </c>
      <c r="T391" s="21">
        <v>64.6564</v>
      </c>
      <c r="U391" s="21">
        <v>63.702</v>
      </c>
      <c r="V391" s="21">
        <v>62.2418</v>
      </c>
      <c r="W391" s="21">
        <v>61.7772</v>
      </c>
      <c r="X391" s="21">
        <v>58.6873</v>
      </c>
      <c r="Y391" s="21">
        <v>50.3207</v>
      </c>
      <c r="Z391" s="21">
        <v>48.925</v>
      </c>
      <c r="AA391" s="21">
        <v>70.0</v>
      </c>
      <c r="AB391" s="21">
        <v>49.316</v>
      </c>
      <c r="AC391" s="21">
        <v>1.3158</v>
      </c>
      <c r="AD391" s="21">
        <v>7.7816</v>
      </c>
      <c r="AE391" s="21">
        <v>8.6613</v>
      </c>
      <c r="AF391" s="21">
        <v>4.6248</v>
      </c>
      <c r="AG391" s="21">
        <v>0.6722</v>
      </c>
      <c r="AH391" s="21">
        <v>3.6559</v>
      </c>
      <c r="AI391" s="21">
        <v>1.1311</v>
      </c>
      <c r="AJ391" s="19">
        <v>1.48</v>
      </c>
      <c r="AK391" s="16" t="s">
        <v>1998</v>
      </c>
      <c r="AL391" s="22">
        <f>IFERROR(__xludf.DUMMYFUNCTION("IFERROR(GOOGLEFINANCE(B391,""price""),"""")"),72.85)</f>
        <v>72.85</v>
      </c>
    </row>
    <row r="392">
      <c r="A392" s="7">
        <v>46090.66812780971</v>
      </c>
      <c r="B392" s="8" t="s">
        <v>1386</v>
      </c>
      <c r="C392" s="8" t="s">
        <v>1387</v>
      </c>
      <c r="D392" s="9">
        <v>46096.0</v>
      </c>
      <c r="E392" s="8" t="s">
        <v>1388</v>
      </c>
      <c r="F392" s="10">
        <v>207.2</v>
      </c>
      <c r="G392" s="11">
        <v>0.0193</v>
      </c>
      <c r="H392" s="8" t="s">
        <v>102</v>
      </c>
      <c r="I392" s="12">
        <v>3963036.0</v>
      </c>
      <c r="J392" s="11">
        <v>21.2142</v>
      </c>
      <c r="K392" s="13">
        <v>0.4694</v>
      </c>
      <c r="L392" s="13">
        <v>2.5702</v>
      </c>
      <c r="M392" s="8">
        <v>1960299.0</v>
      </c>
      <c r="N392" s="13">
        <v>2.3718</v>
      </c>
      <c r="O392" s="12">
        <v>9.917751036E9</v>
      </c>
      <c r="P392" s="13">
        <v>62.7273</v>
      </c>
      <c r="Q392" s="13">
        <v>59.697</v>
      </c>
      <c r="R392" s="11">
        <v>51.8739</v>
      </c>
      <c r="S392" s="13">
        <v>207.1784</v>
      </c>
      <c r="T392" s="13">
        <v>207.1583</v>
      </c>
      <c r="U392" s="13">
        <v>206.9929</v>
      </c>
      <c r="V392" s="13">
        <v>206.5393</v>
      </c>
      <c r="W392" s="13">
        <v>206.337</v>
      </c>
      <c r="X392" s="13">
        <v>204.249</v>
      </c>
      <c r="Y392" s="13">
        <v>194.5981</v>
      </c>
      <c r="Z392" s="13">
        <v>192.8977</v>
      </c>
      <c r="AA392" s="13">
        <v>208.24</v>
      </c>
      <c r="AB392" s="13">
        <v>249.9397</v>
      </c>
      <c r="AC392" s="13">
        <v>0.829</v>
      </c>
      <c r="AD392" s="13">
        <v>1.3962</v>
      </c>
      <c r="AE392" s="13">
        <v>16.3754</v>
      </c>
      <c r="AF392" s="13">
        <v>5.4738</v>
      </c>
      <c r="AG392" s="13">
        <v>1.1392</v>
      </c>
      <c r="AH392" s="13">
        <v>1.3622</v>
      </c>
      <c r="AI392" s="13">
        <v>0.0895</v>
      </c>
      <c r="AJ392" s="11">
        <v>0.37</v>
      </c>
      <c r="AK392" s="8" t="s">
        <v>1999</v>
      </c>
      <c r="AL392" s="14">
        <f>IFERROR(__xludf.DUMMYFUNCTION("IFERROR(GOOGLEFINANCE(B392,""price""),"""")"),207.79)</f>
        <v>207.79</v>
      </c>
    </row>
    <row r="393">
      <c r="A393" s="15">
        <v>46090.66812780971</v>
      </c>
      <c r="B393" s="16" t="s">
        <v>2000</v>
      </c>
      <c r="C393" s="16" t="s">
        <v>2001</v>
      </c>
      <c r="D393" s="17">
        <v>46096.0</v>
      </c>
      <c r="E393" s="16" t="s">
        <v>2002</v>
      </c>
      <c r="F393" s="18">
        <v>10.52</v>
      </c>
      <c r="G393" s="19">
        <v>0.0</v>
      </c>
      <c r="H393" s="16" t="s">
        <v>93</v>
      </c>
      <c r="I393" s="20">
        <v>2218387.0</v>
      </c>
      <c r="J393" s="19">
        <v>41.6503</v>
      </c>
      <c r="K393" s="21">
        <v>0.0233</v>
      </c>
      <c r="L393" s="21">
        <v>0.0484</v>
      </c>
      <c r="M393" s="21">
        <v>239704.1</v>
      </c>
      <c r="N393" s="21">
        <v>121.6254</v>
      </c>
      <c r="O393" s="20">
        <v>2.55035047E8</v>
      </c>
      <c r="P393" s="21">
        <v>82.2222</v>
      </c>
      <c r="Q393" s="21">
        <v>78.3598</v>
      </c>
      <c r="R393" s="19">
        <v>56.371</v>
      </c>
      <c r="S393" s="21">
        <v>10.5131</v>
      </c>
      <c r="T393" s="21">
        <v>10.5081</v>
      </c>
      <c r="U393" s="21">
        <v>10.5005</v>
      </c>
      <c r="V393" s="21">
        <v>10.4862</v>
      </c>
      <c r="W393" s="21">
        <v>10.481</v>
      </c>
      <c r="X393" s="21">
        <v>10.4392</v>
      </c>
      <c r="Y393" s="21">
        <v>10.283</v>
      </c>
      <c r="Z393" s="21">
        <v>10.2856</v>
      </c>
      <c r="AA393" s="21">
        <v>10.64</v>
      </c>
      <c r="AB393" s="21">
        <v>57.019</v>
      </c>
      <c r="AC393" s="21">
        <v>0.1845</v>
      </c>
      <c r="AD393" s="21">
        <v>5.1786</v>
      </c>
      <c r="AE393" s="21">
        <v>0.0</v>
      </c>
      <c r="AF393" s="21">
        <v>0.0</v>
      </c>
      <c r="AG393" s="21">
        <v>0.0014</v>
      </c>
      <c r="AH393" s="21">
        <v>1.3094</v>
      </c>
      <c r="AI393" s="21">
        <v>0.1196</v>
      </c>
      <c r="AJ393" s="19">
        <v>0.96</v>
      </c>
      <c r="AK393" s="16" t="s">
        <v>2003</v>
      </c>
      <c r="AL393" s="22">
        <f>IFERROR(__xludf.DUMMYFUNCTION("IFERROR(GOOGLEFINANCE(B393,""price""),"""")"),10.56)</f>
        <v>10.56</v>
      </c>
    </row>
    <row r="394">
      <c r="A394" s="7">
        <v>46090.66812780971</v>
      </c>
      <c r="B394" s="8" t="s">
        <v>1601</v>
      </c>
      <c r="C394" s="8" t="s">
        <v>1602</v>
      </c>
      <c r="D394" s="9">
        <v>46096.0</v>
      </c>
      <c r="E394" s="8" t="s">
        <v>1603</v>
      </c>
      <c r="F394" s="10">
        <v>64.78</v>
      </c>
      <c r="G394" s="11">
        <v>0.403</v>
      </c>
      <c r="H394" s="8" t="s">
        <v>93</v>
      </c>
      <c r="I394" s="12">
        <v>3843882.0</v>
      </c>
      <c r="J394" s="11">
        <v>35.5997</v>
      </c>
      <c r="K394" s="13">
        <v>0.1317</v>
      </c>
      <c r="L394" s="13">
        <v>0.6526</v>
      </c>
      <c r="M394" s="8">
        <v>2697931.0</v>
      </c>
      <c r="N394" s="13">
        <v>1.5603</v>
      </c>
      <c r="O394" s="12">
        <v>7.257653354E9</v>
      </c>
      <c r="P394" s="13">
        <v>20.6644</v>
      </c>
      <c r="Q394" s="13">
        <v>15.3463</v>
      </c>
      <c r="R394" s="11">
        <v>55.894</v>
      </c>
      <c r="S394" s="13">
        <v>64.7099</v>
      </c>
      <c r="T394" s="13">
        <v>64.698</v>
      </c>
      <c r="U394" s="13">
        <v>64.6214</v>
      </c>
      <c r="V394" s="13">
        <v>64.4914</v>
      </c>
      <c r="W394" s="13">
        <v>64.4397</v>
      </c>
      <c r="X394" s="13">
        <v>63.9082</v>
      </c>
      <c r="Y394" s="13">
        <v>60.9951</v>
      </c>
      <c r="Z394" s="13">
        <v>61.8062</v>
      </c>
      <c r="AA394" s="13">
        <v>64.96</v>
      </c>
      <c r="AB394" s="13">
        <v>6.9618</v>
      </c>
      <c r="AC394" s="13">
        <v>9.305</v>
      </c>
      <c r="AD394" s="13">
        <v>13.6003</v>
      </c>
      <c r="AE394" s="13">
        <v>49.5099</v>
      </c>
      <c r="AF394" s="13">
        <v>14.2078</v>
      </c>
      <c r="AG394" s="13">
        <v>2.3287</v>
      </c>
      <c r="AH394" s="13">
        <v>0.0521</v>
      </c>
      <c r="AI394" s="13">
        <v>0.1366</v>
      </c>
      <c r="AJ394" s="11">
        <v>0.4</v>
      </c>
      <c r="AK394" s="8" t="s">
        <v>2004</v>
      </c>
      <c r="AL394" s="14">
        <f>IFERROR(__xludf.DUMMYFUNCTION("IFERROR(GOOGLEFINANCE(B394,""price""),"""")"),65.0)</f>
        <v>65</v>
      </c>
    </row>
    <row r="395">
      <c r="A395" s="15">
        <v>46090.66812780971</v>
      </c>
      <c r="B395" s="16" t="s">
        <v>2005</v>
      </c>
      <c r="C395" s="16" t="s">
        <v>2006</v>
      </c>
      <c r="D395" s="17">
        <v>46096.0</v>
      </c>
      <c r="E395" s="16" t="s">
        <v>2007</v>
      </c>
      <c r="F395" s="18">
        <v>3.77</v>
      </c>
      <c r="G395" s="19">
        <v>4.4321</v>
      </c>
      <c r="H395" s="16" t="s">
        <v>93</v>
      </c>
      <c r="I395" s="20">
        <v>364367.0</v>
      </c>
      <c r="J395" s="19">
        <v>22.3857</v>
      </c>
      <c r="K395" s="21">
        <v>0.3093</v>
      </c>
      <c r="L395" s="21">
        <v>0.5099</v>
      </c>
      <c r="M395" s="21">
        <v>161288.3</v>
      </c>
      <c r="N395" s="21">
        <v>2.7167</v>
      </c>
      <c r="O395" s="20">
        <v>1.32699383E8</v>
      </c>
      <c r="P395" s="21">
        <v>37.037</v>
      </c>
      <c r="Q395" s="21">
        <v>20.9918</v>
      </c>
      <c r="R395" s="19">
        <v>54.0298</v>
      </c>
      <c r="S395" s="21">
        <v>3.5806</v>
      </c>
      <c r="T395" s="21">
        <v>3.6298</v>
      </c>
      <c r="U395" s="21">
        <v>3.5715</v>
      </c>
      <c r="V395" s="21">
        <v>3.4506</v>
      </c>
      <c r="W395" s="21">
        <v>3.4117</v>
      </c>
      <c r="X395" s="21">
        <v>3.1881</v>
      </c>
      <c r="Y395" s="21">
        <v>2.9377</v>
      </c>
      <c r="Z395" s="21">
        <v>2.6775</v>
      </c>
      <c r="AA395" s="21">
        <v>4.3819</v>
      </c>
      <c r="AB395" s="21">
        <v>0.0</v>
      </c>
      <c r="AC395" s="21">
        <v>-0.1056</v>
      </c>
      <c r="AD395" s="21">
        <v>-3.0994</v>
      </c>
      <c r="AE395" s="21">
        <v>5.5229</v>
      </c>
      <c r="AF395" s="21">
        <v>3.3539</v>
      </c>
      <c r="AG395" s="21">
        <v>0.5831</v>
      </c>
      <c r="AH395" s="21">
        <v>2.1054</v>
      </c>
      <c r="AI395" s="21">
        <v>0.2408</v>
      </c>
      <c r="AJ395" s="19">
        <v>1.21</v>
      </c>
      <c r="AK395" s="16" t="s">
        <v>2008</v>
      </c>
      <c r="AL395" s="22">
        <f>IFERROR(__xludf.DUMMYFUNCTION("IFERROR(GOOGLEFINANCE(B395,""price""),"""")"),3.39)</f>
        <v>3.39</v>
      </c>
    </row>
    <row r="396">
      <c r="A396" s="7">
        <v>46090.66812780971</v>
      </c>
      <c r="B396" s="8" t="s">
        <v>1521</v>
      </c>
      <c r="C396" s="8" t="s">
        <v>1522</v>
      </c>
      <c r="D396" s="9">
        <v>46096.0</v>
      </c>
      <c r="E396" s="8" t="s">
        <v>1523</v>
      </c>
      <c r="F396" s="10">
        <v>10.41</v>
      </c>
      <c r="G396" s="11">
        <v>-0.2874</v>
      </c>
      <c r="H396" s="8" t="s">
        <v>93</v>
      </c>
      <c r="I396" s="12">
        <v>336618.0</v>
      </c>
      <c r="J396" s="11">
        <v>34.1606</v>
      </c>
      <c r="K396" s="13">
        <v>0.0305</v>
      </c>
      <c r="L396" s="13">
        <v>0.1552</v>
      </c>
      <c r="M396" s="13">
        <v>128127.5</v>
      </c>
      <c r="N396" s="13">
        <v>3.2674</v>
      </c>
      <c r="O396" s="12">
        <v>2.30407991E8</v>
      </c>
      <c r="P396" s="13">
        <v>71.2626</v>
      </c>
      <c r="Q396" s="13">
        <v>73.86</v>
      </c>
      <c r="R396" s="11">
        <v>60.6006</v>
      </c>
      <c r="S396" s="13">
        <v>10.4084</v>
      </c>
      <c r="T396" s="13">
        <v>10.3892</v>
      </c>
      <c r="U396" s="13">
        <v>10.3769</v>
      </c>
      <c r="V396" s="13">
        <v>10.3716</v>
      </c>
      <c r="W396" s="13">
        <v>10.3716</v>
      </c>
      <c r="X396" s="13">
        <v>10.3778</v>
      </c>
      <c r="Y396" s="13">
        <v>10.3033</v>
      </c>
      <c r="Z396" s="13">
        <v>10.4443</v>
      </c>
      <c r="AA396" s="13">
        <v>15.24</v>
      </c>
      <c r="AB396" s="13">
        <v>0.0</v>
      </c>
      <c r="AC396" s="13">
        <v>0.0</v>
      </c>
      <c r="AD396" s="13">
        <v>0.0</v>
      </c>
      <c r="AE396" s="13">
        <v>0.0</v>
      </c>
      <c r="AF396" s="13">
        <v>0.0</v>
      </c>
      <c r="AG396" s="13">
        <v>0.0</v>
      </c>
      <c r="AH396" s="13">
        <v>0.1697</v>
      </c>
      <c r="AI396" s="13">
        <v>0.3022</v>
      </c>
      <c r="AJ396" s="11">
        <v>0.39</v>
      </c>
      <c r="AK396" s="8" t="s">
        <v>2009</v>
      </c>
      <c r="AL396" s="14">
        <f>IFERROR(__xludf.DUMMYFUNCTION("IFERROR(GOOGLEFINANCE(B396,""price""),"""")"),10.48)</f>
        <v>10.48</v>
      </c>
    </row>
    <row r="397">
      <c r="A397" s="15">
        <v>46090.66812780971</v>
      </c>
      <c r="B397" s="16" t="s">
        <v>1502</v>
      </c>
      <c r="C397" s="16" t="s">
        <v>1503</v>
      </c>
      <c r="D397" s="17">
        <v>46096.0</v>
      </c>
      <c r="E397" s="16" t="s">
        <v>1504</v>
      </c>
      <c r="F397" s="18">
        <v>80.22</v>
      </c>
      <c r="G397" s="19">
        <v>0.4005</v>
      </c>
      <c r="H397" s="16" t="s">
        <v>88</v>
      </c>
      <c r="I397" s="20">
        <v>435751.0</v>
      </c>
      <c r="J397" s="19">
        <v>48.7918</v>
      </c>
      <c r="K397" s="21">
        <v>0.2857</v>
      </c>
      <c r="L397" s="21">
        <v>1.5192</v>
      </c>
      <c r="M397" s="21">
        <v>282011.1</v>
      </c>
      <c r="N397" s="21">
        <v>1.6479</v>
      </c>
      <c r="O397" s="20">
        <v>2.286425347E9</v>
      </c>
      <c r="P397" s="21">
        <v>66.534</v>
      </c>
      <c r="Q397" s="21">
        <v>56.73</v>
      </c>
      <c r="R397" s="19">
        <v>66.854</v>
      </c>
      <c r="S397" s="21">
        <v>79.9169</v>
      </c>
      <c r="T397" s="21">
        <v>79.7721</v>
      </c>
      <c r="U397" s="21">
        <v>79.5097</v>
      </c>
      <c r="V397" s="21">
        <v>78.9627</v>
      </c>
      <c r="W397" s="21">
        <v>78.7501</v>
      </c>
      <c r="X397" s="21">
        <v>77.0616</v>
      </c>
      <c r="Y397" s="21">
        <v>71.7655</v>
      </c>
      <c r="Z397" s="21">
        <v>70.5727</v>
      </c>
      <c r="AA397" s="21">
        <v>80.67</v>
      </c>
      <c r="AB397" s="21">
        <v>40.4212</v>
      </c>
      <c r="AC397" s="21">
        <v>1.9846</v>
      </c>
      <c r="AD397" s="21">
        <v>19.7366</v>
      </c>
      <c r="AE397" s="21">
        <v>12.1871</v>
      </c>
      <c r="AF397" s="21">
        <v>2.1751</v>
      </c>
      <c r="AG397" s="21">
        <v>1.9931</v>
      </c>
      <c r="AH397" s="21">
        <v>1.4408</v>
      </c>
      <c r="AI397" s="21">
        <v>0.5076</v>
      </c>
      <c r="AJ397" s="19">
        <v>0.38</v>
      </c>
      <c r="AK397" s="16" t="s">
        <v>2010</v>
      </c>
      <c r="AL397" s="22">
        <f>IFERROR(__xludf.DUMMYFUNCTION("IFERROR(GOOGLEFINANCE(B397,""price""),"""")"),80.04)</f>
        <v>80.04</v>
      </c>
    </row>
    <row r="398">
      <c r="A398" s="7">
        <v>46090.66812780971</v>
      </c>
      <c r="B398" s="8" t="s">
        <v>2011</v>
      </c>
      <c r="C398" s="8" t="s">
        <v>2012</v>
      </c>
      <c r="D398" s="9">
        <v>46096.0</v>
      </c>
      <c r="E398" s="8" t="s">
        <v>2013</v>
      </c>
      <c r="F398" s="10">
        <v>53.38</v>
      </c>
      <c r="G398" s="11">
        <v>2.9905</v>
      </c>
      <c r="H398" s="8" t="s">
        <v>149</v>
      </c>
      <c r="I398" s="12">
        <v>2448962.0</v>
      </c>
      <c r="J398" s="11">
        <v>20.7116</v>
      </c>
      <c r="K398" s="13">
        <v>1.5046</v>
      </c>
      <c r="L398" s="13">
        <v>2.9787</v>
      </c>
      <c r="M398" s="8">
        <v>1983334.0</v>
      </c>
      <c r="N398" s="13">
        <v>1.2821</v>
      </c>
      <c r="O398" s="12">
        <v>1.8848288395E10</v>
      </c>
      <c r="P398" s="13">
        <v>29.4326</v>
      </c>
      <c r="Q398" s="13">
        <v>26.0084</v>
      </c>
      <c r="R398" s="11">
        <v>50.7217</v>
      </c>
      <c r="S398" s="13">
        <v>53.2132</v>
      </c>
      <c r="T398" s="13">
        <v>53.4821</v>
      </c>
      <c r="U398" s="13">
        <v>52.8183</v>
      </c>
      <c r="V398" s="13">
        <v>51.8944</v>
      </c>
      <c r="W398" s="13">
        <v>51.6271</v>
      </c>
      <c r="X398" s="13">
        <v>50.177</v>
      </c>
      <c r="Y398" s="13">
        <v>47.9259</v>
      </c>
      <c r="Z398" s="13">
        <v>46.7551</v>
      </c>
      <c r="AA398" s="13">
        <v>58.39</v>
      </c>
      <c r="AB398" s="13">
        <v>21.3571</v>
      </c>
      <c r="AC398" s="13">
        <v>2.4994</v>
      </c>
      <c r="AD398" s="13">
        <v>16.7282</v>
      </c>
      <c r="AE398" s="13">
        <v>12.7066</v>
      </c>
      <c r="AF398" s="13">
        <v>4.3705</v>
      </c>
      <c r="AG398" s="13">
        <v>0.4365</v>
      </c>
      <c r="AH398" s="13">
        <v>1.0494</v>
      </c>
      <c r="AI398" s="13">
        <v>0.7398</v>
      </c>
      <c r="AJ398" s="11">
        <v>1.01</v>
      </c>
      <c r="AK398" s="8" t="s">
        <v>1283</v>
      </c>
      <c r="AL398" s="14">
        <f>IFERROR(__xludf.DUMMYFUNCTION("IFERROR(GOOGLEFINANCE(B398,""price""),"""")"),49.76)</f>
        <v>49.76</v>
      </c>
    </row>
    <row r="399">
      <c r="A399" s="15">
        <v>46090.66812780971</v>
      </c>
      <c r="B399" s="16" t="s">
        <v>1750</v>
      </c>
      <c r="C399" s="16" t="s">
        <v>1751</v>
      </c>
      <c r="D399" s="17">
        <v>46096.0</v>
      </c>
      <c r="E399" s="16" t="s">
        <v>1752</v>
      </c>
      <c r="F399" s="18">
        <v>15.8</v>
      </c>
      <c r="G399" s="19">
        <v>0.0633</v>
      </c>
      <c r="H399" s="16" t="s">
        <v>186</v>
      </c>
      <c r="I399" s="20">
        <v>901173.0</v>
      </c>
      <c r="J399" s="19">
        <v>45.1011</v>
      </c>
      <c r="K399" s="21">
        <v>0.0606</v>
      </c>
      <c r="L399" s="21">
        <v>0.2974</v>
      </c>
      <c r="M399" s="21">
        <v>596213.3</v>
      </c>
      <c r="N399" s="21">
        <v>1.6527</v>
      </c>
      <c r="O399" s="20">
        <v>4.69555947E8</v>
      </c>
      <c r="P399" s="21">
        <v>92.4731</v>
      </c>
      <c r="Q399" s="21">
        <v>86.0215</v>
      </c>
      <c r="R399" s="19">
        <v>68.5319</v>
      </c>
      <c r="S399" s="21">
        <v>15.7617</v>
      </c>
      <c r="T399" s="21">
        <v>15.6845</v>
      </c>
      <c r="U399" s="21">
        <v>15.6202</v>
      </c>
      <c r="V399" s="21">
        <v>15.5338</v>
      </c>
      <c r="W399" s="21">
        <v>15.5021</v>
      </c>
      <c r="X399" s="21">
        <v>15.2486</v>
      </c>
      <c r="Y399" s="21">
        <v>14.8982</v>
      </c>
      <c r="Z399" s="21">
        <v>13.7185</v>
      </c>
      <c r="AA399" s="21">
        <v>15.81</v>
      </c>
      <c r="AB399" s="21">
        <v>12.3795</v>
      </c>
      <c r="AC399" s="21">
        <v>1.2763</v>
      </c>
      <c r="AD399" s="21">
        <v>26.8402</v>
      </c>
      <c r="AE399" s="21">
        <v>-1.5087</v>
      </c>
      <c r="AF399" s="21">
        <v>-6.5691</v>
      </c>
      <c r="AG399" s="21">
        <v>1.2101</v>
      </c>
      <c r="AH399" s="21">
        <v>2.0275</v>
      </c>
      <c r="AI399" s="21">
        <v>0.8954</v>
      </c>
      <c r="AJ399" s="19">
        <v>0.41</v>
      </c>
      <c r="AK399" s="16" t="s">
        <v>2014</v>
      </c>
      <c r="AL399" s="22">
        <f>IFERROR(__xludf.DUMMYFUNCTION("IFERROR(GOOGLEFINANCE(B399,""price""),"""")"),15.82)</f>
        <v>15.82</v>
      </c>
    </row>
    <row r="400">
      <c r="A400" s="7">
        <v>46090.66812780971</v>
      </c>
      <c r="B400" s="8" t="s">
        <v>1674</v>
      </c>
      <c r="C400" s="8" t="s">
        <v>1675</v>
      </c>
      <c r="D400" s="9">
        <v>46096.0</v>
      </c>
      <c r="E400" s="8" t="s">
        <v>1676</v>
      </c>
      <c r="F400" s="10">
        <v>103.71</v>
      </c>
      <c r="G400" s="11">
        <v>0.2029</v>
      </c>
      <c r="H400" s="8" t="s">
        <v>117</v>
      </c>
      <c r="I400" s="12">
        <v>3185357.0</v>
      </c>
      <c r="J400" s="11">
        <v>38.7589</v>
      </c>
      <c r="K400" s="13">
        <v>0.3487</v>
      </c>
      <c r="L400" s="13">
        <v>2.5055</v>
      </c>
      <c r="M400" s="8">
        <v>2353022.0</v>
      </c>
      <c r="N400" s="13">
        <v>1.4564</v>
      </c>
      <c r="O400" s="12">
        <v>1.9797016686E10</v>
      </c>
      <c r="P400" s="13">
        <v>74.4584</v>
      </c>
      <c r="Q400" s="13">
        <v>68.1837</v>
      </c>
      <c r="R400" s="11">
        <v>70.5117</v>
      </c>
      <c r="S400" s="13">
        <v>103.462</v>
      </c>
      <c r="T400" s="13">
        <v>103.218</v>
      </c>
      <c r="U400" s="13">
        <v>102.5166</v>
      </c>
      <c r="V400" s="13">
        <v>100.6605</v>
      </c>
      <c r="W400" s="13">
        <v>99.9095</v>
      </c>
      <c r="X400" s="13">
        <v>94.0876</v>
      </c>
      <c r="Y400" s="13">
        <v>79.9225</v>
      </c>
      <c r="Z400" s="13">
        <v>72.1736</v>
      </c>
      <c r="AA400" s="13">
        <v>103.745</v>
      </c>
      <c r="AB400" s="13">
        <v>0.0</v>
      </c>
      <c r="AC400" s="13">
        <v>-1.1046</v>
      </c>
      <c r="AD400" s="13">
        <v>-8.6586</v>
      </c>
      <c r="AE400" s="13">
        <v>-4.7946</v>
      </c>
      <c r="AF400" s="13">
        <v>17.6929</v>
      </c>
      <c r="AG400" s="13">
        <v>1.0557</v>
      </c>
      <c r="AH400" s="13">
        <v>2.4266</v>
      </c>
      <c r="AI400" s="13">
        <v>0.9116</v>
      </c>
      <c r="AJ400" s="11">
        <v>0.28</v>
      </c>
      <c r="AK400" s="8" t="s">
        <v>2015</v>
      </c>
      <c r="AL400" s="14">
        <f>IFERROR(__xludf.DUMMYFUNCTION("IFERROR(GOOGLEFINANCE(B400,""price""),"""")"),890.12)</f>
        <v>890.12</v>
      </c>
    </row>
    <row r="401">
      <c r="A401" s="15">
        <v>46090.66812780971</v>
      </c>
      <c r="B401" s="16" t="s">
        <v>2016</v>
      </c>
      <c r="C401" s="16" t="s">
        <v>2017</v>
      </c>
      <c r="D401" s="17">
        <v>46096.0</v>
      </c>
      <c r="E401" s="16" t="s">
        <v>2018</v>
      </c>
      <c r="F401" s="18">
        <v>17.42</v>
      </c>
      <c r="G401" s="19">
        <v>6.1548</v>
      </c>
      <c r="H401" s="16" t="s">
        <v>107</v>
      </c>
      <c r="I401" s="20">
        <v>4728212.0</v>
      </c>
      <c r="J401" s="19">
        <v>23.4677</v>
      </c>
      <c r="K401" s="21">
        <v>1.3181</v>
      </c>
      <c r="L401" s="21">
        <v>2.2019</v>
      </c>
      <c r="M401" s="16">
        <v>3517180.0</v>
      </c>
      <c r="N401" s="21">
        <v>1.3634</v>
      </c>
      <c r="O401" s="20">
        <v>2.614486109E9</v>
      </c>
      <c r="P401" s="21">
        <v>16.4911</v>
      </c>
      <c r="Q401" s="21">
        <v>15.2208</v>
      </c>
      <c r="R401" s="19">
        <v>49.7579</v>
      </c>
      <c r="S401" s="21">
        <v>17.3605</v>
      </c>
      <c r="T401" s="21">
        <v>17.6356</v>
      </c>
      <c r="U401" s="21">
        <v>17.2003</v>
      </c>
      <c r="V401" s="21">
        <v>16.5929</v>
      </c>
      <c r="W401" s="21">
        <v>16.4281</v>
      </c>
      <c r="X401" s="21">
        <v>15.6279</v>
      </c>
      <c r="Y401" s="21">
        <v>15.0642</v>
      </c>
      <c r="Z401" s="21">
        <v>13.9752</v>
      </c>
      <c r="AA401" s="21">
        <v>21.85</v>
      </c>
      <c r="AB401" s="21">
        <v>0.0</v>
      </c>
      <c r="AC401" s="21">
        <v>-2.5701</v>
      </c>
      <c r="AD401" s="21">
        <v>-90.3981</v>
      </c>
      <c r="AE401" s="21">
        <v>5.4063</v>
      </c>
      <c r="AF401" s="21">
        <v>0.4323</v>
      </c>
      <c r="AG401" s="21">
        <v>17.576</v>
      </c>
      <c r="AH401" s="21">
        <v>1.78</v>
      </c>
      <c r="AI401" s="21">
        <v>0.9193</v>
      </c>
      <c r="AJ401" s="19">
        <v>1.2</v>
      </c>
      <c r="AK401" s="16" t="s">
        <v>1283</v>
      </c>
      <c r="AL401" s="22">
        <f>IFERROR(__xludf.DUMMYFUNCTION("IFERROR(GOOGLEFINANCE(B401,""price""),"""")"),22.71)</f>
        <v>22.71</v>
      </c>
    </row>
    <row r="402">
      <c r="A402" s="7">
        <v>46090.66812780971</v>
      </c>
      <c r="B402" s="8" t="s">
        <v>1842</v>
      </c>
      <c r="C402" s="8" t="s">
        <v>1843</v>
      </c>
      <c r="D402" s="9">
        <v>46096.0</v>
      </c>
      <c r="E402" s="8" t="s">
        <v>1844</v>
      </c>
      <c r="F402" s="10">
        <v>4.51</v>
      </c>
      <c r="G402" s="11">
        <v>1.5766</v>
      </c>
      <c r="H402" s="8" t="s">
        <v>88</v>
      </c>
      <c r="I402" s="12">
        <v>1.951232E7</v>
      </c>
      <c r="J402" s="11">
        <v>39.0361</v>
      </c>
      <c r="K402" s="13">
        <v>0.026</v>
      </c>
      <c r="L402" s="13">
        <v>0.1708</v>
      </c>
      <c r="M402" s="8">
        <v>2971393.0</v>
      </c>
      <c r="N402" s="13">
        <v>17.0901</v>
      </c>
      <c r="O402" s="12">
        <v>4.52958143E8</v>
      </c>
      <c r="P402" s="13">
        <v>80.9524</v>
      </c>
      <c r="Q402" s="13">
        <v>73.8624</v>
      </c>
      <c r="R402" s="11">
        <v>74.7349</v>
      </c>
      <c r="S402" s="13">
        <v>4.4515</v>
      </c>
      <c r="T402" s="13">
        <v>4.4317</v>
      </c>
      <c r="U402" s="13">
        <v>4.3938</v>
      </c>
      <c r="V402" s="13">
        <v>4.2965</v>
      </c>
      <c r="W402" s="13">
        <v>4.2596</v>
      </c>
      <c r="X402" s="13">
        <v>4.0014</v>
      </c>
      <c r="Y402" s="13">
        <v>3.5489</v>
      </c>
      <c r="Z402" s="13">
        <v>3.1592</v>
      </c>
      <c r="AA402" s="13">
        <v>4.51</v>
      </c>
      <c r="AB402" s="13">
        <v>0.0</v>
      </c>
      <c r="AC402" s="13">
        <v>-0.1159</v>
      </c>
      <c r="AD402" s="13">
        <v>-5.8137</v>
      </c>
      <c r="AE402" s="13">
        <v>-13.4574</v>
      </c>
      <c r="AF402" s="13">
        <v>-12.3585</v>
      </c>
      <c r="AG402" s="13">
        <v>0.9297</v>
      </c>
      <c r="AH402" s="13">
        <v>1.1105</v>
      </c>
      <c r="AI402" s="13">
        <v>1.2801</v>
      </c>
      <c r="AJ402" s="11">
        <v>0.3</v>
      </c>
      <c r="AK402" s="8" t="s">
        <v>2019</v>
      </c>
      <c r="AL402" s="14">
        <f>IFERROR(__xludf.DUMMYFUNCTION("IFERROR(GOOGLEFINANCE(B402,""price""),"""")"),4.51)</f>
        <v>4.51</v>
      </c>
    </row>
    <row r="403">
      <c r="A403" s="15">
        <v>46090.66812780971</v>
      </c>
      <c r="B403" s="16" t="s">
        <v>2020</v>
      </c>
      <c r="C403" s="16" t="s">
        <v>2021</v>
      </c>
      <c r="D403" s="17">
        <v>46096.0</v>
      </c>
      <c r="E403" s="16" t="s">
        <v>2022</v>
      </c>
      <c r="F403" s="18">
        <v>191.58</v>
      </c>
      <c r="G403" s="19">
        <v>3.0554</v>
      </c>
      <c r="H403" s="16" t="s">
        <v>308</v>
      </c>
      <c r="I403" s="20">
        <v>368519.0</v>
      </c>
      <c r="J403" s="19">
        <v>25.8539</v>
      </c>
      <c r="K403" s="21">
        <v>9.6048</v>
      </c>
      <c r="L403" s="21">
        <v>13.9442</v>
      </c>
      <c r="M403" s="21">
        <v>322557.1</v>
      </c>
      <c r="N403" s="21">
        <v>1.2013</v>
      </c>
      <c r="O403" s="20">
        <v>5.131751102E9</v>
      </c>
      <c r="P403" s="21">
        <v>28.731</v>
      </c>
      <c r="Q403" s="21">
        <v>32.2626</v>
      </c>
      <c r="R403" s="19">
        <v>48.7389</v>
      </c>
      <c r="S403" s="21">
        <v>193.2734</v>
      </c>
      <c r="T403" s="21">
        <v>194.2748</v>
      </c>
      <c r="U403" s="21">
        <v>190.5541</v>
      </c>
      <c r="V403" s="21">
        <v>184.9476</v>
      </c>
      <c r="W403" s="21">
        <v>183.2761</v>
      </c>
      <c r="X403" s="21">
        <v>173.821</v>
      </c>
      <c r="Y403" s="21">
        <v>157.6655</v>
      </c>
      <c r="Z403" s="21">
        <v>150.1112</v>
      </c>
      <c r="AA403" s="21">
        <v>211.84</v>
      </c>
      <c r="AB403" s="21">
        <v>29.7901</v>
      </c>
      <c r="AC403" s="21">
        <v>6.431</v>
      </c>
      <c r="AD403" s="21">
        <v>12.628</v>
      </c>
      <c r="AE403" s="21">
        <v>4.8366</v>
      </c>
      <c r="AF403" s="21">
        <v>4.3586</v>
      </c>
      <c r="AG403" s="21">
        <v>0.1305</v>
      </c>
      <c r="AH403" s="21">
        <v>1.5915</v>
      </c>
      <c r="AI403" s="21">
        <v>1.4194</v>
      </c>
      <c r="AJ403" s="19">
        <v>1.38</v>
      </c>
      <c r="AK403" s="16" t="s">
        <v>1712</v>
      </c>
      <c r="AL403" s="22">
        <f>IFERROR(__xludf.DUMMYFUNCTION("IFERROR(GOOGLEFINANCE(B403,""price""),"""")"),227.58)</f>
        <v>227.58</v>
      </c>
    </row>
    <row r="404">
      <c r="A404" s="7">
        <v>46090.66812780971</v>
      </c>
      <c r="B404" s="8" t="s">
        <v>2023</v>
      </c>
      <c r="C404" s="8" t="s">
        <v>2024</v>
      </c>
      <c r="D404" s="9">
        <v>46096.0</v>
      </c>
      <c r="E404" s="8" t="s">
        <v>2025</v>
      </c>
      <c r="F404" s="10">
        <v>8.89</v>
      </c>
      <c r="G404" s="11">
        <v>2.3015</v>
      </c>
      <c r="H404" s="8" t="s">
        <v>88</v>
      </c>
      <c r="I404" s="12">
        <v>579520.0</v>
      </c>
      <c r="J404" s="11">
        <v>29.7383</v>
      </c>
      <c r="K404" s="13">
        <v>0.3934</v>
      </c>
      <c r="L404" s="13">
        <v>0.824</v>
      </c>
      <c r="M404" s="13">
        <v>489401.8</v>
      </c>
      <c r="N404" s="13">
        <v>1.2049</v>
      </c>
      <c r="O404" s="12">
        <v>6.4930862E8</v>
      </c>
      <c r="P404" s="13">
        <v>97.1249</v>
      </c>
      <c r="Q404" s="13">
        <v>96.1771</v>
      </c>
      <c r="R404" s="11">
        <v>66.8478</v>
      </c>
      <c r="S404" s="13">
        <v>8.0962</v>
      </c>
      <c r="T404" s="13">
        <v>7.7862</v>
      </c>
      <c r="U404" s="13">
        <v>7.9232</v>
      </c>
      <c r="V404" s="13">
        <v>8.0971</v>
      </c>
      <c r="W404" s="13">
        <v>8.1406</v>
      </c>
      <c r="X404" s="13">
        <v>8.3448</v>
      </c>
      <c r="Y404" s="13">
        <v>8.5667</v>
      </c>
      <c r="Z404" s="13">
        <v>8.8237</v>
      </c>
      <c r="AA404" s="13">
        <v>11.655</v>
      </c>
      <c r="AB404" s="13">
        <v>0.0</v>
      </c>
      <c r="AC404" s="13">
        <v>-0.0776</v>
      </c>
      <c r="AD404" s="13">
        <v>0.0</v>
      </c>
      <c r="AE404" s="13">
        <v>2.2701</v>
      </c>
      <c r="AF404" s="13">
        <v>-18.0866</v>
      </c>
      <c r="AG404" s="13">
        <v>0.1824</v>
      </c>
      <c r="AH404" s="13">
        <v>1.385</v>
      </c>
      <c r="AI404" s="13">
        <v>1.9468</v>
      </c>
      <c r="AJ404" s="11">
        <v>0.95</v>
      </c>
      <c r="AK404" s="23"/>
      <c r="AL404" s="14">
        <f>IFERROR(__xludf.DUMMYFUNCTION("IFERROR(GOOGLEFINANCE(B404,""price""),"""")"),8.11)</f>
        <v>8.11</v>
      </c>
    </row>
    <row r="405">
      <c r="A405" s="15">
        <v>46090.66812780971</v>
      </c>
      <c r="B405" s="16" t="s">
        <v>2026</v>
      </c>
      <c r="C405" s="16" t="s">
        <v>2027</v>
      </c>
      <c r="D405" s="17">
        <v>46096.0</v>
      </c>
      <c r="E405" s="16" t="s">
        <v>2028</v>
      </c>
      <c r="F405" s="18">
        <v>118.79</v>
      </c>
      <c r="G405" s="19">
        <v>1.8171</v>
      </c>
      <c r="H405" s="16" t="s">
        <v>107</v>
      </c>
      <c r="I405" s="20">
        <v>2405251.0</v>
      </c>
      <c r="J405" s="19">
        <v>34.1875</v>
      </c>
      <c r="K405" s="21">
        <v>3.6894</v>
      </c>
      <c r="L405" s="21">
        <v>6.7424</v>
      </c>
      <c r="M405" s="16">
        <v>1717663.0</v>
      </c>
      <c r="N405" s="21">
        <v>1.5037</v>
      </c>
      <c r="O405" s="20">
        <v>2.2986943131E10</v>
      </c>
      <c r="P405" s="21">
        <v>35.0063</v>
      </c>
      <c r="Q405" s="21">
        <v>21.6751</v>
      </c>
      <c r="R405" s="19">
        <v>54.7698</v>
      </c>
      <c r="S405" s="21">
        <v>117.695</v>
      </c>
      <c r="T405" s="21">
        <v>117.6905</v>
      </c>
      <c r="U405" s="21">
        <v>115.3806</v>
      </c>
      <c r="V405" s="21">
        <v>112.184</v>
      </c>
      <c r="W405" s="21">
        <v>111.2433</v>
      </c>
      <c r="X405" s="21">
        <v>105.8437</v>
      </c>
      <c r="Y405" s="21">
        <v>96.6264</v>
      </c>
      <c r="Z405" s="21">
        <v>91.3718</v>
      </c>
      <c r="AA405" s="21">
        <v>124.78</v>
      </c>
      <c r="AB405" s="21">
        <v>21.8617</v>
      </c>
      <c r="AC405" s="21">
        <v>5.4337</v>
      </c>
      <c r="AD405" s="21">
        <v>6.3447</v>
      </c>
      <c r="AE405" s="21">
        <v>1.5073</v>
      </c>
      <c r="AF405" s="21">
        <v>32.4089</v>
      </c>
      <c r="AG405" s="21">
        <v>0.9969</v>
      </c>
      <c r="AH405" s="21">
        <v>1.6124</v>
      </c>
      <c r="AI405" s="21">
        <v>1.9483</v>
      </c>
      <c r="AJ405" s="19">
        <v>1.09</v>
      </c>
      <c r="AK405" s="24"/>
      <c r="AL405" s="22">
        <f>IFERROR(__xludf.DUMMYFUNCTION("IFERROR(GOOGLEFINANCE(B405,""price""),"""")"),123.92)</f>
        <v>123.92</v>
      </c>
    </row>
    <row r="406">
      <c r="A406" s="7">
        <v>46091.66957124573</v>
      </c>
      <c r="B406" s="8" t="s">
        <v>2029</v>
      </c>
      <c r="C406" s="8" t="s">
        <v>2030</v>
      </c>
      <c r="D406" s="9">
        <v>46096.0</v>
      </c>
      <c r="E406" s="8" t="s">
        <v>2031</v>
      </c>
      <c r="F406" s="10">
        <v>2.45</v>
      </c>
      <c r="G406" s="11">
        <v>5.6034</v>
      </c>
      <c r="H406" s="8" t="s">
        <v>117</v>
      </c>
      <c r="I406" s="12">
        <v>540148.0</v>
      </c>
      <c r="J406" s="11">
        <v>21.5319</v>
      </c>
      <c r="K406" s="13">
        <v>0.1056</v>
      </c>
      <c r="L406" s="13">
        <v>0.2306</v>
      </c>
      <c r="M406" s="13">
        <v>277834.8</v>
      </c>
      <c r="N406" s="13">
        <v>1.8492</v>
      </c>
      <c r="O406" s="12">
        <v>1.38031277E8</v>
      </c>
      <c r="P406" s="13">
        <v>76.8254</v>
      </c>
      <c r="Q406" s="13">
        <v>65.8314</v>
      </c>
      <c r="R406" s="11">
        <v>63.0203</v>
      </c>
      <c r="S406" s="13">
        <v>2.3133</v>
      </c>
      <c r="T406" s="13">
        <v>2.3003</v>
      </c>
      <c r="U406" s="13">
        <v>2.3106</v>
      </c>
      <c r="V406" s="13">
        <v>2.3174</v>
      </c>
      <c r="W406" s="13">
        <v>2.3178</v>
      </c>
      <c r="X406" s="13">
        <v>2.3006</v>
      </c>
      <c r="Y406" s="13">
        <v>2.1288</v>
      </c>
      <c r="Z406" s="13">
        <v>2.3144</v>
      </c>
      <c r="AA406" s="13">
        <v>3.22</v>
      </c>
      <c r="AB406" s="13">
        <v>0.0</v>
      </c>
      <c r="AC406" s="13">
        <v>-0.7949</v>
      </c>
      <c r="AD406" s="13">
        <v>-95.2946</v>
      </c>
      <c r="AE406" s="13">
        <v>-192.1274</v>
      </c>
      <c r="AF406" s="13">
        <v>-67.3773</v>
      </c>
      <c r="AG406" s="13">
        <v>0.1265</v>
      </c>
      <c r="AH406" s="13">
        <v>3.8335</v>
      </c>
      <c r="AI406" s="13">
        <v>0.1091</v>
      </c>
      <c r="AJ406" s="11">
        <v>0.92</v>
      </c>
      <c r="AK406" s="8" t="s">
        <v>1267</v>
      </c>
      <c r="AL406" s="14">
        <f>IFERROR(__xludf.DUMMYFUNCTION("IFERROR(GOOGLEFINANCE(B406,""price""),"""")"),2.67)</f>
        <v>2.67</v>
      </c>
    </row>
    <row r="407">
      <c r="A407" s="15">
        <v>46091.66957124573</v>
      </c>
      <c r="B407" s="16" t="s">
        <v>1601</v>
      </c>
      <c r="C407" s="16" t="s">
        <v>1602</v>
      </c>
      <c r="D407" s="17">
        <v>46096.0</v>
      </c>
      <c r="E407" s="16" t="s">
        <v>1603</v>
      </c>
      <c r="F407" s="18">
        <v>64.66</v>
      </c>
      <c r="G407" s="19">
        <v>-0.1852</v>
      </c>
      <c r="H407" s="16" t="s">
        <v>93</v>
      </c>
      <c r="I407" s="20">
        <v>4010339.0</v>
      </c>
      <c r="J407" s="19">
        <v>33.6454</v>
      </c>
      <c r="K407" s="21">
        <v>0.1383</v>
      </c>
      <c r="L407" s="21">
        <v>0.6558</v>
      </c>
      <c r="M407" s="16">
        <v>3085387.0</v>
      </c>
      <c r="N407" s="21">
        <v>1.4339</v>
      </c>
      <c r="O407" s="20">
        <v>7.244209346E9</v>
      </c>
      <c r="P407" s="21">
        <v>32.2586</v>
      </c>
      <c r="Q407" s="21">
        <v>20.5436</v>
      </c>
      <c r="R407" s="19">
        <v>49.7236</v>
      </c>
      <c r="S407" s="21">
        <v>64.6988</v>
      </c>
      <c r="T407" s="21">
        <v>64.6946</v>
      </c>
      <c r="U407" s="21">
        <v>64.6236</v>
      </c>
      <c r="V407" s="21">
        <v>64.498</v>
      </c>
      <c r="W407" s="21">
        <v>64.4476</v>
      </c>
      <c r="X407" s="21">
        <v>63.9249</v>
      </c>
      <c r="Y407" s="21">
        <v>61.0315</v>
      </c>
      <c r="Z407" s="21">
        <v>61.8465</v>
      </c>
      <c r="AA407" s="21">
        <v>64.96</v>
      </c>
      <c r="AB407" s="21">
        <v>6.949</v>
      </c>
      <c r="AC407" s="21">
        <v>9.305</v>
      </c>
      <c r="AD407" s="21">
        <v>13.6003</v>
      </c>
      <c r="AE407" s="21">
        <v>49.5099</v>
      </c>
      <c r="AF407" s="21">
        <v>14.2078</v>
      </c>
      <c r="AG407" s="21">
        <v>2.3287</v>
      </c>
      <c r="AH407" s="21">
        <v>0.0521</v>
      </c>
      <c r="AI407" s="21">
        <v>0.1163</v>
      </c>
      <c r="AJ407" s="19">
        <v>0.42</v>
      </c>
      <c r="AK407" s="16" t="s">
        <v>2032</v>
      </c>
      <c r="AL407" s="22">
        <f>IFERROR(__xludf.DUMMYFUNCTION("IFERROR(GOOGLEFINANCE(B407,""price""),"""")"),65.0)</f>
        <v>65</v>
      </c>
    </row>
    <row r="408">
      <c r="A408" s="7">
        <v>46091.66957124573</v>
      </c>
      <c r="B408" s="8" t="s">
        <v>2033</v>
      </c>
      <c r="C408" s="8" t="s">
        <v>2034</v>
      </c>
      <c r="D408" s="9">
        <v>46096.0</v>
      </c>
      <c r="E408" s="8" t="s">
        <v>2035</v>
      </c>
      <c r="F408" s="10">
        <v>19.78</v>
      </c>
      <c r="G408" s="11">
        <v>11.8146</v>
      </c>
      <c r="H408" s="8" t="s">
        <v>117</v>
      </c>
      <c r="I408" s="12">
        <v>5746632.0</v>
      </c>
      <c r="J408" s="11">
        <v>26.3626</v>
      </c>
      <c r="K408" s="13">
        <v>1.2793</v>
      </c>
      <c r="L408" s="13">
        <v>2.5317</v>
      </c>
      <c r="M408" s="8">
        <v>2760709.0</v>
      </c>
      <c r="N408" s="13">
        <v>2.4203</v>
      </c>
      <c r="O408" s="12">
        <v>3.264236732E9</v>
      </c>
      <c r="P408" s="13">
        <v>73.4182</v>
      </c>
      <c r="Q408" s="13">
        <v>57.9618</v>
      </c>
      <c r="R408" s="11">
        <v>67.0911</v>
      </c>
      <c r="S408" s="13">
        <v>16.714</v>
      </c>
      <c r="T408" s="13">
        <v>16.3929</v>
      </c>
      <c r="U408" s="13">
        <v>16.678</v>
      </c>
      <c r="V408" s="13">
        <v>16.9909</v>
      </c>
      <c r="W408" s="13">
        <v>17.0523</v>
      </c>
      <c r="X408" s="13">
        <v>17.1004</v>
      </c>
      <c r="Y408" s="13">
        <v>16.8383</v>
      </c>
      <c r="Z408" s="13">
        <v>15.1991</v>
      </c>
      <c r="AA408" s="13">
        <v>25.0</v>
      </c>
      <c r="AB408" s="13">
        <v>0.0</v>
      </c>
      <c r="AC408" s="13">
        <v>-3.5434</v>
      </c>
      <c r="AD408" s="13">
        <v>-55.7083</v>
      </c>
      <c r="AE408" s="13">
        <v>0.0</v>
      </c>
      <c r="AF408" s="13">
        <v>0.0</v>
      </c>
      <c r="AG408" s="13">
        <v>0.174</v>
      </c>
      <c r="AH408" s="13">
        <v>22.2536</v>
      </c>
      <c r="AI408" s="13">
        <v>0.1819</v>
      </c>
      <c r="AJ408" s="11">
        <v>1.01</v>
      </c>
      <c r="AK408" s="8" t="s">
        <v>2036</v>
      </c>
      <c r="AL408" s="14">
        <f>IFERROR(__xludf.DUMMYFUNCTION("IFERROR(GOOGLEFINANCE(B408,""price""),"""")"),18.68)</f>
        <v>18.68</v>
      </c>
    </row>
    <row r="409">
      <c r="A409" s="15">
        <v>46091.66957124573</v>
      </c>
      <c r="B409" s="16" t="s">
        <v>1502</v>
      </c>
      <c r="C409" s="16" t="s">
        <v>1503</v>
      </c>
      <c r="D409" s="17">
        <v>46096.0</v>
      </c>
      <c r="E409" s="16" t="s">
        <v>1504</v>
      </c>
      <c r="F409" s="18">
        <v>79.88</v>
      </c>
      <c r="G409" s="19">
        <v>-0.4238</v>
      </c>
      <c r="H409" s="16" t="s">
        <v>88</v>
      </c>
      <c r="I409" s="20">
        <v>492316.0</v>
      </c>
      <c r="J409" s="19">
        <v>49.7179</v>
      </c>
      <c r="K409" s="21">
        <v>0.2931</v>
      </c>
      <c r="L409" s="21">
        <v>1.5192</v>
      </c>
      <c r="M409" s="21">
        <v>309694.2</v>
      </c>
      <c r="N409" s="21">
        <v>1.7457</v>
      </c>
      <c r="O409" s="20">
        <v>2.276734679E9</v>
      </c>
      <c r="P409" s="21">
        <v>66.9186</v>
      </c>
      <c r="Q409" s="21">
        <v>61.9289</v>
      </c>
      <c r="R409" s="19">
        <v>55.3001</v>
      </c>
      <c r="S409" s="21">
        <v>79.9087</v>
      </c>
      <c r="T409" s="21">
        <v>79.782</v>
      </c>
      <c r="U409" s="21">
        <v>79.5309</v>
      </c>
      <c r="V409" s="21">
        <v>78.9986</v>
      </c>
      <c r="W409" s="21">
        <v>78.7904</v>
      </c>
      <c r="X409" s="21">
        <v>77.1242</v>
      </c>
      <c r="Y409" s="21">
        <v>71.8462</v>
      </c>
      <c r="Z409" s="21">
        <v>70.6523</v>
      </c>
      <c r="AA409" s="21">
        <v>80.67</v>
      </c>
      <c r="AB409" s="21">
        <v>40.2499</v>
      </c>
      <c r="AC409" s="21">
        <v>1.9846</v>
      </c>
      <c r="AD409" s="21">
        <v>19.7366</v>
      </c>
      <c r="AE409" s="21">
        <v>12.1871</v>
      </c>
      <c r="AF409" s="21">
        <v>2.1751</v>
      </c>
      <c r="AG409" s="21">
        <v>1.9931</v>
      </c>
      <c r="AH409" s="21">
        <v>1.4408</v>
      </c>
      <c r="AI409" s="21">
        <v>0.473</v>
      </c>
      <c r="AJ409" s="19">
        <v>0.39</v>
      </c>
      <c r="AK409" s="16" t="s">
        <v>2037</v>
      </c>
      <c r="AL409" s="22">
        <f>IFERROR(__xludf.DUMMYFUNCTION("IFERROR(GOOGLEFINANCE(B409,""price""),"""")"),80.04)</f>
        <v>80.04</v>
      </c>
    </row>
    <row r="410">
      <c r="A410" s="7">
        <v>46091.66957124573</v>
      </c>
      <c r="B410" s="8" t="s">
        <v>1576</v>
      </c>
      <c r="C410" s="8" t="s">
        <v>1577</v>
      </c>
      <c r="D410" s="9">
        <v>46096.0</v>
      </c>
      <c r="E410" s="8" t="s">
        <v>1578</v>
      </c>
      <c r="F410" s="10">
        <v>11.92</v>
      </c>
      <c r="G410" s="11">
        <v>-0.1675</v>
      </c>
      <c r="H410" s="8" t="s">
        <v>88</v>
      </c>
      <c r="I410" s="12">
        <v>4908291.0</v>
      </c>
      <c r="J410" s="11">
        <v>34.8547</v>
      </c>
      <c r="K410" s="13">
        <v>0.0378</v>
      </c>
      <c r="L410" s="13">
        <v>0.4092</v>
      </c>
      <c r="M410" s="8">
        <v>1767816.0</v>
      </c>
      <c r="N410" s="13">
        <v>3.3389</v>
      </c>
      <c r="O410" s="12">
        <v>1.799433648E9</v>
      </c>
      <c r="P410" s="13">
        <v>88.8889</v>
      </c>
      <c r="Q410" s="13">
        <v>92.5926</v>
      </c>
      <c r="R410" s="11">
        <v>61.7296</v>
      </c>
      <c r="S410" s="13">
        <v>11.9062</v>
      </c>
      <c r="T410" s="13">
        <v>11.8722</v>
      </c>
      <c r="U410" s="13">
        <v>11.815</v>
      </c>
      <c r="V410" s="13">
        <v>11.6478</v>
      </c>
      <c r="W410" s="13">
        <v>11.5813</v>
      </c>
      <c r="X410" s="13">
        <v>11.1227</v>
      </c>
      <c r="Y410" s="13">
        <v>10.5815</v>
      </c>
      <c r="Z410" s="13">
        <v>9.5769</v>
      </c>
      <c r="AA410" s="13">
        <v>11.95</v>
      </c>
      <c r="AB410" s="13">
        <v>0.0</v>
      </c>
      <c r="AC410" s="13">
        <v>-0.1272</v>
      </c>
      <c r="AD410" s="13">
        <v>-6.9547</v>
      </c>
      <c r="AE410" s="13">
        <v>-5.0392</v>
      </c>
      <c r="AF410" s="13">
        <v>17.7352</v>
      </c>
      <c r="AG410" s="13">
        <v>0.0435</v>
      </c>
      <c r="AH410" s="13">
        <v>2.0225</v>
      </c>
      <c r="AI410" s="13">
        <v>0.7646</v>
      </c>
      <c r="AJ410" s="11">
        <v>0.18</v>
      </c>
      <c r="AK410" s="8" t="s">
        <v>2038</v>
      </c>
      <c r="AL410" s="14">
        <f>IFERROR(__xludf.DUMMYFUNCTION("IFERROR(GOOGLEFINANCE(B410,""price""),"""")"),11.94)</f>
        <v>11.94</v>
      </c>
    </row>
    <row r="411">
      <c r="A411" s="15">
        <v>46091.66957124573</v>
      </c>
      <c r="B411" s="16" t="s">
        <v>2039</v>
      </c>
      <c r="C411" s="16" t="s">
        <v>2040</v>
      </c>
      <c r="D411" s="17">
        <v>46096.0</v>
      </c>
      <c r="E411" s="16" t="s">
        <v>2041</v>
      </c>
      <c r="F411" s="18">
        <v>37.31</v>
      </c>
      <c r="G411" s="19">
        <v>4.8918</v>
      </c>
      <c r="H411" s="16" t="s">
        <v>917</v>
      </c>
      <c r="I411" s="20">
        <v>872929.0</v>
      </c>
      <c r="J411" s="19">
        <v>22.9077</v>
      </c>
      <c r="K411" s="21">
        <v>1.0811</v>
      </c>
      <c r="L411" s="21">
        <v>2.0165</v>
      </c>
      <c r="M411" s="21">
        <v>331093.2</v>
      </c>
      <c r="N411" s="21">
        <v>3.1248</v>
      </c>
      <c r="O411" s="20">
        <v>8.080830486E9</v>
      </c>
      <c r="P411" s="21">
        <v>47.2954</v>
      </c>
      <c r="Q411" s="21">
        <v>31.3281</v>
      </c>
      <c r="R411" s="19">
        <v>63.1586</v>
      </c>
      <c r="S411" s="21">
        <v>35.9762</v>
      </c>
      <c r="T411" s="21">
        <v>35.8512</v>
      </c>
      <c r="U411" s="21">
        <v>35.375</v>
      </c>
      <c r="V411" s="21">
        <v>34.7572</v>
      </c>
      <c r="W411" s="21">
        <v>34.5774</v>
      </c>
      <c r="X411" s="21">
        <v>33.5349</v>
      </c>
      <c r="Y411" s="21">
        <v>31.3809</v>
      </c>
      <c r="Z411" s="21">
        <v>30.926</v>
      </c>
      <c r="AA411" s="21">
        <v>38.87</v>
      </c>
      <c r="AB411" s="21">
        <v>25.8559</v>
      </c>
      <c r="AC411" s="21">
        <v>1.443</v>
      </c>
      <c r="AD411" s="21">
        <v>8.4776</v>
      </c>
      <c r="AE411" s="21">
        <v>13.7741</v>
      </c>
      <c r="AF411" s="21">
        <v>-3.0708</v>
      </c>
      <c r="AG411" s="21">
        <v>4.8971</v>
      </c>
      <c r="AH411" s="21">
        <v>1.1316</v>
      </c>
      <c r="AI411" s="21">
        <v>1.6115</v>
      </c>
      <c r="AJ411" s="19">
        <v>1.07</v>
      </c>
      <c r="AK411" s="16" t="s">
        <v>2042</v>
      </c>
      <c r="AL411" s="22">
        <f>IFERROR(__xludf.DUMMYFUNCTION("IFERROR(GOOGLEFINANCE(B411,""price""),"""")"),40.95)</f>
        <v>40.95</v>
      </c>
    </row>
    <row r="412">
      <c r="A412" s="7">
        <v>46091.66957124573</v>
      </c>
      <c r="B412" s="8" t="s">
        <v>1587</v>
      </c>
      <c r="C412" s="8" t="s">
        <v>1588</v>
      </c>
      <c r="D412" s="9">
        <v>46096.0</v>
      </c>
      <c r="E412" s="8" t="s">
        <v>1589</v>
      </c>
      <c r="F412" s="10">
        <v>38.11</v>
      </c>
      <c r="G412" s="11">
        <v>10.1764</v>
      </c>
      <c r="H412" s="8" t="s">
        <v>102</v>
      </c>
      <c r="I412" s="12">
        <v>4595434.0</v>
      </c>
      <c r="J412" s="11">
        <v>21.2321</v>
      </c>
      <c r="K412" s="13">
        <v>3.3122</v>
      </c>
      <c r="L412" s="13">
        <v>6.1468</v>
      </c>
      <c r="M412" s="8">
        <v>3456376.0</v>
      </c>
      <c r="N412" s="13">
        <v>1.3058</v>
      </c>
      <c r="O412" s="12">
        <v>2.300559217E9</v>
      </c>
      <c r="P412" s="13">
        <v>28.369</v>
      </c>
      <c r="Q412" s="13">
        <v>25.1481</v>
      </c>
      <c r="R412" s="11">
        <v>53.259</v>
      </c>
      <c r="S412" s="13">
        <v>36.7248</v>
      </c>
      <c r="T412" s="13">
        <v>36.6998</v>
      </c>
      <c r="U412" s="13">
        <v>36.066</v>
      </c>
      <c r="V412" s="13">
        <v>35.4741</v>
      </c>
      <c r="W412" s="13">
        <v>35.3285</v>
      </c>
      <c r="X412" s="13">
        <v>34.4343</v>
      </c>
      <c r="Y412" s="13">
        <v>32.0779</v>
      </c>
      <c r="Z412" s="13">
        <v>31.1878</v>
      </c>
      <c r="AA412" s="13">
        <v>48.5999</v>
      </c>
      <c r="AB412" s="13">
        <v>0.0</v>
      </c>
      <c r="AC412" s="13">
        <v>-6.8795</v>
      </c>
      <c r="AD412" s="13">
        <v>-74.6815</v>
      </c>
      <c r="AE412" s="13">
        <v>-22.1786</v>
      </c>
      <c r="AF412" s="13">
        <v>27.7822</v>
      </c>
      <c r="AG412" s="13">
        <v>0.9457</v>
      </c>
      <c r="AH412" s="13">
        <v>2.1653</v>
      </c>
      <c r="AI412" s="13">
        <v>1.7289</v>
      </c>
      <c r="AJ412" s="11">
        <v>1.08</v>
      </c>
      <c r="AK412" s="23"/>
      <c r="AL412" s="14">
        <f>IFERROR(__xludf.DUMMYFUNCTION("IFERROR(GOOGLEFINANCE(B412,""price""),"""")"),41.76)</f>
        <v>41.76</v>
      </c>
    </row>
    <row r="413">
      <c r="A413" s="15">
        <v>46091.66957124573</v>
      </c>
      <c r="B413" s="16" t="s">
        <v>2043</v>
      </c>
      <c r="C413" s="16" t="s">
        <v>2044</v>
      </c>
      <c r="D413" s="17">
        <v>46096.0</v>
      </c>
      <c r="E413" s="16" t="s">
        <v>2045</v>
      </c>
      <c r="F413" s="18">
        <v>85.78</v>
      </c>
      <c r="G413" s="19">
        <v>1.8039</v>
      </c>
      <c r="H413" s="16" t="s">
        <v>117</v>
      </c>
      <c r="I413" s="20">
        <v>6226155.0</v>
      </c>
      <c r="J413" s="19">
        <v>21.532</v>
      </c>
      <c r="K413" s="21">
        <v>2.51</v>
      </c>
      <c r="L413" s="21">
        <v>4.7623</v>
      </c>
      <c r="M413" s="16">
        <v>5046450.0</v>
      </c>
      <c r="N413" s="21">
        <v>1.2778</v>
      </c>
      <c r="O413" s="20">
        <v>4.9821024216E10</v>
      </c>
      <c r="P413" s="21">
        <v>66.9074</v>
      </c>
      <c r="Q413" s="21">
        <v>65.5363</v>
      </c>
      <c r="R413" s="19">
        <v>58.4567</v>
      </c>
      <c r="S413" s="21">
        <v>84.2762</v>
      </c>
      <c r="T413" s="21">
        <v>83.078</v>
      </c>
      <c r="U413" s="21">
        <v>82.7671</v>
      </c>
      <c r="V413" s="21">
        <v>82.6835</v>
      </c>
      <c r="W413" s="21">
        <v>82.6543</v>
      </c>
      <c r="X413" s="21">
        <v>82.2593</v>
      </c>
      <c r="Y413" s="21">
        <v>80.3601</v>
      </c>
      <c r="Z413" s="21">
        <v>80.157</v>
      </c>
      <c r="AA413" s="21">
        <v>87.89</v>
      </c>
      <c r="AB413" s="21">
        <v>47.4893</v>
      </c>
      <c r="AC413" s="21">
        <v>1.8063</v>
      </c>
      <c r="AD413" s="21">
        <v>10.4258</v>
      </c>
      <c r="AE413" s="21">
        <v>26.8689</v>
      </c>
      <c r="AF413" s="21">
        <v>5.9972</v>
      </c>
      <c r="AG413" s="21">
        <v>0.0682</v>
      </c>
      <c r="AH413" s="21">
        <v>3.7156</v>
      </c>
      <c r="AI413" s="21">
        <v>1.7593</v>
      </c>
      <c r="AJ413" s="19">
        <v>1.05</v>
      </c>
      <c r="AK413" s="24"/>
      <c r="AL413" s="22">
        <f>IFERROR(__xludf.DUMMYFUNCTION("IFERROR(GOOGLEFINANCE(B413,""price""),"""")"),77.87)</f>
        <v>77.87</v>
      </c>
    </row>
    <row r="414">
      <c r="A414" s="7">
        <v>46091.66957124573</v>
      </c>
      <c r="B414" s="8" t="s">
        <v>2046</v>
      </c>
      <c r="C414" s="8" t="s">
        <v>2047</v>
      </c>
      <c r="D414" s="9">
        <v>46096.0</v>
      </c>
      <c r="E414" s="8" t="s">
        <v>2048</v>
      </c>
      <c r="F414" s="10">
        <v>150.86</v>
      </c>
      <c r="G414" s="11">
        <v>0.5398</v>
      </c>
      <c r="H414" s="8" t="s">
        <v>93</v>
      </c>
      <c r="I414" s="12">
        <v>422395.0</v>
      </c>
      <c r="J414" s="11">
        <v>26.7926</v>
      </c>
      <c r="K414" s="13">
        <v>5.3479</v>
      </c>
      <c r="L414" s="13">
        <v>9.3192</v>
      </c>
      <c r="M414" s="13">
        <v>237475.5</v>
      </c>
      <c r="N414" s="13">
        <v>1.9105</v>
      </c>
      <c r="O414" s="12">
        <v>3.223403329E9</v>
      </c>
      <c r="P414" s="13">
        <v>33.0669</v>
      </c>
      <c r="Q414" s="13">
        <v>25.7351</v>
      </c>
      <c r="R414" s="11">
        <v>49.9778</v>
      </c>
      <c r="S414" s="13">
        <v>152.0398</v>
      </c>
      <c r="T414" s="13">
        <v>152.0511</v>
      </c>
      <c r="U414" s="13">
        <v>149.3016</v>
      </c>
      <c r="V414" s="13">
        <v>145.9294</v>
      </c>
      <c r="W414" s="13">
        <v>145.0202</v>
      </c>
      <c r="X414" s="13">
        <v>140.3938</v>
      </c>
      <c r="Y414" s="13">
        <v>131.8518</v>
      </c>
      <c r="Z414" s="13">
        <v>131.9271</v>
      </c>
      <c r="AA414" s="13">
        <v>163.11</v>
      </c>
      <c r="AB414" s="13">
        <v>15.4039</v>
      </c>
      <c r="AC414" s="13">
        <v>9.7936</v>
      </c>
      <c r="AD414" s="13">
        <v>12.3993</v>
      </c>
      <c r="AE414" s="13">
        <v>33.9456</v>
      </c>
      <c r="AF414" s="13">
        <v>6.8926</v>
      </c>
      <c r="AG414" s="13">
        <v>0.1113</v>
      </c>
      <c r="AH414" s="13">
        <v>0.1082</v>
      </c>
      <c r="AI414" s="13">
        <v>1.8151</v>
      </c>
      <c r="AJ414" s="11">
        <v>1.15</v>
      </c>
      <c r="AK414" s="23"/>
      <c r="AL414" s="14">
        <f>IFERROR(__xludf.DUMMYFUNCTION("IFERROR(GOOGLEFINANCE(B414,""price""),"""")"),156.64)</f>
        <v>156.64</v>
      </c>
    </row>
    <row r="415">
      <c r="A415" s="15">
        <v>46091.66957124573</v>
      </c>
      <c r="B415" s="16" t="s">
        <v>1292</v>
      </c>
      <c r="C415" s="16" t="s">
        <v>1293</v>
      </c>
      <c r="D415" s="17">
        <v>46096.0</v>
      </c>
      <c r="E415" s="16" t="s">
        <v>1294</v>
      </c>
      <c r="F415" s="18">
        <v>114.5</v>
      </c>
      <c r="G415" s="19">
        <v>-0.943</v>
      </c>
      <c r="H415" s="16" t="s">
        <v>917</v>
      </c>
      <c r="I415" s="20">
        <v>2950728.0</v>
      </c>
      <c r="J415" s="19">
        <v>27.9486</v>
      </c>
      <c r="K415" s="21">
        <v>1.9657</v>
      </c>
      <c r="L415" s="21">
        <v>3.6184</v>
      </c>
      <c r="M415" s="16">
        <v>2298299.0</v>
      </c>
      <c r="N415" s="21">
        <v>1.3686</v>
      </c>
      <c r="O415" s="20">
        <v>3.7273340921E10</v>
      </c>
      <c r="P415" s="21">
        <v>49.7101</v>
      </c>
      <c r="Q415" s="21">
        <v>63.1532</v>
      </c>
      <c r="R415" s="19">
        <v>51.7282</v>
      </c>
      <c r="S415" s="21">
        <v>115.6492</v>
      </c>
      <c r="T415" s="21">
        <v>114.7462</v>
      </c>
      <c r="U415" s="21">
        <v>113.5432</v>
      </c>
      <c r="V415" s="21">
        <v>112.5197</v>
      </c>
      <c r="W415" s="21">
        <v>112.29</v>
      </c>
      <c r="X415" s="21">
        <v>111.2856</v>
      </c>
      <c r="Y415" s="21">
        <v>108.9546</v>
      </c>
      <c r="Z415" s="21">
        <v>109.462</v>
      </c>
      <c r="AA415" s="21">
        <v>118.185</v>
      </c>
      <c r="AB415" s="21">
        <v>23.6913</v>
      </c>
      <c r="AC415" s="21">
        <v>4.833</v>
      </c>
      <c r="AD415" s="21">
        <v>11.9581</v>
      </c>
      <c r="AE415" s="21">
        <v>24.2375</v>
      </c>
      <c r="AF415" s="21">
        <v>13.956</v>
      </c>
      <c r="AG415" s="21">
        <v>1.6411</v>
      </c>
      <c r="AH415" s="21">
        <v>0.5872</v>
      </c>
      <c r="AI415" s="21">
        <v>1.8393</v>
      </c>
      <c r="AJ415" s="19">
        <v>1.09</v>
      </c>
      <c r="AK415" s="24"/>
      <c r="AL415" s="22">
        <f>IFERROR(__xludf.DUMMYFUNCTION("IFERROR(GOOGLEFINANCE(B415,""price""),"""")"),117.54)</f>
        <v>117.54</v>
      </c>
    </row>
    <row r="416">
      <c r="A416" s="7">
        <v>46091.66957124573</v>
      </c>
      <c r="B416" s="8" t="s">
        <v>1766</v>
      </c>
      <c r="C416" s="8" t="s">
        <v>1767</v>
      </c>
      <c r="D416" s="9">
        <v>46096.0</v>
      </c>
      <c r="E416" s="8" t="s">
        <v>1768</v>
      </c>
      <c r="F416" s="10">
        <v>92.97</v>
      </c>
      <c r="G416" s="11">
        <v>-0.5775</v>
      </c>
      <c r="H416" s="8" t="s">
        <v>917</v>
      </c>
      <c r="I416" s="12">
        <v>4532068.0</v>
      </c>
      <c r="J416" s="11">
        <v>24.6975</v>
      </c>
      <c r="K416" s="13">
        <v>2.1486</v>
      </c>
      <c r="L416" s="13">
        <v>4.1556</v>
      </c>
      <c r="M416" s="8">
        <v>3881801.0</v>
      </c>
      <c r="N416" s="13">
        <v>1.2163</v>
      </c>
      <c r="O416" s="12">
        <v>6.0735825899E10</v>
      </c>
      <c r="P416" s="13">
        <v>32.0989</v>
      </c>
      <c r="Q416" s="13">
        <v>36.7616</v>
      </c>
      <c r="R416" s="11">
        <v>52.2087</v>
      </c>
      <c r="S416" s="13">
        <v>93.8103</v>
      </c>
      <c r="T416" s="13">
        <v>92.9722</v>
      </c>
      <c r="U416" s="13">
        <v>92.0384</v>
      </c>
      <c r="V416" s="13">
        <v>91.3249</v>
      </c>
      <c r="W416" s="13">
        <v>91.1501</v>
      </c>
      <c r="X416" s="13">
        <v>90.0716</v>
      </c>
      <c r="Y416" s="13">
        <v>86.9586</v>
      </c>
      <c r="Z416" s="13">
        <v>85.7357</v>
      </c>
      <c r="AA416" s="13">
        <v>97.445</v>
      </c>
      <c r="AB416" s="13">
        <v>33.8294</v>
      </c>
      <c r="AC416" s="13">
        <v>2.7482</v>
      </c>
      <c r="AD416" s="13">
        <v>5.8451</v>
      </c>
      <c r="AE416" s="13">
        <v>23.7349</v>
      </c>
      <c r="AF416" s="13">
        <v>5.8424</v>
      </c>
      <c r="AG416" s="13">
        <v>1.1478</v>
      </c>
      <c r="AH416" s="13">
        <v>1.5912</v>
      </c>
      <c r="AI416" s="13">
        <v>1.9059</v>
      </c>
      <c r="AJ416" s="11">
        <v>1.03</v>
      </c>
      <c r="AK416" s="23"/>
      <c r="AL416" s="14">
        <f>IFERROR(__xludf.DUMMYFUNCTION("IFERROR(GOOGLEFINANCE(B416,""price""),"""")"),98.82)</f>
        <v>98.82</v>
      </c>
    </row>
    <row r="417">
      <c r="A417" s="7">
        <v>46092.66818390306</v>
      </c>
      <c r="B417" s="8" t="s">
        <v>1502</v>
      </c>
      <c r="C417" s="8" t="s">
        <v>1503</v>
      </c>
      <c r="D417" s="9">
        <v>46096.0</v>
      </c>
      <c r="E417" s="8" t="s">
        <v>1504</v>
      </c>
      <c r="F417" s="10">
        <v>79.82</v>
      </c>
      <c r="G417" s="11">
        <v>-0.0751</v>
      </c>
      <c r="H417" s="8" t="s">
        <v>88</v>
      </c>
      <c r="I417" s="12">
        <v>478278.0</v>
      </c>
      <c r="J417" s="11">
        <v>49.7559</v>
      </c>
      <c r="K417" s="13">
        <v>0.2872</v>
      </c>
      <c r="L417" s="13">
        <v>1.5235</v>
      </c>
      <c r="M417" s="13">
        <v>336553.1</v>
      </c>
      <c r="N417" s="13">
        <v>1.5444</v>
      </c>
      <c r="O417" s="12">
        <v>2.27502445E9</v>
      </c>
      <c r="P417" s="13">
        <v>60.5128</v>
      </c>
      <c r="Q417" s="13">
        <v>64.6551</v>
      </c>
      <c r="R417" s="11">
        <v>53.5416</v>
      </c>
      <c r="S417" s="13">
        <v>79.889</v>
      </c>
      <c r="T417" s="13">
        <v>79.7854</v>
      </c>
      <c r="U417" s="13">
        <v>79.5474</v>
      </c>
      <c r="V417" s="13">
        <v>79.0308</v>
      </c>
      <c r="W417" s="13">
        <v>78.8272</v>
      </c>
      <c r="X417" s="13">
        <v>77.1841</v>
      </c>
      <c r="Y417" s="13">
        <v>71.9256</v>
      </c>
      <c r="Z417" s="13">
        <v>70.7334</v>
      </c>
      <c r="AA417" s="13">
        <v>80.67</v>
      </c>
      <c r="AB417" s="13">
        <v>40.2197</v>
      </c>
      <c r="AC417" s="13">
        <v>1.9846</v>
      </c>
      <c r="AD417" s="13">
        <v>19.7366</v>
      </c>
      <c r="AE417" s="13">
        <v>12.1871</v>
      </c>
      <c r="AF417" s="13">
        <v>2.1751</v>
      </c>
      <c r="AG417" s="13">
        <v>1.9931</v>
      </c>
      <c r="AH417" s="13">
        <v>1.4408</v>
      </c>
      <c r="AI417" s="13">
        <v>0.428</v>
      </c>
      <c r="AJ417" s="11">
        <v>0.38</v>
      </c>
      <c r="AK417" s="8" t="s">
        <v>2049</v>
      </c>
      <c r="AL417" s="14">
        <f>IFERROR(__xludf.DUMMYFUNCTION("IFERROR(GOOGLEFINANCE(B417,""price""),"""")"),80.04)</f>
        <v>80.04</v>
      </c>
    </row>
    <row r="418">
      <c r="A418" s="15">
        <v>46092.66818390306</v>
      </c>
      <c r="B418" s="16" t="s">
        <v>2005</v>
      </c>
      <c r="C418" s="16" t="s">
        <v>2006</v>
      </c>
      <c r="D418" s="17">
        <v>46096.0</v>
      </c>
      <c r="E418" s="16" t="s">
        <v>2007</v>
      </c>
      <c r="F418" s="18">
        <v>3.61</v>
      </c>
      <c r="G418" s="19">
        <v>-1.0959</v>
      </c>
      <c r="H418" s="16" t="s">
        <v>93</v>
      </c>
      <c r="I418" s="20">
        <v>309951.0</v>
      </c>
      <c r="J418" s="19">
        <v>20.9007</v>
      </c>
      <c r="K418" s="21">
        <v>0.295</v>
      </c>
      <c r="L418" s="21">
        <v>0.5099</v>
      </c>
      <c r="M418" s="21">
        <v>183042.3</v>
      </c>
      <c r="N418" s="21">
        <v>1.9331</v>
      </c>
      <c r="O418" s="20">
        <v>1.27020599E8</v>
      </c>
      <c r="P418" s="21">
        <v>46.7236</v>
      </c>
      <c r="Q418" s="21">
        <v>43.4948</v>
      </c>
      <c r="R418" s="19">
        <v>49.8846</v>
      </c>
      <c r="S418" s="21">
        <v>3.5991</v>
      </c>
      <c r="T418" s="21">
        <v>3.6297</v>
      </c>
      <c r="U418" s="21">
        <v>3.5779</v>
      </c>
      <c r="V418" s="21">
        <v>3.4643</v>
      </c>
      <c r="W418" s="21">
        <v>3.427</v>
      </c>
      <c r="X418" s="21">
        <v>3.2075</v>
      </c>
      <c r="Y418" s="21">
        <v>2.9514</v>
      </c>
      <c r="Z418" s="21">
        <v>2.6887</v>
      </c>
      <c r="AA418" s="21">
        <v>4.3819</v>
      </c>
      <c r="AB418" s="21">
        <v>0.0</v>
      </c>
      <c r="AC418" s="21">
        <v>-0.1056</v>
      </c>
      <c r="AD418" s="21">
        <v>-3.0994</v>
      </c>
      <c r="AE418" s="21">
        <v>5.5229</v>
      </c>
      <c r="AF418" s="21">
        <v>3.3539</v>
      </c>
      <c r="AG418" s="21">
        <v>0.5831</v>
      </c>
      <c r="AH418" s="21">
        <v>2.1054</v>
      </c>
      <c r="AI418" s="21">
        <v>0.587</v>
      </c>
      <c r="AJ418" s="19">
        <v>1.16</v>
      </c>
      <c r="AK418" s="16" t="s">
        <v>1283</v>
      </c>
      <c r="AL418" s="22">
        <f>IFERROR(__xludf.DUMMYFUNCTION("IFERROR(GOOGLEFINANCE(B418,""price""),"""")"),3.39)</f>
        <v>3.39</v>
      </c>
    </row>
    <row r="419">
      <c r="A419" s="7">
        <v>46092.66818390306</v>
      </c>
      <c r="B419" s="8" t="s">
        <v>2050</v>
      </c>
      <c r="C419" s="8" t="s">
        <v>2051</v>
      </c>
      <c r="D419" s="9">
        <v>46096.0</v>
      </c>
      <c r="E419" s="8" t="s">
        <v>2052</v>
      </c>
      <c r="F419" s="10">
        <v>142.1</v>
      </c>
      <c r="G419" s="11">
        <v>1.529</v>
      </c>
      <c r="H419" s="8" t="s">
        <v>129</v>
      </c>
      <c r="I419" s="12">
        <v>755744.0</v>
      </c>
      <c r="J419" s="11">
        <v>32.4288</v>
      </c>
      <c r="K419" s="13">
        <v>5.1405</v>
      </c>
      <c r="L419" s="13">
        <v>9.5619</v>
      </c>
      <c r="M419" s="13">
        <v>558521.3</v>
      </c>
      <c r="N419" s="13">
        <v>1.3665</v>
      </c>
      <c r="O419" s="12">
        <v>7.259344049E9</v>
      </c>
      <c r="P419" s="13">
        <v>26.72</v>
      </c>
      <c r="Q419" s="13">
        <v>18.6434</v>
      </c>
      <c r="R419" s="11">
        <v>47.1379</v>
      </c>
      <c r="S419" s="13">
        <v>143.3136</v>
      </c>
      <c r="T419" s="13">
        <v>145.0106</v>
      </c>
      <c r="U419" s="13">
        <v>141.8654</v>
      </c>
      <c r="V419" s="13">
        <v>137.6705</v>
      </c>
      <c r="W419" s="13">
        <v>136.5474</v>
      </c>
      <c r="X419" s="13">
        <v>131.1777</v>
      </c>
      <c r="Y419" s="13">
        <v>124.9334</v>
      </c>
      <c r="Z419" s="13">
        <v>123.9014</v>
      </c>
      <c r="AA419" s="13">
        <v>162.61</v>
      </c>
      <c r="AB419" s="13">
        <v>12.9836</v>
      </c>
      <c r="AC419" s="13">
        <v>10.9446</v>
      </c>
      <c r="AD419" s="13">
        <v>9.2544</v>
      </c>
      <c r="AE419" s="13">
        <v>3.0413</v>
      </c>
      <c r="AF419" s="13">
        <v>10.4916</v>
      </c>
      <c r="AG419" s="13">
        <v>0.5085</v>
      </c>
      <c r="AH419" s="13">
        <v>1.3616</v>
      </c>
      <c r="AI419" s="13">
        <v>1.0191</v>
      </c>
      <c r="AJ419" s="11">
        <v>1.08</v>
      </c>
      <c r="AK419" s="23"/>
      <c r="AL419" s="14">
        <f>IFERROR(__xludf.DUMMYFUNCTION("IFERROR(GOOGLEFINANCE(B419,""price""),"""")"),158.19)</f>
        <v>158.19</v>
      </c>
    </row>
    <row r="420">
      <c r="A420" s="15">
        <v>46092.66818390306</v>
      </c>
      <c r="B420" s="16" t="s">
        <v>1706</v>
      </c>
      <c r="C420" s="16" t="s">
        <v>1707</v>
      </c>
      <c r="D420" s="17">
        <v>46096.0</v>
      </c>
      <c r="E420" s="16" t="s">
        <v>1708</v>
      </c>
      <c r="F420" s="18">
        <v>198.34</v>
      </c>
      <c r="G420" s="19">
        <v>1.0495</v>
      </c>
      <c r="H420" s="16" t="s">
        <v>186</v>
      </c>
      <c r="I420" s="20">
        <v>5046436.0</v>
      </c>
      <c r="J420" s="19">
        <v>23.3321</v>
      </c>
      <c r="K420" s="21">
        <v>5.2219</v>
      </c>
      <c r="L420" s="21">
        <v>8.4608</v>
      </c>
      <c r="M420" s="16">
        <v>2374365.0</v>
      </c>
      <c r="N420" s="21">
        <v>2.3467</v>
      </c>
      <c r="O420" s="20">
        <v>7.9314112378E10</v>
      </c>
      <c r="P420" s="21">
        <v>33.2918</v>
      </c>
      <c r="Q420" s="21">
        <v>45.7762</v>
      </c>
      <c r="R420" s="19">
        <v>50.9008</v>
      </c>
      <c r="S420" s="21">
        <v>199.7641</v>
      </c>
      <c r="T420" s="21">
        <v>198.6071</v>
      </c>
      <c r="U420" s="21">
        <v>197.1014</v>
      </c>
      <c r="V420" s="21">
        <v>195.7963</v>
      </c>
      <c r="W420" s="21">
        <v>195.5379</v>
      </c>
      <c r="X420" s="21">
        <v>195.1889</v>
      </c>
      <c r="Y420" s="21">
        <v>197.5229</v>
      </c>
      <c r="Z420" s="21">
        <v>202.3752</v>
      </c>
      <c r="AA420" s="21">
        <v>229.24</v>
      </c>
      <c r="AB420" s="21">
        <v>42.8686</v>
      </c>
      <c r="AC420" s="21">
        <v>4.6267</v>
      </c>
      <c r="AD420" s="21">
        <v>43.2486</v>
      </c>
      <c r="AE420" s="21">
        <v>22.9819</v>
      </c>
      <c r="AF420" s="21">
        <v>8.5956</v>
      </c>
      <c r="AG420" s="21">
        <v>0.7266</v>
      </c>
      <c r="AH420" s="21">
        <v>1.0742</v>
      </c>
      <c r="AI420" s="21">
        <v>1.3425</v>
      </c>
      <c r="AJ420" s="19">
        <v>1.23</v>
      </c>
      <c r="AK420" s="16" t="s">
        <v>2053</v>
      </c>
      <c r="AL420" s="22">
        <f>IFERROR(__xludf.DUMMYFUNCTION("IFERROR(GOOGLEFINANCE(B420,""price""),"""")"),174.93)</f>
        <v>174.93</v>
      </c>
    </row>
    <row r="421">
      <c r="A421" s="7">
        <v>46092.66818390306</v>
      </c>
      <c r="B421" s="8" t="s">
        <v>2054</v>
      </c>
      <c r="C421" s="8" t="s">
        <v>2055</v>
      </c>
      <c r="D421" s="9">
        <v>46096.0</v>
      </c>
      <c r="E421" s="8" t="s">
        <v>2056</v>
      </c>
      <c r="F421" s="10">
        <v>492.38</v>
      </c>
      <c r="G421" s="11">
        <v>-1.3603</v>
      </c>
      <c r="H421" s="8" t="s">
        <v>117</v>
      </c>
      <c r="I421" s="12">
        <v>2062036.0</v>
      </c>
      <c r="J421" s="11">
        <v>20.3578</v>
      </c>
      <c r="K421" s="13">
        <v>15.5729</v>
      </c>
      <c r="L421" s="13">
        <v>29.8786</v>
      </c>
      <c r="M421" s="8">
        <v>1506476.0</v>
      </c>
      <c r="N421" s="13">
        <v>1.4917</v>
      </c>
      <c r="O421" s="12">
        <v>1.25081360272E11</v>
      </c>
      <c r="P421" s="13">
        <v>59.7038</v>
      </c>
      <c r="Q421" s="13">
        <v>37.8312</v>
      </c>
      <c r="R421" s="11">
        <v>56.8955</v>
      </c>
      <c r="S421" s="13">
        <v>479.7159</v>
      </c>
      <c r="T421" s="13">
        <v>476.3938</v>
      </c>
      <c r="U421" s="13">
        <v>472.9208</v>
      </c>
      <c r="V421" s="13">
        <v>468.1899</v>
      </c>
      <c r="W421" s="13">
        <v>466.7251</v>
      </c>
      <c r="X421" s="13">
        <v>458.4044</v>
      </c>
      <c r="Y421" s="13">
        <v>448.7494</v>
      </c>
      <c r="Z421" s="13">
        <v>437.8558</v>
      </c>
      <c r="AA421" s="13">
        <v>519.68</v>
      </c>
      <c r="AB421" s="13">
        <v>32.1087</v>
      </c>
      <c r="AC421" s="13">
        <v>15.3348</v>
      </c>
      <c r="AD421" s="13">
        <v>22.5412</v>
      </c>
      <c r="AE421" s="13">
        <v>39.4274</v>
      </c>
      <c r="AF421" s="13">
        <v>9.925</v>
      </c>
      <c r="AG421" s="13">
        <v>0.1091</v>
      </c>
      <c r="AH421" s="13">
        <v>2.9009</v>
      </c>
      <c r="AI421" s="13">
        <v>1.3801</v>
      </c>
      <c r="AJ421" s="11">
        <v>1.04</v>
      </c>
      <c r="AK421" s="23"/>
      <c r="AL421" s="14">
        <f>IFERROR(__xludf.DUMMYFUNCTION("IFERROR(GOOGLEFINANCE(B421,""price""),"""")"),436.27)</f>
        <v>436.27</v>
      </c>
    </row>
    <row r="422">
      <c r="A422" s="15">
        <v>46092.66818390306</v>
      </c>
      <c r="B422" s="16" t="s">
        <v>2057</v>
      </c>
      <c r="C422" s="16" t="s">
        <v>2058</v>
      </c>
      <c r="D422" s="17">
        <v>46096.0</v>
      </c>
      <c r="E422" s="16" t="s">
        <v>2059</v>
      </c>
      <c r="F422" s="18">
        <v>14.37</v>
      </c>
      <c r="G422" s="19">
        <v>0.0696</v>
      </c>
      <c r="H422" s="16" t="s">
        <v>117</v>
      </c>
      <c r="I422" s="20">
        <v>5274506.0</v>
      </c>
      <c r="J422" s="19">
        <v>58.64</v>
      </c>
      <c r="K422" s="21">
        <v>0.0435</v>
      </c>
      <c r="L422" s="21">
        <v>0.4271</v>
      </c>
      <c r="M422" s="16">
        <v>4104642.0</v>
      </c>
      <c r="N422" s="21">
        <v>1.3738</v>
      </c>
      <c r="O422" s="20">
        <v>4.512190417E9</v>
      </c>
      <c r="P422" s="21">
        <v>86.1111</v>
      </c>
      <c r="Q422" s="21">
        <v>77.6455</v>
      </c>
      <c r="R422" s="19">
        <v>69.7109</v>
      </c>
      <c r="S422" s="21">
        <v>14.354</v>
      </c>
      <c r="T422" s="21">
        <v>14.3172</v>
      </c>
      <c r="U422" s="21">
        <v>14.1509</v>
      </c>
      <c r="V422" s="21">
        <v>13.7829</v>
      </c>
      <c r="W422" s="21">
        <v>13.6496</v>
      </c>
      <c r="X422" s="21">
        <v>12.7333</v>
      </c>
      <c r="Y422" s="21">
        <v>10.9414</v>
      </c>
      <c r="Z422" s="21">
        <v>9.5329</v>
      </c>
      <c r="AA422" s="21">
        <v>14.39</v>
      </c>
      <c r="AB422" s="21">
        <v>0.0</v>
      </c>
      <c r="AC422" s="21">
        <v>-0.0886</v>
      </c>
      <c r="AD422" s="21">
        <v>-11.5784</v>
      </c>
      <c r="AE422" s="21">
        <v>5.4384</v>
      </c>
      <c r="AF422" s="21">
        <v>20.0485</v>
      </c>
      <c r="AG422" s="21">
        <v>1.613</v>
      </c>
      <c r="AH422" s="21">
        <v>2.8431</v>
      </c>
      <c r="AI422" s="21">
        <v>1.4134</v>
      </c>
      <c r="AJ422" s="19">
        <v>0.2</v>
      </c>
      <c r="AK422" s="16" t="s">
        <v>2060</v>
      </c>
      <c r="AL422" s="22">
        <f>IFERROR(__xludf.DUMMYFUNCTION("IFERROR(GOOGLEFINANCE(B422,""price""),"""")"),14.46)</f>
        <v>14.46</v>
      </c>
    </row>
    <row r="423">
      <c r="A423" s="7">
        <v>46092.66818390306</v>
      </c>
      <c r="B423" s="8" t="s">
        <v>1587</v>
      </c>
      <c r="C423" s="8" t="s">
        <v>1588</v>
      </c>
      <c r="D423" s="9">
        <v>46096.0</v>
      </c>
      <c r="E423" s="8" t="s">
        <v>1589</v>
      </c>
      <c r="F423" s="10">
        <v>36.09</v>
      </c>
      <c r="G423" s="11">
        <v>-5.3004</v>
      </c>
      <c r="H423" s="8" t="s">
        <v>102</v>
      </c>
      <c r="I423" s="12">
        <v>4350072.0</v>
      </c>
      <c r="J423" s="11">
        <v>20.1285</v>
      </c>
      <c r="K423" s="13">
        <v>3.3134</v>
      </c>
      <c r="L423" s="13">
        <v>6.1939</v>
      </c>
      <c r="M423" s="8">
        <v>3627553.0</v>
      </c>
      <c r="N423" s="13">
        <v>1.2567</v>
      </c>
      <c r="O423" s="12">
        <v>2.178619341E9</v>
      </c>
      <c r="P423" s="13">
        <v>36.828</v>
      </c>
      <c r="Q423" s="13">
        <v>28.2917</v>
      </c>
      <c r="R423" s="11">
        <v>49.4455</v>
      </c>
      <c r="S423" s="13">
        <v>36.5838</v>
      </c>
      <c r="T423" s="13">
        <v>36.6444</v>
      </c>
      <c r="U423" s="13">
        <v>36.0673</v>
      </c>
      <c r="V423" s="13">
        <v>35.4983</v>
      </c>
      <c r="W423" s="13">
        <v>35.3557</v>
      </c>
      <c r="X423" s="13">
        <v>34.4711</v>
      </c>
      <c r="Y423" s="13">
        <v>32.1178</v>
      </c>
      <c r="Z423" s="13">
        <v>31.2936</v>
      </c>
      <c r="AA423" s="13">
        <v>48.5999</v>
      </c>
      <c r="AB423" s="13">
        <v>0.0</v>
      </c>
      <c r="AC423" s="13">
        <v>-6.8795</v>
      </c>
      <c r="AD423" s="13">
        <v>-74.6815</v>
      </c>
      <c r="AE423" s="13">
        <v>-22.1786</v>
      </c>
      <c r="AF423" s="13">
        <v>27.7822</v>
      </c>
      <c r="AG423" s="13">
        <v>0.9457</v>
      </c>
      <c r="AH423" s="13">
        <v>2.1653</v>
      </c>
      <c r="AI423" s="13">
        <v>1.4309</v>
      </c>
      <c r="AJ423" s="11">
        <v>1.07</v>
      </c>
      <c r="AK423" s="23"/>
      <c r="AL423" s="14">
        <f>IFERROR(__xludf.DUMMYFUNCTION("IFERROR(GOOGLEFINANCE(B423,""price""),"""")"),41.76)</f>
        <v>41.76</v>
      </c>
    </row>
    <row r="424">
      <c r="A424" s="15">
        <v>46092.66818390306</v>
      </c>
      <c r="B424" s="16" t="s">
        <v>2061</v>
      </c>
      <c r="C424" s="16" t="s">
        <v>2062</v>
      </c>
      <c r="D424" s="17">
        <v>46096.0</v>
      </c>
      <c r="E424" s="16" t="s">
        <v>2063</v>
      </c>
      <c r="F424" s="18">
        <v>26.8</v>
      </c>
      <c r="G424" s="19">
        <v>0.9036</v>
      </c>
      <c r="H424" s="16" t="s">
        <v>93</v>
      </c>
      <c r="I424" s="20">
        <v>446266.0</v>
      </c>
      <c r="J424" s="19">
        <v>24.6806</v>
      </c>
      <c r="K424" s="21">
        <v>1.4816</v>
      </c>
      <c r="L424" s="21">
        <v>2.8327</v>
      </c>
      <c r="M424" s="21">
        <v>373889.3</v>
      </c>
      <c r="N424" s="21">
        <v>1.2189</v>
      </c>
      <c r="O424" s="20">
        <v>8.28426471E8</v>
      </c>
      <c r="P424" s="21">
        <v>59.7953</v>
      </c>
      <c r="Q424" s="21">
        <v>61.1484</v>
      </c>
      <c r="R424" s="19">
        <v>51.1874</v>
      </c>
      <c r="S424" s="21">
        <v>27.0079</v>
      </c>
      <c r="T424" s="21">
        <v>26.6968</v>
      </c>
      <c r="U424" s="21">
        <v>26.6058</v>
      </c>
      <c r="V424" s="21">
        <v>26.6066</v>
      </c>
      <c r="W424" s="21">
        <v>26.6004</v>
      </c>
      <c r="X424" s="21">
        <v>26.3683</v>
      </c>
      <c r="Y424" s="21">
        <v>24.3142</v>
      </c>
      <c r="Z424" s="21">
        <v>25.0303</v>
      </c>
      <c r="AA424" s="21">
        <v>31.98</v>
      </c>
      <c r="AB424" s="21">
        <v>4.2433</v>
      </c>
      <c r="AC424" s="21">
        <v>6.3159</v>
      </c>
      <c r="AD424" s="21">
        <v>49.1411</v>
      </c>
      <c r="AE424" s="21">
        <v>31.5286</v>
      </c>
      <c r="AF424" s="21">
        <v>3.619</v>
      </c>
      <c r="AG424" s="21">
        <v>0.1976</v>
      </c>
      <c r="AH424" s="21">
        <v>1.3308</v>
      </c>
      <c r="AI424" s="21">
        <v>1.5004</v>
      </c>
      <c r="AJ424" s="19">
        <v>1.05</v>
      </c>
      <c r="AK424" s="24"/>
      <c r="AL424" s="22">
        <f>IFERROR(__xludf.DUMMYFUNCTION("IFERROR(GOOGLEFINANCE(B424,""price""),"""")"),26.16)</f>
        <v>26.16</v>
      </c>
    </row>
    <row r="425">
      <c r="A425" s="7">
        <v>46092.66818390306</v>
      </c>
      <c r="B425" s="8" t="s">
        <v>2064</v>
      </c>
      <c r="C425" s="8" t="s">
        <v>2065</v>
      </c>
      <c r="D425" s="9">
        <v>46096.0</v>
      </c>
      <c r="E425" s="8" t="s">
        <v>2066</v>
      </c>
      <c r="F425" s="10">
        <v>52.11</v>
      </c>
      <c r="G425" s="11">
        <v>0.2115</v>
      </c>
      <c r="H425" s="8" t="s">
        <v>917</v>
      </c>
      <c r="I425" s="12">
        <v>2017119.0</v>
      </c>
      <c r="J425" s="11">
        <v>22.6121</v>
      </c>
      <c r="K425" s="13">
        <v>1.0042</v>
      </c>
      <c r="L425" s="13">
        <v>1.9489</v>
      </c>
      <c r="M425" s="8">
        <v>1431558.0</v>
      </c>
      <c r="N425" s="13">
        <v>1.5264</v>
      </c>
      <c r="O425" s="12">
        <v>6.587254314E9</v>
      </c>
      <c r="P425" s="13">
        <v>35.8176</v>
      </c>
      <c r="Q425" s="13">
        <v>53.1351</v>
      </c>
      <c r="R425" s="11">
        <v>48.0955</v>
      </c>
      <c r="S425" s="13">
        <v>52.8678</v>
      </c>
      <c r="T425" s="13">
        <v>52.6168</v>
      </c>
      <c r="U425" s="13">
        <v>52.0115</v>
      </c>
      <c r="V425" s="13">
        <v>51.3091</v>
      </c>
      <c r="W425" s="13">
        <v>51.1024</v>
      </c>
      <c r="X425" s="13">
        <v>49.8401</v>
      </c>
      <c r="Y425" s="13">
        <v>47.3683</v>
      </c>
      <c r="Z425" s="13">
        <v>45.7039</v>
      </c>
      <c r="AA425" s="13">
        <v>54.39</v>
      </c>
      <c r="AB425" s="13">
        <v>18.8517</v>
      </c>
      <c r="AC425" s="13">
        <v>2.7642</v>
      </c>
      <c r="AD425" s="13">
        <v>7.7204</v>
      </c>
      <c r="AE425" s="13">
        <v>16.4245</v>
      </c>
      <c r="AF425" s="13">
        <v>6.5046</v>
      </c>
      <c r="AG425" s="13">
        <v>1.2715</v>
      </c>
      <c r="AH425" s="13">
        <v>1.0796</v>
      </c>
      <c r="AI425" s="13">
        <v>1.6433</v>
      </c>
      <c r="AJ425" s="11">
        <v>1.03</v>
      </c>
      <c r="AK425" s="23"/>
      <c r="AL425" s="14">
        <f>IFERROR(__xludf.DUMMYFUNCTION("IFERROR(GOOGLEFINANCE(B425,""price""),"""")"),53.7)</f>
        <v>53.7</v>
      </c>
    </row>
    <row r="426">
      <c r="A426" s="15">
        <v>46092.66818390306</v>
      </c>
      <c r="B426" s="16" t="s">
        <v>2067</v>
      </c>
      <c r="C426" s="16" t="s">
        <v>2068</v>
      </c>
      <c r="D426" s="17">
        <v>46096.0</v>
      </c>
      <c r="E426" s="16" t="s">
        <v>2069</v>
      </c>
      <c r="F426" s="18">
        <v>17.67</v>
      </c>
      <c r="G426" s="19">
        <v>-0.6187</v>
      </c>
      <c r="H426" s="16" t="s">
        <v>93</v>
      </c>
      <c r="I426" s="20">
        <v>357892.0</v>
      </c>
      <c r="J426" s="19">
        <v>24.1837</v>
      </c>
      <c r="K426" s="21">
        <v>0.4987</v>
      </c>
      <c r="L426" s="21">
        <v>1.0217</v>
      </c>
      <c r="M426" s="21">
        <v>300110.0</v>
      </c>
      <c r="N426" s="21">
        <v>1.2539</v>
      </c>
      <c r="O426" s="20">
        <v>1.839771805E9</v>
      </c>
      <c r="P426" s="21">
        <v>21.8681</v>
      </c>
      <c r="Q426" s="21">
        <v>32.6448</v>
      </c>
      <c r="R426" s="19">
        <v>47.4168</v>
      </c>
      <c r="S426" s="21">
        <v>17.9562</v>
      </c>
      <c r="T426" s="21">
        <v>17.9157</v>
      </c>
      <c r="U426" s="21">
        <v>17.66</v>
      </c>
      <c r="V426" s="21">
        <v>17.3509</v>
      </c>
      <c r="W426" s="21">
        <v>17.2637</v>
      </c>
      <c r="X426" s="21">
        <v>16.7853</v>
      </c>
      <c r="Y426" s="21">
        <v>16.0926</v>
      </c>
      <c r="Z426" s="21">
        <v>15.5361</v>
      </c>
      <c r="AA426" s="21">
        <v>18.87</v>
      </c>
      <c r="AB426" s="21">
        <v>34.7493</v>
      </c>
      <c r="AC426" s="21">
        <v>0.5085</v>
      </c>
      <c r="AD426" s="21">
        <v>4.6197</v>
      </c>
      <c r="AE426" s="21">
        <v>13.4484</v>
      </c>
      <c r="AF426" s="21">
        <v>12.5178</v>
      </c>
      <c r="AG426" s="21">
        <v>1.0338</v>
      </c>
      <c r="AH426" s="21">
        <v>0.048</v>
      </c>
      <c r="AI426" s="21">
        <v>1.6761</v>
      </c>
      <c r="AJ426" s="19">
        <v>0.98</v>
      </c>
      <c r="AK426" s="24"/>
      <c r="AL426" s="22">
        <f>IFERROR(__xludf.DUMMYFUNCTION("IFERROR(GOOGLEFINANCE(B426,""price""),"""")"),18.16)</f>
        <v>18.16</v>
      </c>
    </row>
    <row r="427">
      <c r="A427" s="7">
        <v>46092.66818390306</v>
      </c>
      <c r="B427" s="8" t="s">
        <v>2029</v>
      </c>
      <c r="C427" s="8" t="s">
        <v>2030</v>
      </c>
      <c r="D427" s="9">
        <v>46096.0</v>
      </c>
      <c r="E427" s="8" t="s">
        <v>2031</v>
      </c>
      <c r="F427" s="10">
        <v>2.59</v>
      </c>
      <c r="G427" s="11">
        <v>5.7143</v>
      </c>
      <c r="H427" s="8" t="s">
        <v>117</v>
      </c>
      <c r="I427" s="12">
        <v>619736.0</v>
      </c>
      <c r="J427" s="11">
        <v>22.5576</v>
      </c>
      <c r="K427" s="13">
        <v>0.1124</v>
      </c>
      <c r="L427" s="13">
        <v>0.2406</v>
      </c>
      <c r="M427" s="13">
        <v>316150.6</v>
      </c>
      <c r="N427" s="13">
        <v>2.2305</v>
      </c>
      <c r="O427" s="12">
        <v>1.45918785E8</v>
      </c>
      <c r="P427" s="13">
        <v>88.3673</v>
      </c>
      <c r="Q427" s="13">
        <v>76.0028</v>
      </c>
      <c r="R427" s="11">
        <v>70.4556</v>
      </c>
      <c r="S427" s="13">
        <v>2.3748</v>
      </c>
      <c r="T427" s="13">
        <v>2.3267</v>
      </c>
      <c r="U427" s="13">
        <v>2.3266</v>
      </c>
      <c r="V427" s="13">
        <v>2.3281</v>
      </c>
      <c r="W427" s="13">
        <v>2.3275</v>
      </c>
      <c r="X427" s="13">
        <v>2.3071</v>
      </c>
      <c r="Y427" s="13">
        <v>2.1334</v>
      </c>
      <c r="Z427" s="13">
        <v>2.3239</v>
      </c>
      <c r="AA427" s="13">
        <v>3.22</v>
      </c>
      <c r="AB427" s="13">
        <v>0.0</v>
      </c>
      <c r="AC427" s="13">
        <v>-0.7949</v>
      </c>
      <c r="AD427" s="13">
        <v>-95.2946</v>
      </c>
      <c r="AE427" s="13">
        <v>-192.1274</v>
      </c>
      <c r="AF427" s="13">
        <v>-67.3773</v>
      </c>
      <c r="AG427" s="13">
        <v>0.1265</v>
      </c>
      <c r="AH427" s="13">
        <v>3.8335</v>
      </c>
      <c r="AI427" s="13">
        <v>1.8611</v>
      </c>
      <c r="AJ427" s="11">
        <v>0.93</v>
      </c>
      <c r="AK427" s="8" t="s">
        <v>1482</v>
      </c>
      <c r="AL427" s="14">
        <f>IFERROR(__xludf.DUMMYFUNCTION("IFERROR(GOOGLEFINANCE(B427,""price""),"""")"),2.67)</f>
        <v>2.67</v>
      </c>
    </row>
    <row r="428">
      <c r="A428" s="15">
        <v>46092.66818390306</v>
      </c>
      <c r="B428" s="16" t="s">
        <v>2070</v>
      </c>
      <c r="C428" s="16" t="s">
        <v>2071</v>
      </c>
      <c r="D428" s="17">
        <v>46096.0</v>
      </c>
      <c r="E428" s="16" t="s">
        <v>2072</v>
      </c>
      <c r="F428" s="18">
        <v>4.58</v>
      </c>
      <c r="G428" s="19">
        <v>11.7073</v>
      </c>
      <c r="H428" s="16" t="s">
        <v>117</v>
      </c>
      <c r="I428" s="20">
        <v>2798478.0</v>
      </c>
      <c r="J428" s="19">
        <v>21.6374</v>
      </c>
      <c r="K428" s="21">
        <v>0.32</v>
      </c>
      <c r="L428" s="21">
        <v>0.5828</v>
      </c>
      <c r="M428" s="21">
        <v>714899.2</v>
      </c>
      <c r="N428" s="21">
        <v>6.2717</v>
      </c>
      <c r="O428" s="20">
        <v>2.33355733E8</v>
      </c>
      <c r="P428" s="21">
        <v>65.0313</v>
      </c>
      <c r="Q428" s="21">
        <v>52.3981</v>
      </c>
      <c r="R428" s="19">
        <v>66.7884</v>
      </c>
      <c r="S428" s="21">
        <v>4.0723</v>
      </c>
      <c r="T428" s="21">
        <v>4.0036</v>
      </c>
      <c r="U428" s="21">
        <v>3.9851</v>
      </c>
      <c r="V428" s="21">
        <v>3.932</v>
      </c>
      <c r="W428" s="21">
        <v>3.9092</v>
      </c>
      <c r="X428" s="21">
        <v>3.7206</v>
      </c>
      <c r="Y428" s="21">
        <v>3.2778</v>
      </c>
      <c r="Z428" s="21">
        <v>2.9438</v>
      </c>
      <c r="AA428" s="21">
        <v>6.6</v>
      </c>
      <c r="AB428" s="21">
        <v>0.0</v>
      </c>
      <c r="AC428" s="21">
        <v>-2.6735</v>
      </c>
      <c r="AD428" s="21">
        <v>-14.4466</v>
      </c>
      <c r="AE428" s="21">
        <v>0.0</v>
      </c>
      <c r="AF428" s="21">
        <v>-100.0</v>
      </c>
      <c r="AG428" s="21">
        <v>0.0393</v>
      </c>
      <c r="AH428" s="21">
        <v>9.4608</v>
      </c>
      <c r="AI428" s="21">
        <v>1.9034</v>
      </c>
      <c r="AJ428" s="19">
        <v>1.1</v>
      </c>
      <c r="AK428" s="16" t="s">
        <v>2073</v>
      </c>
      <c r="AL428" s="22">
        <f>IFERROR(__xludf.DUMMYFUNCTION("IFERROR(GOOGLEFINANCE(B428,""price""),"""")"),3.75)</f>
        <v>3.75</v>
      </c>
    </row>
    <row r="429">
      <c r="A429" s="7">
        <v>46093.670613864735</v>
      </c>
      <c r="B429" s="8" t="s">
        <v>1502</v>
      </c>
      <c r="C429" s="8" t="s">
        <v>1503</v>
      </c>
      <c r="D429" s="9">
        <v>46096.0</v>
      </c>
      <c r="E429" s="8" t="s">
        <v>1504</v>
      </c>
      <c r="F429" s="10">
        <v>79.79</v>
      </c>
      <c r="G429" s="11">
        <v>-0.0376</v>
      </c>
      <c r="H429" s="8" t="s">
        <v>88</v>
      </c>
      <c r="I429" s="12">
        <v>475480.0</v>
      </c>
      <c r="J429" s="11">
        <v>49.4378</v>
      </c>
      <c r="K429" s="13">
        <v>0.2767</v>
      </c>
      <c r="L429" s="13">
        <v>1.5263</v>
      </c>
      <c r="M429" s="13">
        <v>361029.2</v>
      </c>
      <c r="N429" s="13">
        <v>1.4128</v>
      </c>
      <c r="O429" s="12">
        <v>2.274169462E9</v>
      </c>
      <c r="P429" s="13">
        <v>35.7383</v>
      </c>
      <c r="Q429" s="13">
        <v>54.3899</v>
      </c>
      <c r="R429" s="11">
        <v>52.6403</v>
      </c>
      <c r="S429" s="13">
        <v>79.867</v>
      </c>
      <c r="T429" s="13">
        <v>79.7858</v>
      </c>
      <c r="U429" s="13">
        <v>79.5613</v>
      </c>
      <c r="V429" s="13">
        <v>79.0606</v>
      </c>
      <c r="W429" s="13">
        <v>78.8616</v>
      </c>
      <c r="X429" s="13">
        <v>77.242</v>
      </c>
      <c r="Y429" s="13">
        <v>72.0038</v>
      </c>
      <c r="Z429" s="13">
        <v>70.8149</v>
      </c>
      <c r="AA429" s="13">
        <v>80.67</v>
      </c>
      <c r="AB429" s="13">
        <v>40.2046</v>
      </c>
      <c r="AC429" s="13">
        <v>1.9846</v>
      </c>
      <c r="AD429" s="13">
        <v>19.7366</v>
      </c>
      <c r="AE429" s="13">
        <v>12.1871</v>
      </c>
      <c r="AF429" s="13">
        <v>2.1751</v>
      </c>
      <c r="AG429" s="13">
        <v>1.9931</v>
      </c>
      <c r="AH429" s="13">
        <v>1.4408</v>
      </c>
      <c r="AI429" s="13">
        <v>0.3832</v>
      </c>
      <c r="AJ429" s="11">
        <v>0.36</v>
      </c>
      <c r="AK429" s="8" t="s">
        <v>2074</v>
      </c>
      <c r="AL429" s="14">
        <f>IFERROR(__xludf.DUMMYFUNCTION("IFERROR(GOOGLEFINANCE(B429,""price""),"""")"),80.04)</f>
        <v>80.04</v>
      </c>
    </row>
    <row r="430">
      <c r="A430" s="15">
        <v>46093.670613864735</v>
      </c>
      <c r="B430" s="16" t="s">
        <v>2075</v>
      </c>
      <c r="C430" s="16" t="s">
        <v>2040</v>
      </c>
      <c r="D430" s="17">
        <v>46096.0</v>
      </c>
      <c r="E430" s="16" t="s">
        <v>2076</v>
      </c>
      <c r="F430" s="18">
        <v>38.02</v>
      </c>
      <c r="G430" s="19">
        <v>0.4491</v>
      </c>
      <c r="H430" s="16" t="s">
        <v>917</v>
      </c>
      <c r="I430" s="20">
        <v>1153769.0</v>
      </c>
      <c r="J430" s="19">
        <v>24.0654</v>
      </c>
      <c r="K430" s="21">
        <v>1.083</v>
      </c>
      <c r="L430" s="21">
        <v>2.0713</v>
      </c>
      <c r="M430" s="21">
        <v>930584.6</v>
      </c>
      <c r="N430" s="21">
        <v>1.2316</v>
      </c>
      <c r="O430" s="20">
        <v>7.791992035E9</v>
      </c>
      <c r="P430" s="21">
        <v>34.9931</v>
      </c>
      <c r="Q430" s="21">
        <v>30.6801</v>
      </c>
      <c r="R430" s="19">
        <v>51.2999</v>
      </c>
      <c r="S430" s="21">
        <v>37.901</v>
      </c>
      <c r="T430" s="21">
        <v>38.0322</v>
      </c>
      <c r="U430" s="21">
        <v>37.6525</v>
      </c>
      <c r="V430" s="21">
        <v>37.0578</v>
      </c>
      <c r="W430" s="21">
        <v>36.876</v>
      </c>
      <c r="X430" s="21">
        <v>35.785</v>
      </c>
      <c r="Y430" s="21">
        <v>33.4751</v>
      </c>
      <c r="Z430" s="21">
        <v>32.9451</v>
      </c>
      <c r="AA430" s="21">
        <v>41.51</v>
      </c>
      <c r="AB430" s="21">
        <v>26.3479</v>
      </c>
      <c r="AC430" s="21">
        <v>1.443</v>
      </c>
      <c r="AD430" s="21">
        <v>8.4776</v>
      </c>
      <c r="AE430" s="21">
        <v>13.7741</v>
      </c>
      <c r="AF430" s="21">
        <v>-3.0708</v>
      </c>
      <c r="AG430" s="21">
        <v>4.8971</v>
      </c>
      <c r="AH430" s="21">
        <v>1.1316</v>
      </c>
      <c r="AI430" s="21">
        <v>0.6537</v>
      </c>
      <c r="AJ430" s="19">
        <v>1.05</v>
      </c>
      <c r="AK430" s="16" t="s">
        <v>1283</v>
      </c>
      <c r="AL430" s="22">
        <f>IFERROR(__xludf.DUMMYFUNCTION("IFERROR(GOOGLEFINANCE(B430,""price""),"""")"),41.07)</f>
        <v>41.07</v>
      </c>
    </row>
    <row r="431">
      <c r="A431" s="7">
        <v>46093.670613864735</v>
      </c>
      <c r="B431" s="8" t="s">
        <v>1995</v>
      </c>
      <c r="C431" s="8" t="s">
        <v>1996</v>
      </c>
      <c r="D431" s="9">
        <v>46096.0</v>
      </c>
      <c r="E431" s="8" t="s">
        <v>1997</v>
      </c>
      <c r="F431" s="10">
        <v>63.89</v>
      </c>
      <c r="G431" s="11">
        <v>-4.5135</v>
      </c>
      <c r="H431" s="8" t="s">
        <v>102</v>
      </c>
      <c r="I431" s="12">
        <v>390069.0</v>
      </c>
      <c r="J431" s="11">
        <v>23.6859</v>
      </c>
      <c r="K431" s="13">
        <v>4.1097</v>
      </c>
      <c r="L431" s="13">
        <v>5.5327</v>
      </c>
      <c r="M431" s="13">
        <v>269907.5</v>
      </c>
      <c r="N431" s="13">
        <v>1.6289</v>
      </c>
      <c r="O431" s="12">
        <v>1.08229974E9</v>
      </c>
      <c r="P431" s="13">
        <v>68.3958</v>
      </c>
      <c r="Q431" s="13">
        <v>61.3202</v>
      </c>
      <c r="R431" s="11">
        <v>49.4142</v>
      </c>
      <c r="S431" s="13">
        <v>64.2503</v>
      </c>
      <c r="T431" s="13">
        <v>64.438</v>
      </c>
      <c r="U431" s="13">
        <v>63.7481</v>
      </c>
      <c r="V431" s="13">
        <v>62.4866</v>
      </c>
      <c r="W431" s="13">
        <v>62.0636</v>
      </c>
      <c r="X431" s="13">
        <v>59.1332</v>
      </c>
      <c r="Y431" s="13">
        <v>50.8515</v>
      </c>
      <c r="Z431" s="13">
        <v>49.5865</v>
      </c>
      <c r="AA431" s="13">
        <v>70.0</v>
      </c>
      <c r="AB431" s="13">
        <v>48.556</v>
      </c>
      <c r="AC431" s="13">
        <v>1.3158</v>
      </c>
      <c r="AD431" s="13">
        <v>7.7816</v>
      </c>
      <c r="AE431" s="13">
        <v>8.6613</v>
      </c>
      <c r="AF431" s="13">
        <v>4.6248</v>
      </c>
      <c r="AG431" s="13">
        <v>0.6722</v>
      </c>
      <c r="AH431" s="13">
        <v>3.6559</v>
      </c>
      <c r="AI431" s="13">
        <v>0.7861</v>
      </c>
      <c r="AJ431" s="11">
        <v>1.49</v>
      </c>
      <c r="AK431" s="8" t="s">
        <v>1837</v>
      </c>
      <c r="AL431" s="14">
        <f>IFERROR(__xludf.DUMMYFUNCTION("IFERROR(GOOGLEFINANCE(B431,""price""),"""")"),72.85)</f>
        <v>72.85</v>
      </c>
    </row>
    <row r="432">
      <c r="A432" s="15">
        <v>46093.670613864735</v>
      </c>
      <c r="B432" s="16" t="s">
        <v>2077</v>
      </c>
      <c r="C432" s="16" t="s">
        <v>2078</v>
      </c>
      <c r="D432" s="17">
        <v>46096.0</v>
      </c>
      <c r="E432" s="16" t="s">
        <v>2079</v>
      </c>
      <c r="F432" s="18">
        <v>37.87</v>
      </c>
      <c r="G432" s="19">
        <v>-2.6228</v>
      </c>
      <c r="H432" s="16" t="s">
        <v>917</v>
      </c>
      <c r="I432" s="20">
        <v>1578696.0</v>
      </c>
      <c r="J432" s="19">
        <v>36.4997</v>
      </c>
      <c r="K432" s="21">
        <v>1.0039</v>
      </c>
      <c r="L432" s="21">
        <v>1.725</v>
      </c>
      <c r="M432" s="16">
        <v>1197884.0</v>
      </c>
      <c r="N432" s="21">
        <v>1.4407</v>
      </c>
      <c r="O432" s="20">
        <v>1.7496789165E10</v>
      </c>
      <c r="P432" s="21">
        <v>41.5254</v>
      </c>
      <c r="Q432" s="21">
        <v>30.534</v>
      </c>
      <c r="R432" s="19">
        <v>49.0876</v>
      </c>
      <c r="S432" s="21">
        <v>38.2315</v>
      </c>
      <c r="T432" s="21">
        <v>38.1952</v>
      </c>
      <c r="U432" s="21">
        <v>37.7633</v>
      </c>
      <c r="V432" s="21">
        <v>37.2421</v>
      </c>
      <c r="W432" s="21">
        <v>37.0946</v>
      </c>
      <c r="X432" s="21">
        <v>36.2509</v>
      </c>
      <c r="Y432" s="21">
        <v>34.6364</v>
      </c>
      <c r="Z432" s="21">
        <v>34.0493</v>
      </c>
      <c r="AA432" s="21">
        <v>40.32</v>
      </c>
      <c r="AB432" s="21">
        <v>42.134</v>
      </c>
      <c r="AC432" s="21">
        <v>0.8988</v>
      </c>
      <c r="AD432" s="21">
        <v>7.9893</v>
      </c>
      <c r="AE432" s="21">
        <v>25.0996</v>
      </c>
      <c r="AF432" s="21">
        <v>9.7961</v>
      </c>
      <c r="AG432" s="21">
        <v>11.4806</v>
      </c>
      <c r="AH432" s="21">
        <v>0.0</v>
      </c>
      <c r="AI432" s="21">
        <v>1.2364</v>
      </c>
      <c r="AJ432" s="19">
        <v>1.16</v>
      </c>
      <c r="AK432" s="24"/>
      <c r="AL432" s="22">
        <f>IFERROR(__xludf.DUMMYFUNCTION("IFERROR(GOOGLEFINANCE(B432,""price""),"""")"),36.56)</f>
        <v>36.56</v>
      </c>
    </row>
    <row r="433">
      <c r="A433" s="7">
        <v>46093.670613864735</v>
      </c>
      <c r="B433" s="8" t="s">
        <v>2080</v>
      </c>
      <c r="C433" s="8" t="s">
        <v>2081</v>
      </c>
      <c r="D433" s="9">
        <v>46096.0</v>
      </c>
      <c r="E433" s="8" t="s">
        <v>2082</v>
      </c>
      <c r="F433" s="10">
        <v>92.61</v>
      </c>
      <c r="G433" s="11">
        <v>1.3904</v>
      </c>
      <c r="H433" s="8" t="s">
        <v>129</v>
      </c>
      <c r="I433" s="12">
        <v>3635066.0</v>
      </c>
      <c r="J433" s="11">
        <v>29.2016</v>
      </c>
      <c r="K433" s="13">
        <v>2.6801</v>
      </c>
      <c r="L433" s="13">
        <v>5.1031</v>
      </c>
      <c r="M433" s="8">
        <v>2247281.0</v>
      </c>
      <c r="N433" s="13">
        <v>1.7706</v>
      </c>
      <c r="O433" s="12">
        <v>2.0424388839E10</v>
      </c>
      <c r="P433" s="13">
        <v>46.3429</v>
      </c>
      <c r="Q433" s="13">
        <v>37.6336</v>
      </c>
      <c r="R433" s="11">
        <v>53.2884</v>
      </c>
      <c r="S433" s="13">
        <v>92.2073</v>
      </c>
      <c r="T433" s="13">
        <v>92.3068</v>
      </c>
      <c r="U433" s="13">
        <v>90.6705</v>
      </c>
      <c r="V433" s="13">
        <v>88.5415</v>
      </c>
      <c r="W433" s="13">
        <v>87.9531</v>
      </c>
      <c r="X433" s="13">
        <v>84.9192</v>
      </c>
      <c r="Y433" s="13">
        <v>79.6015</v>
      </c>
      <c r="Z433" s="13">
        <v>79.7988</v>
      </c>
      <c r="AA433" s="13">
        <v>102.13</v>
      </c>
      <c r="AB433" s="13">
        <v>31.4989</v>
      </c>
      <c r="AC433" s="13">
        <v>2.9401</v>
      </c>
      <c r="AD433" s="13">
        <v>15.3028</v>
      </c>
      <c r="AE433" s="13">
        <v>3.47</v>
      </c>
      <c r="AF433" s="13">
        <v>4.0843</v>
      </c>
      <c r="AG433" s="13">
        <v>1.3288</v>
      </c>
      <c r="AH433" s="13">
        <v>1.1596</v>
      </c>
      <c r="AI433" s="13">
        <v>1.6594</v>
      </c>
      <c r="AJ433" s="11">
        <v>1.05</v>
      </c>
      <c r="AK433" s="23"/>
      <c r="AL433" s="14">
        <f>IFERROR(__xludf.DUMMYFUNCTION("IFERROR(GOOGLEFINANCE(B433,""price""),"""")"),91.42)</f>
        <v>91.42</v>
      </c>
    </row>
    <row r="434">
      <c r="A434" s="15">
        <v>46093.670613864735</v>
      </c>
      <c r="B434" s="16" t="s">
        <v>2083</v>
      </c>
      <c r="C434" s="16" t="s">
        <v>2084</v>
      </c>
      <c r="D434" s="17">
        <v>46096.0</v>
      </c>
      <c r="E434" s="16" t="s">
        <v>2085</v>
      </c>
      <c r="F434" s="18">
        <v>3.65</v>
      </c>
      <c r="G434" s="19">
        <v>0.2747</v>
      </c>
      <c r="H434" s="16" t="s">
        <v>190</v>
      </c>
      <c r="I434" s="20">
        <v>1441662.0</v>
      </c>
      <c r="J434" s="19">
        <v>51.675</v>
      </c>
      <c r="K434" s="21">
        <v>0.0185</v>
      </c>
      <c r="L434" s="21">
        <v>0.1443</v>
      </c>
      <c r="M434" s="21">
        <v>451024.9</v>
      </c>
      <c r="N434" s="21">
        <v>4.0289</v>
      </c>
      <c r="O434" s="20">
        <v>1.62297147E8</v>
      </c>
      <c r="P434" s="21">
        <v>86.6667</v>
      </c>
      <c r="Q434" s="21">
        <v>84.3254</v>
      </c>
      <c r="R434" s="19">
        <v>77.0651</v>
      </c>
      <c r="S434" s="21">
        <v>3.6391</v>
      </c>
      <c r="T434" s="21">
        <v>3.6165</v>
      </c>
      <c r="U434" s="21">
        <v>3.5736</v>
      </c>
      <c r="V434" s="21">
        <v>3.4933</v>
      </c>
      <c r="W434" s="21">
        <v>3.4656</v>
      </c>
      <c r="X434" s="21">
        <v>3.2825</v>
      </c>
      <c r="Y434" s="21">
        <v>2.954</v>
      </c>
      <c r="Z434" s="21">
        <v>2.6772</v>
      </c>
      <c r="AA434" s="21">
        <v>3.65</v>
      </c>
      <c r="AB434" s="21">
        <v>0.0</v>
      </c>
      <c r="AC434" s="21">
        <v>-0.2503</v>
      </c>
      <c r="AD434" s="21">
        <v>-10.238</v>
      </c>
      <c r="AE434" s="21">
        <v>-0.6342</v>
      </c>
      <c r="AF434" s="21">
        <v>15.6834</v>
      </c>
      <c r="AG434" s="21">
        <v>1.139</v>
      </c>
      <c r="AH434" s="21">
        <v>1.0381</v>
      </c>
      <c r="AI434" s="21">
        <v>1.7952</v>
      </c>
      <c r="AJ434" s="19">
        <v>0.26</v>
      </c>
      <c r="AK434" s="16" t="s">
        <v>2086</v>
      </c>
      <c r="AL434" s="22" t="str">
        <f>IFERROR(__xludf.DUMMYFUNCTION("IFERROR(GOOGLEFINANCE(B434,""price""),"""")"),"")</f>
        <v/>
      </c>
    </row>
    <row r="435">
      <c r="A435" s="7">
        <v>46093.670613864735</v>
      </c>
      <c r="B435" s="8" t="s">
        <v>2087</v>
      </c>
      <c r="C435" s="8" t="s">
        <v>2088</v>
      </c>
      <c r="D435" s="9">
        <v>46096.0</v>
      </c>
      <c r="E435" s="8" t="s">
        <v>2089</v>
      </c>
      <c r="F435" s="10">
        <v>33.27</v>
      </c>
      <c r="G435" s="11">
        <v>-0.7162</v>
      </c>
      <c r="H435" s="8" t="s">
        <v>137</v>
      </c>
      <c r="I435" s="12">
        <v>677860.0</v>
      </c>
      <c r="J435" s="11">
        <v>20.5543</v>
      </c>
      <c r="K435" s="13">
        <v>1.6802</v>
      </c>
      <c r="L435" s="13">
        <v>3.013</v>
      </c>
      <c r="M435" s="13">
        <v>328706.0</v>
      </c>
      <c r="N435" s="13">
        <v>2.4679</v>
      </c>
      <c r="O435" s="12">
        <v>2.106677328E9</v>
      </c>
      <c r="P435" s="13">
        <v>60.0931</v>
      </c>
      <c r="Q435" s="13">
        <v>51.8869</v>
      </c>
      <c r="R435" s="11">
        <v>52.2488</v>
      </c>
      <c r="S435" s="13">
        <v>33.2886</v>
      </c>
      <c r="T435" s="13">
        <v>33.07</v>
      </c>
      <c r="U435" s="13">
        <v>32.6453</v>
      </c>
      <c r="V435" s="13">
        <v>32.1019</v>
      </c>
      <c r="W435" s="13">
        <v>31.9336</v>
      </c>
      <c r="X435" s="13">
        <v>30.8292</v>
      </c>
      <c r="Y435" s="13">
        <v>28.0307</v>
      </c>
      <c r="Z435" s="13">
        <v>26.8381</v>
      </c>
      <c r="AA435" s="13">
        <v>37.43</v>
      </c>
      <c r="AB435" s="13">
        <v>42.8351</v>
      </c>
      <c r="AC435" s="13">
        <v>0.7767</v>
      </c>
      <c r="AD435" s="13">
        <v>28.2519</v>
      </c>
      <c r="AE435" s="13">
        <v>5.4538</v>
      </c>
      <c r="AF435" s="13">
        <v>17.9318</v>
      </c>
      <c r="AG435" s="13">
        <v>0.2174</v>
      </c>
      <c r="AH435" s="13">
        <v>1.3792</v>
      </c>
      <c r="AI435" s="13">
        <v>1.9337</v>
      </c>
      <c r="AJ435" s="11">
        <v>1.12</v>
      </c>
      <c r="AK435" s="8" t="s">
        <v>1495</v>
      </c>
      <c r="AL435" s="14">
        <f>IFERROR(__xludf.DUMMYFUNCTION("IFERROR(GOOGLEFINANCE(B435,""price""),"""")"),39.15)</f>
        <v>39.15</v>
      </c>
    </row>
    <row r="436">
      <c r="A436" s="7">
        <v>46094.66741839144</v>
      </c>
      <c r="B436" s="8" t="s">
        <v>2090</v>
      </c>
      <c r="C436" s="8" t="s">
        <v>2091</v>
      </c>
      <c r="D436" s="9">
        <v>46096.0</v>
      </c>
      <c r="E436" s="8" t="s">
        <v>2092</v>
      </c>
      <c r="F436" s="10">
        <v>10.785</v>
      </c>
      <c r="G436" s="11">
        <v>-0.1389</v>
      </c>
      <c r="H436" s="8" t="s">
        <v>93</v>
      </c>
      <c r="I436" s="12">
        <v>545551.0</v>
      </c>
      <c r="J436" s="11">
        <v>31.0166</v>
      </c>
      <c r="K436" s="13">
        <v>0.0139</v>
      </c>
      <c r="L436" s="13">
        <v>0.0344</v>
      </c>
      <c r="M436" s="13">
        <v>93482.7</v>
      </c>
      <c r="N436" s="13">
        <v>12.8595</v>
      </c>
      <c r="O436" s="12">
        <v>3.87585944E8</v>
      </c>
      <c r="P436" s="13">
        <v>85.5802</v>
      </c>
      <c r="Q436" s="13">
        <v>83.7119</v>
      </c>
      <c r="R436" s="11">
        <v>60.439</v>
      </c>
      <c r="S436" s="13">
        <v>10.7826</v>
      </c>
      <c r="T436" s="13">
        <v>10.7651</v>
      </c>
      <c r="U436" s="13">
        <v>10.7472</v>
      </c>
      <c r="V436" s="13">
        <v>10.7268</v>
      </c>
      <c r="W436" s="13">
        <v>10.7207</v>
      </c>
      <c r="X436" s="13">
        <v>10.6789</v>
      </c>
      <c r="Y436" s="13">
        <v>10.5333</v>
      </c>
      <c r="Z436" s="13">
        <v>10.5379</v>
      </c>
      <c r="AA436" s="13">
        <v>10.8</v>
      </c>
      <c r="AB436" s="13">
        <v>31.5074</v>
      </c>
      <c r="AC436" s="13">
        <v>0.3423</v>
      </c>
      <c r="AD436" s="13">
        <v>4.3067</v>
      </c>
      <c r="AE436" s="13">
        <v>0.0</v>
      </c>
      <c r="AF436" s="13">
        <v>0.0</v>
      </c>
      <c r="AG436" s="13">
        <v>0.0014</v>
      </c>
      <c r="AH436" s="13">
        <v>0.4479</v>
      </c>
      <c r="AI436" s="13">
        <v>0.3287</v>
      </c>
      <c r="AJ436" s="11">
        <v>0.81</v>
      </c>
      <c r="AK436" s="8" t="s">
        <v>2093</v>
      </c>
      <c r="AL436" s="14">
        <f>IFERROR(__xludf.DUMMYFUNCTION("IFERROR(GOOGLEFINANCE(B436,""price""),"""")"),10.87)</f>
        <v>10.87</v>
      </c>
    </row>
    <row r="437">
      <c r="A437" s="15">
        <v>46094.66741839144</v>
      </c>
      <c r="B437" s="16" t="s">
        <v>1459</v>
      </c>
      <c r="C437" s="16" t="s">
        <v>1460</v>
      </c>
      <c r="D437" s="17">
        <v>46096.0</v>
      </c>
      <c r="E437" s="16" t="s">
        <v>1461</v>
      </c>
      <c r="F437" s="18">
        <v>24.63</v>
      </c>
      <c r="G437" s="19">
        <v>0.5306</v>
      </c>
      <c r="H437" s="16" t="s">
        <v>93</v>
      </c>
      <c r="I437" s="20">
        <v>879228.0</v>
      </c>
      <c r="J437" s="19">
        <v>40.3061</v>
      </c>
      <c r="K437" s="21">
        <v>0.1356</v>
      </c>
      <c r="L437" s="21">
        <v>0.2813</v>
      </c>
      <c r="M437" s="21">
        <v>672433.9</v>
      </c>
      <c r="N437" s="21">
        <v>1.3553</v>
      </c>
      <c r="O437" s="20">
        <v>1.266318025E9</v>
      </c>
      <c r="P437" s="21">
        <v>43.0427</v>
      </c>
      <c r="Q437" s="21">
        <v>43.5057</v>
      </c>
      <c r="R437" s="19">
        <v>58.6796</v>
      </c>
      <c r="S437" s="21">
        <v>24.5744</v>
      </c>
      <c r="T437" s="21">
        <v>24.5213</v>
      </c>
      <c r="U437" s="21">
        <v>24.4562</v>
      </c>
      <c r="V437" s="21">
        <v>24.3871</v>
      </c>
      <c r="W437" s="21">
        <v>24.3674</v>
      </c>
      <c r="X437" s="21">
        <v>24.2253</v>
      </c>
      <c r="Y437" s="21">
        <v>23.2811</v>
      </c>
      <c r="Z437" s="21">
        <v>23.9205</v>
      </c>
      <c r="AA437" s="21">
        <v>24.77</v>
      </c>
      <c r="AB437" s="21">
        <v>25.0662</v>
      </c>
      <c r="AC437" s="21">
        <v>0.9826</v>
      </c>
      <c r="AD437" s="21">
        <v>3.992</v>
      </c>
      <c r="AE437" s="21">
        <v>9.0872</v>
      </c>
      <c r="AF437" s="21">
        <v>-4.5528</v>
      </c>
      <c r="AG437" s="21">
        <v>0.3225</v>
      </c>
      <c r="AH437" s="21">
        <v>0.3146</v>
      </c>
      <c r="AI437" s="21">
        <v>0.48</v>
      </c>
      <c r="AJ437" s="19">
        <v>0.96</v>
      </c>
      <c r="AK437" s="16" t="s">
        <v>2094</v>
      </c>
      <c r="AL437" s="22">
        <f>IFERROR(__xludf.DUMMYFUNCTION("IFERROR(GOOGLEFINANCE(B437,""price""),"""")"),24.38)</f>
        <v>24.38</v>
      </c>
    </row>
    <row r="438">
      <c r="A438" s="7">
        <v>46094.66741839144</v>
      </c>
      <c r="B438" s="8" t="s">
        <v>2095</v>
      </c>
      <c r="C438" s="8" t="s">
        <v>2096</v>
      </c>
      <c r="D438" s="9">
        <v>46096.0</v>
      </c>
      <c r="E438" s="8" t="s">
        <v>2097</v>
      </c>
      <c r="F438" s="10">
        <v>51.73</v>
      </c>
      <c r="G438" s="11">
        <v>-1.766</v>
      </c>
      <c r="H438" s="8" t="s">
        <v>137</v>
      </c>
      <c r="I438" s="12">
        <v>2175596.0</v>
      </c>
      <c r="J438" s="11">
        <v>20.2198</v>
      </c>
      <c r="K438" s="13">
        <v>2.593</v>
      </c>
      <c r="L438" s="13">
        <v>5.9401</v>
      </c>
      <c r="M438" s="8">
        <v>1538628.0</v>
      </c>
      <c r="N438" s="13">
        <v>1.4523</v>
      </c>
      <c r="O438" s="12">
        <v>3.108972912E9</v>
      </c>
      <c r="P438" s="13">
        <v>49.3572</v>
      </c>
      <c r="Q438" s="13">
        <v>42.9923</v>
      </c>
      <c r="R438" s="11">
        <v>48.7895</v>
      </c>
      <c r="S438" s="13">
        <v>52.0524</v>
      </c>
      <c r="T438" s="13">
        <v>52.2968</v>
      </c>
      <c r="U438" s="13">
        <v>51.7141</v>
      </c>
      <c r="V438" s="13">
        <v>51.0762</v>
      </c>
      <c r="W438" s="13">
        <v>50.9511</v>
      </c>
      <c r="X438" s="13">
        <v>50.6435</v>
      </c>
      <c r="Y438" s="13">
        <v>50.4869</v>
      </c>
      <c r="Z438" s="13">
        <v>52.8791</v>
      </c>
      <c r="AA438" s="13">
        <v>70.0</v>
      </c>
      <c r="AB438" s="13">
        <v>70.9992</v>
      </c>
      <c r="AC438" s="13">
        <v>0.7286</v>
      </c>
      <c r="AD438" s="13">
        <v>3.1136</v>
      </c>
      <c r="AE438" s="13">
        <v>1.9065</v>
      </c>
      <c r="AF438" s="13">
        <v>-15.9413</v>
      </c>
      <c r="AG438" s="13">
        <v>2.5746</v>
      </c>
      <c r="AH438" s="13">
        <v>1.7457</v>
      </c>
      <c r="AI438" s="13">
        <v>0.6541</v>
      </c>
      <c r="AJ438" s="11">
        <v>0.87</v>
      </c>
      <c r="AK438" s="8" t="s">
        <v>1283</v>
      </c>
      <c r="AL438" s="14">
        <f>IFERROR(__xludf.DUMMYFUNCTION("IFERROR(GOOGLEFINANCE(B438,""price""),"""")"),54.59)</f>
        <v>54.59</v>
      </c>
    </row>
    <row r="439">
      <c r="A439" s="15">
        <v>46094.66741839144</v>
      </c>
      <c r="B439" s="16" t="s">
        <v>1576</v>
      </c>
      <c r="C439" s="16" t="s">
        <v>1577</v>
      </c>
      <c r="D439" s="17">
        <v>46096.0</v>
      </c>
      <c r="E439" s="16" t="s">
        <v>1578</v>
      </c>
      <c r="F439" s="18">
        <v>11.92</v>
      </c>
      <c r="G439" s="19">
        <v>0.0</v>
      </c>
      <c r="H439" s="16" t="s">
        <v>88</v>
      </c>
      <c r="I439" s="20">
        <v>2146832.0</v>
      </c>
      <c r="J439" s="19">
        <v>35.9264</v>
      </c>
      <c r="K439" s="21">
        <v>0.0348</v>
      </c>
      <c r="L439" s="21">
        <v>0.4103</v>
      </c>
      <c r="M439" s="16">
        <v>1761297.0</v>
      </c>
      <c r="N439" s="21">
        <v>1.2921</v>
      </c>
      <c r="O439" s="20">
        <v>1.799433723E9</v>
      </c>
      <c r="P439" s="21">
        <v>83.3333</v>
      </c>
      <c r="Q439" s="21">
        <v>84.5679</v>
      </c>
      <c r="R439" s="19">
        <v>61.7296</v>
      </c>
      <c r="S439" s="21">
        <v>11.9135</v>
      </c>
      <c r="T439" s="21">
        <v>11.884</v>
      </c>
      <c r="U439" s="21">
        <v>11.832</v>
      </c>
      <c r="V439" s="21">
        <v>11.6786</v>
      </c>
      <c r="W439" s="21">
        <v>11.6163</v>
      </c>
      <c r="X439" s="21">
        <v>11.1747</v>
      </c>
      <c r="Y439" s="21">
        <v>10.6211</v>
      </c>
      <c r="Z439" s="21">
        <v>9.608</v>
      </c>
      <c r="AA439" s="21">
        <v>11.95</v>
      </c>
      <c r="AB439" s="21">
        <v>0.0</v>
      </c>
      <c r="AC439" s="21">
        <v>-0.1272</v>
      </c>
      <c r="AD439" s="21">
        <v>-6.9547</v>
      </c>
      <c r="AE439" s="21">
        <v>-5.0392</v>
      </c>
      <c r="AF439" s="21">
        <v>17.7352</v>
      </c>
      <c r="AG439" s="21">
        <v>0.0435</v>
      </c>
      <c r="AH439" s="21">
        <v>2.0225</v>
      </c>
      <c r="AI439" s="21">
        <v>0.6836</v>
      </c>
      <c r="AJ439" s="19">
        <v>0.17</v>
      </c>
      <c r="AK439" s="16" t="s">
        <v>1828</v>
      </c>
      <c r="AL439" s="22">
        <f>IFERROR(__xludf.DUMMYFUNCTION("IFERROR(GOOGLEFINANCE(B439,""price""),"""")"),11.94)</f>
        <v>11.94</v>
      </c>
    </row>
    <row r="440">
      <c r="A440" s="7">
        <v>46094.66741839144</v>
      </c>
      <c r="B440" s="8" t="s">
        <v>2098</v>
      </c>
      <c r="C440" s="8" t="s">
        <v>2099</v>
      </c>
      <c r="D440" s="9">
        <v>46096.0</v>
      </c>
      <c r="E440" s="8" t="s">
        <v>2100</v>
      </c>
      <c r="F440" s="10">
        <v>9.57</v>
      </c>
      <c r="G440" s="11">
        <v>3.5714</v>
      </c>
      <c r="H440" s="8" t="s">
        <v>93</v>
      </c>
      <c r="I440" s="12">
        <v>4986330.0</v>
      </c>
      <c r="J440" s="11">
        <v>22.1344</v>
      </c>
      <c r="K440" s="13">
        <v>0.3524</v>
      </c>
      <c r="L440" s="13">
        <v>0.5644</v>
      </c>
      <c r="M440" s="8">
        <v>2752608.0</v>
      </c>
      <c r="N440" s="13">
        <v>2.0251</v>
      </c>
      <c r="O440" s="12">
        <v>4.538687563E9</v>
      </c>
      <c r="P440" s="13">
        <v>41.5385</v>
      </c>
      <c r="Q440" s="13">
        <v>29.3728</v>
      </c>
      <c r="R440" s="11">
        <v>54.4617</v>
      </c>
      <c r="S440" s="13">
        <v>9.3915</v>
      </c>
      <c r="T440" s="13">
        <v>9.3843</v>
      </c>
      <c r="U440" s="13">
        <v>9.3224</v>
      </c>
      <c r="V440" s="13">
        <v>9.2642</v>
      </c>
      <c r="W440" s="13">
        <v>9.2524</v>
      </c>
      <c r="X440" s="13">
        <v>9.2267</v>
      </c>
      <c r="Y440" s="13">
        <v>9.2607</v>
      </c>
      <c r="Z440" s="13">
        <v>9.4416</v>
      </c>
      <c r="AA440" s="13">
        <v>10.955</v>
      </c>
      <c r="AB440" s="13">
        <v>31.1017</v>
      </c>
      <c r="AC440" s="13">
        <v>0.3077</v>
      </c>
      <c r="AD440" s="13">
        <v>16.5647</v>
      </c>
      <c r="AE440" s="13">
        <v>8.3035</v>
      </c>
      <c r="AF440" s="13">
        <v>29.8369</v>
      </c>
      <c r="AG440" s="13">
        <v>2.0491</v>
      </c>
      <c r="AH440" s="13">
        <v>2.2613</v>
      </c>
      <c r="AI440" s="13">
        <v>0.7226</v>
      </c>
      <c r="AJ440" s="11">
        <v>1.25</v>
      </c>
      <c r="AK440" s="8" t="s">
        <v>2101</v>
      </c>
      <c r="AL440" s="14">
        <f>IFERROR(__xludf.DUMMYFUNCTION("IFERROR(GOOGLEFINANCE(B440,""price""),"""")"),10.92)</f>
        <v>10.92</v>
      </c>
    </row>
    <row r="441">
      <c r="A441" s="15">
        <v>46094.66741839144</v>
      </c>
      <c r="B441" s="16" t="s">
        <v>1958</v>
      </c>
      <c r="C441" s="16" t="s">
        <v>1959</v>
      </c>
      <c r="D441" s="17">
        <v>46096.0</v>
      </c>
      <c r="E441" s="16" t="s">
        <v>1960</v>
      </c>
      <c r="F441" s="18">
        <v>30.67</v>
      </c>
      <c r="G441" s="19">
        <v>-0.0652</v>
      </c>
      <c r="H441" s="16" t="s">
        <v>88</v>
      </c>
      <c r="I441" s="20">
        <v>1.4813108E7</v>
      </c>
      <c r="J441" s="19">
        <v>34.4381</v>
      </c>
      <c r="K441" s="21">
        <v>0.0988</v>
      </c>
      <c r="L441" s="21">
        <v>1.2135</v>
      </c>
      <c r="M441" s="16">
        <v>7506346.0</v>
      </c>
      <c r="N441" s="21">
        <v>2.0997</v>
      </c>
      <c r="O441" s="20">
        <v>1.1018764718E10</v>
      </c>
      <c r="P441" s="21">
        <v>44.186</v>
      </c>
      <c r="Q441" s="21">
        <v>53.4884</v>
      </c>
      <c r="R441" s="19">
        <v>57.5612</v>
      </c>
      <c r="S441" s="21">
        <v>30.708</v>
      </c>
      <c r="T441" s="21">
        <v>30.6577</v>
      </c>
      <c r="U441" s="21">
        <v>30.4557</v>
      </c>
      <c r="V441" s="21">
        <v>29.9843</v>
      </c>
      <c r="W441" s="21">
        <v>29.8087</v>
      </c>
      <c r="X441" s="21">
        <v>28.6092</v>
      </c>
      <c r="Y441" s="21">
        <v>26.5381</v>
      </c>
      <c r="Z441" s="21">
        <v>24.7751</v>
      </c>
      <c r="AA441" s="21">
        <v>30.81</v>
      </c>
      <c r="AB441" s="21">
        <v>0.0</v>
      </c>
      <c r="AC441" s="21">
        <v>-0.8587</v>
      </c>
      <c r="AD441" s="21">
        <v>-27.7206</v>
      </c>
      <c r="AE441" s="21">
        <v>-31.2723</v>
      </c>
      <c r="AF441" s="21">
        <v>21.0769</v>
      </c>
      <c r="AG441" s="21">
        <v>0.9455</v>
      </c>
      <c r="AH441" s="21">
        <v>3.7503</v>
      </c>
      <c r="AI441" s="21">
        <v>0.8227</v>
      </c>
      <c r="AJ441" s="19">
        <v>0.16</v>
      </c>
      <c r="AK441" s="16" t="s">
        <v>2102</v>
      </c>
      <c r="AL441" s="22">
        <f>IFERROR(__xludf.DUMMYFUNCTION("IFERROR(GOOGLEFINANCE(B441,""price""),"""")"),535.0)</f>
        <v>535</v>
      </c>
    </row>
    <row r="442">
      <c r="A442" s="7">
        <v>46094.66741839144</v>
      </c>
      <c r="B442" s="8" t="s">
        <v>2103</v>
      </c>
      <c r="C442" s="8" t="s">
        <v>2104</v>
      </c>
      <c r="D442" s="9">
        <v>46096.0</v>
      </c>
      <c r="E442" s="8" t="s">
        <v>2105</v>
      </c>
      <c r="F442" s="10">
        <v>3.53</v>
      </c>
      <c r="G442" s="11">
        <v>6.6465</v>
      </c>
      <c r="H442" s="8" t="s">
        <v>308</v>
      </c>
      <c r="I442" s="12">
        <v>473733.0</v>
      </c>
      <c r="J442" s="11">
        <v>31.5849</v>
      </c>
      <c r="K442" s="13">
        <v>0.2229</v>
      </c>
      <c r="L442" s="13">
        <v>0.3785</v>
      </c>
      <c r="M442" s="13">
        <v>96542.9</v>
      </c>
      <c r="N442" s="13">
        <v>9.3049</v>
      </c>
      <c r="O442" s="12">
        <v>8.3852991E7</v>
      </c>
      <c r="P442" s="13">
        <v>36.6362</v>
      </c>
      <c r="Q442" s="13">
        <v>36.0465</v>
      </c>
      <c r="R442" s="11">
        <v>62.1307</v>
      </c>
      <c r="S442" s="13">
        <v>3.3303</v>
      </c>
      <c r="T442" s="13">
        <v>3.2851</v>
      </c>
      <c r="U442" s="13">
        <v>3.3001</v>
      </c>
      <c r="V442" s="13">
        <v>3.3317</v>
      </c>
      <c r="W442" s="13">
        <v>3.3415</v>
      </c>
      <c r="X442" s="13">
        <v>3.3946</v>
      </c>
      <c r="Y442" s="13">
        <v>3.4982</v>
      </c>
      <c r="Z442" s="13">
        <v>3.4881</v>
      </c>
      <c r="AA442" s="13">
        <v>4.07</v>
      </c>
      <c r="AB442" s="13">
        <v>0.0</v>
      </c>
      <c r="AC442" s="13">
        <v>-0.8158</v>
      </c>
      <c r="AD442" s="13">
        <v>-12.356</v>
      </c>
      <c r="AE442" s="13">
        <v>-101.9305</v>
      </c>
      <c r="AF442" s="13">
        <v>-66.0011</v>
      </c>
      <c r="AG442" s="13">
        <v>0.0101</v>
      </c>
      <c r="AH442" s="13">
        <v>21.0787</v>
      </c>
      <c r="AI442" s="13">
        <v>0.8546</v>
      </c>
      <c r="AJ442" s="11">
        <v>1.18</v>
      </c>
      <c r="AK442" s="8" t="s">
        <v>2106</v>
      </c>
      <c r="AL442" s="14">
        <f>IFERROR(__xludf.DUMMYFUNCTION("IFERROR(GOOGLEFINANCE(B442,""price""),"""")"),3.69)</f>
        <v>3.69</v>
      </c>
    </row>
    <row r="443">
      <c r="A443" s="15">
        <v>46094.66741839144</v>
      </c>
      <c r="B443" s="16" t="s">
        <v>2107</v>
      </c>
      <c r="C443" s="16" t="s">
        <v>2108</v>
      </c>
      <c r="D443" s="17">
        <v>46096.0</v>
      </c>
      <c r="E443" s="16" t="s">
        <v>2109</v>
      </c>
      <c r="F443" s="18">
        <v>6.98</v>
      </c>
      <c r="G443" s="19">
        <v>2.7982</v>
      </c>
      <c r="H443" s="16" t="s">
        <v>107</v>
      </c>
      <c r="I443" s="20">
        <v>4425082.0</v>
      </c>
      <c r="J443" s="19">
        <v>24.049</v>
      </c>
      <c r="K443" s="21">
        <v>0.5687</v>
      </c>
      <c r="L443" s="21">
        <v>1.0232</v>
      </c>
      <c r="M443" s="16">
        <v>3439345.0</v>
      </c>
      <c r="N443" s="21">
        <v>1.3541</v>
      </c>
      <c r="O443" s="20">
        <v>1.106733865E9</v>
      </c>
      <c r="P443" s="21">
        <v>39.9598</v>
      </c>
      <c r="Q443" s="21">
        <v>33.944</v>
      </c>
      <c r="R443" s="19">
        <v>50.877</v>
      </c>
      <c r="S443" s="21">
        <v>6.9239</v>
      </c>
      <c r="T443" s="21">
        <v>6.9894</v>
      </c>
      <c r="U443" s="21">
        <v>6.8105</v>
      </c>
      <c r="V443" s="21">
        <v>6.5011</v>
      </c>
      <c r="W443" s="21">
        <v>6.4074</v>
      </c>
      <c r="X443" s="21">
        <v>5.9231</v>
      </c>
      <c r="Y443" s="21">
        <v>5.8645</v>
      </c>
      <c r="Z443" s="21">
        <v>4.9442</v>
      </c>
      <c r="AA443" s="21">
        <v>8.8</v>
      </c>
      <c r="AB443" s="21">
        <v>0.0</v>
      </c>
      <c r="AC443" s="21">
        <v>-2.9655</v>
      </c>
      <c r="AD443" s="21">
        <v>-29.569</v>
      </c>
      <c r="AE443" s="21">
        <v>-3.9405</v>
      </c>
      <c r="AF443" s="21">
        <v>-5.8575</v>
      </c>
      <c r="AG443" s="21">
        <v>2.4274</v>
      </c>
      <c r="AH443" s="21">
        <v>2.4646</v>
      </c>
      <c r="AI443" s="21">
        <v>1.6253</v>
      </c>
      <c r="AJ443" s="19">
        <v>1.11</v>
      </c>
      <c r="AK443" s="24"/>
      <c r="AL443" s="22">
        <f>IFERROR(__xludf.DUMMYFUNCTION("IFERROR(GOOGLEFINANCE(B443,""price""),"""")"),9.08)</f>
        <v>9.08</v>
      </c>
    </row>
    <row r="444">
      <c r="A444" s="7">
        <v>46094.66741839144</v>
      </c>
      <c r="B444" s="8" t="s">
        <v>2083</v>
      </c>
      <c r="C444" s="8" t="s">
        <v>2084</v>
      </c>
      <c r="D444" s="9">
        <v>46096.0</v>
      </c>
      <c r="E444" s="8" t="s">
        <v>2085</v>
      </c>
      <c r="F444" s="10">
        <v>3.65</v>
      </c>
      <c r="G444" s="11">
        <v>0.0</v>
      </c>
      <c r="H444" s="8" t="s">
        <v>190</v>
      </c>
      <c r="I444" s="12">
        <v>1362992.0</v>
      </c>
      <c r="J444" s="11">
        <v>51.1797</v>
      </c>
      <c r="K444" s="13">
        <v>0.0179</v>
      </c>
      <c r="L444" s="13">
        <v>0.1443</v>
      </c>
      <c r="M444" s="13">
        <v>545724.4</v>
      </c>
      <c r="N444" s="13">
        <v>3.022</v>
      </c>
      <c r="O444" s="12">
        <v>1.62297146E8</v>
      </c>
      <c r="P444" s="13">
        <v>93.3333</v>
      </c>
      <c r="Q444" s="13">
        <v>87.3016</v>
      </c>
      <c r="R444" s="11">
        <v>77.0651</v>
      </c>
      <c r="S444" s="13">
        <v>3.6416</v>
      </c>
      <c r="T444" s="13">
        <v>3.6195</v>
      </c>
      <c r="U444" s="13">
        <v>3.578</v>
      </c>
      <c r="V444" s="13">
        <v>3.4995</v>
      </c>
      <c r="W444" s="13">
        <v>3.4722</v>
      </c>
      <c r="X444" s="13">
        <v>3.2907</v>
      </c>
      <c r="Y444" s="13">
        <v>2.9609</v>
      </c>
      <c r="Z444" s="13">
        <v>2.6866</v>
      </c>
      <c r="AA444" s="13">
        <v>3.65</v>
      </c>
      <c r="AB444" s="13">
        <v>0.0</v>
      </c>
      <c r="AC444" s="13">
        <v>-0.2503</v>
      </c>
      <c r="AD444" s="13">
        <v>-10.238</v>
      </c>
      <c r="AE444" s="13">
        <v>-0.6342</v>
      </c>
      <c r="AF444" s="13">
        <v>15.6834</v>
      </c>
      <c r="AG444" s="13">
        <v>1.139</v>
      </c>
      <c r="AH444" s="13">
        <v>1.0381</v>
      </c>
      <c r="AI444" s="13">
        <v>1.7418</v>
      </c>
      <c r="AJ444" s="11">
        <v>0.25</v>
      </c>
      <c r="AK444" s="8" t="s">
        <v>2110</v>
      </c>
      <c r="AL444" s="14" t="str">
        <f>IFERROR(__xludf.DUMMYFUNCTION("IFERROR(GOOGLEFINANCE(B444,""price""),"""")"),"")</f>
        <v/>
      </c>
    </row>
    <row r="445">
      <c r="A445" s="15">
        <v>46094.66741839144</v>
      </c>
      <c r="B445" s="16" t="s">
        <v>1307</v>
      </c>
      <c r="C445" s="16" t="s">
        <v>1308</v>
      </c>
      <c r="D445" s="17">
        <v>46096.0</v>
      </c>
      <c r="E445" s="16" t="s">
        <v>1309</v>
      </c>
      <c r="F445" s="18">
        <v>58.52</v>
      </c>
      <c r="G445" s="19">
        <v>0.2742</v>
      </c>
      <c r="H445" s="16" t="s">
        <v>270</v>
      </c>
      <c r="I445" s="20">
        <v>1680463.0</v>
      </c>
      <c r="J445" s="19">
        <v>30.5296</v>
      </c>
      <c r="K445" s="21">
        <v>1.0778</v>
      </c>
      <c r="L445" s="21">
        <v>2.0271</v>
      </c>
      <c r="M445" s="16">
        <v>1421568.0</v>
      </c>
      <c r="N445" s="21">
        <v>1.2265</v>
      </c>
      <c r="O445" s="20">
        <v>5.940975536E10</v>
      </c>
      <c r="P445" s="21">
        <v>39.587</v>
      </c>
      <c r="Q445" s="21">
        <v>43.3995</v>
      </c>
      <c r="R445" s="19">
        <v>58.0932</v>
      </c>
      <c r="S445" s="21">
        <v>58.4859</v>
      </c>
      <c r="T445" s="21">
        <v>58.0006</v>
      </c>
      <c r="U445" s="21">
        <v>57.367</v>
      </c>
      <c r="V445" s="21">
        <v>56.6758</v>
      </c>
      <c r="W445" s="21">
        <v>56.4811</v>
      </c>
      <c r="X445" s="21">
        <v>55.389</v>
      </c>
      <c r="Y445" s="21">
        <v>53.2419</v>
      </c>
      <c r="Z445" s="21">
        <v>52.6309</v>
      </c>
      <c r="AA445" s="21">
        <v>59.84</v>
      </c>
      <c r="AB445" s="21">
        <v>12.1471</v>
      </c>
      <c r="AC445" s="21">
        <v>4.8176</v>
      </c>
      <c r="AD445" s="21">
        <v>34.9715</v>
      </c>
      <c r="AE445" s="21">
        <v>40.264</v>
      </c>
      <c r="AF445" s="21">
        <v>6.163</v>
      </c>
      <c r="AG445" s="21">
        <v>1.8294</v>
      </c>
      <c r="AH445" s="21">
        <v>1.2293</v>
      </c>
      <c r="AI445" s="21">
        <v>1.9121</v>
      </c>
      <c r="AJ445" s="19">
        <v>1.06</v>
      </c>
      <c r="AK445" s="24"/>
      <c r="AL445" s="22">
        <f>IFERROR(__xludf.DUMMYFUNCTION("IFERROR(GOOGLEFINANCE(B445,""price""),"""")"),56.15)</f>
        <v>56.15</v>
      </c>
    </row>
    <row r="446">
      <c r="A446" s="7">
        <v>46094.66741839144</v>
      </c>
      <c r="B446" s="8" t="s">
        <v>2080</v>
      </c>
      <c r="C446" s="8" t="s">
        <v>2081</v>
      </c>
      <c r="D446" s="9">
        <v>46096.0</v>
      </c>
      <c r="E446" s="8" t="s">
        <v>2082</v>
      </c>
      <c r="F446" s="10">
        <v>94.63</v>
      </c>
      <c r="G446" s="11">
        <v>2.1812</v>
      </c>
      <c r="H446" s="8" t="s">
        <v>129</v>
      </c>
      <c r="I446" s="12">
        <v>4552038.0</v>
      </c>
      <c r="J446" s="11">
        <v>27.6101</v>
      </c>
      <c r="K446" s="13">
        <v>2.6587</v>
      </c>
      <c r="L446" s="13">
        <v>5.2117</v>
      </c>
      <c r="M446" s="8">
        <v>2472590.0</v>
      </c>
      <c r="N446" s="13">
        <v>2.0201</v>
      </c>
      <c r="O446" s="12">
        <v>2.0869884527E10</v>
      </c>
      <c r="P446" s="13">
        <v>58.6781</v>
      </c>
      <c r="Q446" s="13">
        <v>48.1751</v>
      </c>
      <c r="R446" s="11">
        <v>58.8342</v>
      </c>
      <c r="S446" s="13">
        <v>92.7457</v>
      </c>
      <c r="T446" s="13">
        <v>92.518</v>
      </c>
      <c r="U446" s="13">
        <v>90.8968</v>
      </c>
      <c r="V446" s="13">
        <v>88.7802</v>
      </c>
      <c r="W446" s="13">
        <v>88.1916</v>
      </c>
      <c r="X446" s="13">
        <v>85.135</v>
      </c>
      <c r="Y446" s="13">
        <v>79.751</v>
      </c>
      <c r="Z446" s="13">
        <v>79.884</v>
      </c>
      <c r="AA446" s="13">
        <v>102.13</v>
      </c>
      <c r="AB446" s="13">
        <v>32.186</v>
      </c>
      <c r="AC446" s="13">
        <v>2.9401</v>
      </c>
      <c r="AD446" s="13">
        <v>15.3028</v>
      </c>
      <c r="AE446" s="13">
        <v>3.47</v>
      </c>
      <c r="AF446" s="13">
        <v>4.0843</v>
      </c>
      <c r="AG446" s="13">
        <v>1.3288</v>
      </c>
      <c r="AH446" s="13">
        <v>1.1596</v>
      </c>
      <c r="AI446" s="13">
        <v>1.9538</v>
      </c>
      <c r="AJ446" s="11">
        <v>1.02</v>
      </c>
      <c r="AK446" s="8" t="s">
        <v>2111</v>
      </c>
      <c r="AL446" s="14">
        <f>IFERROR(__xludf.DUMMYFUNCTION("IFERROR(GOOGLEFINANCE(B446,""price""),"""")"),91.42)</f>
        <v>91.42</v>
      </c>
    </row>
    <row r="447">
      <c r="A447" s="7">
        <v>46097.628842116086</v>
      </c>
      <c r="B447" s="8" t="s">
        <v>1526</v>
      </c>
      <c r="C447" s="8" t="s">
        <v>1527</v>
      </c>
      <c r="D447" s="9">
        <v>46103.0</v>
      </c>
      <c r="E447" s="8" t="s">
        <v>1528</v>
      </c>
      <c r="F447" s="10">
        <v>10.47</v>
      </c>
      <c r="G447" s="11">
        <v>0.0</v>
      </c>
      <c r="H447" s="8" t="s">
        <v>93</v>
      </c>
      <c r="I447" s="12">
        <v>307671.0</v>
      </c>
      <c r="J447" s="11">
        <v>29.455</v>
      </c>
      <c r="K447" s="13">
        <v>0.0204</v>
      </c>
      <c r="L447" s="13">
        <v>0.0356</v>
      </c>
      <c r="M447" s="13">
        <v>241792.5</v>
      </c>
      <c r="N447" s="13">
        <v>1.4579</v>
      </c>
      <c r="O447" s="12">
        <v>3.50924499E8</v>
      </c>
      <c r="P447" s="13">
        <v>78.7007</v>
      </c>
      <c r="Q447" s="13">
        <v>78.7126</v>
      </c>
      <c r="R447" s="11">
        <v>57.9436</v>
      </c>
      <c r="S447" s="13">
        <v>10.4694</v>
      </c>
      <c r="T447" s="13">
        <v>10.458</v>
      </c>
      <c r="U447" s="13">
        <v>10.4441</v>
      </c>
      <c r="V447" s="13">
        <v>10.4273</v>
      </c>
      <c r="W447" s="13">
        <v>10.4222</v>
      </c>
      <c r="X447" s="13">
        <v>10.3891</v>
      </c>
      <c r="Y447" s="13">
        <v>10.2863</v>
      </c>
      <c r="Z447" s="13">
        <v>10.2936</v>
      </c>
      <c r="AA447" s="13">
        <v>10.49</v>
      </c>
      <c r="AB447" s="13">
        <v>62.1365</v>
      </c>
      <c r="AC447" s="13">
        <v>0.1685</v>
      </c>
      <c r="AD447" s="13">
        <v>4.8957</v>
      </c>
      <c r="AE447" s="13">
        <v>0.0</v>
      </c>
      <c r="AF447" s="13">
        <v>0.0</v>
      </c>
      <c r="AG447" s="13">
        <v>0.0</v>
      </c>
      <c r="AH447" s="13">
        <v>0.0618</v>
      </c>
      <c r="AI447" s="13">
        <v>0.2417</v>
      </c>
      <c r="AJ447" s="11">
        <v>1.14</v>
      </c>
      <c r="AK447" s="8" t="s">
        <v>1267</v>
      </c>
      <c r="AL447" s="14">
        <f>IFERROR(__xludf.DUMMYFUNCTION("IFERROR(GOOGLEFINANCE(B447,""price""),"""")"),10.52)</f>
        <v>10.52</v>
      </c>
    </row>
    <row r="448">
      <c r="A448" s="15">
        <v>46097.628842116086</v>
      </c>
      <c r="B448" s="16" t="s">
        <v>2112</v>
      </c>
      <c r="C448" s="16" t="s">
        <v>2113</v>
      </c>
      <c r="D448" s="17">
        <v>46103.0</v>
      </c>
      <c r="E448" s="16" t="s">
        <v>2114</v>
      </c>
      <c r="F448" s="18">
        <v>13.105</v>
      </c>
      <c r="G448" s="19">
        <v>1.0409</v>
      </c>
      <c r="H448" s="16" t="s">
        <v>93</v>
      </c>
      <c r="I448" s="20">
        <v>609981.0</v>
      </c>
      <c r="J448" s="19">
        <v>22.2568</v>
      </c>
      <c r="K448" s="21">
        <v>0.2644</v>
      </c>
      <c r="L448" s="21">
        <v>0.6614</v>
      </c>
      <c r="M448" s="21">
        <v>347247.0</v>
      </c>
      <c r="N448" s="21">
        <v>2.0006</v>
      </c>
      <c r="O448" s="20">
        <v>5.47317181E8</v>
      </c>
      <c r="P448" s="21">
        <v>12.6667</v>
      </c>
      <c r="Q448" s="21">
        <v>11.5873</v>
      </c>
      <c r="R448" s="19">
        <v>48.4097</v>
      </c>
      <c r="S448" s="21">
        <v>13.1431</v>
      </c>
      <c r="T448" s="21">
        <v>13.2093</v>
      </c>
      <c r="U448" s="21">
        <v>13.0746</v>
      </c>
      <c r="V448" s="21">
        <v>12.8533</v>
      </c>
      <c r="W448" s="21">
        <v>12.7871</v>
      </c>
      <c r="X448" s="21">
        <v>12.4278</v>
      </c>
      <c r="Y448" s="21">
        <v>11.9174</v>
      </c>
      <c r="Z448" s="21">
        <v>11.7089</v>
      </c>
      <c r="AA448" s="21">
        <v>14.05</v>
      </c>
      <c r="AB448" s="21">
        <v>1170.0893</v>
      </c>
      <c r="AC448" s="21">
        <v>0.0112</v>
      </c>
      <c r="AD448" s="21">
        <v>0.1141</v>
      </c>
      <c r="AE448" s="21">
        <v>21.8244</v>
      </c>
      <c r="AF448" s="21">
        <v>5.8561</v>
      </c>
      <c r="AG448" s="21">
        <v>1.4369</v>
      </c>
      <c r="AH448" s="21">
        <v>0.0544</v>
      </c>
      <c r="AI448" s="21">
        <v>0.523</v>
      </c>
      <c r="AJ448" s="19">
        <v>0.8</v>
      </c>
      <c r="AK448" s="16" t="s">
        <v>2115</v>
      </c>
      <c r="AL448" s="22">
        <f>IFERROR(__xludf.DUMMYFUNCTION("IFERROR(GOOGLEFINANCE(B448,""price""),"""")"),13.9)</f>
        <v>13.9</v>
      </c>
    </row>
    <row r="449">
      <c r="A449" s="7">
        <v>46097.628842116086</v>
      </c>
      <c r="B449" s="8" t="s">
        <v>188</v>
      </c>
      <c r="C449" s="8" t="s">
        <v>189</v>
      </c>
      <c r="D449" s="9">
        <v>46103.0</v>
      </c>
      <c r="E449" s="8" t="s">
        <v>191</v>
      </c>
      <c r="F449" s="10">
        <v>3.455</v>
      </c>
      <c r="G449" s="11">
        <v>21.6549</v>
      </c>
      <c r="H449" s="8" t="s">
        <v>190</v>
      </c>
      <c r="I449" s="12">
        <v>6051049.0</v>
      </c>
      <c r="J449" s="11">
        <v>21.0511</v>
      </c>
      <c r="K449" s="13">
        <v>0.288</v>
      </c>
      <c r="L449" s="13">
        <v>0.6158</v>
      </c>
      <c r="M449" s="8">
        <v>2846031.0</v>
      </c>
      <c r="N449" s="13">
        <v>2.5518</v>
      </c>
      <c r="O449" s="12">
        <v>3.41489224E8</v>
      </c>
      <c r="P449" s="13">
        <v>53.0131</v>
      </c>
      <c r="Q449" s="13">
        <v>43.1602</v>
      </c>
      <c r="R449" s="11">
        <v>65.3627</v>
      </c>
      <c r="S449" s="13">
        <v>2.9044</v>
      </c>
      <c r="T449" s="13">
        <v>2.8315</v>
      </c>
      <c r="U449" s="13">
        <v>2.881</v>
      </c>
      <c r="V449" s="13">
        <v>2.9701</v>
      </c>
      <c r="W449" s="13">
        <v>2.9962</v>
      </c>
      <c r="X449" s="13">
        <v>3.1174</v>
      </c>
      <c r="Y449" s="13">
        <v>3.0043</v>
      </c>
      <c r="Z449" s="13">
        <v>3.3296</v>
      </c>
      <c r="AA449" s="13">
        <v>4.88</v>
      </c>
      <c r="AB449" s="13">
        <v>0.0</v>
      </c>
      <c r="AC449" s="13">
        <v>-0.5632</v>
      </c>
      <c r="AD449" s="13">
        <v>0.0</v>
      </c>
      <c r="AE449" s="13">
        <v>-7.1774</v>
      </c>
      <c r="AF449" s="13">
        <v>27.7869</v>
      </c>
      <c r="AG449" s="13">
        <v>0.0</v>
      </c>
      <c r="AH449" s="13">
        <v>1.5888</v>
      </c>
      <c r="AI449" s="13">
        <v>0.6768</v>
      </c>
      <c r="AJ449" s="11">
        <v>0.94</v>
      </c>
      <c r="AK449" s="8" t="s">
        <v>2116</v>
      </c>
      <c r="AL449" s="14">
        <f>IFERROR(__xludf.DUMMYFUNCTION("IFERROR(GOOGLEFINANCE(B449,""price""),"""")"),3.08)</f>
        <v>3.08</v>
      </c>
    </row>
    <row r="450">
      <c r="A450" s="15">
        <v>46097.628842116086</v>
      </c>
      <c r="B450" s="16" t="s">
        <v>1958</v>
      </c>
      <c r="C450" s="16" t="s">
        <v>1959</v>
      </c>
      <c r="D450" s="17">
        <v>46103.0</v>
      </c>
      <c r="E450" s="16" t="s">
        <v>1960</v>
      </c>
      <c r="F450" s="18">
        <v>30.985</v>
      </c>
      <c r="G450" s="19">
        <v>1.0271</v>
      </c>
      <c r="H450" s="16" t="s">
        <v>88</v>
      </c>
      <c r="I450" s="20">
        <v>1.0235426E7</v>
      </c>
      <c r="J450" s="19">
        <v>35.5335</v>
      </c>
      <c r="K450" s="21">
        <v>0.1146</v>
      </c>
      <c r="L450" s="21">
        <v>1.1497</v>
      </c>
      <c r="M450" s="16">
        <v>8144111.0</v>
      </c>
      <c r="N450" s="21">
        <v>1.3636</v>
      </c>
      <c r="O450" s="20">
        <v>1.1131934128E10</v>
      </c>
      <c r="P450" s="21">
        <v>59.268</v>
      </c>
      <c r="Q450" s="21">
        <v>52.3141</v>
      </c>
      <c r="R450" s="19">
        <v>73.1972</v>
      </c>
      <c r="S450" s="21">
        <v>30.7695</v>
      </c>
      <c r="T450" s="21">
        <v>30.6874</v>
      </c>
      <c r="U450" s="21">
        <v>30.4859</v>
      </c>
      <c r="V450" s="21">
        <v>30.0235</v>
      </c>
      <c r="W450" s="21">
        <v>29.8507</v>
      </c>
      <c r="X450" s="21">
        <v>28.662</v>
      </c>
      <c r="Y450" s="21">
        <v>26.5823</v>
      </c>
      <c r="Z450" s="21">
        <v>24.8168</v>
      </c>
      <c r="AA450" s="21">
        <v>30.99</v>
      </c>
      <c r="AB450" s="21">
        <v>0.0</v>
      </c>
      <c r="AC450" s="21">
        <v>-0.8587</v>
      </c>
      <c r="AD450" s="21">
        <v>-27.7206</v>
      </c>
      <c r="AE450" s="21">
        <v>-31.2723</v>
      </c>
      <c r="AF450" s="21">
        <v>21.0769</v>
      </c>
      <c r="AG450" s="21">
        <v>0.9455</v>
      </c>
      <c r="AH450" s="21">
        <v>3.7503</v>
      </c>
      <c r="AI450" s="21">
        <v>0.9154</v>
      </c>
      <c r="AJ450" s="19">
        <v>0.2</v>
      </c>
      <c r="AK450" s="16" t="s">
        <v>1807</v>
      </c>
      <c r="AL450" s="22">
        <f>IFERROR(__xludf.DUMMYFUNCTION("IFERROR(GOOGLEFINANCE(B450,""price""),"""")"),535.0)</f>
        <v>535</v>
      </c>
    </row>
    <row r="451">
      <c r="A451" s="7">
        <v>46097.628842116086</v>
      </c>
      <c r="B451" s="8" t="s">
        <v>2083</v>
      </c>
      <c r="C451" s="8" t="s">
        <v>2084</v>
      </c>
      <c r="D451" s="9">
        <v>46103.0</v>
      </c>
      <c r="E451" s="8" t="s">
        <v>2085</v>
      </c>
      <c r="F451" s="10">
        <v>3.65</v>
      </c>
      <c r="G451" s="11">
        <v>0.0</v>
      </c>
      <c r="H451" s="8" t="s">
        <v>190</v>
      </c>
      <c r="I451" s="12">
        <v>1362992.0</v>
      </c>
      <c r="J451" s="11">
        <v>51.1797</v>
      </c>
      <c r="K451" s="13">
        <v>0.0179</v>
      </c>
      <c r="L451" s="13">
        <v>0.1443</v>
      </c>
      <c r="M451" s="13">
        <v>545724.4</v>
      </c>
      <c r="N451" s="13">
        <v>3.022</v>
      </c>
      <c r="O451" s="12">
        <v>1.62297153E8</v>
      </c>
      <c r="P451" s="13">
        <v>93.3333</v>
      </c>
      <c r="Q451" s="13">
        <v>87.3016</v>
      </c>
      <c r="R451" s="11">
        <v>77.0651</v>
      </c>
      <c r="S451" s="13">
        <v>3.6416</v>
      </c>
      <c r="T451" s="13">
        <v>3.6195</v>
      </c>
      <c r="U451" s="13">
        <v>3.578</v>
      </c>
      <c r="V451" s="13">
        <v>3.4995</v>
      </c>
      <c r="W451" s="13">
        <v>3.4722</v>
      </c>
      <c r="X451" s="13">
        <v>3.2907</v>
      </c>
      <c r="Y451" s="13">
        <v>2.9609</v>
      </c>
      <c r="Z451" s="13">
        <v>2.6866</v>
      </c>
      <c r="AA451" s="13">
        <v>3.65</v>
      </c>
      <c r="AB451" s="13">
        <v>0.0</v>
      </c>
      <c r="AC451" s="13">
        <v>-0.2503</v>
      </c>
      <c r="AD451" s="13">
        <v>-10.238</v>
      </c>
      <c r="AE451" s="13">
        <v>-0.6342</v>
      </c>
      <c r="AF451" s="13">
        <v>15.6834</v>
      </c>
      <c r="AG451" s="13">
        <v>1.139</v>
      </c>
      <c r="AH451" s="13">
        <v>1.0381</v>
      </c>
      <c r="AI451" s="13">
        <v>1.7418</v>
      </c>
      <c r="AJ451" s="11">
        <v>0.25</v>
      </c>
      <c r="AK451" s="8" t="s">
        <v>2110</v>
      </c>
      <c r="AL451" s="14" t="str">
        <f>IFERROR(__xludf.DUMMYFUNCTION("IFERROR(GOOGLEFINANCE(B451,""price""),"""")"),"")</f>
        <v/>
      </c>
    </row>
    <row r="452">
      <c r="A452" s="7">
        <v>46097.66896058276</v>
      </c>
      <c r="B452" s="8" t="s">
        <v>2117</v>
      </c>
      <c r="C452" s="8" t="s">
        <v>2118</v>
      </c>
      <c r="D452" s="9">
        <v>46103.0</v>
      </c>
      <c r="E452" s="8" t="s">
        <v>2119</v>
      </c>
      <c r="F452" s="10">
        <v>161.78</v>
      </c>
      <c r="G452" s="11">
        <v>0.8603</v>
      </c>
      <c r="H452" s="8" t="s">
        <v>149</v>
      </c>
      <c r="I452" s="12">
        <v>2527725.0</v>
      </c>
      <c r="J452" s="11">
        <v>24.7734</v>
      </c>
      <c r="K452" s="13">
        <v>3.5032</v>
      </c>
      <c r="L452" s="13">
        <v>6.777</v>
      </c>
      <c r="M452" s="8">
        <v>1710687.0</v>
      </c>
      <c r="N452" s="13">
        <v>1.5545</v>
      </c>
      <c r="O452" s="12">
        <v>4.4720862262E10</v>
      </c>
      <c r="P452" s="13">
        <v>36.3832</v>
      </c>
      <c r="Q452" s="13">
        <v>26.1583</v>
      </c>
      <c r="R452" s="11">
        <v>53.6947</v>
      </c>
      <c r="S452" s="13">
        <v>160.1326</v>
      </c>
      <c r="T452" s="13">
        <v>160.5238</v>
      </c>
      <c r="U452" s="13">
        <v>159.8064</v>
      </c>
      <c r="V452" s="13">
        <v>158.5662</v>
      </c>
      <c r="W452" s="13">
        <v>158.1803</v>
      </c>
      <c r="X452" s="13">
        <v>155.9169</v>
      </c>
      <c r="Y452" s="13">
        <v>151.4407</v>
      </c>
      <c r="Z452" s="13">
        <v>149.9625</v>
      </c>
      <c r="AA452" s="13">
        <v>169.39</v>
      </c>
      <c r="AB452" s="13">
        <v>29.1411</v>
      </c>
      <c r="AC452" s="13">
        <v>5.5516</v>
      </c>
      <c r="AD452" s="13">
        <v>0.0</v>
      </c>
      <c r="AE452" s="13">
        <v>30.9022</v>
      </c>
      <c r="AF452" s="13">
        <v>8.7959</v>
      </c>
      <c r="AG452" s="13">
        <v>0.0</v>
      </c>
      <c r="AH452" s="13">
        <v>1.3456</v>
      </c>
      <c r="AI452" s="13">
        <v>0.2016</v>
      </c>
      <c r="AJ452" s="11">
        <v>1.03</v>
      </c>
      <c r="AK452" s="8" t="s">
        <v>1267</v>
      </c>
      <c r="AL452" s="14">
        <f>IFERROR(__xludf.DUMMYFUNCTION("IFERROR(GOOGLEFINANCE(B452,""price""),"""")"),161.76)</f>
        <v>161.76</v>
      </c>
    </row>
    <row r="453">
      <c r="A453" s="15">
        <v>46097.66896058276</v>
      </c>
      <c r="B453" s="16" t="s">
        <v>1526</v>
      </c>
      <c r="C453" s="16" t="s">
        <v>1527</v>
      </c>
      <c r="D453" s="17">
        <v>46103.0</v>
      </c>
      <c r="E453" s="16" t="s">
        <v>1528</v>
      </c>
      <c r="F453" s="18">
        <v>10.49</v>
      </c>
      <c r="G453" s="19">
        <v>0.191</v>
      </c>
      <c r="H453" s="16" t="s">
        <v>93</v>
      </c>
      <c r="I453" s="20">
        <v>398441.0</v>
      </c>
      <c r="J453" s="19">
        <v>28.9499</v>
      </c>
      <c r="K453" s="21">
        <v>0.0211</v>
      </c>
      <c r="L453" s="21">
        <v>0.0363</v>
      </c>
      <c r="M453" s="21">
        <v>250869.5</v>
      </c>
      <c r="N453" s="21">
        <v>1.888</v>
      </c>
      <c r="O453" s="20">
        <v>3.51594842E8</v>
      </c>
      <c r="P453" s="21">
        <v>85.8005</v>
      </c>
      <c r="Q453" s="21">
        <v>81.0792</v>
      </c>
      <c r="R453" s="19">
        <v>63.7657</v>
      </c>
      <c r="S453" s="21">
        <v>10.4739</v>
      </c>
      <c r="T453" s="21">
        <v>10.4598</v>
      </c>
      <c r="U453" s="21">
        <v>10.4453</v>
      </c>
      <c r="V453" s="21">
        <v>10.4281</v>
      </c>
      <c r="W453" s="21">
        <v>10.4229</v>
      </c>
      <c r="X453" s="21">
        <v>10.3895</v>
      </c>
      <c r="Y453" s="21">
        <v>10.2865</v>
      </c>
      <c r="Z453" s="21">
        <v>10.2937</v>
      </c>
      <c r="AA453" s="21">
        <v>10.49</v>
      </c>
      <c r="AB453" s="21">
        <v>62.2552</v>
      </c>
      <c r="AC453" s="21">
        <v>0.1685</v>
      </c>
      <c r="AD453" s="21">
        <v>4.8957</v>
      </c>
      <c r="AE453" s="21">
        <v>0.0</v>
      </c>
      <c r="AF453" s="21">
        <v>0.0</v>
      </c>
      <c r="AG453" s="21">
        <v>0.0</v>
      </c>
      <c r="AH453" s="21">
        <v>0.0618</v>
      </c>
      <c r="AI453" s="21">
        <v>0.2727</v>
      </c>
      <c r="AJ453" s="19">
        <v>1.16</v>
      </c>
      <c r="AK453" s="16" t="s">
        <v>1267</v>
      </c>
      <c r="AL453" s="22">
        <f>IFERROR(__xludf.DUMMYFUNCTION("IFERROR(GOOGLEFINANCE(B453,""price""),"""")"),10.52)</f>
        <v>10.52</v>
      </c>
    </row>
    <row r="454">
      <c r="A454" s="7">
        <v>46097.66896058276</v>
      </c>
      <c r="B454" s="8" t="s">
        <v>188</v>
      </c>
      <c r="C454" s="8" t="s">
        <v>189</v>
      </c>
      <c r="D454" s="9">
        <v>46103.0</v>
      </c>
      <c r="E454" s="8" t="s">
        <v>191</v>
      </c>
      <c r="F454" s="10">
        <v>3.41</v>
      </c>
      <c r="G454" s="11">
        <v>20.0704</v>
      </c>
      <c r="H454" s="8" t="s">
        <v>190</v>
      </c>
      <c r="I454" s="12">
        <v>6649054.0</v>
      </c>
      <c r="J454" s="11">
        <v>21.0511</v>
      </c>
      <c r="K454" s="13">
        <v>0.288</v>
      </c>
      <c r="L454" s="13">
        <v>0.6158</v>
      </c>
      <c r="M454" s="8">
        <v>2905831.0</v>
      </c>
      <c r="N454" s="13">
        <v>2.8039</v>
      </c>
      <c r="O454" s="12">
        <v>3.37041463E8</v>
      </c>
      <c r="P454" s="13">
        <v>51.4667</v>
      </c>
      <c r="Q454" s="13">
        <v>42.6447</v>
      </c>
      <c r="R454" s="11">
        <v>64.6146</v>
      </c>
      <c r="S454" s="13">
        <v>2.8944</v>
      </c>
      <c r="T454" s="13">
        <v>2.8274</v>
      </c>
      <c r="U454" s="13">
        <v>2.8784</v>
      </c>
      <c r="V454" s="13">
        <v>2.9683</v>
      </c>
      <c r="W454" s="13">
        <v>2.9946</v>
      </c>
      <c r="X454" s="13">
        <v>3.1164</v>
      </c>
      <c r="Y454" s="13">
        <v>3.0039</v>
      </c>
      <c r="Z454" s="13">
        <v>3.3294</v>
      </c>
      <c r="AA454" s="13">
        <v>4.88</v>
      </c>
      <c r="AB454" s="13">
        <v>0.0</v>
      </c>
      <c r="AC454" s="13">
        <v>-0.5632</v>
      </c>
      <c r="AD454" s="13">
        <v>0.0</v>
      </c>
      <c r="AE454" s="13">
        <v>-7.1774</v>
      </c>
      <c r="AF454" s="13">
        <v>27.7869</v>
      </c>
      <c r="AG454" s="13">
        <v>0.0</v>
      </c>
      <c r="AH454" s="13">
        <v>1.5888</v>
      </c>
      <c r="AI454" s="13">
        <v>0.4679</v>
      </c>
      <c r="AJ454" s="11">
        <v>0.94</v>
      </c>
      <c r="AK454" s="8" t="s">
        <v>2120</v>
      </c>
      <c r="AL454" s="14">
        <f>IFERROR(__xludf.DUMMYFUNCTION("IFERROR(GOOGLEFINANCE(B454,""price""),"""")"),3.08)</f>
        <v>3.08</v>
      </c>
    </row>
    <row r="455">
      <c r="A455" s="15">
        <v>46097.66896058276</v>
      </c>
      <c r="B455" s="16" t="s">
        <v>2121</v>
      </c>
      <c r="C455" s="16" t="s">
        <v>2122</v>
      </c>
      <c r="D455" s="17">
        <v>46103.0</v>
      </c>
      <c r="E455" s="16" t="s">
        <v>2123</v>
      </c>
      <c r="F455" s="18">
        <v>2.53</v>
      </c>
      <c r="G455" s="19">
        <v>5.8577</v>
      </c>
      <c r="H455" s="16" t="s">
        <v>102</v>
      </c>
      <c r="I455" s="20">
        <v>6341194.0</v>
      </c>
      <c r="J455" s="19">
        <v>31.5133</v>
      </c>
      <c r="K455" s="21">
        <v>0.1578</v>
      </c>
      <c r="L455" s="21">
        <v>0.319</v>
      </c>
      <c r="M455" s="16">
        <v>4871276.0</v>
      </c>
      <c r="N455" s="21">
        <v>1.4203</v>
      </c>
      <c r="O455" s="20">
        <v>7.6086877E8</v>
      </c>
      <c r="P455" s="21">
        <v>77.0696</v>
      </c>
      <c r="Q455" s="21">
        <v>66.2936</v>
      </c>
      <c r="R455" s="19">
        <v>65.2488</v>
      </c>
      <c r="S455" s="21">
        <v>2.2772</v>
      </c>
      <c r="T455" s="21">
        <v>2.2191</v>
      </c>
      <c r="U455" s="21">
        <v>2.264</v>
      </c>
      <c r="V455" s="21">
        <v>2.3371</v>
      </c>
      <c r="W455" s="21">
        <v>2.3576</v>
      </c>
      <c r="X455" s="21">
        <v>2.4393</v>
      </c>
      <c r="Y455" s="21">
        <v>2.3758</v>
      </c>
      <c r="Z455" s="21">
        <v>2.405</v>
      </c>
      <c r="AA455" s="21">
        <v>4.1</v>
      </c>
      <c r="AB455" s="21">
        <v>0.0</v>
      </c>
      <c r="AC455" s="21">
        <v>-0.3079</v>
      </c>
      <c r="AD455" s="21">
        <v>-14.2862</v>
      </c>
      <c r="AE455" s="21">
        <v>-82.7395</v>
      </c>
      <c r="AF455" s="21">
        <v>51.4451</v>
      </c>
      <c r="AG455" s="21">
        <v>0.0375</v>
      </c>
      <c r="AH455" s="21">
        <v>9.8605</v>
      </c>
      <c r="AI455" s="21">
        <v>0.5214</v>
      </c>
      <c r="AJ455" s="19">
        <v>0.99</v>
      </c>
      <c r="AK455" s="16" t="s">
        <v>1283</v>
      </c>
      <c r="AL455" s="22">
        <f>IFERROR(__xludf.DUMMYFUNCTION("IFERROR(GOOGLEFINANCE(B455,""price""),"""")"),2.81)</f>
        <v>2.81</v>
      </c>
    </row>
    <row r="456">
      <c r="A456" s="7">
        <v>46097.66896058276</v>
      </c>
      <c r="B456" s="8" t="s">
        <v>1674</v>
      </c>
      <c r="C456" s="8" t="s">
        <v>1675</v>
      </c>
      <c r="D456" s="9">
        <v>46103.0</v>
      </c>
      <c r="E456" s="8" t="s">
        <v>1676</v>
      </c>
      <c r="F456" s="10">
        <v>103.85</v>
      </c>
      <c r="G456" s="11">
        <v>0.2703</v>
      </c>
      <c r="H456" s="8" t="s">
        <v>117</v>
      </c>
      <c r="I456" s="12">
        <v>2849604.0</v>
      </c>
      <c r="J456" s="11">
        <v>38.3722</v>
      </c>
      <c r="K456" s="13">
        <v>0.3354</v>
      </c>
      <c r="L456" s="13">
        <v>2.3515</v>
      </c>
      <c r="M456" s="8">
        <v>2349268.0</v>
      </c>
      <c r="N456" s="13">
        <v>1.2709</v>
      </c>
      <c r="O456" s="12">
        <v>1.9823740977E10</v>
      </c>
      <c r="P456" s="13">
        <v>70.3408</v>
      </c>
      <c r="Q456" s="13">
        <v>59.5056</v>
      </c>
      <c r="R456" s="11">
        <v>66.7394</v>
      </c>
      <c r="S456" s="13">
        <v>103.5271</v>
      </c>
      <c r="T456" s="13">
        <v>103.3303</v>
      </c>
      <c r="U456" s="13">
        <v>102.7686</v>
      </c>
      <c r="V456" s="13">
        <v>101.1755</v>
      </c>
      <c r="W456" s="13">
        <v>100.5065</v>
      </c>
      <c r="X456" s="13">
        <v>95.0877</v>
      </c>
      <c r="Y456" s="13">
        <v>81.0721</v>
      </c>
      <c r="Z456" s="13">
        <v>73.3362</v>
      </c>
      <c r="AA456" s="13">
        <v>103.92</v>
      </c>
      <c r="AB456" s="13">
        <v>0.0</v>
      </c>
      <c r="AC456" s="13">
        <v>-1.1046</v>
      </c>
      <c r="AD456" s="13">
        <v>-8.6586</v>
      </c>
      <c r="AE456" s="13">
        <v>-4.7946</v>
      </c>
      <c r="AF456" s="13">
        <v>17.6929</v>
      </c>
      <c r="AG456" s="13">
        <v>1.0557</v>
      </c>
      <c r="AH456" s="13">
        <v>2.4266</v>
      </c>
      <c r="AI456" s="13">
        <v>0.7304</v>
      </c>
      <c r="AJ456" s="11">
        <v>0.29</v>
      </c>
      <c r="AK456" s="8" t="s">
        <v>2124</v>
      </c>
      <c r="AL456" s="14">
        <f>IFERROR(__xludf.DUMMYFUNCTION("IFERROR(GOOGLEFINANCE(B456,""price""),"""")"),890.12)</f>
        <v>890.12</v>
      </c>
    </row>
    <row r="457">
      <c r="A457" s="15">
        <v>46097.66896058276</v>
      </c>
      <c r="B457" s="16" t="s">
        <v>1958</v>
      </c>
      <c r="C457" s="16" t="s">
        <v>1959</v>
      </c>
      <c r="D457" s="17">
        <v>46103.0</v>
      </c>
      <c r="E457" s="16" t="s">
        <v>1960</v>
      </c>
      <c r="F457" s="18">
        <v>30.99</v>
      </c>
      <c r="G457" s="19">
        <v>1.0434</v>
      </c>
      <c r="H457" s="16" t="s">
        <v>88</v>
      </c>
      <c r="I457" s="20">
        <v>1.7657251E7</v>
      </c>
      <c r="J457" s="19">
        <v>35.5832</v>
      </c>
      <c r="K457" s="21">
        <v>0.1153</v>
      </c>
      <c r="L457" s="21">
        <v>1.1504</v>
      </c>
      <c r="M457" s="16">
        <v>8886293.0</v>
      </c>
      <c r="N457" s="21">
        <v>2.3523</v>
      </c>
      <c r="O457" s="20">
        <v>1.113373047E10</v>
      </c>
      <c r="P457" s="21">
        <v>58.8669</v>
      </c>
      <c r="Q457" s="21">
        <v>52.1804</v>
      </c>
      <c r="R457" s="19">
        <v>73.3531</v>
      </c>
      <c r="S457" s="21">
        <v>30.7707</v>
      </c>
      <c r="T457" s="21">
        <v>30.6879</v>
      </c>
      <c r="U457" s="21">
        <v>30.4862</v>
      </c>
      <c r="V457" s="21">
        <v>30.0237</v>
      </c>
      <c r="W457" s="21">
        <v>29.8509</v>
      </c>
      <c r="X457" s="21">
        <v>28.6621</v>
      </c>
      <c r="Y457" s="21">
        <v>26.5824</v>
      </c>
      <c r="Z457" s="21">
        <v>24.8169</v>
      </c>
      <c r="AA457" s="21">
        <v>31.0</v>
      </c>
      <c r="AB457" s="21">
        <v>0.0</v>
      </c>
      <c r="AC457" s="21">
        <v>-0.8587</v>
      </c>
      <c r="AD457" s="21">
        <v>-27.7206</v>
      </c>
      <c r="AE457" s="21">
        <v>-31.2723</v>
      </c>
      <c r="AF457" s="21">
        <v>21.0769</v>
      </c>
      <c r="AG457" s="21">
        <v>0.9455</v>
      </c>
      <c r="AH457" s="21">
        <v>3.7503</v>
      </c>
      <c r="AI457" s="21">
        <v>0.9179</v>
      </c>
      <c r="AJ457" s="19">
        <v>0.2</v>
      </c>
      <c r="AK457" s="16" t="s">
        <v>2125</v>
      </c>
      <c r="AL457" s="22">
        <f>IFERROR(__xludf.DUMMYFUNCTION("IFERROR(GOOGLEFINANCE(B457,""price""),"""")"),535.0)</f>
        <v>535</v>
      </c>
    </row>
    <row r="458">
      <c r="A458" s="7">
        <v>46097.66896058276</v>
      </c>
      <c r="B458" s="8" t="s">
        <v>2126</v>
      </c>
      <c r="C458" s="8" t="s">
        <v>2127</v>
      </c>
      <c r="D458" s="9">
        <v>46103.0</v>
      </c>
      <c r="E458" s="8" t="s">
        <v>2128</v>
      </c>
      <c r="F458" s="10">
        <v>25.9</v>
      </c>
      <c r="G458" s="11">
        <v>1.2906</v>
      </c>
      <c r="H458" s="8" t="s">
        <v>873</v>
      </c>
      <c r="I458" s="12">
        <v>4904077.0</v>
      </c>
      <c r="J458" s="11">
        <v>28.1162</v>
      </c>
      <c r="K458" s="13">
        <v>0.4807</v>
      </c>
      <c r="L458" s="13">
        <v>0.9494</v>
      </c>
      <c r="M458" s="8">
        <v>3996186.0</v>
      </c>
      <c r="N458" s="13">
        <v>1.307</v>
      </c>
      <c r="O458" s="12">
        <v>2.4152418788E10</v>
      </c>
      <c r="P458" s="13">
        <v>23.8146</v>
      </c>
      <c r="Q458" s="13">
        <v>30.6507</v>
      </c>
      <c r="R458" s="11">
        <v>52.168</v>
      </c>
      <c r="S458" s="13">
        <v>25.8949</v>
      </c>
      <c r="T458" s="13">
        <v>25.8523</v>
      </c>
      <c r="U458" s="13">
        <v>25.6278</v>
      </c>
      <c r="V458" s="13">
        <v>25.3312</v>
      </c>
      <c r="W458" s="13">
        <v>25.2476</v>
      </c>
      <c r="X458" s="13">
        <v>24.8139</v>
      </c>
      <c r="Y458" s="13">
        <v>24.5679</v>
      </c>
      <c r="Z458" s="13">
        <v>23.9087</v>
      </c>
      <c r="AA458" s="13">
        <v>26.52</v>
      </c>
      <c r="AB458" s="13">
        <v>5.2526</v>
      </c>
      <c r="AC458" s="13">
        <v>4.9309</v>
      </c>
      <c r="AD458" s="13">
        <v>32.2267</v>
      </c>
      <c r="AE458" s="13">
        <v>22.1514</v>
      </c>
      <c r="AF458" s="13">
        <v>5.0454</v>
      </c>
      <c r="AG458" s="13">
        <v>1.7836</v>
      </c>
      <c r="AH458" s="13">
        <v>0.5101</v>
      </c>
      <c r="AI458" s="13">
        <v>1.0312</v>
      </c>
      <c r="AJ458" s="11">
        <v>1.01</v>
      </c>
      <c r="AK458" s="23"/>
      <c r="AL458" s="14">
        <f>IFERROR(__xludf.DUMMYFUNCTION("IFERROR(GOOGLEFINANCE(B458,""price""),"""")"),23.35)</f>
        <v>23.35</v>
      </c>
    </row>
    <row r="459">
      <c r="A459" s="15">
        <v>46097.66896058276</v>
      </c>
      <c r="B459" s="16" t="s">
        <v>2098</v>
      </c>
      <c r="C459" s="16" t="s">
        <v>2099</v>
      </c>
      <c r="D459" s="17">
        <v>46103.0</v>
      </c>
      <c r="E459" s="16" t="s">
        <v>2100</v>
      </c>
      <c r="F459" s="18">
        <v>9.63</v>
      </c>
      <c r="G459" s="19">
        <v>0.627</v>
      </c>
      <c r="H459" s="16" t="s">
        <v>93</v>
      </c>
      <c r="I459" s="20">
        <v>3423862.0</v>
      </c>
      <c r="J459" s="19">
        <v>22.7337</v>
      </c>
      <c r="K459" s="21">
        <v>0.3512</v>
      </c>
      <c r="L459" s="21">
        <v>0.548</v>
      </c>
      <c r="M459" s="16">
        <v>2886402.0</v>
      </c>
      <c r="N459" s="21">
        <v>1.2437</v>
      </c>
      <c r="O459" s="20">
        <v>4.567143252E9</v>
      </c>
      <c r="P459" s="21">
        <v>58.9744</v>
      </c>
      <c r="Q459" s="21">
        <v>40.5128</v>
      </c>
      <c r="R459" s="19">
        <v>55.5729</v>
      </c>
      <c r="S459" s="21">
        <v>9.4445</v>
      </c>
      <c r="T459" s="21">
        <v>9.4066</v>
      </c>
      <c r="U459" s="21">
        <v>9.3399</v>
      </c>
      <c r="V459" s="21">
        <v>9.2786</v>
      </c>
      <c r="W459" s="21">
        <v>9.2659</v>
      </c>
      <c r="X459" s="21">
        <v>9.2357</v>
      </c>
      <c r="Y459" s="21">
        <v>9.2644</v>
      </c>
      <c r="Z459" s="21">
        <v>9.4435</v>
      </c>
      <c r="AA459" s="21">
        <v>10.955</v>
      </c>
      <c r="AB459" s="21">
        <v>31.2967</v>
      </c>
      <c r="AC459" s="21">
        <v>0.3077</v>
      </c>
      <c r="AD459" s="21">
        <v>16.5647</v>
      </c>
      <c r="AE459" s="21">
        <v>8.3035</v>
      </c>
      <c r="AF459" s="21">
        <v>29.8369</v>
      </c>
      <c r="AG459" s="21">
        <v>2.0491</v>
      </c>
      <c r="AH459" s="21">
        <v>2.2613</v>
      </c>
      <c r="AI459" s="21">
        <v>1.0859</v>
      </c>
      <c r="AJ459" s="19">
        <v>1.28</v>
      </c>
      <c r="AK459" s="16" t="s">
        <v>1712</v>
      </c>
      <c r="AL459" s="22">
        <f>IFERROR(__xludf.DUMMYFUNCTION("IFERROR(GOOGLEFINANCE(B459,""price""),"""")"),10.92)</f>
        <v>10.92</v>
      </c>
    </row>
    <row r="460">
      <c r="A460" s="7">
        <v>46097.66896058276</v>
      </c>
      <c r="B460" s="8" t="s">
        <v>2057</v>
      </c>
      <c r="C460" s="8" t="s">
        <v>2058</v>
      </c>
      <c r="D460" s="9">
        <v>46103.0</v>
      </c>
      <c r="E460" s="8" t="s">
        <v>2059</v>
      </c>
      <c r="F460" s="10">
        <v>14.37</v>
      </c>
      <c r="G460" s="11">
        <v>0.0</v>
      </c>
      <c r="H460" s="8" t="s">
        <v>117</v>
      </c>
      <c r="I460" s="12">
        <v>6531564.0</v>
      </c>
      <c r="J460" s="11">
        <v>58.8001</v>
      </c>
      <c r="K460" s="13">
        <v>0.0375</v>
      </c>
      <c r="L460" s="13">
        <v>0.3973</v>
      </c>
      <c r="M460" s="8">
        <v>4049842.0</v>
      </c>
      <c r="N460" s="13">
        <v>1.7369</v>
      </c>
      <c r="O460" s="12">
        <v>4.512190489E9</v>
      </c>
      <c r="P460" s="13">
        <v>71.4286</v>
      </c>
      <c r="Q460" s="13">
        <v>73.545</v>
      </c>
      <c r="R460" s="11">
        <v>69.7109</v>
      </c>
      <c r="S460" s="13">
        <v>14.3625</v>
      </c>
      <c r="T460" s="13">
        <v>14.3303</v>
      </c>
      <c r="U460" s="13">
        <v>14.1864</v>
      </c>
      <c r="V460" s="13">
        <v>13.8493</v>
      </c>
      <c r="W460" s="13">
        <v>13.7241</v>
      </c>
      <c r="X460" s="13">
        <v>12.84</v>
      </c>
      <c r="Y460" s="13">
        <v>11.0427</v>
      </c>
      <c r="Z460" s="13">
        <v>9.6557</v>
      </c>
      <c r="AA460" s="13">
        <v>14.39</v>
      </c>
      <c r="AB460" s="13">
        <v>0.0</v>
      </c>
      <c r="AC460" s="13">
        <v>-0.0886</v>
      </c>
      <c r="AD460" s="13">
        <v>-11.5784</v>
      </c>
      <c r="AE460" s="13">
        <v>5.4384</v>
      </c>
      <c r="AF460" s="13">
        <v>20.0485</v>
      </c>
      <c r="AG460" s="13">
        <v>1.613</v>
      </c>
      <c r="AH460" s="13">
        <v>2.8431</v>
      </c>
      <c r="AI460" s="13">
        <v>1.2255</v>
      </c>
      <c r="AJ460" s="11">
        <v>0.19</v>
      </c>
      <c r="AK460" s="8" t="s">
        <v>2129</v>
      </c>
      <c r="AL460" s="14">
        <f>IFERROR(__xludf.DUMMYFUNCTION("IFERROR(GOOGLEFINANCE(B460,""price""),"""")"),14.46)</f>
        <v>14.46</v>
      </c>
    </row>
    <row r="461">
      <c r="A461" s="15">
        <v>46097.66896058276</v>
      </c>
      <c r="B461" s="16" t="s">
        <v>2083</v>
      </c>
      <c r="C461" s="16" t="s">
        <v>2084</v>
      </c>
      <c r="D461" s="17">
        <v>46103.0</v>
      </c>
      <c r="E461" s="16" t="s">
        <v>2085</v>
      </c>
      <c r="F461" s="18">
        <v>3.65</v>
      </c>
      <c r="G461" s="19">
        <v>0.0</v>
      </c>
      <c r="H461" s="16" t="s">
        <v>190</v>
      </c>
      <c r="I461" s="20">
        <v>1362992.0</v>
      </c>
      <c r="J461" s="19">
        <v>51.1797</v>
      </c>
      <c r="K461" s="21">
        <v>0.0179</v>
      </c>
      <c r="L461" s="21">
        <v>0.1443</v>
      </c>
      <c r="M461" s="21">
        <v>545724.4</v>
      </c>
      <c r="N461" s="21">
        <v>3.022</v>
      </c>
      <c r="O461" s="20">
        <v>1.62297153E8</v>
      </c>
      <c r="P461" s="21">
        <v>93.3333</v>
      </c>
      <c r="Q461" s="21">
        <v>87.3016</v>
      </c>
      <c r="R461" s="19">
        <v>77.0651</v>
      </c>
      <c r="S461" s="21">
        <v>3.6416</v>
      </c>
      <c r="T461" s="21">
        <v>3.6195</v>
      </c>
      <c r="U461" s="21">
        <v>3.578</v>
      </c>
      <c r="V461" s="21">
        <v>3.4995</v>
      </c>
      <c r="W461" s="21">
        <v>3.4722</v>
      </c>
      <c r="X461" s="21">
        <v>3.2907</v>
      </c>
      <c r="Y461" s="21">
        <v>2.9609</v>
      </c>
      <c r="Z461" s="21">
        <v>2.6866</v>
      </c>
      <c r="AA461" s="21">
        <v>3.65</v>
      </c>
      <c r="AB461" s="21">
        <v>0.0</v>
      </c>
      <c r="AC461" s="21">
        <v>-0.2503</v>
      </c>
      <c r="AD461" s="21">
        <v>-10.238</v>
      </c>
      <c r="AE461" s="21">
        <v>-0.6342</v>
      </c>
      <c r="AF461" s="21">
        <v>15.6834</v>
      </c>
      <c r="AG461" s="21">
        <v>1.139</v>
      </c>
      <c r="AH461" s="21">
        <v>1.0381</v>
      </c>
      <c r="AI461" s="21">
        <v>1.7418</v>
      </c>
      <c r="AJ461" s="19">
        <v>0.25</v>
      </c>
      <c r="AK461" s="16" t="s">
        <v>2110</v>
      </c>
      <c r="AL461" s="22" t="str">
        <f>IFERROR(__xludf.DUMMYFUNCTION("IFERROR(GOOGLEFINANCE(B461,""price""),"""")"),"")</f>
        <v/>
      </c>
    </row>
    <row r="462">
      <c r="A462" s="7">
        <v>46097.66896058276</v>
      </c>
      <c r="B462" s="8" t="s">
        <v>2130</v>
      </c>
      <c r="C462" s="8" t="s">
        <v>2131</v>
      </c>
      <c r="D462" s="9">
        <v>46103.0</v>
      </c>
      <c r="E462" s="8" t="s">
        <v>2132</v>
      </c>
      <c r="F462" s="10">
        <v>46.77</v>
      </c>
      <c r="G462" s="11">
        <v>-1.4331</v>
      </c>
      <c r="H462" s="8" t="s">
        <v>308</v>
      </c>
      <c r="I462" s="12">
        <v>2180088.0</v>
      </c>
      <c r="J462" s="11">
        <v>25.0163</v>
      </c>
      <c r="K462" s="13">
        <v>2.1714</v>
      </c>
      <c r="L462" s="13">
        <v>4.0372</v>
      </c>
      <c r="M462" s="8">
        <v>1099363.0</v>
      </c>
      <c r="N462" s="13">
        <v>2.1212</v>
      </c>
      <c r="O462" s="12">
        <v>2.595922197E9</v>
      </c>
      <c r="P462" s="13">
        <v>36.743</v>
      </c>
      <c r="Q462" s="13">
        <v>32.9771</v>
      </c>
      <c r="R462" s="11">
        <v>51.1356</v>
      </c>
      <c r="S462" s="13">
        <v>46.861</v>
      </c>
      <c r="T462" s="13">
        <v>46.7362</v>
      </c>
      <c r="U462" s="13">
        <v>46.0255</v>
      </c>
      <c r="V462" s="13">
        <v>45.0679</v>
      </c>
      <c r="W462" s="13">
        <v>44.8178</v>
      </c>
      <c r="X462" s="13">
        <v>43.9019</v>
      </c>
      <c r="Y462" s="13">
        <v>45.6717</v>
      </c>
      <c r="Z462" s="13">
        <v>44.9099</v>
      </c>
      <c r="AA462" s="13">
        <v>60.12</v>
      </c>
      <c r="AB462" s="13">
        <v>119.1592</v>
      </c>
      <c r="AC462" s="13">
        <v>0.3925</v>
      </c>
      <c r="AD462" s="13">
        <v>3.106</v>
      </c>
      <c r="AE462" s="13">
        <v>7.8917</v>
      </c>
      <c r="AF462" s="13">
        <v>5.855</v>
      </c>
      <c r="AG462" s="13">
        <v>0.0281</v>
      </c>
      <c r="AH462" s="13">
        <v>6.514</v>
      </c>
      <c r="AI462" s="13">
        <v>1.7865</v>
      </c>
      <c r="AJ462" s="11">
        <v>1.08</v>
      </c>
      <c r="AK462" s="8" t="s">
        <v>1478</v>
      </c>
      <c r="AL462" s="14">
        <f>IFERROR(__xludf.DUMMYFUNCTION("IFERROR(GOOGLEFINANCE(B462,""price""),"""")"),54.53)</f>
        <v>54.53</v>
      </c>
    </row>
    <row r="463">
      <c r="A463" s="7">
        <v>46102.75616605231</v>
      </c>
      <c r="B463" s="8" t="s">
        <v>2133</v>
      </c>
      <c r="C463" s="8" t="s">
        <v>2134</v>
      </c>
      <c r="D463" s="9">
        <v>46103.0</v>
      </c>
      <c r="E463" s="8" t="s">
        <v>2135</v>
      </c>
      <c r="F463" s="10">
        <v>358.85</v>
      </c>
      <c r="G463" s="11">
        <v>0.7694</v>
      </c>
      <c r="H463" s="8" t="s">
        <v>162</v>
      </c>
      <c r="I463" s="12">
        <v>6967940.0</v>
      </c>
      <c r="J463" s="11">
        <v>36.099</v>
      </c>
      <c r="K463" s="13">
        <v>10.6919</v>
      </c>
      <c r="L463" s="13">
        <v>20.0394</v>
      </c>
      <c r="M463" s="8">
        <v>2350198.0</v>
      </c>
      <c r="N463" s="13">
        <v>3.5976</v>
      </c>
      <c r="O463" s="12">
        <v>8.5624033869E10</v>
      </c>
      <c r="P463" s="13">
        <v>23.2898</v>
      </c>
      <c r="Q463" s="13">
        <v>18.206</v>
      </c>
      <c r="R463" s="11">
        <v>48.9935</v>
      </c>
      <c r="S463" s="13">
        <v>357.0486</v>
      </c>
      <c r="T463" s="13">
        <v>361.2208</v>
      </c>
      <c r="U463" s="13">
        <v>356.9575</v>
      </c>
      <c r="V463" s="13">
        <v>347.8849</v>
      </c>
      <c r="W463" s="13">
        <v>344.879</v>
      </c>
      <c r="X463" s="13">
        <v>326.15</v>
      </c>
      <c r="Y463" s="13">
        <v>292.5161</v>
      </c>
      <c r="Z463" s="13">
        <v>271.5429</v>
      </c>
      <c r="AA463" s="13">
        <v>392.86</v>
      </c>
      <c r="AB463" s="13">
        <v>19.1016</v>
      </c>
      <c r="AC463" s="13">
        <v>18.7864</v>
      </c>
      <c r="AD463" s="13">
        <v>15.848</v>
      </c>
      <c r="AE463" s="13">
        <v>7.0932</v>
      </c>
      <c r="AF463" s="13">
        <v>4.6894</v>
      </c>
      <c r="AG463" s="13">
        <v>1.4099</v>
      </c>
      <c r="AH463" s="13">
        <v>1.4738</v>
      </c>
      <c r="AI463" s="13">
        <v>0.0254</v>
      </c>
      <c r="AJ463" s="11">
        <v>1.07</v>
      </c>
      <c r="AK463" s="8" t="s">
        <v>2136</v>
      </c>
      <c r="AL463" s="14">
        <f>IFERROR(__xludf.DUMMYFUNCTION("IFERROR(GOOGLEFINANCE(B463,""price""),"""")"),374.08)</f>
        <v>374.08</v>
      </c>
    </row>
    <row r="464">
      <c r="A464" s="15">
        <v>46102.75616605231</v>
      </c>
      <c r="B464" s="16" t="s">
        <v>1386</v>
      </c>
      <c r="C464" s="16" t="s">
        <v>1387</v>
      </c>
      <c r="D464" s="17">
        <v>46103.0</v>
      </c>
      <c r="E464" s="16" t="s">
        <v>1388</v>
      </c>
      <c r="F464" s="18">
        <v>207.03</v>
      </c>
      <c r="G464" s="19">
        <v>-0.0435</v>
      </c>
      <c r="H464" s="16" t="s">
        <v>102</v>
      </c>
      <c r="I464" s="20">
        <v>3793280.0</v>
      </c>
      <c r="J464" s="19">
        <v>26.9924</v>
      </c>
      <c r="K464" s="21">
        <v>0.5039</v>
      </c>
      <c r="L464" s="21">
        <v>2.4668</v>
      </c>
      <c r="M464" s="16">
        <v>2573571.0</v>
      </c>
      <c r="N464" s="21">
        <v>1.6026</v>
      </c>
      <c r="O464" s="20">
        <v>9.909613651E9</v>
      </c>
      <c r="P464" s="21">
        <v>65.6927</v>
      </c>
      <c r="Q464" s="21">
        <v>66.3775</v>
      </c>
      <c r="R464" s="19">
        <v>49.3422</v>
      </c>
      <c r="S464" s="21">
        <v>207.0584</v>
      </c>
      <c r="T464" s="21">
        <v>207.0807</v>
      </c>
      <c r="U464" s="21">
        <v>207.0031</v>
      </c>
      <c r="V464" s="21">
        <v>206.683</v>
      </c>
      <c r="W464" s="21">
        <v>206.526</v>
      </c>
      <c r="X464" s="21">
        <v>204.7549</v>
      </c>
      <c r="Y464" s="21">
        <v>195.6664</v>
      </c>
      <c r="Z464" s="21">
        <v>195.0554</v>
      </c>
      <c r="AA464" s="21">
        <v>208.24</v>
      </c>
      <c r="AB464" s="21">
        <v>801.1997</v>
      </c>
      <c r="AC464" s="21">
        <v>0.2584</v>
      </c>
      <c r="AD464" s="21">
        <v>1.3962</v>
      </c>
      <c r="AE464" s="21">
        <v>14.7514</v>
      </c>
      <c r="AF464" s="21">
        <v>2.4926</v>
      </c>
      <c r="AG464" s="21">
        <v>1.1392</v>
      </c>
      <c r="AH464" s="21">
        <v>1.3622</v>
      </c>
      <c r="AI464" s="21">
        <v>0.0267</v>
      </c>
      <c r="AJ464" s="19">
        <v>0.41</v>
      </c>
      <c r="AK464" s="16" t="s">
        <v>2137</v>
      </c>
      <c r="AL464" s="22">
        <f>IFERROR(__xludf.DUMMYFUNCTION("IFERROR(GOOGLEFINANCE(B464,""price""),"""")"),207.79)</f>
        <v>207.79</v>
      </c>
    </row>
    <row r="465">
      <c r="A465" s="7">
        <v>46102.75616605231</v>
      </c>
      <c r="B465" s="8" t="s">
        <v>1470</v>
      </c>
      <c r="C465" s="8" t="s">
        <v>1471</v>
      </c>
      <c r="D465" s="9">
        <v>46103.0</v>
      </c>
      <c r="E465" s="8" t="s">
        <v>1472</v>
      </c>
      <c r="F465" s="10">
        <v>41.89</v>
      </c>
      <c r="G465" s="11">
        <v>0.2153</v>
      </c>
      <c r="H465" s="8" t="s">
        <v>107</v>
      </c>
      <c r="I465" s="12">
        <v>5361712.0</v>
      </c>
      <c r="J465" s="11">
        <v>20.4385</v>
      </c>
      <c r="K465" s="13">
        <v>0.1159</v>
      </c>
      <c r="L465" s="13">
        <v>0.9735</v>
      </c>
      <c r="M465" s="8">
        <v>2796670.0</v>
      </c>
      <c r="N465" s="13">
        <v>2.1976</v>
      </c>
      <c r="O465" s="12">
        <v>6.173481772E9</v>
      </c>
      <c r="P465" s="13">
        <v>43.75</v>
      </c>
      <c r="Q465" s="13">
        <v>28.0754</v>
      </c>
      <c r="R465" s="11">
        <v>51.0747</v>
      </c>
      <c r="S465" s="13">
        <v>41.8562</v>
      </c>
      <c r="T465" s="13">
        <v>41.8856</v>
      </c>
      <c r="U465" s="13">
        <v>41.8404</v>
      </c>
      <c r="V465" s="13">
        <v>41.6472</v>
      </c>
      <c r="W465" s="13">
        <v>41.5558</v>
      </c>
      <c r="X465" s="13">
        <v>40.7069</v>
      </c>
      <c r="Y465" s="13">
        <v>38.1609</v>
      </c>
      <c r="Z465" s="13">
        <v>36.7158</v>
      </c>
      <c r="AA465" s="13">
        <v>44.27</v>
      </c>
      <c r="AB465" s="13">
        <v>13.9993</v>
      </c>
      <c r="AC465" s="13">
        <v>2.9923</v>
      </c>
      <c r="AD465" s="13">
        <v>47.3899</v>
      </c>
      <c r="AE465" s="13">
        <v>15.8103</v>
      </c>
      <c r="AF465" s="13">
        <v>-0.6082</v>
      </c>
      <c r="AG465" s="13">
        <v>3.3132</v>
      </c>
      <c r="AH465" s="13">
        <v>0.9134</v>
      </c>
      <c r="AI465" s="13">
        <v>0.0376</v>
      </c>
      <c r="AJ465" s="11">
        <v>0.24</v>
      </c>
      <c r="AK465" s="8" t="s">
        <v>2138</v>
      </c>
      <c r="AL465" s="14">
        <f>IFERROR(__xludf.DUMMYFUNCTION("IFERROR(GOOGLEFINANCE(B465,""price""),"""")"),42.15)</f>
        <v>42.15</v>
      </c>
    </row>
    <row r="466">
      <c r="A466" s="15">
        <v>46102.75616605231</v>
      </c>
      <c r="B466" s="16" t="s">
        <v>2139</v>
      </c>
      <c r="C466" s="16" t="s">
        <v>2140</v>
      </c>
      <c r="D466" s="17">
        <v>46103.0</v>
      </c>
      <c r="E466" s="16" t="s">
        <v>2141</v>
      </c>
      <c r="F466" s="18">
        <v>60.35</v>
      </c>
      <c r="G466" s="19">
        <v>-0.593</v>
      </c>
      <c r="H466" s="16" t="s">
        <v>270</v>
      </c>
      <c r="I466" s="20">
        <v>1.8831345E7</v>
      </c>
      <c r="J466" s="19">
        <v>24.6728</v>
      </c>
      <c r="K466" s="21">
        <v>1.9892</v>
      </c>
      <c r="L466" s="21">
        <v>4.086</v>
      </c>
      <c r="M466" s="16">
        <v>1.3212204E7</v>
      </c>
      <c r="N466" s="21">
        <v>1.5351</v>
      </c>
      <c r="O466" s="20">
        <v>5.9640071945E10</v>
      </c>
      <c r="P466" s="21">
        <v>46.152</v>
      </c>
      <c r="Q466" s="21">
        <v>33.8435</v>
      </c>
      <c r="R466" s="19">
        <v>54.4642</v>
      </c>
      <c r="S466" s="21">
        <v>58.6841</v>
      </c>
      <c r="T466" s="21">
        <v>59.1901</v>
      </c>
      <c r="U466" s="21">
        <v>58.6575</v>
      </c>
      <c r="V466" s="21">
        <v>57.479</v>
      </c>
      <c r="W466" s="21">
        <v>57.0984</v>
      </c>
      <c r="X466" s="21">
        <v>54.7774</v>
      </c>
      <c r="Y466" s="21">
        <v>49.9737</v>
      </c>
      <c r="Z466" s="21">
        <v>48.2</v>
      </c>
      <c r="AA466" s="21">
        <v>67.0</v>
      </c>
      <c r="AB466" s="21">
        <v>23.167</v>
      </c>
      <c r="AC466" s="21">
        <v>2.605</v>
      </c>
      <c r="AD466" s="21">
        <v>14.4868</v>
      </c>
      <c r="AE466" s="21">
        <v>12.8259</v>
      </c>
      <c r="AF466" s="21">
        <v>-0.345</v>
      </c>
      <c r="AG466" s="21">
        <v>0.3558</v>
      </c>
      <c r="AH466" s="21">
        <v>1.3568</v>
      </c>
      <c r="AI466" s="21">
        <v>0.0441</v>
      </c>
      <c r="AJ466" s="19">
        <v>0.97</v>
      </c>
      <c r="AK466" s="16" t="s">
        <v>1267</v>
      </c>
      <c r="AL466" s="22">
        <f>IFERROR(__xludf.DUMMYFUNCTION("IFERROR(GOOGLEFINANCE(B466,""price""),"""")"),62.83)</f>
        <v>62.83</v>
      </c>
    </row>
    <row r="467">
      <c r="A467" s="7">
        <v>46102.75616605231</v>
      </c>
      <c r="B467" s="8" t="s">
        <v>2142</v>
      </c>
      <c r="C467" s="8" t="s">
        <v>2143</v>
      </c>
      <c r="D467" s="9">
        <v>46103.0</v>
      </c>
      <c r="E467" s="8" t="s">
        <v>2144</v>
      </c>
      <c r="F467" s="10">
        <v>174.2</v>
      </c>
      <c r="G467" s="11">
        <v>2.8517</v>
      </c>
      <c r="H467" s="8" t="s">
        <v>186</v>
      </c>
      <c r="I467" s="12">
        <v>956836.0</v>
      </c>
      <c r="J467" s="11">
        <v>23.3476</v>
      </c>
      <c r="K467" s="13">
        <v>5.6948</v>
      </c>
      <c r="L467" s="13">
        <v>10.0725</v>
      </c>
      <c r="M467" s="13">
        <v>432165.9</v>
      </c>
      <c r="N467" s="13">
        <v>2.6194</v>
      </c>
      <c r="O467" s="12">
        <v>5.32736616E9</v>
      </c>
      <c r="P467" s="13">
        <v>77.3865</v>
      </c>
      <c r="Q467" s="13">
        <v>70.6416</v>
      </c>
      <c r="R467" s="11">
        <v>62.5948</v>
      </c>
      <c r="S467" s="13">
        <v>167.0258</v>
      </c>
      <c r="T467" s="13">
        <v>165.9663</v>
      </c>
      <c r="U467" s="13">
        <v>166.7863</v>
      </c>
      <c r="V467" s="13">
        <v>167.5842</v>
      </c>
      <c r="W467" s="13">
        <v>167.7328</v>
      </c>
      <c r="X467" s="13">
        <v>168.0675</v>
      </c>
      <c r="Y467" s="13">
        <v>169.7206</v>
      </c>
      <c r="Z467" s="13">
        <v>166.4308</v>
      </c>
      <c r="AA467" s="13">
        <v>183.715</v>
      </c>
      <c r="AB467" s="13">
        <v>21.0996</v>
      </c>
      <c r="AC467" s="13">
        <v>8.2561</v>
      </c>
      <c r="AD467" s="13">
        <v>13.5706</v>
      </c>
      <c r="AE467" s="13">
        <v>10.9366</v>
      </c>
      <c r="AF467" s="13">
        <v>2.4389</v>
      </c>
      <c r="AG467" s="13">
        <v>0.3615</v>
      </c>
      <c r="AH467" s="13">
        <v>1.5562</v>
      </c>
      <c r="AI467" s="13">
        <v>0.1375</v>
      </c>
      <c r="AJ467" s="11">
        <v>1.13</v>
      </c>
      <c r="AK467" s="8" t="s">
        <v>2145</v>
      </c>
      <c r="AL467" s="14">
        <f>IFERROR(__xludf.DUMMYFUNCTION("IFERROR(GOOGLEFINANCE(B467,""price""),"""")"),176.26)</f>
        <v>176.26</v>
      </c>
    </row>
    <row r="468">
      <c r="A468" s="15">
        <v>46102.75616605231</v>
      </c>
      <c r="B468" s="16" t="s">
        <v>2146</v>
      </c>
      <c r="C468" s="16" t="s">
        <v>2147</v>
      </c>
      <c r="D468" s="17">
        <v>46103.0</v>
      </c>
      <c r="E468" s="16" t="s">
        <v>2148</v>
      </c>
      <c r="F468" s="18">
        <v>24.02</v>
      </c>
      <c r="G468" s="19">
        <v>-4.7959</v>
      </c>
      <c r="H468" s="16" t="s">
        <v>112</v>
      </c>
      <c r="I468" s="20">
        <v>346704.0</v>
      </c>
      <c r="J468" s="19">
        <v>20.7793</v>
      </c>
      <c r="K468" s="21">
        <v>0.9587</v>
      </c>
      <c r="L468" s="21">
        <v>1.5265</v>
      </c>
      <c r="M468" s="21">
        <v>177206.8</v>
      </c>
      <c r="N468" s="21">
        <v>2.2864</v>
      </c>
      <c r="O468" s="20">
        <v>3.76691403E8</v>
      </c>
      <c r="P468" s="21">
        <v>54.2667</v>
      </c>
      <c r="Q468" s="21">
        <v>43.6125</v>
      </c>
      <c r="R468" s="19">
        <v>50.4581</v>
      </c>
      <c r="S468" s="21">
        <v>23.9016</v>
      </c>
      <c r="T468" s="21">
        <v>23.9895</v>
      </c>
      <c r="U468" s="21">
        <v>23.8592</v>
      </c>
      <c r="V468" s="21">
        <v>23.5043</v>
      </c>
      <c r="W468" s="21">
        <v>23.3771</v>
      </c>
      <c r="X468" s="21">
        <v>22.5118</v>
      </c>
      <c r="Y468" s="21">
        <v>20.848</v>
      </c>
      <c r="Z468" s="21">
        <v>19.5566</v>
      </c>
      <c r="AA468" s="21">
        <v>25.85</v>
      </c>
      <c r="AB468" s="21">
        <v>20.6127</v>
      </c>
      <c r="AC468" s="21">
        <v>1.1653</v>
      </c>
      <c r="AD468" s="21">
        <v>5.3631</v>
      </c>
      <c r="AE468" s="21">
        <v>4.9077</v>
      </c>
      <c r="AF468" s="21">
        <v>1.9499</v>
      </c>
      <c r="AG468" s="21">
        <v>0.1546</v>
      </c>
      <c r="AH468" s="21">
        <v>4.5754</v>
      </c>
      <c r="AI468" s="21">
        <v>0.1765</v>
      </c>
      <c r="AJ468" s="19">
        <v>1.26</v>
      </c>
      <c r="AK468" s="16" t="s">
        <v>2149</v>
      </c>
      <c r="AL468" s="22">
        <f>IFERROR(__xludf.DUMMYFUNCTION("IFERROR(GOOGLEFINANCE(B468,""price""),"""")"),26.74)</f>
        <v>26.74</v>
      </c>
    </row>
    <row r="469">
      <c r="A469" s="7">
        <v>46102.75616605231</v>
      </c>
      <c r="B469" s="8" t="s">
        <v>1502</v>
      </c>
      <c r="C469" s="8" t="s">
        <v>1503</v>
      </c>
      <c r="D469" s="9">
        <v>46103.0</v>
      </c>
      <c r="E469" s="8" t="s">
        <v>1504</v>
      </c>
      <c r="F469" s="10">
        <v>79.87</v>
      </c>
      <c r="G469" s="11">
        <v>0.1756</v>
      </c>
      <c r="H469" s="8" t="s">
        <v>88</v>
      </c>
      <c r="I469" s="12">
        <v>1175488.0</v>
      </c>
      <c r="J469" s="11">
        <v>43.2483</v>
      </c>
      <c r="K469" s="13">
        <v>0.2724</v>
      </c>
      <c r="L469" s="13">
        <v>1.4552</v>
      </c>
      <c r="M469" s="13">
        <v>511501.8</v>
      </c>
      <c r="N469" s="13">
        <v>2.7292</v>
      </c>
      <c r="O469" s="12">
        <v>2.276449703E9</v>
      </c>
      <c r="P469" s="13">
        <v>27.8539</v>
      </c>
      <c r="Q469" s="13">
        <v>27.9745</v>
      </c>
      <c r="R469" s="11">
        <v>53.4495</v>
      </c>
      <c r="S469" s="13">
        <v>79.8126</v>
      </c>
      <c r="T469" s="13">
        <v>79.7958</v>
      </c>
      <c r="U469" s="13">
        <v>79.6359</v>
      </c>
      <c r="V469" s="13">
        <v>79.2214</v>
      </c>
      <c r="W469" s="13">
        <v>79.0484</v>
      </c>
      <c r="X469" s="13">
        <v>77.5667</v>
      </c>
      <c r="Y469" s="13">
        <v>72.4589</v>
      </c>
      <c r="Z469" s="13">
        <v>71.2421</v>
      </c>
      <c r="AA469" s="13">
        <v>80.67</v>
      </c>
      <c r="AB469" s="13">
        <v>40.2449</v>
      </c>
      <c r="AC469" s="13">
        <v>1.9846</v>
      </c>
      <c r="AD469" s="13">
        <v>19.7366</v>
      </c>
      <c r="AE469" s="13">
        <v>12.1871</v>
      </c>
      <c r="AF469" s="13">
        <v>2.1751</v>
      </c>
      <c r="AG469" s="13">
        <v>1.9931</v>
      </c>
      <c r="AH469" s="13">
        <v>1.4408</v>
      </c>
      <c r="AI469" s="13">
        <v>0.2213</v>
      </c>
      <c r="AJ469" s="11">
        <v>0.37</v>
      </c>
      <c r="AK469" s="8" t="s">
        <v>2150</v>
      </c>
      <c r="AL469" s="14">
        <f>IFERROR(__xludf.DUMMYFUNCTION("IFERROR(GOOGLEFINANCE(B469,""price""),"""")"),80.04)</f>
        <v>80.04</v>
      </c>
    </row>
    <row r="470">
      <c r="A470" s="15">
        <v>46102.75616605231</v>
      </c>
      <c r="B470" s="16" t="s">
        <v>2151</v>
      </c>
      <c r="C470" s="16" t="s">
        <v>2152</v>
      </c>
      <c r="D470" s="17">
        <v>46103.0</v>
      </c>
      <c r="E470" s="16" t="s">
        <v>2153</v>
      </c>
      <c r="F470" s="18">
        <v>235.18</v>
      </c>
      <c r="G470" s="19">
        <v>-1.7668</v>
      </c>
      <c r="H470" s="16" t="s">
        <v>149</v>
      </c>
      <c r="I470" s="20">
        <v>4866962.0</v>
      </c>
      <c r="J470" s="19">
        <v>20.632</v>
      </c>
      <c r="K470" s="21">
        <v>12.1285</v>
      </c>
      <c r="L470" s="21">
        <v>24.4293</v>
      </c>
      <c r="M470" s="16">
        <v>2106089.0</v>
      </c>
      <c r="N470" s="21">
        <v>2.4564</v>
      </c>
      <c r="O470" s="20">
        <v>2.8817644281E10</v>
      </c>
      <c r="P470" s="21">
        <v>70.856</v>
      </c>
      <c r="Q470" s="21">
        <v>72.6422</v>
      </c>
      <c r="R470" s="19">
        <v>51.3999</v>
      </c>
      <c r="S470" s="21">
        <v>235.3957</v>
      </c>
      <c r="T470" s="21">
        <v>232.1386</v>
      </c>
      <c r="U470" s="21">
        <v>234.8422</v>
      </c>
      <c r="V470" s="21">
        <v>238.7345</v>
      </c>
      <c r="W470" s="21">
        <v>239.5862</v>
      </c>
      <c r="X470" s="21">
        <v>240.9445</v>
      </c>
      <c r="Y470" s="21">
        <v>227.242</v>
      </c>
      <c r="Z470" s="21">
        <v>225.3254</v>
      </c>
      <c r="AA470" s="21">
        <v>303.8</v>
      </c>
      <c r="AB470" s="21">
        <v>23.8798</v>
      </c>
      <c r="AC470" s="21">
        <v>9.8485</v>
      </c>
      <c r="AD470" s="21">
        <v>91.0947</v>
      </c>
      <c r="AE470" s="21">
        <v>13.4256</v>
      </c>
      <c r="AF470" s="21">
        <v>7.6108</v>
      </c>
      <c r="AG470" s="21">
        <v>5.0436</v>
      </c>
      <c r="AH470" s="21">
        <v>0.7324</v>
      </c>
      <c r="AI470" s="21">
        <v>0.2353</v>
      </c>
      <c r="AJ470" s="19">
        <v>0.99</v>
      </c>
      <c r="AK470" s="16" t="s">
        <v>2154</v>
      </c>
      <c r="AL470" s="22">
        <f>IFERROR(__xludf.DUMMYFUNCTION("IFERROR(GOOGLEFINANCE(B470,""price""),"""")"),228.09)</f>
        <v>228.09</v>
      </c>
    </row>
    <row r="471">
      <c r="A471" s="7">
        <v>46102.75616605231</v>
      </c>
      <c r="B471" s="8" t="s">
        <v>1459</v>
      </c>
      <c r="C471" s="8" t="s">
        <v>1460</v>
      </c>
      <c r="D471" s="9">
        <v>46103.0</v>
      </c>
      <c r="E471" s="8" t="s">
        <v>1461</v>
      </c>
      <c r="F471" s="10">
        <v>24.59</v>
      </c>
      <c r="G471" s="11">
        <v>0.4904</v>
      </c>
      <c r="H471" s="8" t="s">
        <v>93</v>
      </c>
      <c r="I471" s="12">
        <v>1082946.0</v>
      </c>
      <c r="J471" s="11">
        <v>35.5185</v>
      </c>
      <c r="K471" s="13">
        <v>0.1335</v>
      </c>
      <c r="L471" s="13">
        <v>0.2795</v>
      </c>
      <c r="M471" s="13">
        <v>715498.2</v>
      </c>
      <c r="N471" s="13">
        <v>1.6568</v>
      </c>
      <c r="O471" s="12">
        <v>1.264261474E9</v>
      </c>
      <c r="P471" s="13">
        <v>26.425</v>
      </c>
      <c r="Q471" s="13">
        <v>26.8136</v>
      </c>
      <c r="R471" s="11">
        <v>55.4274</v>
      </c>
      <c r="S471" s="13">
        <v>24.5466</v>
      </c>
      <c r="T471" s="13">
        <v>24.5266</v>
      </c>
      <c r="U471" s="13">
        <v>24.4764</v>
      </c>
      <c r="V471" s="13">
        <v>24.414</v>
      </c>
      <c r="W471" s="13">
        <v>24.3954</v>
      </c>
      <c r="X471" s="13">
        <v>24.2583</v>
      </c>
      <c r="Y471" s="13">
        <v>23.3423</v>
      </c>
      <c r="Z471" s="13">
        <v>23.9546</v>
      </c>
      <c r="AA471" s="13">
        <v>24.77</v>
      </c>
      <c r="AB471" s="13">
        <v>25.0254</v>
      </c>
      <c r="AC471" s="13">
        <v>0.9826</v>
      </c>
      <c r="AD471" s="13">
        <v>3.992</v>
      </c>
      <c r="AE471" s="13">
        <v>9.0872</v>
      </c>
      <c r="AF471" s="13">
        <v>-4.5528</v>
      </c>
      <c r="AG471" s="13">
        <v>0.3225</v>
      </c>
      <c r="AH471" s="13">
        <v>0.3146</v>
      </c>
      <c r="AI471" s="13">
        <v>0.2856</v>
      </c>
      <c r="AJ471" s="11">
        <v>0.96</v>
      </c>
      <c r="AK471" s="8" t="s">
        <v>1267</v>
      </c>
      <c r="AL471" s="14">
        <f>IFERROR(__xludf.DUMMYFUNCTION("IFERROR(GOOGLEFINANCE(B471,""price""),"""")"),24.38)</f>
        <v>24.38</v>
      </c>
    </row>
    <row r="472">
      <c r="A472" s="15">
        <v>46102.75616605231</v>
      </c>
      <c r="B472" s="16" t="s">
        <v>2112</v>
      </c>
      <c r="C472" s="16" t="s">
        <v>2113</v>
      </c>
      <c r="D472" s="17">
        <v>46103.0</v>
      </c>
      <c r="E472" s="16" t="s">
        <v>2114</v>
      </c>
      <c r="F472" s="18">
        <v>13.22</v>
      </c>
      <c r="G472" s="19">
        <v>-0.7508</v>
      </c>
      <c r="H472" s="16" t="s">
        <v>93</v>
      </c>
      <c r="I472" s="20">
        <v>736351.0</v>
      </c>
      <c r="J472" s="19">
        <v>20.4075</v>
      </c>
      <c r="K472" s="21">
        <v>0.2615</v>
      </c>
      <c r="L472" s="21">
        <v>0.6771</v>
      </c>
      <c r="M472" s="21">
        <v>454114.3</v>
      </c>
      <c r="N472" s="21">
        <v>1.7703</v>
      </c>
      <c r="O472" s="20">
        <v>5.5212004E8</v>
      </c>
      <c r="P472" s="21">
        <v>34.2466</v>
      </c>
      <c r="Q472" s="21">
        <v>29.5809</v>
      </c>
      <c r="R472" s="19">
        <v>51.432</v>
      </c>
      <c r="S472" s="21">
        <v>13.1827</v>
      </c>
      <c r="T472" s="21">
        <v>13.2054</v>
      </c>
      <c r="U472" s="21">
        <v>13.0998</v>
      </c>
      <c r="V472" s="21">
        <v>12.9037</v>
      </c>
      <c r="W472" s="21">
        <v>12.8421</v>
      </c>
      <c r="X472" s="21">
        <v>12.4936</v>
      </c>
      <c r="Y472" s="21">
        <v>11.9674</v>
      </c>
      <c r="Z472" s="21">
        <v>11.7387</v>
      </c>
      <c r="AA472" s="21">
        <v>14.05</v>
      </c>
      <c r="AB472" s="21">
        <v>1180.3571</v>
      </c>
      <c r="AC472" s="21">
        <v>0.0112</v>
      </c>
      <c r="AD472" s="21">
        <v>0.1141</v>
      </c>
      <c r="AE472" s="21">
        <v>21.8244</v>
      </c>
      <c r="AF472" s="21">
        <v>5.8561</v>
      </c>
      <c r="AG472" s="21">
        <v>1.4369</v>
      </c>
      <c r="AH472" s="21">
        <v>0.0544</v>
      </c>
      <c r="AI472" s="21">
        <v>0.6272</v>
      </c>
      <c r="AJ472" s="19">
        <v>0.77</v>
      </c>
      <c r="AK472" s="16" t="s">
        <v>2155</v>
      </c>
      <c r="AL472" s="22">
        <f>IFERROR(__xludf.DUMMYFUNCTION("IFERROR(GOOGLEFINANCE(B472,""price""),"""")"),13.9)</f>
        <v>13.9</v>
      </c>
    </row>
    <row r="473">
      <c r="A473" s="7">
        <v>46102.75616605231</v>
      </c>
      <c r="B473" s="8" t="s">
        <v>2126</v>
      </c>
      <c r="C473" s="8" t="s">
        <v>2127</v>
      </c>
      <c r="D473" s="9">
        <v>46103.0</v>
      </c>
      <c r="E473" s="8" t="s">
        <v>2128</v>
      </c>
      <c r="F473" s="10">
        <v>25.79</v>
      </c>
      <c r="G473" s="11">
        <v>0.2332</v>
      </c>
      <c r="H473" s="8" t="s">
        <v>873</v>
      </c>
      <c r="I473" s="12">
        <v>5339582.0</v>
      </c>
      <c r="J473" s="11">
        <v>22.4696</v>
      </c>
      <c r="K473" s="13">
        <v>0.4583</v>
      </c>
      <c r="L473" s="13">
        <v>0.9848</v>
      </c>
      <c r="M473" s="8">
        <v>4159517.0</v>
      </c>
      <c r="N473" s="13">
        <v>1.3358</v>
      </c>
      <c r="O473" s="12">
        <v>2.404984105E10</v>
      </c>
      <c r="P473" s="13">
        <v>37.6871</v>
      </c>
      <c r="Q473" s="13">
        <v>43.22</v>
      </c>
      <c r="R473" s="11">
        <v>50.3175</v>
      </c>
      <c r="S473" s="13">
        <v>25.8356</v>
      </c>
      <c r="T473" s="13">
        <v>25.8396</v>
      </c>
      <c r="U473" s="13">
        <v>25.6671</v>
      </c>
      <c r="V473" s="13">
        <v>25.403</v>
      </c>
      <c r="W473" s="13">
        <v>25.3247</v>
      </c>
      <c r="X473" s="13">
        <v>24.9002</v>
      </c>
      <c r="Y473" s="13">
        <v>24.617</v>
      </c>
      <c r="Z473" s="13">
        <v>23.9875</v>
      </c>
      <c r="AA473" s="13">
        <v>26.52</v>
      </c>
      <c r="AB473" s="13">
        <v>5.2302</v>
      </c>
      <c r="AC473" s="13">
        <v>4.9309</v>
      </c>
      <c r="AD473" s="13">
        <v>32.2267</v>
      </c>
      <c r="AE473" s="13">
        <v>22.1514</v>
      </c>
      <c r="AF473" s="13">
        <v>5.0454</v>
      </c>
      <c r="AG473" s="13">
        <v>1.7836</v>
      </c>
      <c r="AH473" s="13">
        <v>0.5101</v>
      </c>
      <c r="AI473" s="13">
        <v>0.6536</v>
      </c>
      <c r="AJ473" s="11">
        <v>0.93</v>
      </c>
      <c r="AK473" s="8" t="s">
        <v>1283</v>
      </c>
      <c r="AL473" s="14">
        <f>IFERROR(__xludf.DUMMYFUNCTION("IFERROR(GOOGLEFINANCE(B473,""price""),"""")"),23.35)</f>
        <v>23.35</v>
      </c>
    </row>
    <row r="474">
      <c r="A474" s="15">
        <v>46102.75616605231</v>
      </c>
      <c r="B474" s="16" t="s">
        <v>2156</v>
      </c>
      <c r="C474" s="16" t="s">
        <v>2157</v>
      </c>
      <c r="D474" s="17">
        <v>46103.0</v>
      </c>
      <c r="E474" s="16" t="s">
        <v>2158</v>
      </c>
      <c r="F474" s="18">
        <v>11.5</v>
      </c>
      <c r="G474" s="19">
        <v>-1.4567</v>
      </c>
      <c r="H474" s="16" t="s">
        <v>162</v>
      </c>
      <c r="I474" s="20">
        <v>819081.0</v>
      </c>
      <c r="J474" s="19">
        <v>35.6247</v>
      </c>
      <c r="K474" s="21">
        <v>0.4735</v>
      </c>
      <c r="L474" s="21">
        <v>0.8821</v>
      </c>
      <c r="M474" s="21">
        <v>626041.7</v>
      </c>
      <c r="N474" s="21">
        <v>1.3494</v>
      </c>
      <c r="O474" s="20">
        <v>9.89653297E8</v>
      </c>
      <c r="P474" s="21">
        <v>28.7158</v>
      </c>
      <c r="Q474" s="21">
        <v>23.6659</v>
      </c>
      <c r="R474" s="19">
        <v>48.4164</v>
      </c>
      <c r="S474" s="21">
        <v>11.5724</v>
      </c>
      <c r="T474" s="21">
        <v>11.6818</v>
      </c>
      <c r="U474" s="21">
        <v>11.4765</v>
      </c>
      <c r="V474" s="21">
        <v>11.1729</v>
      </c>
      <c r="W474" s="21">
        <v>11.0834</v>
      </c>
      <c r="X474" s="21">
        <v>10.5656</v>
      </c>
      <c r="Y474" s="21">
        <v>9.5611</v>
      </c>
      <c r="Z474" s="21">
        <v>9.2153</v>
      </c>
      <c r="AA474" s="21">
        <v>13.76</v>
      </c>
      <c r="AB474" s="21">
        <v>0.0</v>
      </c>
      <c r="AC474" s="21">
        <v>0.0</v>
      </c>
      <c r="AD474" s="21">
        <v>13.6808</v>
      </c>
      <c r="AE474" s="21">
        <v>31.8913</v>
      </c>
      <c r="AF474" s="21">
        <v>-22.1943</v>
      </c>
      <c r="AG474" s="21">
        <v>0.064</v>
      </c>
      <c r="AH474" s="21">
        <v>8.8872</v>
      </c>
      <c r="AI474" s="21">
        <v>0.8341</v>
      </c>
      <c r="AJ474" s="19">
        <v>1.07</v>
      </c>
      <c r="AK474" s="16" t="s">
        <v>1283</v>
      </c>
      <c r="AL474" s="22">
        <f>IFERROR(__xludf.DUMMYFUNCTION("IFERROR(GOOGLEFINANCE(B474,""price""),"""")"),12.33)</f>
        <v>12.33</v>
      </c>
    </row>
    <row r="475">
      <c r="A475" s="7">
        <v>46102.75616605231</v>
      </c>
      <c r="B475" s="8" t="s">
        <v>1674</v>
      </c>
      <c r="C475" s="8" t="s">
        <v>1675</v>
      </c>
      <c r="D475" s="9">
        <v>46103.0</v>
      </c>
      <c r="E475" s="8" t="s">
        <v>1676</v>
      </c>
      <c r="F475" s="10">
        <v>104.91</v>
      </c>
      <c r="G475" s="11">
        <v>0.9527</v>
      </c>
      <c r="H475" s="8" t="s">
        <v>117</v>
      </c>
      <c r="I475" s="12">
        <v>2.1562141E7</v>
      </c>
      <c r="J475" s="11">
        <v>42.9326</v>
      </c>
      <c r="K475" s="13">
        <v>0.3725</v>
      </c>
      <c r="L475" s="13">
        <v>2.4272</v>
      </c>
      <c r="M475" s="8">
        <v>4062149.0</v>
      </c>
      <c r="N475" s="13">
        <v>10.211</v>
      </c>
      <c r="O475" s="12">
        <v>2.0026083241E10</v>
      </c>
      <c r="P475" s="13">
        <v>87.8594</v>
      </c>
      <c r="Q475" s="13">
        <v>87.6028</v>
      </c>
      <c r="R475" s="11">
        <v>76.3995</v>
      </c>
      <c r="S475" s="13">
        <v>103.9755</v>
      </c>
      <c r="T475" s="13">
        <v>103.5958</v>
      </c>
      <c r="U475" s="13">
        <v>103.059</v>
      </c>
      <c r="V475" s="13">
        <v>101.6147</v>
      </c>
      <c r="W475" s="13">
        <v>100.999</v>
      </c>
      <c r="X475" s="13">
        <v>95.8658</v>
      </c>
      <c r="Y475" s="13">
        <v>81.9764</v>
      </c>
      <c r="Z475" s="13">
        <v>74.2944</v>
      </c>
      <c r="AA475" s="13">
        <v>104.98</v>
      </c>
      <c r="AB475" s="13">
        <v>0.0</v>
      </c>
      <c r="AC475" s="13">
        <v>-1.1046</v>
      </c>
      <c r="AD475" s="13">
        <v>-8.6586</v>
      </c>
      <c r="AE475" s="13">
        <v>-4.7946</v>
      </c>
      <c r="AF475" s="13">
        <v>17.6929</v>
      </c>
      <c r="AG475" s="13">
        <v>1.0557</v>
      </c>
      <c r="AH475" s="13">
        <v>2.4266</v>
      </c>
      <c r="AI475" s="13">
        <v>0.8736</v>
      </c>
      <c r="AJ475" s="11">
        <v>0.31</v>
      </c>
      <c r="AK475" s="8" t="s">
        <v>2159</v>
      </c>
      <c r="AL475" s="14">
        <f>IFERROR(__xludf.DUMMYFUNCTION("IFERROR(GOOGLEFINANCE(B475,""price""),"""")"),890.12)</f>
        <v>890.12</v>
      </c>
    </row>
    <row r="476">
      <c r="A476" s="15">
        <v>46102.75616605231</v>
      </c>
      <c r="B476" s="16" t="s">
        <v>2160</v>
      </c>
      <c r="C476" s="16" t="s">
        <v>2161</v>
      </c>
      <c r="D476" s="17">
        <v>46103.0</v>
      </c>
      <c r="E476" s="16" t="s">
        <v>2162</v>
      </c>
      <c r="F476" s="18">
        <v>193.69</v>
      </c>
      <c r="G476" s="19">
        <v>-2.6292</v>
      </c>
      <c r="H476" s="16" t="s">
        <v>245</v>
      </c>
      <c r="I476" s="20">
        <v>391123.0</v>
      </c>
      <c r="J476" s="19">
        <v>26.227</v>
      </c>
      <c r="K476" s="21">
        <v>10.7821</v>
      </c>
      <c r="L476" s="21">
        <v>22.8773</v>
      </c>
      <c r="M476" s="21">
        <v>287060.7</v>
      </c>
      <c r="N476" s="21">
        <v>1.4496</v>
      </c>
      <c r="O476" s="20">
        <v>2.477815103E9</v>
      </c>
      <c r="P476" s="21">
        <v>78.0214</v>
      </c>
      <c r="Q476" s="21">
        <v>82.3656</v>
      </c>
      <c r="R476" s="19">
        <v>54.9704</v>
      </c>
      <c r="S476" s="21">
        <v>190.7564</v>
      </c>
      <c r="T476" s="21">
        <v>186.9894</v>
      </c>
      <c r="U476" s="21">
        <v>188.8083</v>
      </c>
      <c r="V476" s="21">
        <v>190.1825</v>
      </c>
      <c r="W476" s="21">
        <v>190.2191</v>
      </c>
      <c r="X476" s="21">
        <v>187.4922</v>
      </c>
      <c r="Y476" s="21">
        <v>178.4032</v>
      </c>
      <c r="Z476" s="21">
        <v>163.8205</v>
      </c>
      <c r="AA476" s="21">
        <v>253.8199</v>
      </c>
      <c r="AB476" s="21">
        <v>0.0</v>
      </c>
      <c r="AC476" s="21">
        <v>-4.7454</v>
      </c>
      <c r="AD476" s="21">
        <v>-3.8615</v>
      </c>
      <c r="AE476" s="21">
        <v>-2.8817</v>
      </c>
      <c r="AF476" s="21">
        <v>-27.992</v>
      </c>
      <c r="AG476" s="21">
        <v>0.0121</v>
      </c>
      <c r="AH476" s="21">
        <v>4.4682</v>
      </c>
      <c r="AI476" s="21">
        <v>1.0058</v>
      </c>
      <c r="AJ476" s="19">
        <v>0.94</v>
      </c>
      <c r="AK476" s="24"/>
      <c r="AL476" s="22">
        <f>IFERROR(__xludf.DUMMYFUNCTION("IFERROR(GOOGLEFINANCE(B476,""price""),"""")"),192.52)</f>
        <v>192.52</v>
      </c>
    </row>
    <row r="477">
      <c r="A477" s="7">
        <v>46102.75616605231</v>
      </c>
      <c r="B477" s="8" t="s">
        <v>1307</v>
      </c>
      <c r="C477" s="8" t="s">
        <v>1308</v>
      </c>
      <c r="D477" s="9">
        <v>46103.0</v>
      </c>
      <c r="E477" s="8" t="s">
        <v>1309</v>
      </c>
      <c r="F477" s="10">
        <v>57.99</v>
      </c>
      <c r="G477" s="11">
        <v>-0.4976</v>
      </c>
      <c r="H477" s="8" t="s">
        <v>270</v>
      </c>
      <c r="I477" s="12">
        <v>3306258.0</v>
      </c>
      <c r="J477" s="11">
        <v>26.1181</v>
      </c>
      <c r="K477" s="13">
        <v>1.1068</v>
      </c>
      <c r="L477" s="13">
        <v>2.025</v>
      </c>
      <c r="M477" s="8">
        <v>1627943.0</v>
      </c>
      <c r="N477" s="13">
        <v>2.2692</v>
      </c>
      <c r="O477" s="12">
        <v>5.8871698172E10</v>
      </c>
      <c r="P477" s="13">
        <v>27.2425</v>
      </c>
      <c r="Q477" s="13">
        <v>21.4774</v>
      </c>
      <c r="R477" s="11">
        <v>51.655</v>
      </c>
      <c r="S477" s="13">
        <v>58.1435</v>
      </c>
      <c r="T477" s="13">
        <v>58.0047</v>
      </c>
      <c r="U477" s="13">
        <v>57.5316</v>
      </c>
      <c r="V477" s="13">
        <v>56.9184</v>
      </c>
      <c r="W477" s="13">
        <v>56.7359</v>
      </c>
      <c r="X477" s="13">
        <v>55.668</v>
      </c>
      <c r="Y477" s="13">
        <v>53.4747</v>
      </c>
      <c r="Z477" s="13">
        <v>52.8014</v>
      </c>
      <c r="AA477" s="13">
        <v>59.84</v>
      </c>
      <c r="AB477" s="13">
        <v>12.0371</v>
      </c>
      <c r="AC477" s="13">
        <v>4.8176</v>
      </c>
      <c r="AD477" s="13">
        <v>34.9715</v>
      </c>
      <c r="AE477" s="13">
        <v>40.264</v>
      </c>
      <c r="AF477" s="13">
        <v>6.163</v>
      </c>
      <c r="AG477" s="13">
        <v>1.8294</v>
      </c>
      <c r="AH477" s="13">
        <v>1.2293</v>
      </c>
      <c r="AI477" s="13">
        <v>1.0551</v>
      </c>
      <c r="AJ477" s="11">
        <v>1.09</v>
      </c>
      <c r="AK477" s="8" t="s">
        <v>1830</v>
      </c>
      <c r="AL477" s="14">
        <f>IFERROR(__xludf.DUMMYFUNCTION("IFERROR(GOOGLEFINANCE(B477,""price""),"""")"),56.15)</f>
        <v>56.15</v>
      </c>
    </row>
    <row r="478">
      <c r="A478" s="15">
        <v>46102.75616605231</v>
      </c>
      <c r="B478" s="16" t="s">
        <v>2163</v>
      </c>
      <c r="C478" s="16" t="s">
        <v>2164</v>
      </c>
      <c r="D478" s="17">
        <v>46103.0</v>
      </c>
      <c r="E478" s="16" t="s">
        <v>2165</v>
      </c>
      <c r="F478" s="18">
        <v>158.81</v>
      </c>
      <c r="G478" s="19">
        <v>0.6847</v>
      </c>
      <c r="H478" s="16" t="s">
        <v>190</v>
      </c>
      <c r="I478" s="20">
        <v>474494.0</v>
      </c>
      <c r="J478" s="19">
        <v>20.3448</v>
      </c>
      <c r="K478" s="21">
        <v>6.1692</v>
      </c>
      <c r="L478" s="21">
        <v>10.5718</v>
      </c>
      <c r="M478" s="21">
        <v>150398.7</v>
      </c>
      <c r="N478" s="21">
        <v>4.2702</v>
      </c>
      <c r="O478" s="20">
        <v>2.46811515E9</v>
      </c>
      <c r="P478" s="21">
        <v>26.5148</v>
      </c>
      <c r="Q478" s="21">
        <v>33.9338</v>
      </c>
      <c r="R478" s="19">
        <v>48.82</v>
      </c>
      <c r="S478" s="21">
        <v>159.9816</v>
      </c>
      <c r="T478" s="21">
        <v>160.4343</v>
      </c>
      <c r="U478" s="21">
        <v>158.3047</v>
      </c>
      <c r="V478" s="21">
        <v>154.9236</v>
      </c>
      <c r="W478" s="21">
        <v>153.8588</v>
      </c>
      <c r="X478" s="21">
        <v>147.1687</v>
      </c>
      <c r="Y478" s="21">
        <v>132.8892</v>
      </c>
      <c r="Z478" s="21">
        <v>126.5152</v>
      </c>
      <c r="AA478" s="21">
        <v>174.54</v>
      </c>
      <c r="AB478" s="21">
        <v>20.701</v>
      </c>
      <c r="AC478" s="21">
        <v>7.6716</v>
      </c>
      <c r="AD478" s="21">
        <v>11.7149</v>
      </c>
      <c r="AE478" s="21">
        <v>0.4553</v>
      </c>
      <c r="AF478" s="21">
        <v>17.5342</v>
      </c>
      <c r="AG478" s="21">
        <v>0.0815</v>
      </c>
      <c r="AH478" s="21">
        <v>1.8208</v>
      </c>
      <c r="AI478" s="21">
        <v>1.0559</v>
      </c>
      <c r="AJ478" s="19">
        <v>1.17</v>
      </c>
      <c r="AK478" s="16" t="s">
        <v>2166</v>
      </c>
      <c r="AL478" s="22">
        <f>IFERROR(__xludf.DUMMYFUNCTION("IFERROR(GOOGLEFINANCE(B478,""price""),"""")"),170.85)</f>
        <v>170.85</v>
      </c>
    </row>
    <row r="479">
      <c r="A479" s="7">
        <v>46102.75616605231</v>
      </c>
      <c r="B479" s="8" t="s">
        <v>2057</v>
      </c>
      <c r="C479" s="8" t="s">
        <v>2058</v>
      </c>
      <c r="D479" s="9">
        <v>46103.0</v>
      </c>
      <c r="E479" s="8" t="s">
        <v>2059</v>
      </c>
      <c r="F479" s="10">
        <v>14.43</v>
      </c>
      <c r="G479" s="11">
        <v>0.3477</v>
      </c>
      <c r="H479" s="8" t="s">
        <v>117</v>
      </c>
      <c r="I479" s="12">
        <v>1.0970099E7</v>
      </c>
      <c r="J479" s="11">
        <v>60.285</v>
      </c>
      <c r="K479" s="13">
        <v>0.0352</v>
      </c>
      <c r="L479" s="13">
        <v>0.4009</v>
      </c>
      <c r="M479" s="8">
        <v>4575265.0</v>
      </c>
      <c r="N479" s="13">
        <v>2.9041</v>
      </c>
      <c r="O479" s="12">
        <v>4.531030665E9</v>
      </c>
      <c r="P479" s="13">
        <v>85.7143</v>
      </c>
      <c r="Q479" s="13">
        <v>77.7778</v>
      </c>
      <c r="R479" s="11">
        <v>77.2492</v>
      </c>
      <c r="S479" s="13">
        <v>14.3823</v>
      </c>
      <c r="T479" s="13">
        <v>14.3492</v>
      </c>
      <c r="U479" s="13">
        <v>14.2289</v>
      </c>
      <c r="V479" s="13">
        <v>13.9291</v>
      </c>
      <c r="W479" s="13">
        <v>13.814</v>
      </c>
      <c r="X479" s="13">
        <v>12.9731</v>
      </c>
      <c r="Y479" s="13">
        <v>11.1739</v>
      </c>
      <c r="Z479" s="13">
        <v>9.8199</v>
      </c>
      <c r="AA479" s="13">
        <v>14.43</v>
      </c>
      <c r="AB479" s="13">
        <v>0.0</v>
      </c>
      <c r="AC479" s="13">
        <v>-0.0886</v>
      </c>
      <c r="AD479" s="13">
        <v>-11.5784</v>
      </c>
      <c r="AE479" s="13">
        <v>5.4384</v>
      </c>
      <c r="AF479" s="13">
        <v>20.0485</v>
      </c>
      <c r="AG479" s="13">
        <v>1.613</v>
      </c>
      <c r="AH479" s="13">
        <v>2.8431</v>
      </c>
      <c r="AI479" s="13">
        <v>1.0634</v>
      </c>
      <c r="AJ479" s="11">
        <v>0.18</v>
      </c>
      <c r="AK479" s="8" t="s">
        <v>2167</v>
      </c>
      <c r="AL479" s="14">
        <f>IFERROR(__xludf.DUMMYFUNCTION("IFERROR(GOOGLEFINANCE(B479,""price""),"""")"),14.46)</f>
        <v>14.46</v>
      </c>
    </row>
    <row r="480">
      <c r="A480" s="15">
        <v>46102.75616605231</v>
      </c>
      <c r="B480" s="16" t="s">
        <v>2130</v>
      </c>
      <c r="C480" s="16" t="s">
        <v>2131</v>
      </c>
      <c r="D480" s="17">
        <v>46103.0</v>
      </c>
      <c r="E480" s="16" t="s">
        <v>2132</v>
      </c>
      <c r="F480" s="18">
        <v>46.45</v>
      </c>
      <c r="G480" s="19">
        <v>-0.386</v>
      </c>
      <c r="H480" s="16" t="s">
        <v>308</v>
      </c>
      <c r="I480" s="20">
        <v>1504901.0</v>
      </c>
      <c r="J480" s="19">
        <v>21.358</v>
      </c>
      <c r="K480" s="21">
        <v>2.1363</v>
      </c>
      <c r="L480" s="21">
        <v>4.1972</v>
      </c>
      <c r="M480" s="21">
        <v>967159.6</v>
      </c>
      <c r="N480" s="21">
        <v>1.5798</v>
      </c>
      <c r="O480" s="20">
        <v>2.578160917E9</v>
      </c>
      <c r="P480" s="21">
        <v>33.6648</v>
      </c>
      <c r="Q480" s="21">
        <v>35.1741</v>
      </c>
      <c r="R480" s="19">
        <v>49.7923</v>
      </c>
      <c r="S480" s="21">
        <v>46.7052</v>
      </c>
      <c r="T480" s="21">
        <v>46.7132</v>
      </c>
      <c r="U480" s="21">
        <v>46.1619</v>
      </c>
      <c r="V480" s="21">
        <v>45.3067</v>
      </c>
      <c r="W480" s="21">
        <v>45.0705</v>
      </c>
      <c r="X480" s="21">
        <v>44.1415</v>
      </c>
      <c r="Y480" s="21">
        <v>45.7117</v>
      </c>
      <c r="Z480" s="21">
        <v>44.8388</v>
      </c>
      <c r="AA480" s="21">
        <v>60.12</v>
      </c>
      <c r="AB480" s="21">
        <v>118.3439</v>
      </c>
      <c r="AC480" s="21">
        <v>0.3925</v>
      </c>
      <c r="AD480" s="21">
        <v>3.106</v>
      </c>
      <c r="AE480" s="21">
        <v>7.8917</v>
      </c>
      <c r="AF480" s="21">
        <v>5.855</v>
      </c>
      <c r="AG480" s="21">
        <v>0.0281</v>
      </c>
      <c r="AH480" s="21">
        <v>6.514</v>
      </c>
      <c r="AI480" s="21">
        <v>1.1695</v>
      </c>
      <c r="AJ480" s="19">
        <v>1.02</v>
      </c>
      <c r="AK480" s="24"/>
      <c r="AL480" s="22">
        <f>IFERROR(__xludf.DUMMYFUNCTION("IFERROR(GOOGLEFINANCE(B480,""price""),"""")"),54.53)</f>
        <v>54.53</v>
      </c>
    </row>
    <row r="481">
      <c r="A481" s="7">
        <v>46102.75616605231</v>
      </c>
      <c r="B481" s="8" t="s">
        <v>2168</v>
      </c>
      <c r="C481" s="8" t="s">
        <v>2169</v>
      </c>
      <c r="D481" s="9">
        <v>46103.0</v>
      </c>
      <c r="E481" s="8" t="s">
        <v>2170</v>
      </c>
      <c r="F481" s="10">
        <v>130.52</v>
      </c>
      <c r="G481" s="11">
        <v>0.292</v>
      </c>
      <c r="H481" s="8" t="s">
        <v>162</v>
      </c>
      <c r="I481" s="12">
        <v>1116879.0</v>
      </c>
      <c r="J481" s="11">
        <v>20.3809</v>
      </c>
      <c r="K481" s="13">
        <v>4.1864</v>
      </c>
      <c r="L481" s="13">
        <v>7.4361</v>
      </c>
      <c r="M481" s="13">
        <v>983135.9</v>
      </c>
      <c r="N481" s="13">
        <v>1.2034</v>
      </c>
      <c r="O481" s="12">
        <v>7.001876137E9</v>
      </c>
      <c r="P481" s="13">
        <v>63.1313</v>
      </c>
      <c r="Q481" s="13">
        <v>55.5205</v>
      </c>
      <c r="R481" s="11">
        <v>57.6744</v>
      </c>
      <c r="S481" s="13">
        <v>127.9955</v>
      </c>
      <c r="T481" s="13">
        <v>127.5023</v>
      </c>
      <c r="U481" s="13">
        <v>126.4266</v>
      </c>
      <c r="V481" s="13">
        <v>124.5051</v>
      </c>
      <c r="W481" s="13">
        <v>123.8516</v>
      </c>
      <c r="X481" s="13">
        <v>119.7017</v>
      </c>
      <c r="Y481" s="13">
        <v>112.8129</v>
      </c>
      <c r="Z481" s="13">
        <v>108.7652</v>
      </c>
      <c r="AA481" s="13">
        <v>134.69</v>
      </c>
      <c r="AB481" s="13">
        <v>20.6163</v>
      </c>
      <c r="AC481" s="13">
        <v>6.3309</v>
      </c>
      <c r="AD481" s="13">
        <v>10.5317</v>
      </c>
      <c r="AE481" s="13">
        <v>14.6102</v>
      </c>
      <c r="AF481" s="13">
        <v>3.0061</v>
      </c>
      <c r="AG481" s="13">
        <v>0.3357</v>
      </c>
      <c r="AH481" s="13">
        <v>1.5256</v>
      </c>
      <c r="AI481" s="13">
        <v>1.202</v>
      </c>
      <c r="AJ481" s="11">
        <v>1.13</v>
      </c>
      <c r="AK481" s="23"/>
      <c r="AL481" s="14">
        <f>IFERROR(__xludf.DUMMYFUNCTION("IFERROR(GOOGLEFINANCE(B481,""price""),"""")"),140.38)</f>
        <v>140.38</v>
      </c>
    </row>
    <row r="482">
      <c r="A482" s="15">
        <v>46102.75616605231</v>
      </c>
      <c r="B482" s="16" t="s">
        <v>2171</v>
      </c>
      <c r="C482" s="16" t="s">
        <v>2172</v>
      </c>
      <c r="D482" s="17">
        <v>46103.0</v>
      </c>
      <c r="E482" s="16" t="s">
        <v>2173</v>
      </c>
      <c r="F482" s="18">
        <v>307.32</v>
      </c>
      <c r="G482" s="19">
        <v>-1.091</v>
      </c>
      <c r="H482" s="16" t="s">
        <v>93</v>
      </c>
      <c r="I482" s="20">
        <v>3942833.0</v>
      </c>
      <c r="J482" s="19">
        <v>20.0373</v>
      </c>
      <c r="K482" s="21">
        <v>6.6864</v>
      </c>
      <c r="L482" s="21">
        <v>12.9365</v>
      </c>
      <c r="M482" s="16">
        <v>2390584.0</v>
      </c>
      <c r="N482" s="21">
        <v>1.8079</v>
      </c>
      <c r="O482" s="20">
        <v>1.10212786053E11</v>
      </c>
      <c r="P482" s="21">
        <v>28.8066</v>
      </c>
      <c r="Q482" s="21">
        <v>34.7403</v>
      </c>
      <c r="R482" s="19">
        <v>48.5653</v>
      </c>
      <c r="S482" s="21">
        <v>310.6533</v>
      </c>
      <c r="T482" s="21">
        <v>310.2497</v>
      </c>
      <c r="U482" s="21">
        <v>306.4793</v>
      </c>
      <c r="V482" s="21">
        <v>301.648</v>
      </c>
      <c r="W482" s="21">
        <v>300.2969</v>
      </c>
      <c r="X482" s="21">
        <v>293.1501</v>
      </c>
      <c r="Y482" s="21">
        <v>279.9193</v>
      </c>
      <c r="Z482" s="21">
        <v>278.6558</v>
      </c>
      <c r="AA482" s="21">
        <v>329.16</v>
      </c>
      <c r="AB482" s="21">
        <v>27.5376</v>
      </c>
      <c r="AC482" s="21">
        <v>11.16</v>
      </c>
      <c r="AD482" s="21">
        <v>14.6474</v>
      </c>
      <c r="AE482" s="21">
        <v>64.8637</v>
      </c>
      <c r="AF482" s="21">
        <v>6.3702</v>
      </c>
      <c r="AG482" s="21">
        <v>0.1308</v>
      </c>
      <c r="AH482" s="21">
        <v>1.0316</v>
      </c>
      <c r="AI482" s="21">
        <v>1.3582</v>
      </c>
      <c r="AJ482" s="19">
        <v>1.03</v>
      </c>
      <c r="AK482" s="24"/>
      <c r="AL482" s="22">
        <f>IFERROR(__xludf.DUMMYFUNCTION("IFERROR(GOOGLEFINANCE(B482,""price""),"""")"),295.3)</f>
        <v>295.3</v>
      </c>
    </row>
    <row r="483">
      <c r="A483" s="7">
        <v>46102.75616605231</v>
      </c>
      <c r="B483" s="8" t="s">
        <v>2174</v>
      </c>
      <c r="C483" s="8" t="s">
        <v>2175</v>
      </c>
      <c r="D483" s="9">
        <v>46103.0</v>
      </c>
      <c r="E483" s="8" t="s">
        <v>2176</v>
      </c>
      <c r="F483" s="10">
        <v>232.36</v>
      </c>
      <c r="G483" s="11">
        <v>-1.1697</v>
      </c>
      <c r="H483" s="8" t="s">
        <v>308</v>
      </c>
      <c r="I483" s="12">
        <v>1376455.0</v>
      </c>
      <c r="J483" s="11">
        <v>20.9386</v>
      </c>
      <c r="K483" s="13">
        <v>7.2095</v>
      </c>
      <c r="L483" s="13">
        <v>13.4941</v>
      </c>
      <c r="M483" s="13">
        <v>781102.6</v>
      </c>
      <c r="N483" s="13">
        <v>1.8483</v>
      </c>
      <c r="O483" s="12">
        <v>4.4724846929E10</v>
      </c>
      <c r="P483" s="13">
        <v>13.0248</v>
      </c>
      <c r="Q483" s="13">
        <v>13.0736</v>
      </c>
      <c r="R483" s="11">
        <v>48.0608</v>
      </c>
      <c r="S483" s="13">
        <v>235.2256</v>
      </c>
      <c r="T483" s="13">
        <v>235.586</v>
      </c>
      <c r="U483" s="13">
        <v>231.8303</v>
      </c>
      <c r="V483" s="13">
        <v>227.8744</v>
      </c>
      <c r="W483" s="13">
        <v>226.9536</v>
      </c>
      <c r="X483" s="13">
        <v>223.3205</v>
      </c>
      <c r="Y483" s="13">
        <v>218.2134</v>
      </c>
      <c r="Z483" s="13">
        <v>221.8915</v>
      </c>
      <c r="AA483" s="13">
        <v>261.69</v>
      </c>
      <c r="AB483" s="13">
        <v>27.0387</v>
      </c>
      <c r="AC483" s="13">
        <v>8.5936</v>
      </c>
      <c r="AD483" s="13">
        <v>19.7835</v>
      </c>
      <c r="AE483" s="13">
        <v>25.8929</v>
      </c>
      <c r="AF483" s="13">
        <v>15.0648</v>
      </c>
      <c r="AG483" s="13">
        <v>0.0218</v>
      </c>
      <c r="AH483" s="13">
        <v>3.6223</v>
      </c>
      <c r="AI483" s="13">
        <v>1.4612</v>
      </c>
      <c r="AJ483" s="11">
        <v>1.07</v>
      </c>
      <c r="AK483" s="23"/>
      <c r="AL483" s="14">
        <f>IFERROR(__xludf.DUMMYFUNCTION("IFERROR(GOOGLEFINANCE(B483,""price""),"""")"),256.89)</f>
        <v>256.89</v>
      </c>
    </row>
    <row r="484">
      <c r="A484" s="15">
        <v>46102.75616605231</v>
      </c>
      <c r="B484" s="16" t="s">
        <v>1463</v>
      </c>
      <c r="C484" s="16" t="s">
        <v>1464</v>
      </c>
      <c r="D484" s="17">
        <v>46103.0</v>
      </c>
      <c r="E484" s="16" t="s">
        <v>1465</v>
      </c>
      <c r="F484" s="18">
        <v>28.31</v>
      </c>
      <c r="G484" s="19">
        <v>2.0548</v>
      </c>
      <c r="H484" s="16" t="s">
        <v>873</v>
      </c>
      <c r="I484" s="20">
        <v>1.28734186E8</v>
      </c>
      <c r="J484" s="19">
        <v>20.9606</v>
      </c>
      <c r="K484" s="21">
        <v>0.6355</v>
      </c>
      <c r="L484" s="21">
        <v>1.3509</v>
      </c>
      <c r="M484" s="16">
        <v>4.8533373E7</v>
      </c>
      <c r="N484" s="21">
        <v>3.2631</v>
      </c>
      <c r="O484" s="20">
        <v>1.98186335334E11</v>
      </c>
      <c r="P484" s="21">
        <v>46.5812</v>
      </c>
      <c r="Q484" s="21">
        <v>42.1652</v>
      </c>
      <c r="R484" s="19">
        <v>57.6811</v>
      </c>
      <c r="S484" s="21">
        <v>27.848</v>
      </c>
      <c r="T484" s="21">
        <v>27.756</v>
      </c>
      <c r="U484" s="21">
        <v>27.426</v>
      </c>
      <c r="V484" s="21">
        <v>27.0525</v>
      </c>
      <c r="W484" s="21">
        <v>26.9633</v>
      </c>
      <c r="X484" s="21">
        <v>26.6302</v>
      </c>
      <c r="Y484" s="21">
        <v>26.2634</v>
      </c>
      <c r="Z484" s="21">
        <v>26.8483</v>
      </c>
      <c r="AA484" s="21">
        <v>29.79</v>
      </c>
      <c r="AB484" s="21">
        <v>9.2841</v>
      </c>
      <c r="AC484" s="21">
        <v>3.0493</v>
      </c>
      <c r="AD484" s="21">
        <v>20.4304</v>
      </c>
      <c r="AE484" s="21">
        <v>20.3863</v>
      </c>
      <c r="AF484" s="21">
        <v>2.7073</v>
      </c>
      <c r="AG484" s="21">
        <v>1.4351</v>
      </c>
      <c r="AH484" s="21">
        <v>0.8055</v>
      </c>
      <c r="AI484" s="21">
        <v>1.4908</v>
      </c>
      <c r="AJ484" s="19">
        <v>0.94</v>
      </c>
      <c r="AK484" s="16" t="s">
        <v>1381</v>
      </c>
      <c r="AL484" s="22">
        <f>IFERROR(__xludf.DUMMYFUNCTION("IFERROR(GOOGLEFINANCE(B484,""price""),"""")"),26.46)</f>
        <v>26.46</v>
      </c>
    </row>
    <row r="485">
      <c r="A485" s="7">
        <v>46102.75616605231</v>
      </c>
      <c r="B485" s="8" t="s">
        <v>2177</v>
      </c>
      <c r="C485" s="8" t="s">
        <v>2178</v>
      </c>
      <c r="D485" s="9">
        <v>46103.0</v>
      </c>
      <c r="E485" s="8" t="s">
        <v>2179</v>
      </c>
      <c r="F485" s="10">
        <v>8.06</v>
      </c>
      <c r="G485" s="11">
        <v>0.0</v>
      </c>
      <c r="H485" s="8" t="s">
        <v>88</v>
      </c>
      <c r="I485" s="12">
        <v>692639.0</v>
      </c>
      <c r="J485" s="11">
        <v>57.5478</v>
      </c>
      <c r="K485" s="13">
        <v>0.0425</v>
      </c>
      <c r="L485" s="13">
        <v>0.2951</v>
      </c>
      <c r="M485" s="13">
        <v>476468.8</v>
      </c>
      <c r="N485" s="13">
        <v>1.4111</v>
      </c>
      <c r="O485" s="12">
        <v>3.45507428E8</v>
      </c>
      <c r="P485" s="13">
        <v>69.6429</v>
      </c>
      <c r="Q485" s="13">
        <v>71.7613</v>
      </c>
      <c r="R485" s="11">
        <v>66.6313</v>
      </c>
      <c r="S485" s="13">
        <v>8.0485</v>
      </c>
      <c r="T485" s="13">
        <v>8.0131</v>
      </c>
      <c r="U485" s="13">
        <v>7.9245</v>
      </c>
      <c r="V485" s="13">
        <v>7.7526</v>
      </c>
      <c r="W485" s="13">
        <v>7.6935</v>
      </c>
      <c r="X485" s="13">
        <v>7.3122</v>
      </c>
      <c r="Y485" s="13">
        <v>6.6324</v>
      </c>
      <c r="Z485" s="13">
        <v>6.1763</v>
      </c>
      <c r="AA485" s="13">
        <v>8.1</v>
      </c>
      <c r="AB485" s="13">
        <v>0.0</v>
      </c>
      <c r="AC485" s="13">
        <v>-0.6802</v>
      </c>
      <c r="AD485" s="13">
        <v>-19.3086</v>
      </c>
      <c r="AE485" s="13">
        <v>-23.2435</v>
      </c>
      <c r="AF485" s="13">
        <v>-5.9218</v>
      </c>
      <c r="AG485" s="13">
        <v>0.0408</v>
      </c>
      <c r="AH485" s="13">
        <v>2.3817</v>
      </c>
      <c r="AI485" s="13">
        <v>1.5392</v>
      </c>
      <c r="AJ485" s="11">
        <v>0.29</v>
      </c>
      <c r="AK485" s="8" t="s">
        <v>2180</v>
      </c>
      <c r="AL485" s="14">
        <f>IFERROR(__xludf.DUMMYFUNCTION("IFERROR(GOOGLEFINANCE(B485,""price""),"""")"),8.1)</f>
        <v>8.1</v>
      </c>
    </row>
    <row r="486">
      <c r="A486" s="15">
        <v>46102.75616605231</v>
      </c>
      <c r="B486" s="16" t="s">
        <v>2181</v>
      </c>
      <c r="C486" s="16" t="s">
        <v>2182</v>
      </c>
      <c r="D486" s="17">
        <v>46103.0</v>
      </c>
      <c r="E486" s="16" t="s">
        <v>2183</v>
      </c>
      <c r="F486" s="18">
        <v>41.63</v>
      </c>
      <c r="G486" s="19">
        <v>5.1794</v>
      </c>
      <c r="H486" s="16" t="s">
        <v>93</v>
      </c>
      <c r="I486" s="20">
        <v>2628968.0</v>
      </c>
      <c r="J486" s="19">
        <v>20.7922</v>
      </c>
      <c r="K486" s="21">
        <v>1.3655</v>
      </c>
      <c r="L486" s="21">
        <v>2.6638</v>
      </c>
      <c r="M486" s="16">
        <v>1221455.0</v>
      </c>
      <c r="N486" s="21">
        <v>2.5171</v>
      </c>
      <c r="O486" s="20">
        <v>6.438686251E9</v>
      </c>
      <c r="P486" s="21">
        <v>42.6175</v>
      </c>
      <c r="Q486" s="21">
        <v>28.9345</v>
      </c>
      <c r="R486" s="19">
        <v>59.784</v>
      </c>
      <c r="S486" s="21">
        <v>40.27</v>
      </c>
      <c r="T486" s="21">
        <v>40.1343</v>
      </c>
      <c r="U486" s="21">
        <v>39.6203</v>
      </c>
      <c r="V486" s="21">
        <v>38.9643</v>
      </c>
      <c r="W486" s="21">
        <v>38.7915</v>
      </c>
      <c r="X486" s="21">
        <v>38.0581</v>
      </c>
      <c r="Y486" s="21">
        <v>37.3877</v>
      </c>
      <c r="Z486" s="21">
        <v>38.2498</v>
      </c>
      <c r="AA486" s="21">
        <v>45.7699</v>
      </c>
      <c r="AB486" s="21">
        <v>8.1147</v>
      </c>
      <c r="AC486" s="21">
        <v>5.1302</v>
      </c>
      <c r="AD486" s="21">
        <v>30.8668</v>
      </c>
      <c r="AE486" s="21">
        <v>35.5425</v>
      </c>
      <c r="AF486" s="21">
        <v>23.0466</v>
      </c>
      <c r="AG486" s="21">
        <v>2.3628</v>
      </c>
      <c r="AH486" s="21">
        <v>0.9371</v>
      </c>
      <c r="AI486" s="21">
        <v>1.5607</v>
      </c>
      <c r="AJ486" s="19">
        <v>1.03</v>
      </c>
      <c r="AK486" s="16" t="s">
        <v>1495</v>
      </c>
      <c r="AL486" s="22">
        <f>IFERROR(__xludf.DUMMYFUNCTION("IFERROR(GOOGLEFINANCE(B486,""price""),"""")"),48.6)</f>
        <v>48.6</v>
      </c>
    </row>
    <row r="487">
      <c r="A487" s="7">
        <v>46102.75616605231</v>
      </c>
      <c r="B487" s="8" t="s">
        <v>1649</v>
      </c>
      <c r="C487" s="8" t="s">
        <v>1650</v>
      </c>
      <c r="D487" s="9">
        <v>46103.0</v>
      </c>
      <c r="E487" s="8" t="s">
        <v>1651</v>
      </c>
      <c r="F487" s="10">
        <v>50.45</v>
      </c>
      <c r="G487" s="11">
        <v>-1.7909</v>
      </c>
      <c r="H487" s="8" t="s">
        <v>93</v>
      </c>
      <c r="I487" s="12">
        <v>1.2007774E7</v>
      </c>
      <c r="J487" s="11">
        <v>34.0555</v>
      </c>
      <c r="K487" s="13">
        <v>0.8247</v>
      </c>
      <c r="L487" s="13">
        <v>1.7573</v>
      </c>
      <c r="M487" s="8">
        <v>4506816.0</v>
      </c>
      <c r="N487" s="13">
        <v>3.4085</v>
      </c>
      <c r="O487" s="12">
        <v>7.773114435E9</v>
      </c>
      <c r="P487" s="13">
        <v>40.9198</v>
      </c>
      <c r="Q487" s="13">
        <v>40.3131</v>
      </c>
      <c r="R487" s="11">
        <v>50.4652</v>
      </c>
      <c r="S487" s="13">
        <v>50.9147</v>
      </c>
      <c r="T487" s="13">
        <v>50.6337</v>
      </c>
      <c r="U487" s="13">
        <v>50.1123</v>
      </c>
      <c r="V487" s="13">
        <v>49.451</v>
      </c>
      <c r="W487" s="13">
        <v>49.2531</v>
      </c>
      <c r="X487" s="13">
        <v>48.0452</v>
      </c>
      <c r="Y487" s="13">
        <v>45.2633</v>
      </c>
      <c r="Z487" s="13">
        <v>44.6132</v>
      </c>
      <c r="AA487" s="13">
        <v>53.76</v>
      </c>
      <c r="AB487" s="13">
        <v>9.6066</v>
      </c>
      <c r="AC487" s="13">
        <v>5.2516</v>
      </c>
      <c r="AD487" s="13">
        <v>16.4455</v>
      </c>
      <c r="AE487" s="13">
        <v>35.2147</v>
      </c>
      <c r="AF487" s="13">
        <v>26.6826</v>
      </c>
      <c r="AG487" s="13">
        <v>0.096</v>
      </c>
      <c r="AH487" s="13">
        <v>4.1799</v>
      </c>
      <c r="AI487" s="13">
        <v>1.5904</v>
      </c>
      <c r="AJ487" s="11">
        <v>0.94</v>
      </c>
      <c r="AK487" s="8" t="s">
        <v>2184</v>
      </c>
      <c r="AL487" s="14">
        <f>IFERROR(__xludf.DUMMYFUNCTION("IFERROR(GOOGLEFINANCE(B487,""price""),"""")"),51.62)</f>
        <v>51.62</v>
      </c>
    </row>
    <row r="488">
      <c r="A488" s="15">
        <v>46102.75616605231</v>
      </c>
      <c r="B488" s="16" t="s">
        <v>2185</v>
      </c>
      <c r="C488" s="16" t="s">
        <v>2186</v>
      </c>
      <c r="D488" s="17">
        <v>46103.0</v>
      </c>
      <c r="E488" s="16" t="s">
        <v>2187</v>
      </c>
      <c r="F488" s="18">
        <v>7.83</v>
      </c>
      <c r="G488" s="19">
        <v>-0.7605</v>
      </c>
      <c r="H488" s="16" t="s">
        <v>102</v>
      </c>
      <c r="I488" s="20">
        <v>3139068.0</v>
      </c>
      <c r="J488" s="19">
        <v>25.2578</v>
      </c>
      <c r="K488" s="21">
        <v>0.3931</v>
      </c>
      <c r="L488" s="21">
        <v>0.8398</v>
      </c>
      <c r="M488" s="16">
        <v>1343296.0</v>
      </c>
      <c r="N488" s="21">
        <v>2.8528</v>
      </c>
      <c r="O488" s="20">
        <v>7.63424993E8</v>
      </c>
      <c r="P488" s="21">
        <v>82.3081</v>
      </c>
      <c r="Q488" s="21">
        <v>79.1209</v>
      </c>
      <c r="R488" s="19">
        <v>61.653</v>
      </c>
      <c r="S488" s="21">
        <v>7.541</v>
      </c>
      <c r="T488" s="21">
        <v>7.3792</v>
      </c>
      <c r="U488" s="21">
        <v>7.4109</v>
      </c>
      <c r="V488" s="21">
        <v>7.4546</v>
      </c>
      <c r="W488" s="21">
        <v>7.461</v>
      </c>
      <c r="X488" s="21">
        <v>7.4282</v>
      </c>
      <c r="Y488" s="21">
        <v>7.0978</v>
      </c>
      <c r="Z488" s="21">
        <v>6.9479</v>
      </c>
      <c r="AA488" s="21">
        <v>9.9561</v>
      </c>
      <c r="AB488" s="21">
        <v>0.0</v>
      </c>
      <c r="AC488" s="21">
        <v>-1.6796</v>
      </c>
      <c r="AD488" s="21">
        <v>-16.285</v>
      </c>
      <c r="AE488" s="21">
        <v>2.3386</v>
      </c>
      <c r="AF488" s="21">
        <v>2.4928</v>
      </c>
      <c r="AG488" s="21">
        <v>0.3506</v>
      </c>
      <c r="AH488" s="21">
        <v>3.1381</v>
      </c>
      <c r="AI488" s="21">
        <v>1.6612</v>
      </c>
      <c r="AJ488" s="19">
        <v>0.94</v>
      </c>
      <c r="AK488" s="16" t="s">
        <v>1838</v>
      </c>
      <c r="AL488" s="22">
        <f>IFERROR(__xludf.DUMMYFUNCTION("IFERROR(GOOGLEFINANCE(B488,""price""),"""")"),12.09)</f>
        <v>12.09</v>
      </c>
    </row>
    <row r="489">
      <c r="A489" s="7">
        <v>46102.75616605231</v>
      </c>
      <c r="B489" s="8" t="s">
        <v>2188</v>
      </c>
      <c r="C489" s="8" t="s">
        <v>2189</v>
      </c>
      <c r="D489" s="9">
        <v>46103.0</v>
      </c>
      <c r="E489" s="8" t="s">
        <v>2190</v>
      </c>
      <c r="F489" s="10">
        <v>488.15</v>
      </c>
      <c r="G489" s="11">
        <v>-0.3369</v>
      </c>
      <c r="H489" s="8" t="s">
        <v>107</v>
      </c>
      <c r="I489" s="12">
        <v>6334079.0</v>
      </c>
      <c r="J489" s="11">
        <v>21.6246</v>
      </c>
      <c r="K489" s="13">
        <v>9.5803</v>
      </c>
      <c r="L489" s="13">
        <v>19.8875</v>
      </c>
      <c r="M489" s="8">
        <v>2831887.0</v>
      </c>
      <c r="N489" s="13">
        <v>2.6195</v>
      </c>
      <c r="O489" s="12">
        <v>2.26205858835E11</v>
      </c>
      <c r="P489" s="13">
        <v>48.1778</v>
      </c>
      <c r="Q489" s="13">
        <v>51.6146</v>
      </c>
      <c r="R489" s="11">
        <v>52.2126</v>
      </c>
      <c r="S489" s="13">
        <v>490.2356</v>
      </c>
      <c r="T489" s="13">
        <v>488.2197</v>
      </c>
      <c r="U489" s="13">
        <v>482.0391</v>
      </c>
      <c r="V489" s="13">
        <v>474.5504</v>
      </c>
      <c r="W489" s="13">
        <v>472.5977</v>
      </c>
      <c r="X489" s="13">
        <v>463.9499</v>
      </c>
      <c r="Y489" s="13">
        <v>456.6924</v>
      </c>
      <c r="Z489" s="13">
        <v>457.2793</v>
      </c>
      <c r="AA489" s="13">
        <v>510.6523</v>
      </c>
      <c r="AB489" s="13">
        <v>33.4411</v>
      </c>
      <c r="AC489" s="13">
        <v>14.5973</v>
      </c>
      <c r="AD489" s="13">
        <v>18.0725</v>
      </c>
      <c r="AE489" s="13">
        <v>27.2289</v>
      </c>
      <c r="AF489" s="13">
        <v>2.9723</v>
      </c>
      <c r="AG489" s="13">
        <v>0.7339</v>
      </c>
      <c r="AH489" s="13">
        <v>0.8768</v>
      </c>
      <c r="AI489" s="13">
        <v>1.6791</v>
      </c>
      <c r="AJ489" s="11">
        <v>0.96</v>
      </c>
      <c r="AK489" s="8" t="s">
        <v>1872</v>
      </c>
      <c r="AL489" s="14">
        <f>IFERROR(__xludf.DUMMYFUNCTION("IFERROR(GOOGLEFINANCE(B489,""price""),"""")"),503.15)</f>
        <v>503.15</v>
      </c>
    </row>
    <row r="490">
      <c r="A490" s="15">
        <v>46102.75616605231</v>
      </c>
      <c r="B490" s="16" t="s">
        <v>2191</v>
      </c>
      <c r="C490" s="16" t="s">
        <v>2192</v>
      </c>
      <c r="D490" s="17">
        <v>46103.0</v>
      </c>
      <c r="E490" s="16" t="s">
        <v>2193</v>
      </c>
      <c r="F490" s="18">
        <v>64.75</v>
      </c>
      <c r="G490" s="19">
        <v>-3.5166</v>
      </c>
      <c r="H490" s="16" t="s">
        <v>308</v>
      </c>
      <c r="I490" s="20">
        <v>1230785.0</v>
      </c>
      <c r="J490" s="19">
        <v>21.5436</v>
      </c>
      <c r="K490" s="21">
        <v>3.3349</v>
      </c>
      <c r="L490" s="21">
        <v>6.1037</v>
      </c>
      <c r="M490" s="21">
        <v>527153.3</v>
      </c>
      <c r="N490" s="21">
        <v>2.7628</v>
      </c>
      <c r="O490" s="20">
        <v>2.970565319E9</v>
      </c>
      <c r="P490" s="21">
        <v>59.9251</v>
      </c>
      <c r="Q490" s="21">
        <v>59.4741</v>
      </c>
      <c r="R490" s="19">
        <v>49.5811</v>
      </c>
      <c r="S490" s="21">
        <v>65.4741</v>
      </c>
      <c r="T490" s="21">
        <v>65.3017</v>
      </c>
      <c r="U490" s="21">
        <v>64.3157</v>
      </c>
      <c r="V490" s="21">
        <v>62.754</v>
      </c>
      <c r="W490" s="21">
        <v>62.2894</v>
      </c>
      <c r="X490" s="21">
        <v>59.76</v>
      </c>
      <c r="Y490" s="21">
        <v>56.5426</v>
      </c>
      <c r="Z490" s="21">
        <v>54.7353</v>
      </c>
      <c r="AA490" s="21">
        <v>81.7099</v>
      </c>
      <c r="AB490" s="21">
        <v>45.4545</v>
      </c>
      <c r="AC490" s="21">
        <v>1.4245</v>
      </c>
      <c r="AD490" s="21">
        <v>3.6011</v>
      </c>
      <c r="AE490" s="21">
        <v>2.44</v>
      </c>
      <c r="AF490" s="21">
        <v>13.0387</v>
      </c>
      <c r="AG490" s="21">
        <v>0.0509</v>
      </c>
      <c r="AH490" s="21">
        <v>3.3223</v>
      </c>
      <c r="AI490" s="21">
        <v>1.7891</v>
      </c>
      <c r="AJ490" s="19">
        <v>1.09</v>
      </c>
      <c r="AK490" s="16" t="s">
        <v>1615</v>
      </c>
      <c r="AL490" s="22">
        <f>IFERROR(__xludf.DUMMYFUNCTION("IFERROR(GOOGLEFINANCE(B490,""price""),"""")"),83.07)</f>
        <v>83.07</v>
      </c>
    </row>
    <row r="491">
      <c r="A491" s="7">
        <v>46102.75616605231</v>
      </c>
      <c r="B491" s="8" t="s">
        <v>2194</v>
      </c>
      <c r="C491" s="8" t="s">
        <v>2195</v>
      </c>
      <c r="D491" s="9">
        <v>46103.0</v>
      </c>
      <c r="E491" s="8" t="s">
        <v>2196</v>
      </c>
      <c r="F491" s="10">
        <v>516.0</v>
      </c>
      <c r="G491" s="11">
        <v>-1.7891</v>
      </c>
      <c r="H491" s="8" t="s">
        <v>102</v>
      </c>
      <c r="I491" s="12">
        <v>362540.0</v>
      </c>
      <c r="J491" s="11">
        <v>21.3554</v>
      </c>
      <c r="K491" s="13">
        <v>30.7647</v>
      </c>
      <c r="L491" s="13">
        <v>53.2985</v>
      </c>
      <c r="M491" s="13">
        <v>230069.9</v>
      </c>
      <c r="N491" s="13">
        <v>1.7029</v>
      </c>
      <c r="O491" s="12">
        <v>6.265418255E9</v>
      </c>
      <c r="P491" s="13">
        <v>57.985</v>
      </c>
      <c r="Q491" s="13">
        <v>54.2662</v>
      </c>
      <c r="R491" s="11">
        <v>50.97</v>
      </c>
      <c r="S491" s="13">
        <v>515.4353</v>
      </c>
      <c r="T491" s="13">
        <v>516.2148</v>
      </c>
      <c r="U491" s="13">
        <v>505.9327</v>
      </c>
      <c r="V491" s="13">
        <v>487.3561</v>
      </c>
      <c r="W491" s="13">
        <v>481.4152</v>
      </c>
      <c r="X491" s="13">
        <v>444.6316</v>
      </c>
      <c r="Y491" s="13">
        <v>366.7716</v>
      </c>
      <c r="Z491" s="13">
        <v>336.8459</v>
      </c>
      <c r="AA491" s="13">
        <v>612.5</v>
      </c>
      <c r="AB491" s="13">
        <v>33.5209</v>
      </c>
      <c r="AC491" s="13">
        <v>15.3934</v>
      </c>
      <c r="AD491" s="13">
        <v>32.1612</v>
      </c>
      <c r="AE491" s="13">
        <v>20.3272</v>
      </c>
      <c r="AF491" s="13">
        <v>5.1238</v>
      </c>
      <c r="AG491" s="13">
        <v>0.0022</v>
      </c>
      <c r="AH491" s="13">
        <v>2.2909</v>
      </c>
      <c r="AI491" s="13">
        <v>1.8416</v>
      </c>
      <c r="AJ491" s="11">
        <v>1.15</v>
      </c>
      <c r="AK491" s="23"/>
      <c r="AL491" s="14">
        <f>IFERROR(__xludf.DUMMYFUNCTION("IFERROR(GOOGLEFINANCE(B491,""price""),"""")"),230.94)</f>
        <v>230.94</v>
      </c>
    </row>
    <row r="492">
      <c r="A492" s="15">
        <v>46102.75616605231</v>
      </c>
      <c r="B492" s="16" t="s">
        <v>2197</v>
      </c>
      <c r="C492" s="16" t="s">
        <v>2198</v>
      </c>
      <c r="D492" s="17">
        <v>46103.0</v>
      </c>
      <c r="E492" s="16" t="s">
        <v>2199</v>
      </c>
      <c r="F492" s="18">
        <v>180.62</v>
      </c>
      <c r="G492" s="19">
        <v>-0.6491</v>
      </c>
      <c r="H492" s="16" t="s">
        <v>117</v>
      </c>
      <c r="I492" s="20">
        <v>1076791.0</v>
      </c>
      <c r="J492" s="19">
        <v>22.557</v>
      </c>
      <c r="K492" s="21">
        <v>5.4132</v>
      </c>
      <c r="L492" s="21">
        <v>10.9734</v>
      </c>
      <c r="M492" s="21">
        <v>788725.6</v>
      </c>
      <c r="N492" s="21">
        <v>1.3817</v>
      </c>
      <c r="O492" s="20">
        <v>1.1119030536E10</v>
      </c>
      <c r="P492" s="21">
        <v>28.7504</v>
      </c>
      <c r="Q492" s="21">
        <v>26.3321</v>
      </c>
      <c r="R492" s="19">
        <v>51.8235</v>
      </c>
      <c r="S492" s="21">
        <v>181.5937</v>
      </c>
      <c r="T492" s="21">
        <v>180.594</v>
      </c>
      <c r="U492" s="21">
        <v>178.1942</v>
      </c>
      <c r="V492" s="21">
        <v>175.2405</v>
      </c>
      <c r="W492" s="21">
        <v>174.3088</v>
      </c>
      <c r="X492" s="21">
        <v>167.9489</v>
      </c>
      <c r="Y492" s="21">
        <v>152.1681</v>
      </c>
      <c r="Z492" s="21">
        <v>144.0349</v>
      </c>
      <c r="AA492" s="21">
        <v>198.0</v>
      </c>
      <c r="AB492" s="21">
        <v>0.0</v>
      </c>
      <c r="AC492" s="21">
        <v>-5.9701</v>
      </c>
      <c r="AD492" s="21">
        <v>-8.4673</v>
      </c>
      <c r="AE492" s="21">
        <v>13.5702</v>
      </c>
      <c r="AF492" s="21">
        <v>4.8818</v>
      </c>
      <c r="AG492" s="21">
        <v>1.2567</v>
      </c>
      <c r="AH492" s="21">
        <v>1.8577</v>
      </c>
      <c r="AI492" s="21">
        <v>1.8822</v>
      </c>
      <c r="AJ492" s="19">
        <v>0.99</v>
      </c>
      <c r="AK492" s="24"/>
      <c r="AL492" s="22">
        <f>IFERROR(__xludf.DUMMYFUNCTION("IFERROR(GOOGLEFINANCE(B492,""price""),"""")"),194.2)</f>
        <v>194.2</v>
      </c>
    </row>
    <row r="493">
      <c r="A493" s="7">
        <v>46104.66915951932</v>
      </c>
      <c r="B493" s="8" t="s">
        <v>2200</v>
      </c>
      <c r="C493" s="8" t="s">
        <v>2201</v>
      </c>
      <c r="D493" s="9">
        <v>46110.0</v>
      </c>
      <c r="E493" s="8" t="s">
        <v>2202</v>
      </c>
      <c r="F493" s="10">
        <v>10.68</v>
      </c>
      <c r="G493" s="11">
        <v>0.1876</v>
      </c>
      <c r="H493" s="8" t="s">
        <v>93</v>
      </c>
      <c r="I493" s="12">
        <v>304084.0</v>
      </c>
      <c r="J493" s="11">
        <v>28.1924</v>
      </c>
      <c r="K493" s="13">
        <v>0.0353</v>
      </c>
      <c r="L493" s="13">
        <v>0.1465</v>
      </c>
      <c r="M493" s="13">
        <v>163339.1</v>
      </c>
      <c r="N493" s="13">
        <v>1.7785</v>
      </c>
      <c r="O493" s="12">
        <v>3.13280003E8</v>
      </c>
      <c r="P493" s="13">
        <v>43.3333</v>
      </c>
      <c r="Q493" s="13">
        <v>54.2857</v>
      </c>
      <c r="R493" s="11">
        <v>56.7108</v>
      </c>
      <c r="S493" s="13">
        <v>10.6646</v>
      </c>
      <c r="T493" s="13">
        <v>10.656</v>
      </c>
      <c r="U493" s="13">
        <v>10.6608</v>
      </c>
      <c r="V493" s="13">
        <v>10.674</v>
      </c>
      <c r="W493" s="13">
        <v>10.6782</v>
      </c>
      <c r="X493" s="13">
        <v>10.6912</v>
      </c>
      <c r="Y493" s="13">
        <v>10.5501</v>
      </c>
      <c r="Z493" s="13">
        <v>10.6445</v>
      </c>
      <c r="AA493" s="13">
        <v>11.99</v>
      </c>
      <c r="AB493" s="13">
        <v>51.6191</v>
      </c>
      <c r="AC493" s="13">
        <v>0.2069</v>
      </c>
      <c r="AD493" s="13">
        <v>2.7319</v>
      </c>
      <c r="AE493" s="13">
        <v>0.0</v>
      </c>
      <c r="AF493" s="13">
        <v>0.0</v>
      </c>
      <c r="AG493" s="13">
        <v>0.0</v>
      </c>
      <c r="AH493" s="13">
        <v>0.5053</v>
      </c>
      <c r="AI493" s="13">
        <v>0.0359</v>
      </c>
      <c r="AJ493" s="11">
        <v>0.48</v>
      </c>
      <c r="AK493" s="8" t="s">
        <v>2203</v>
      </c>
      <c r="AL493" s="14" t="str">
        <f>IFERROR(__xludf.DUMMYFUNCTION("IFERROR(GOOGLEFINANCE(B493,""price""),"""")"),"")</f>
        <v/>
      </c>
    </row>
    <row r="494">
      <c r="A494" s="15">
        <v>46104.66915951932</v>
      </c>
      <c r="B494" s="16" t="s">
        <v>2204</v>
      </c>
      <c r="C494" s="16" t="s">
        <v>2205</v>
      </c>
      <c r="D494" s="17">
        <v>46110.0</v>
      </c>
      <c r="E494" s="16" t="s">
        <v>2206</v>
      </c>
      <c r="F494" s="18">
        <v>62.04</v>
      </c>
      <c r="G494" s="19">
        <v>5.636</v>
      </c>
      <c r="H494" s="16" t="s">
        <v>102</v>
      </c>
      <c r="I494" s="20">
        <v>407207.0</v>
      </c>
      <c r="J494" s="19">
        <v>23.2072</v>
      </c>
      <c r="K494" s="21">
        <v>2.5575</v>
      </c>
      <c r="L494" s="21">
        <v>3.9933</v>
      </c>
      <c r="M494" s="21">
        <v>217030.0</v>
      </c>
      <c r="N494" s="21">
        <v>2.1854</v>
      </c>
      <c r="O494" s="20">
        <v>1.632448668E9</v>
      </c>
      <c r="P494" s="21">
        <v>33.7247</v>
      </c>
      <c r="Q494" s="21">
        <v>33.5725</v>
      </c>
      <c r="R494" s="19">
        <v>52.8068</v>
      </c>
      <c r="S494" s="21">
        <v>60.6992</v>
      </c>
      <c r="T494" s="21">
        <v>61.2824</v>
      </c>
      <c r="U494" s="21">
        <v>60.6623</v>
      </c>
      <c r="V494" s="21">
        <v>59.2608</v>
      </c>
      <c r="W494" s="21">
        <v>58.7968</v>
      </c>
      <c r="X494" s="21">
        <v>55.8904</v>
      </c>
      <c r="Y494" s="21">
        <v>49.8573</v>
      </c>
      <c r="Z494" s="21">
        <v>47.4406</v>
      </c>
      <c r="AA494" s="21">
        <v>68.02</v>
      </c>
      <c r="AB494" s="21">
        <v>30.7723</v>
      </c>
      <c r="AC494" s="21">
        <v>2.0161</v>
      </c>
      <c r="AD494" s="21">
        <v>13.4472</v>
      </c>
      <c r="AE494" s="21">
        <v>13.9749</v>
      </c>
      <c r="AF494" s="21">
        <v>3.4445</v>
      </c>
      <c r="AG494" s="21">
        <v>0.7898</v>
      </c>
      <c r="AH494" s="21">
        <v>2.3698</v>
      </c>
      <c r="AI494" s="21">
        <v>0.0595</v>
      </c>
      <c r="AJ494" s="19">
        <v>1.28</v>
      </c>
      <c r="AK494" s="16" t="s">
        <v>2207</v>
      </c>
      <c r="AL494" s="22">
        <f>IFERROR(__xludf.DUMMYFUNCTION("IFERROR(GOOGLEFINANCE(B494,""price""),"""")"),68.83)</f>
        <v>68.83</v>
      </c>
    </row>
    <row r="495">
      <c r="A495" s="7">
        <v>46104.66915951932</v>
      </c>
      <c r="B495" s="8" t="s">
        <v>1670</v>
      </c>
      <c r="C495" s="8" t="s">
        <v>1671</v>
      </c>
      <c r="D495" s="9">
        <v>46110.0</v>
      </c>
      <c r="E495" s="8" t="s">
        <v>1672</v>
      </c>
      <c r="F495" s="10">
        <v>84.7</v>
      </c>
      <c r="G495" s="11">
        <v>4.6972</v>
      </c>
      <c r="H495" s="8" t="s">
        <v>335</v>
      </c>
      <c r="I495" s="12">
        <v>1316382.0</v>
      </c>
      <c r="J495" s="11">
        <v>25.0575</v>
      </c>
      <c r="K495" s="13">
        <v>3.5608</v>
      </c>
      <c r="L495" s="13">
        <v>7.1535</v>
      </c>
      <c r="M495" s="8">
        <v>1054520.0</v>
      </c>
      <c r="N495" s="13">
        <v>1.358</v>
      </c>
      <c r="O495" s="12">
        <v>4.799454908E9</v>
      </c>
      <c r="P495" s="13">
        <v>42.3309</v>
      </c>
      <c r="Q495" s="13">
        <v>39.3955</v>
      </c>
      <c r="R495" s="11">
        <v>55.0175</v>
      </c>
      <c r="S495" s="13">
        <v>82.0127</v>
      </c>
      <c r="T495" s="13">
        <v>82.4236</v>
      </c>
      <c r="U495" s="13">
        <v>81.8791</v>
      </c>
      <c r="V495" s="13">
        <v>80.8456</v>
      </c>
      <c r="W495" s="13">
        <v>80.5433</v>
      </c>
      <c r="X495" s="13">
        <v>79.2048</v>
      </c>
      <c r="Y495" s="13">
        <v>79.6156</v>
      </c>
      <c r="Z495" s="13">
        <v>77.8179</v>
      </c>
      <c r="AA495" s="13">
        <v>103.175</v>
      </c>
      <c r="AB495" s="13">
        <v>30.7474</v>
      </c>
      <c r="AC495" s="13">
        <v>2.7547</v>
      </c>
      <c r="AD495" s="13">
        <v>10.0765</v>
      </c>
      <c r="AE495" s="13">
        <v>9.6988</v>
      </c>
      <c r="AF495" s="13">
        <v>8.5222</v>
      </c>
      <c r="AG495" s="13">
        <v>0.7423</v>
      </c>
      <c r="AH495" s="13">
        <v>2.5422</v>
      </c>
      <c r="AI495" s="13">
        <v>0.1577</v>
      </c>
      <c r="AJ495" s="11">
        <v>1.0</v>
      </c>
      <c r="AK495" s="8" t="s">
        <v>1267</v>
      </c>
      <c r="AL495" s="14">
        <f>IFERROR(__xludf.DUMMYFUNCTION("IFERROR(GOOGLEFINANCE(B495,""price""),"""")"),84.06)</f>
        <v>84.06</v>
      </c>
    </row>
    <row r="496">
      <c r="A496" s="15">
        <v>46104.66915951932</v>
      </c>
      <c r="B496" s="16" t="s">
        <v>2146</v>
      </c>
      <c r="C496" s="16" t="s">
        <v>2147</v>
      </c>
      <c r="D496" s="17">
        <v>46110.0</v>
      </c>
      <c r="E496" s="16" t="s">
        <v>2148</v>
      </c>
      <c r="F496" s="18">
        <v>23.89</v>
      </c>
      <c r="G496" s="19">
        <v>-0.5412</v>
      </c>
      <c r="H496" s="16" t="s">
        <v>112</v>
      </c>
      <c r="I496" s="20">
        <v>320912.0</v>
      </c>
      <c r="J496" s="19">
        <v>20.7693</v>
      </c>
      <c r="K496" s="21">
        <v>0.9645</v>
      </c>
      <c r="L496" s="21">
        <v>1.4918</v>
      </c>
      <c r="M496" s="21">
        <v>197131.6</v>
      </c>
      <c r="N496" s="21">
        <v>1.8109</v>
      </c>
      <c r="O496" s="20">
        <v>3.7465269E8</v>
      </c>
      <c r="P496" s="21">
        <v>62.9829</v>
      </c>
      <c r="Q496" s="21">
        <v>54.8295</v>
      </c>
      <c r="R496" s="19">
        <v>49.509</v>
      </c>
      <c r="S496" s="21">
        <v>23.899</v>
      </c>
      <c r="T496" s="21">
        <v>23.9804</v>
      </c>
      <c r="U496" s="21">
        <v>23.8609</v>
      </c>
      <c r="V496" s="21">
        <v>23.5194</v>
      </c>
      <c r="W496" s="21">
        <v>23.3954</v>
      </c>
      <c r="X496" s="21">
        <v>22.5425</v>
      </c>
      <c r="Y496" s="21">
        <v>20.8782</v>
      </c>
      <c r="Z496" s="21">
        <v>19.5961</v>
      </c>
      <c r="AA496" s="21">
        <v>25.85</v>
      </c>
      <c r="AB496" s="21">
        <v>20.5012</v>
      </c>
      <c r="AC496" s="21">
        <v>1.1653</v>
      </c>
      <c r="AD496" s="21">
        <v>5.3631</v>
      </c>
      <c r="AE496" s="21">
        <v>4.9077</v>
      </c>
      <c r="AF496" s="21">
        <v>1.9499</v>
      </c>
      <c r="AG496" s="21">
        <v>0.1546</v>
      </c>
      <c r="AH496" s="21">
        <v>4.5754</v>
      </c>
      <c r="AI496" s="21">
        <v>0.1593</v>
      </c>
      <c r="AJ496" s="19">
        <v>1.29</v>
      </c>
      <c r="AK496" s="16" t="s">
        <v>2208</v>
      </c>
      <c r="AL496" s="22">
        <f>IFERROR(__xludf.DUMMYFUNCTION("IFERROR(GOOGLEFINANCE(B496,""price""),"""")"),26.74)</f>
        <v>26.74</v>
      </c>
    </row>
    <row r="497">
      <c r="A497" s="7">
        <v>46104.66915951932</v>
      </c>
      <c r="B497" s="8" t="s">
        <v>1406</v>
      </c>
      <c r="C497" s="8" t="s">
        <v>1407</v>
      </c>
      <c r="D497" s="9">
        <v>46110.0</v>
      </c>
      <c r="E497" s="8" t="s">
        <v>1408</v>
      </c>
      <c r="F497" s="10">
        <v>10.65</v>
      </c>
      <c r="G497" s="11">
        <v>-0.0469</v>
      </c>
      <c r="H497" s="8" t="s">
        <v>93</v>
      </c>
      <c r="I497" s="12">
        <v>2571574.0</v>
      </c>
      <c r="J497" s="11">
        <v>27.675</v>
      </c>
      <c r="K497" s="13">
        <v>0.0253</v>
      </c>
      <c r="L497" s="13">
        <v>0.1133</v>
      </c>
      <c r="M497" s="13">
        <v>317745.2</v>
      </c>
      <c r="N497" s="13">
        <v>41.2756</v>
      </c>
      <c r="O497" s="12">
        <v>3.54999987E8</v>
      </c>
      <c r="P497" s="13">
        <v>74.2424</v>
      </c>
      <c r="Q497" s="13">
        <v>78.7879</v>
      </c>
      <c r="R497" s="11">
        <v>62.8555</v>
      </c>
      <c r="S497" s="13">
        <v>10.6432</v>
      </c>
      <c r="T497" s="13">
        <v>10.6247</v>
      </c>
      <c r="U497" s="13">
        <v>10.6116</v>
      </c>
      <c r="V497" s="13">
        <v>10.6009</v>
      </c>
      <c r="W497" s="13">
        <v>10.5982</v>
      </c>
      <c r="X497" s="13">
        <v>10.579</v>
      </c>
      <c r="Y497" s="13">
        <v>10.4768</v>
      </c>
      <c r="Z497" s="13">
        <v>10.5018</v>
      </c>
      <c r="AA497" s="13">
        <v>12.5</v>
      </c>
      <c r="AB497" s="13">
        <v>92.77</v>
      </c>
      <c r="AC497" s="13">
        <v>0.1148</v>
      </c>
      <c r="AD497" s="13">
        <v>1.8541</v>
      </c>
      <c r="AE497" s="13">
        <v>0.0</v>
      </c>
      <c r="AF497" s="13">
        <v>0.0</v>
      </c>
      <c r="AG497" s="13">
        <v>0.0</v>
      </c>
      <c r="AH497" s="13">
        <v>0.1137</v>
      </c>
      <c r="AI497" s="13">
        <v>0.2963</v>
      </c>
      <c r="AJ497" s="11">
        <v>0.45</v>
      </c>
      <c r="AK497" s="8" t="s">
        <v>2209</v>
      </c>
      <c r="AL497" s="14">
        <f>IFERROR(__xludf.DUMMYFUNCTION("IFERROR(GOOGLEFINANCE(B497,""price""),"""")"),10.66)</f>
        <v>10.66</v>
      </c>
    </row>
    <row r="498">
      <c r="A498" s="15">
        <v>46104.66915951932</v>
      </c>
      <c r="B498" s="16" t="s">
        <v>2210</v>
      </c>
      <c r="C498" s="16" t="s">
        <v>2211</v>
      </c>
      <c r="D498" s="17">
        <v>46110.0</v>
      </c>
      <c r="E498" s="16" t="s">
        <v>2212</v>
      </c>
      <c r="F498" s="18">
        <v>5.61</v>
      </c>
      <c r="G498" s="19">
        <v>1.2635</v>
      </c>
      <c r="H498" s="16" t="s">
        <v>88</v>
      </c>
      <c r="I498" s="20">
        <v>613983.0</v>
      </c>
      <c r="J498" s="19">
        <v>22.5067</v>
      </c>
      <c r="K498" s="21">
        <v>0.3351</v>
      </c>
      <c r="L498" s="21">
        <v>0.6573</v>
      </c>
      <c r="M498" s="21">
        <v>442168.7</v>
      </c>
      <c r="N498" s="21">
        <v>1.5823</v>
      </c>
      <c r="O498" s="20">
        <v>1.13541133E8</v>
      </c>
      <c r="P498" s="21">
        <v>50.2409</v>
      </c>
      <c r="Q498" s="21">
        <v>47.3816</v>
      </c>
      <c r="R498" s="19">
        <v>64.2768</v>
      </c>
      <c r="S498" s="21">
        <v>5.1403</v>
      </c>
      <c r="T498" s="21">
        <v>5.0359</v>
      </c>
      <c r="U498" s="21">
        <v>5.121</v>
      </c>
      <c r="V498" s="21">
        <v>5.2424</v>
      </c>
      <c r="W498" s="21">
        <v>5.2725</v>
      </c>
      <c r="X498" s="21">
        <v>5.3719</v>
      </c>
      <c r="Y498" s="21">
        <v>5.109</v>
      </c>
      <c r="Z498" s="21">
        <v>5.4385</v>
      </c>
      <c r="AA498" s="21">
        <v>7.478</v>
      </c>
      <c r="AB498" s="21">
        <v>90.4839</v>
      </c>
      <c r="AC498" s="21">
        <v>0.062</v>
      </c>
      <c r="AD498" s="21">
        <v>6.6226</v>
      </c>
      <c r="AE498" s="21">
        <v>4.7913</v>
      </c>
      <c r="AF498" s="21">
        <v>13.3413</v>
      </c>
      <c r="AG498" s="21">
        <v>0.0</v>
      </c>
      <c r="AH498" s="21">
        <v>3.6752</v>
      </c>
      <c r="AI498" s="21">
        <v>0.3432</v>
      </c>
      <c r="AJ498" s="19">
        <v>1.02</v>
      </c>
      <c r="AK498" s="16" t="s">
        <v>1267</v>
      </c>
      <c r="AL498" s="22">
        <f>IFERROR(__xludf.DUMMYFUNCTION("IFERROR(GOOGLEFINANCE(B498,""price""),"""")"),7.6)</f>
        <v>7.6</v>
      </c>
    </row>
    <row r="499">
      <c r="A499" s="7">
        <v>46104.66915951932</v>
      </c>
      <c r="B499" s="8" t="s">
        <v>2213</v>
      </c>
      <c r="C499" s="8" t="s">
        <v>2214</v>
      </c>
      <c r="D499" s="9">
        <v>46110.0</v>
      </c>
      <c r="E499" s="8" t="s">
        <v>2215</v>
      </c>
      <c r="F499" s="10">
        <v>39.04</v>
      </c>
      <c r="G499" s="11">
        <v>2.2525</v>
      </c>
      <c r="H499" s="8" t="s">
        <v>873</v>
      </c>
      <c r="I499" s="12">
        <v>1481995.0</v>
      </c>
      <c r="J499" s="11">
        <v>23.9835</v>
      </c>
      <c r="K499" s="13">
        <v>0.8098</v>
      </c>
      <c r="L499" s="13">
        <v>1.7266</v>
      </c>
      <c r="M499" s="8">
        <v>1146146.0</v>
      </c>
      <c r="N499" s="13">
        <v>1.3623</v>
      </c>
      <c r="O499" s="12">
        <v>2.1138407294E10</v>
      </c>
      <c r="P499" s="13">
        <v>17.7576</v>
      </c>
      <c r="Q499" s="13">
        <v>18.4969</v>
      </c>
      <c r="R499" s="11">
        <v>50.7039</v>
      </c>
      <c r="S499" s="13">
        <v>38.9543</v>
      </c>
      <c r="T499" s="13">
        <v>39.0597</v>
      </c>
      <c r="U499" s="13">
        <v>38.8162</v>
      </c>
      <c r="V499" s="13">
        <v>38.5176</v>
      </c>
      <c r="W499" s="13">
        <v>38.4318</v>
      </c>
      <c r="X499" s="13">
        <v>37.8549</v>
      </c>
      <c r="Y499" s="13">
        <v>36.2303</v>
      </c>
      <c r="Z499" s="13">
        <v>35.8459</v>
      </c>
      <c r="AA499" s="13">
        <v>41.14</v>
      </c>
      <c r="AB499" s="13">
        <v>4.2124</v>
      </c>
      <c r="AC499" s="13">
        <v>9.2679</v>
      </c>
      <c r="AD499" s="13">
        <v>48.9735</v>
      </c>
      <c r="AE499" s="13">
        <v>23.1116</v>
      </c>
      <c r="AF499" s="13">
        <v>10.4274</v>
      </c>
      <c r="AG499" s="13">
        <v>2.4886</v>
      </c>
      <c r="AH499" s="13">
        <v>0.5742</v>
      </c>
      <c r="AI499" s="13">
        <v>0.3538</v>
      </c>
      <c r="AJ499" s="11">
        <v>0.94</v>
      </c>
      <c r="AK499" s="8" t="s">
        <v>1267</v>
      </c>
      <c r="AL499" s="14">
        <f>IFERROR(__xludf.DUMMYFUNCTION("IFERROR(GOOGLEFINANCE(B499,""price""),"""")"),32.44)</f>
        <v>32.44</v>
      </c>
    </row>
    <row r="500">
      <c r="A500" s="15">
        <v>46104.66915951932</v>
      </c>
      <c r="B500" s="16" t="s">
        <v>2216</v>
      </c>
      <c r="C500" s="16" t="s">
        <v>2217</v>
      </c>
      <c r="D500" s="17">
        <v>46110.0</v>
      </c>
      <c r="E500" s="16" t="s">
        <v>2218</v>
      </c>
      <c r="F500" s="18">
        <v>3.98</v>
      </c>
      <c r="G500" s="19">
        <v>14.3678</v>
      </c>
      <c r="H500" s="16" t="s">
        <v>117</v>
      </c>
      <c r="I500" s="20">
        <v>305048.0</v>
      </c>
      <c r="J500" s="19">
        <v>20.8101</v>
      </c>
      <c r="K500" s="21">
        <v>0.305</v>
      </c>
      <c r="L500" s="21">
        <v>0.5256</v>
      </c>
      <c r="M500" s="21">
        <v>230722.1</v>
      </c>
      <c r="N500" s="21">
        <v>1.3915</v>
      </c>
      <c r="O500" s="20">
        <v>1.66480326E8</v>
      </c>
      <c r="P500" s="21">
        <v>60.6607</v>
      </c>
      <c r="Q500" s="21">
        <v>57.0571</v>
      </c>
      <c r="R500" s="19">
        <v>58.972</v>
      </c>
      <c r="S500" s="21">
        <v>3.6646</v>
      </c>
      <c r="T500" s="21">
        <v>3.6186</v>
      </c>
      <c r="U500" s="21">
        <v>3.6419</v>
      </c>
      <c r="V500" s="21">
        <v>3.6524</v>
      </c>
      <c r="W500" s="21">
        <v>3.6486</v>
      </c>
      <c r="X500" s="21">
        <v>3.5568</v>
      </c>
      <c r="Y500" s="21">
        <v>3.0821</v>
      </c>
      <c r="Z500" s="21">
        <v>2.9814</v>
      </c>
      <c r="AA500" s="21">
        <v>4.5</v>
      </c>
      <c r="AB500" s="21">
        <v>0.0</v>
      </c>
      <c r="AC500" s="21">
        <v>-0.2742</v>
      </c>
      <c r="AD500" s="21">
        <v>-77.9896</v>
      </c>
      <c r="AE500" s="21">
        <v>-12.1982</v>
      </c>
      <c r="AF500" s="21">
        <v>9.8582</v>
      </c>
      <c r="AG500" s="21">
        <v>2.7056</v>
      </c>
      <c r="AH500" s="21">
        <v>4.9975</v>
      </c>
      <c r="AI500" s="21">
        <v>0.5685</v>
      </c>
      <c r="AJ500" s="19">
        <v>1.16</v>
      </c>
      <c r="AK500" s="16" t="s">
        <v>1283</v>
      </c>
      <c r="AL500" s="22">
        <f>IFERROR(__xludf.DUMMYFUNCTION("IFERROR(GOOGLEFINANCE(B500,""price""),"""")"),3.96)</f>
        <v>3.96</v>
      </c>
    </row>
    <row r="501">
      <c r="A501" s="7">
        <v>46104.66915951932</v>
      </c>
      <c r="B501" s="8" t="s">
        <v>2219</v>
      </c>
      <c r="C501" s="8" t="s">
        <v>2220</v>
      </c>
      <c r="D501" s="9">
        <v>46110.0</v>
      </c>
      <c r="E501" s="8" t="s">
        <v>2221</v>
      </c>
      <c r="F501" s="10">
        <v>10.745</v>
      </c>
      <c r="G501" s="11">
        <v>-0.3247</v>
      </c>
      <c r="H501" s="8" t="s">
        <v>93</v>
      </c>
      <c r="I501" s="12">
        <v>355733.0</v>
      </c>
      <c r="J501" s="11">
        <v>23.0384</v>
      </c>
      <c r="K501" s="13">
        <v>0.0843</v>
      </c>
      <c r="L501" s="13">
        <v>0.1271</v>
      </c>
      <c r="M501" s="13">
        <v>49128.0</v>
      </c>
      <c r="N501" s="13">
        <v>24.6363</v>
      </c>
      <c r="O501" s="12">
        <v>6.1675978E7</v>
      </c>
      <c r="P501" s="13">
        <v>53.3134</v>
      </c>
      <c r="Q501" s="13">
        <v>67.7791</v>
      </c>
      <c r="R501" s="11">
        <v>59.2272</v>
      </c>
      <c r="S501" s="13">
        <v>10.7406</v>
      </c>
      <c r="T501" s="13">
        <v>10.7114</v>
      </c>
      <c r="U501" s="13">
        <v>10.6791</v>
      </c>
      <c r="V501" s="13">
        <v>10.6465</v>
      </c>
      <c r="W501" s="13">
        <v>10.6378</v>
      </c>
      <c r="X501" s="13">
        <v>10.5904</v>
      </c>
      <c r="Y501" s="13">
        <v>10.4688</v>
      </c>
      <c r="Z501" s="13">
        <v>10.4745</v>
      </c>
      <c r="AA501" s="13">
        <v>11.45</v>
      </c>
      <c r="AB501" s="13">
        <v>43.8571</v>
      </c>
      <c r="AC501" s="13">
        <v>0.245</v>
      </c>
      <c r="AD501" s="13">
        <v>3.6238</v>
      </c>
      <c r="AE501" s="13">
        <v>0.0</v>
      </c>
      <c r="AF501" s="13">
        <v>0.0</v>
      </c>
      <c r="AG501" s="13">
        <v>0.0</v>
      </c>
      <c r="AH501" s="13">
        <v>0.3113</v>
      </c>
      <c r="AI501" s="13">
        <v>0.5729</v>
      </c>
      <c r="AJ501" s="11">
        <v>1.33</v>
      </c>
      <c r="AK501" s="8" t="s">
        <v>2222</v>
      </c>
      <c r="AL501" s="14">
        <f>IFERROR(__xludf.DUMMYFUNCTION("IFERROR(GOOGLEFINANCE(B501,""price""),"""")"),10.75)</f>
        <v>10.75</v>
      </c>
    </row>
    <row r="502">
      <c r="A502" s="15">
        <v>46104.66915951932</v>
      </c>
      <c r="B502" s="16" t="s">
        <v>2223</v>
      </c>
      <c r="C502" s="16" t="s">
        <v>2224</v>
      </c>
      <c r="D502" s="17">
        <v>46110.0</v>
      </c>
      <c r="E502" s="16" t="s">
        <v>2225</v>
      </c>
      <c r="F502" s="18">
        <v>41.97</v>
      </c>
      <c r="G502" s="19">
        <v>5.3728</v>
      </c>
      <c r="H502" s="16" t="s">
        <v>107</v>
      </c>
      <c r="I502" s="20">
        <v>638900.0</v>
      </c>
      <c r="J502" s="19">
        <v>23.5975</v>
      </c>
      <c r="K502" s="21">
        <v>1.2096</v>
      </c>
      <c r="L502" s="21">
        <v>2.148</v>
      </c>
      <c r="M502" s="21">
        <v>374978.4</v>
      </c>
      <c r="N502" s="21">
        <v>1.9112</v>
      </c>
      <c r="O502" s="20">
        <v>1.988686671E9</v>
      </c>
      <c r="P502" s="21">
        <v>30.4082</v>
      </c>
      <c r="Q502" s="21">
        <v>18.8468</v>
      </c>
      <c r="R502" s="19">
        <v>55.8767</v>
      </c>
      <c r="S502" s="21">
        <v>41.1414</v>
      </c>
      <c r="T502" s="21">
        <v>41.2525</v>
      </c>
      <c r="U502" s="21">
        <v>40.8455</v>
      </c>
      <c r="V502" s="21">
        <v>40.2374</v>
      </c>
      <c r="W502" s="21">
        <v>40.0565</v>
      </c>
      <c r="X502" s="21">
        <v>39.0156</v>
      </c>
      <c r="Y502" s="21">
        <v>36.8091</v>
      </c>
      <c r="Z502" s="21">
        <v>36.4383</v>
      </c>
      <c r="AA502" s="21">
        <v>43.58</v>
      </c>
      <c r="AB502" s="21">
        <v>22.3114</v>
      </c>
      <c r="AC502" s="21">
        <v>1.8811</v>
      </c>
      <c r="AD502" s="21">
        <v>4.5274</v>
      </c>
      <c r="AE502" s="21">
        <v>4.5327</v>
      </c>
      <c r="AF502" s="21">
        <v>1.3797</v>
      </c>
      <c r="AG502" s="21">
        <v>0.1731</v>
      </c>
      <c r="AH502" s="21">
        <v>2.1553</v>
      </c>
      <c r="AI502" s="21">
        <v>0.705</v>
      </c>
      <c r="AJ502" s="19">
        <v>1.13</v>
      </c>
      <c r="AK502" s="16" t="s">
        <v>1283</v>
      </c>
      <c r="AL502" s="22">
        <f>IFERROR(__xludf.DUMMYFUNCTION("IFERROR(GOOGLEFINANCE(B502,""price""),"""")"),41.94)</f>
        <v>41.94</v>
      </c>
    </row>
    <row r="503">
      <c r="A503" s="7">
        <v>46104.66915951932</v>
      </c>
      <c r="B503" s="8" t="s">
        <v>1674</v>
      </c>
      <c r="C503" s="8" t="s">
        <v>1675</v>
      </c>
      <c r="D503" s="9">
        <v>46110.0</v>
      </c>
      <c r="E503" s="8" t="s">
        <v>1676</v>
      </c>
      <c r="F503" s="10">
        <v>104.91</v>
      </c>
      <c r="G503" s="11">
        <v>0.9527</v>
      </c>
      <c r="H503" s="8" t="s">
        <v>117</v>
      </c>
      <c r="I503" s="12">
        <v>2.1562141E7</v>
      </c>
      <c r="J503" s="11">
        <v>42.9326</v>
      </c>
      <c r="K503" s="13">
        <v>0.3725</v>
      </c>
      <c r="L503" s="13">
        <v>2.4272</v>
      </c>
      <c r="M503" s="8">
        <v>4062149.0</v>
      </c>
      <c r="N503" s="13">
        <v>10.211</v>
      </c>
      <c r="O503" s="12">
        <v>2.0026083241E10</v>
      </c>
      <c r="P503" s="13">
        <v>87.8594</v>
      </c>
      <c r="Q503" s="13">
        <v>87.6028</v>
      </c>
      <c r="R503" s="11">
        <v>76.3995</v>
      </c>
      <c r="S503" s="13">
        <v>103.9755</v>
      </c>
      <c r="T503" s="13">
        <v>103.5958</v>
      </c>
      <c r="U503" s="13">
        <v>103.059</v>
      </c>
      <c r="V503" s="13">
        <v>101.6147</v>
      </c>
      <c r="W503" s="13">
        <v>100.999</v>
      </c>
      <c r="X503" s="13">
        <v>95.8658</v>
      </c>
      <c r="Y503" s="13">
        <v>81.9764</v>
      </c>
      <c r="Z503" s="13">
        <v>74.2944</v>
      </c>
      <c r="AA503" s="13">
        <v>104.98</v>
      </c>
      <c r="AB503" s="13">
        <v>0.0</v>
      </c>
      <c r="AC503" s="13">
        <v>-1.1046</v>
      </c>
      <c r="AD503" s="13">
        <v>-8.6586</v>
      </c>
      <c r="AE503" s="13">
        <v>-4.7946</v>
      </c>
      <c r="AF503" s="13">
        <v>17.6929</v>
      </c>
      <c r="AG503" s="13">
        <v>1.0557</v>
      </c>
      <c r="AH503" s="13">
        <v>2.4266</v>
      </c>
      <c r="AI503" s="13">
        <v>0.8736</v>
      </c>
      <c r="AJ503" s="11">
        <v>0.31</v>
      </c>
      <c r="AK503" s="8" t="s">
        <v>2159</v>
      </c>
      <c r="AL503" s="14">
        <f>IFERROR(__xludf.DUMMYFUNCTION("IFERROR(GOOGLEFINANCE(B503,""price""),"""")"),890.12)</f>
        <v>890.12</v>
      </c>
    </row>
    <row r="504">
      <c r="A504" s="15">
        <v>46104.66915951932</v>
      </c>
      <c r="B504" s="16" t="s">
        <v>2226</v>
      </c>
      <c r="C504" s="16" t="s">
        <v>2227</v>
      </c>
      <c r="D504" s="17">
        <v>46110.0</v>
      </c>
      <c r="E504" s="16" t="s">
        <v>2228</v>
      </c>
      <c r="F504" s="18">
        <v>211.47</v>
      </c>
      <c r="G504" s="19">
        <v>7.5909</v>
      </c>
      <c r="H504" s="16" t="s">
        <v>102</v>
      </c>
      <c r="I504" s="20">
        <v>1210827.0</v>
      </c>
      <c r="J504" s="19">
        <v>21.6458</v>
      </c>
      <c r="K504" s="21">
        <v>13.5822</v>
      </c>
      <c r="L504" s="21">
        <v>24.2225</v>
      </c>
      <c r="M504" s="21">
        <v>929145.4</v>
      </c>
      <c r="N504" s="21">
        <v>1.2703</v>
      </c>
      <c r="O504" s="20">
        <v>1.1151065672E10</v>
      </c>
      <c r="P504" s="21">
        <v>48.8135</v>
      </c>
      <c r="Q504" s="21">
        <v>38.0883</v>
      </c>
      <c r="R504" s="19">
        <v>56.0827</v>
      </c>
      <c r="S504" s="21">
        <v>201.5564</v>
      </c>
      <c r="T504" s="21">
        <v>202.8517</v>
      </c>
      <c r="U504" s="21">
        <v>199.0815</v>
      </c>
      <c r="V504" s="21">
        <v>192.3958</v>
      </c>
      <c r="W504" s="21">
        <v>190.3675</v>
      </c>
      <c r="X504" s="21">
        <v>178.5843</v>
      </c>
      <c r="Y504" s="21">
        <v>154.8391</v>
      </c>
      <c r="Z504" s="21">
        <v>147.4285</v>
      </c>
      <c r="AA504" s="21">
        <v>243.7999</v>
      </c>
      <c r="AB504" s="21">
        <v>117.4051</v>
      </c>
      <c r="AC504" s="21">
        <v>1.8012</v>
      </c>
      <c r="AD504" s="21">
        <v>9.8943</v>
      </c>
      <c r="AE504" s="21">
        <v>11.9211</v>
      </c>
      <c r="AF504" s="21">
        <v>13.1546</v>
      </c>
      <c r="AG504" s="21">
        <v>0.6713</v>
      </c>
      <c r="AH504" s="21">
        <v>2.1867</v>
      </c>
      <c r="AI504" s="21">
        <v>1.1704</v>
      </c>
      <c r="AJ504" s="19">
        <v>1.12</v>
      </c>
      <c r="AK504" s="24"/>
      <c r="AL504" s="22">
        <f>IFERROR(__xludf.DUMMYFUNCTION("IFERROR(GOOGLEFINANCE(B504,""price""),"""")"),241.46)</f>
        <v>241.46</v>
      </c>
    </row>
    <row r="505">
      <c r="A505" s="7">
        <v>46104.66915951932</v>
      </c>
      <c r="B505" s="8" t="s">
        <v>2229</v>
      </c>
      <c r="C505" s="8" t="s">
        <v>2230</v>
      </c>
      <c r="D505" s="9">
        <v>46110.0</v>
      </c>
      <c r="E505" s="8" t="s">
        <v>2231</v>
      </c>
      <c r="F505" s="10">
        <v>137.04</v>
      </c>
      <c r="G505" s="11">
        <v>3.8575</v>
      </c>
      <c r="H505" s="8" t="s">
        <v>270</v>
      </c>
      <c r="I505" s="12">
        <v>1315290.0</v>
      </c>
      <c r="J505" s="11">
        <v>23.0479</v>
      </c>
      <c r="K505" s="13">
        <v>3.7635</v>
      </c>
      <c r="L505" s="13">
        <v>5.7909</v>
      </c>
      <c r="M505" s="13">
        <v>977790.3</v>
      </c>
      <c r="N505" s="13">
        <v>1.3956</v>
      </c>
      <c r="O505" s="12">
        <v>1.3939908936E10</v>
      </c>
      <c r="P505" s="13">
        <v>31.4532</v>
      </c>
      <c r="Q505" s="13">
        <v>25.2149</v>
      </c>
      <c r="R505" s="11">
        <v>52.8689</v>
      </c>
      <c r="S505" s="13">
        <v>136.2444</v>
      </c>
      <c r="T505" s="13">
        <v>136.2481</v>
      </c>
      <c r="U505" s="13">
        <v>134.4409</v>
      </c>
      <c r="V505" s="13">
        <v>131.9701</v>
      </c>
      <c r="W505" s="13">
        <v>131.2352</v>
      </c>
      <c r="X505" s="13">
        <v>126.8849</v>
      </c>
      <c r="Y505" s="13">
        <v>117.2998</v>
      </c>
      <c r="Z505" s="13">
        <v>114.9842</v>
      </c>
      <c r="AA505" s="13">
        <v>143.67</v>
      </c>
      <c r="AB505" s="13">
        <v>31.8735</v>
      </c>
      <c r="AC505" s="13">
        <v>4.2995</v>
      </c>
      <c r="AD505" s="13">
        <v>9.4201</v>
      </c>
      <c r="AE505" s="13">
        <v>49.3966</v>
      </c>
      <c r="AF505" s="13">
        <v>26.7074</v>
      </c>
      <c r="AG505" s="13">
        <v>0.712</v>
      </c>
      <c r="AH505" s="13">
        <v>1.0743</v>
      </c>
      <c r="AI505" s="13">
        <v>1.3161</v>
      </c>
      <c r="AJ505" s="11">
        <v>1.3</v>
      </c>
      <c r="AK505" s="8" t="s">
        <v>1712</v>
      </c>
      <c r="AL505" s="14">
        <f>IFERROR(__xludf.DUMMYFUNCTION("IFERROR(GOOGLEFINANCE(B505,""price""),"""")"),135.64)</f>
        <v>135.64</v>
      </c>
    </row>
    <row r="506">
      <c r="A506" s="15">
        <v>46104.66915951932</v>
      </c>
      <c r="B506" s="16" t="s">
        <v>2177</v>
      </c>
      <c r="C506" s="16" t="s">
        <v>2178</v>
      </c>
      <c r="D506" s="17">
        <v>46110.0</v>
      </c>
      <c r="E506" s="16" t="s">
        <v>2179</v>
      </c>
      <c r="F506" s="18">
        <v>8.07</v>
      </c>
      <c r="G506" s="19">
        <v>0.1241</v>
      </c>
      <c r="H506" s="16" t="s">
        <v>88</v>
      </c>
      <c r="I506" s="20">
        <v>701711.0</v>
      </c>
      <c r="J506" s="19">
        <v>57.3005</v>
      </c>
      <c r="K506" s="21">
        <v>0.0409</v>
      </c>
      <c r="L506" s="21">
        <v>0.2755</v>
      </c>
      <c r="M506" s="21">
        <v>489319.2</v>
      </c>
      <c r="N506" s="21">
        <v>1.4727</v>
      </c>
      <c r="O506" s="20">
        <v>3.45936097E8</v>
      </c>
      <c r="P506" s="21">
        <v>76.5873</v>
      </c>
      <c r="Q506" s="21">
        <v>72.9101</v>
      </c>
      <c r="R506" s="19">
        <v>67.9659</v>
      </c>
      <c r="S506" s="21">
        <v>8.0533</v>
      </c>
      <c r="T506" s="21">
        <v>8.0182</v>
      </c>
      <c r="U506" s="21">
        <v>7.9328</v>
      </c>
      <c r="V506" s="21">
        <v>7.7651</v>
      </c>
      <c r="W506" s="21">
        <v>7.7069</v>
      </c>
      <c r="X506" s="21">
        <v>7.3291</v>
      </c>
      <c r="Y506" s="21">
        <v>6.6467</v>
      </c>
      <c r="Z506" s="21">
        <v>6.1892</v>
      </c>
      <c r="AA506" s="21">
        <v>8.1</v>
      </c>
      <c r="AB506" s="21">
        <v>0.0</v>
      </c>
      <c r="AC506" s="21">
        <v>-0.6802</v>
      </c>
      <c r="AD506" s="21">
        <v>-19.3086</v>
      </c>
      <c r="AE506" s="21">
        <v>-23.2435</v>
      </c>
      <c r="AF506" s="21">
        <v>-5.9218</v>
      </c>
      <c r="AG506" s="21">
        <v>0.0408</v>
      </c>
      <c r="AH506" s="21">
        <v>2.3817</v>
      </c>
      <c r="AI506" s="21">
        <v>1.4934</v>
      </c>
      <c r="AJ506" s="19">
        <v>0.3</v>
      </c>
      <c r="AK506" s="16" t="s">
        <v>2232</v>
      </c>
      <c r="AL506" s="22">
        <f>IFERROR(__xludf.DUMMYFUNCTION("IFERROR(GOOGLEFINANCE(B506,""price""),"""")"),8.1)</f>
        <v>8.1</v>
      </c>
    </row>
    <row r="507">
      <c r="A507" s="7">
        <v>46104.66915951932</v>
      </c>
      <c r="B507" s="8" t="s">
        <v>2160</v>
      </c>
      <c r="C507" s="8" t="s">
        <v>2161</v>
      </c>
      <c r="D507" s="9">
        <v>46110.0</v>
      </c>
      <c r="E507" s="8" t="s">
        <v>2162</v>
      </c>
      <c r="F507" s="10">
        <v>200.63</v>
      </c>
      <c r="G507" s="11">
        <v>3.583</v>
      </c>
      <c r="H507" s="8" t="s">
        <v>245</v>
      </c>
      <c r="I507" s="12">
        <v>456495.0</v>
      </c>
      <c r="J507" s="11">
        <v>27.11</v>
      </c>
      <c r="K507" s="13">
        <v>10.8134</v>
      </c>
      <c r="L507" s="13">
        <v>22.0446</v>
      </c>
      <c r="M507" s="13">
        <v>302271.5</v>
      </c>
      <c r="N507" s="13">
        <v>1.5902</v>
      </c>
      <c r="O507" s="12">
        <v>2.566596335E9</v>
      </c>
      <c r="P507" s="13">
        <v>71.2305</v>
      </c>
      <c r="Q507" s="13">
        <v>77.8614</v>
      </c>
      <c r="R507" s="11">
        <v>59.6363</v>
      </c>
      <c r="S507" s="13">
        <v>192.9505</v>
      </c>
      <c r="T507" s="13">
        <v>188.2295</v>
      </c>
      <c r="U507" s="13">
        <v>189.4838</v>
      </c>
      <c r="V507" s="13">
        <v>190.5922</v>
      </c>
      <c r="W507" s="13">
        <v>190.5909</v>
      </c>
      <c r="X507" s="13">
        <v>187.7841</v>
      </c>
      <c r="Y507" s="13">
        <v>178.6244</v>
      </c>
      <c r="Z507" s="13">
        <v>164.268</v>
      </c>
      <c r="AA507" s="13">
        <v>253.8199</v>
      </c>
      <c r="AB507" s="13">
        <v>0.0</v>
      </c>
      <c r="AC507" s="13">
        <v>-4.7454</v>
      </c>
      <c r="AD507" s="13">
        <v>-3.8615</v>
      </c>
      <c r="AE507" s="13">
        <v>-2.8817</v>
      </c>
      <c r="AF507" s="13">
        <v>-27.992</v>
      </c>
      <c r="AG507" s="13">
        <v>0.0121</v>
      </c>
      <c r="AH507" s="13">
        <v>4.4682</v>
      </c>
      <c r="AI507" s="13">
        <v>1.7279</v>
      </c>
      <c r="AJ507" s="11">
        <v>0.98</v>
      </c>
      <c r="AK507" s="23"/>
      <c r="AL507" s="14">
        <f>IFERROR(__xludf.DUMMYFUNCTION("IFERROR(GOOGLEFINANCE(B507,""price""),"""")"),192.52)</f>
        <v>192.52</v>
      </c>
    </row>
    <row r="508">
      <c r="A508" s="7">
        <v>46105.66950590944</v>
      </c>
      <c r="B508" s="8" t="s">
        <v>1601</v>
      </c>
      <c r="C508" s="8" t="s">
        <v>1602</v>
      </c>
      <c r="D508" s="9">
        <v>46110.0</v>
      </c>
      <c r="E508" s="8" t="s">
        <v>1603</v>
      </c>
      <c r="F508" s="10">
        <v>64.7</v>
      </c>
      <c r="G508" s="11">
        <v>-0.0155</v>
      </c>
      <c r="H508" s="8" t="s">
        <v>93</v>
      </c>
      <c r="I508" s="12">
        <v>3933503.0</v>
      </c>
      <c r="J508" s="11">
        <v>20.9055</v>
      </c>
      <c r="K508" s="13">
        <v>0.1464</v>
      </c>
      <c r="L508" s="13">
        <v>0.5974</v>
      </c>
      <c r="M508" s="8">
        <v>2574891.0</v>
      </c>
      <c r="N508" s="13">
        <v>1.467</v>
      </c>
      <c r="O508" s="12">
        <v>7.248690796E9</v>
      </c>
      <c r="P508" s="13">
        <v>55.8333</v>
      </c>
      <c r="Q508" s="13">
        <v>45.727</v>
      </c>
      <c r="R508" s="11">
        <v>52.5603</v>
      </c>
      <c r="S508" s="13">
        <v>64.6566</v>
      </c>
      <c r="T508" s="13">
        <v>64.6623</v>
      </c>
      <c r="U508" s="13">
        <v>64.6309</v>
      </c>
      <c r="V508" s="13">
        <v>64.5445</v>
      </c>
      <c r="W508" s="13">
        <v>64.5059</v>
      </c>
      <c r="X508" s="13">
        <v>64.0684</v>
      </c>
      <c r="Y508" s="13">
        <v>61.3747</v>
      </c>
      <c r="Z508" s="13">
        <v>62.2076</v>
      </c>
      <c r="AA508" s="13">
        <v>64.96</v>
      </c>
      <c r="AB508" s="13">
        <v>6.9533</v>
      </c>
      <c r="AC508" s="13">
        <v>9.305</v>
      </c>
      <c r="AD508" s="13">
        <v>13.6003</v>
      </c>
      <c r="AE508" s="13">
        <v>49.5099</v>
      </c>
      <c r="AF508" s="13">
        <v>14.2078</v>
      </c>
      <c r="AG508" s="13">
        <v>2.3287</v>
      </c>
      <c r="AH508" s="13">
        <v>0.0521</v>
      </c>
      <c r="AI508" s="13">
        <v>0.0397</v>
      </c>
      <c r="AJ508" s="11">
        <v>0.49</v>
      </c>
      <c r="AK508" s="8" t="s">
        <v>2233</v>
      </c>
      <c r="AL508" s="14">
        <f>IFERROR(__xludf.DUMMYFUNCTION("IFERROR(GOOGLEFINANCE(B508,""price""),"""")"),65.0)</f>
        <v>65</v>
      </c>
    </row>
    <row r="509">
      <c r="A509" s="15">
        <v>46105.66950590944</v>
      </c>
      <c r="B509" s="16" t="s">
        <v>1880</v>
      </c>
      <c r="C509" s="16" t="s">
        <v>1881</v>
      </c>
      <c r="D509" s="17">
        <v>46110.0</v>
      </c>
      <c r="E509" s="16" t="s">
        <v>1882</v>
      </c>
      <c r="F509" s="18">
        <v>11.48</v>
      </c>
      <c r="G509" s="19">
        <v>0.262</v>
      </c>
      <c r="H509" s="16" t="s">
        <v>93</v>
      </c>
      <c r="I509" s="20">
        <v>589403.0</v>
      </c>
      <c r="J509" s="19">
        <v>33.6984</v>
      </c>
      <c r="K509" s="21">
        <v>0.0759</v>
      </c>
      <c r="L509" s="21">
        <v>0.1158</v>
      </c>
      <c r="M509" s="21">
        <v>123257.2</v>
      </c>
      <c r="N509" s="21">
        <v>5.2095</v>
      </c>
      <c r="O509" s="20">
        <v>3.34934729E8</v>
      </c>
      <c r="P509" s="21">
        <v>49.0839</v>
      </c>
      <c r="Q509" s="21">
        <v>63.4611</v>
      </c>
      <c r="R509" s="19">
        <v>55.4904</v>
      </c>
      <c r="S509" s="21">
        <v>11.4649</v>
      </c>
      <c r="T509" s="21">
        <v>11.4594</v>
      </c>
      <c r="U509" s="21">
        <v>11.449</v>
      </c>
      <c r="V509" s="21">
        <v>11.4336</v>
      </c>
      <c r="W509" s="21">
        <v>11.4285</v>
      </c>
      <c r="X509" s="21">
        <v>11.3896</v>
      </c>
      <c r="Y509" s="21">
        <v>11.248</v>
      </c>
      <c r="Z509" s="21">
        <v>11.2507</v>
      </c>
      <c r="AA509" s="21">
        <v>11.75</v>
      </c>
      <c r="AB509" s="21">
        <v>38.2157</v>
      </c>
      <c r="AC509" s="21">
        <v>0.3004</v>
      </c>
      <c r="AD509" s="21">
        <v>3.6877</v>
      </c>
      <c r="AE509" s="21">
        <v>0.0</v>
      </c>
      <c r="AF509" s="21">
        <v>0.0</v>
      </c>
      <c r="AG509" s="21">
        <v>0.0077</v>
      </c>
      <c r="AH509" s="21">
        <v>0.0196</v>
      </c>
      <c r="AI509" s="21">
        <v>0.138</v>
      </c>
      <c r="AJ509" s="19">
        <v>1.31</v>
      </c>
      <c r="AK509" s="16" t="s">
        <v>2234</v>
      </c>
      <c r="AL509" s="22" t="str">
        <f>IFERROR(__xludf.DUMMYFUNCTION("IFERROR(GOOGLEFINANCE(B509,""price""),"""")"),"")</f>
        <v/>
      </c>
    </row>
    <row r="510">
      <c r="A510" s="7">
        <v>46105.66950590944</v>
      </c>
      <c r="B510" s="8" t="s">
        <v>2235</v>
      </c>
      <c r="C510" s="8" t="s">
        <v>2236</v>
      </c>
      <c r="D510" s="9">
        <v>46110.0</v>
      </c>
      <c r="E510" s="8" t="s">
        <v>2237</v>
      </c>
      <c r="F510" s="10">
        <v>10.76</v>
      </c>
      <c r="G510" s="11">
        <v>0.0</v>
      </c>
      <c r="H510" s="8" t="s">
        <v>93</v>
      </c>
      <c r="I510" s="12">
        <v>343797.0</v>
      </c>
      <c r="J510" s="11">
        <v>45.8548</v>
      </c>
      <c r="K510" s="13">
        <v>0.0205</v>
      </c>
      <c r="L510" s="13">
        <v>0.0537</v>
      </c>
      <c r="M510" s="13">
        <v>41612.6</v>
      </c>
      <c r="N510" s="13">
        <v>32.464</v>
      </c>
      <c r="O510" s="12">
        <v>2.32648658E8</v>
      </c>
      <c r="P510" s="13">
        <v>76.9231</v>
      </c>
      <c r="Q510" s="13">
        <v>77.9487</v>
      </c>
      <c r="R510" s="11">
        <v>68.3944</v>
      </c>
      <c r="S510" s="13">
        <v>10.7553</v>
      </c>
      <c r="T510" s="13">
        <v>10.7394</v>
      </c>
      <c r="U510" s="13">
        <v>10.7247</v>
      </c>
      <c r="V510" s="13">
        <v>10.7072</v>
      </c>
      <c r="W510" s="13">
        <v>10.7017</v>
      </c>
      <c r="X510" s="13">
        <v>10.6636</v>
      </c>
      <c r="Y510" s="13">
        <v>10.5141</v>
      </c>
      <c r="Z510" s="13">
        <v>10.5387</v>
      </c>
      <c r="AA510" s="13">
        <v>10.97</v>
      </c>
      <c r="AB510" s="13">
        <v>41.9984</v>
      </c>
      <c r="AC510" s="13">
        <v>0.2562</v>
      </c>
      <c r="AD510" s="13">
        <v>3.4268</v>
      </c>
      <c r="AE510" s="13">
        <v>0.0</v>
      </c>
      <c r="AF510" s="13">
        <v>0.0</v>
      </c>
      <c r="AG510" s="13">
        <v>0.0226</v>
      </c>
      <c r="AH510" s="13">
        <v>0.9101</v>
      </c>
      <c r="AI510" s="13">
        <v>0.2841</v>
      </c>
      <c r="AJ510" s="11">
        <v>0.76</v>
      </c>
      <c r="AK510" s="8" t="s">
        <v>2238</v>
      </c>
      <c r="AL510" s="14">
        <f>IFERROR(__xludf.DUMMYFUNCTION("IFERROR(GOOGLEFINANCE(B510,""price""),"""")"),10.78)</f>
        <v>10.78</v>
      </c>
    </row>
    <row r="511">
      <c r="A511" s="15">
        <v>46105.66950590944</v>
      </c>
      <c r="B511" s="16" t="s">
        <v>1459</v>
      </c>
      <c r="C511" s="16" t="s">
        <v>1460</v>
      </c>
      <c r="D511" s="17">
        <v>46110.0</v>
      </c>
      <c r="E511" s="16" t="s">
        <v>1461</v>
      </c>
      <c r="F511" s="18">
        <v>24.7</v>
      </c>
      <c r="G511" s="19">
        <v>0.2435</v>
      </c>
      <c r="H511" s="16" t="s">
        <v>93</v>
      </c>
      <c r="I511" s="20">
        <v>1208576.0</v>
      </c>
      <c r="J511" s="19">
        <v>36.055</v>
      </c>
      <c r="K511" s="21">
        <v>0.1374</v>
      </c>
      <c r="L511" s="21">
        <v>0.2752</v>
      </c>
      <c r="M511" s="21">
        <v>779143.3</v>
      </c>
      <c r="N511" s="21">
        <v>1.6875</v>
      </c>
      <c r="O511" s="20">
        <v>1.269916947E9</v>
      </c>
      <c r="P511" s="21">
        <v>61.0745</v>
      </c>
      <c r="Q511" s="21">
        <v>43.1348</v>
      </c>
      <c r="R511" s="19">
        <v>61.0863</v>
      </c>
      <c r="S511" s="21">
        <v>24.5968</v>
      </c>
      <c r="T511" s="21">
        <v>24.5518</v>
      </c>
      <c r="U511" s="21">
        <v>24.498</v>
      </c>
      <c r="V511" s="21">
        <v>24.4337</v>
      </c>
      <c r="W511" s="21">
        <v>24.4147</v>
      </c>
      <c r="X511" s="21">
        <v>24.2764</v>
      </c>
      <c r="Y511" s="21">
        <v>23.3686</v>
      </c>
      <c r="Z511" s="21">
        <v>23.9698</v>
      </c>
      <c r="AA511" s="21">
        <v>24.81</v>
      </c>
      <c r="AB511" s="21">
        <v>25.1374</v>
      </c>
      <c r="AC511" s="21">
        <v>0.9826</v>
      </c>
      <c r="AD511" s="21">
        <v>3.992</v>
      </c>
      <c r="AE511" s="21">
        <v>9.0872</v>
      </c>
      <c r="AF511" s="21">
        <v>-4.5528</v>
      </c>
      <c r="AG511" s="21">
        <v>0.3225</v>
      </c>
      <c r="AH511" s="21">
        <v>0.3146</v>
      </c>
      <c r="AI511" s="21">
        <v>0.4002</v>
      </c>
      <c r="AJ511" s="19">
        <v>1.0</v>
      </c>
      <c r="AK511" s="16" t="s">
        <v>1267</v>
      </c>
      <c r="AL511" s="22">
        <f>IFERROR(__xludf.DUMMYFUNCTION("IFERROR(GOOGLEFINANCE(B511,""price""),"""")"),24.38)</f>
        <v>24.38</v>
      </c>
    </row>
    <row r="512">
      <c r="A512" s="7">
        <v>46105.66950590944</v>
      </c>
      <c r="B512" s="8" t="s">
        <v>2239</v>
      </c>
      <c r="C512" s="8" t="s">
        <v>2240</v>
      </c>
      <c r="D512" s="9">
        <v>46110.0</v>
      </c>
      <c r="E512" s="8" t="s">
        <v>2241</v>
      </c>
      <c r="F512" s="10">
        <v>352.52</v>
      </c>
      <c r="G512" s="11">
        <v>6.7595</v>
      </c>
      <c r="H512" s="8" t="s">
        <v>308</v>
      </c>
      <c r="I512" s="12">
        <v>340105.0</v>
      </c>
      <c r="J512" s="11">
        <v>20.5263</v>
      </c>
      <c r="K512" s="13">
        <v>15.4342</v>
      </c>
      <c r="L512" s="13">
        <v>27.2396</v>
      </c>
      <c r="M512" s="13">
        <v>248783.0</v>
      </c>
      <c r="N512" s="13">
        <v>1.3369</v>
      </c>
      <c r="O512" s="12">
        <v>8.85095744E9</v>
      </c>
      <c r="P512" s="13">
        <v>69.5194</v>
      </c>
      <c r="Q512" s="13">
        <v>61.3109</v>
      </c>
      <c r="R512" s="11">
        <v>58.7212</v>
      </c>
      <c r="S512" s="13">
        <v>334.337</v>
      </c>
      <c r="T512" s="13">
        <v>334.364</v>
      </c>
      <c r="U512" s="13">
        <v>331.3164</v>
      </c>
      <c r="V512" s="13">
        <v>324.3246</v>
      </c>
      <c r="W512" s="13">
        <v>321.9985</v>
      </c>
      <c r="X512" s="13">
        <v>307.6333</v>
      </c>
      <c r="Y512" s="13">
        <v>279.9345</v>
      </c>
      <c r="Z512" s="13">
        <v>270.0043</v>
      </c>
      <c r="AA512" s="13">
        <v>380.0</v>
      </c>
      <c r="AB512" s="13">
        <v>0.0</v>
      </c>
      <c r="AC512" s="13">
        <v>-2.9033</v>
      </c>
      <c r="AD512" s="13">
        <v>-2.9632</v>
      </c>
      <c r="AE512" s="13">
        <v>14.9708</v>
      </c>
      <c r="AF512" s="13">
        <v>8.9249</v>
      </c>
      <c r="AG512" s="13">
        <v>0.3652</v>
      </c>
      <c r="AH512" s="13">
        <v>2.6941</v>
      </c>
      <c r="AI512" s="13">
        <v>0.8569</v>
      </c>
      <c r="AJ512" s="11">
        <v>1.13</v>
      </c>
      <c r="AK512" s="8" t="s">
        <v>1283</v>
      </c>
      <c r="AL512" s="14">
        <f>IFERROR(__xludf.DUMMYFUNCTION("IFERROR(GOOGLEFINANCE(B512,""price""),"""")"),382.87)</f>
        <v>382.87</v>
      </c>
    </row>
    <row r="513">
      <c r="A513" s="15">
        <v>46105.66950590944</v>
      </c>
      <c r="B513" s="16" t="s">
        <v>2242</v>
      </c>
      <c r="C513" s="16" t="s">
        <v>2243</v>
      </c>
      <c r="D513" s="17">
        <v>46110.0</v>
      </c>
      <c r="E513" s="16" t="s">
        <v>2244</v>
      </c>
      <c r="F513" s="18">
        <v>149.59</v>
      </c>
      <c r="G513" s="19">
        <v>2.1929</v>
      </c>
      <c r="H513" s="16" t="s">
        <v>335</v>
      </c>
      <c r="I513" s="20">
        <v>2910828.0</v>
      </c>
      <c r="J513" s="19">
        <v>27.3438</v>
      </c>
      <c r="K513" s="21">
        <v>6.7693</v>
      </c>
      <c r="L513" s="21">
        <v>10.3569</v>
      </c>
      <c r="M513" s="16">
        <v>2055057.0</v>
      </c>
      <c r="N513" s="21">
        <v>1.4915</v>
      </c>
      <c r="O513" s="20">
        <v>2.0484300986E10</v>
      </c>
      <c r="P513" s="21">
        <v>26.8311</v>
      </c>
      <c r="Q513" s="21">
        <v>23.9277</v>
      </c>
      <c r="R513" s="19">
        <v>51.7003</v>
      </c>
      <c r="S513" s="21">
        <v>148.025</v>
      </c>
      <c r="T513" s="21">
        <v>149.0656</v>
      </c>
      <c r="U513" s="21">
        <v>146.1285</v>
      </c>
      <c r="V513" s="21">
        <v>141.1443</v>
      </c>
      <c r="W513" s="21">
        <v>139.5569</v>
      </c>
      <c r="X513" s="21">
        <v>129.7072</v>
      </c>
      <c r="Y513" s="21">
        <v>108.7214</v>
      </c>
      <c r="Z513" s="21">
        <v>102.759</v>
      </c>
      <c r="AA513" s="21">
        <v>168.1425</v>
      </c>
      <c r="AB513" s="21">
        <v>52.4454</v>
      </c>
      <c r="AC513" s="21">
        <v>2.8523</v>
      </c>
      <c r="AD513" s="21">
        <v>22.1237</v>
      </c>
      <c r="AE513" s="21">
        <v>14.0319</v>
      </c>
      <c r="AF513" s="21">
        <v>5.1649</v>
      </c>
      <c r="AG513" s="21">
        <v>1.0306</v>
      </c>
      <c r="AH513" s="21">
        <v>2.6632</v>
      </c>
      <c r="AI513" s="21">
        <v>1.2678</v>
      </c>
      <c r="AJ513" s="19">
        <v>1.31</v>
      </c>
      <c r="AK513" s="16" t="s">
        <v>1712</v>
      </c>
      <c r="AL513" s="22">
        <f>IFERROR(__xludf.DUMMYFUNCTION("IFERROR(GOOGLEFINANCE(B513,""price""),"""")"),162.21)</f>
        <v>162.21</v>
      </c>
    </row>
    <row r="514">
      <c r="A514" s="7">
        <v>46105.66950590944</v>
      </c>
      <c r="B514" s="8" t="s">
        <v>2245</v>
      </c>
      <c r="C514" s="8" t="s">
        <v>2246</v>
      </c>
      <c r="D514" s="9">
        <v>46110.0</v>
      </c>
      <c r="E514" s="8" t="s">
        <v>2247</v>
      </c>
      <c r="F514" s="10">
        <v>13.35</v>
      </c>
      <c r="G514" s="11">
        <v>7.0569</v>
      </c>
      <c r="H514" s="8" t="s">
        <v>162</v>
      </c>
      <c r="I514" s="12">
        <v>355464.0</v>
      </c>
      <c r="J514" s="11">
        <v>26.9286</v>
      </c>
      <c r="K514" s="13">
        <v>0.7013</v>
      </c>
      <c r="L514" s="13">
        <v>1.0214</v>
      </c>
      <c r="M514" s="13">
        <v>252182.1</v>
      </c>
      <c r="N514" s="13">
        <v>1.4244</v>
      </c>
      <c r="O514" s="12">
        <v>2.81873209E8</v>
      </c>
      <c r="P514" s="13">
        <v>23.5274</v>
      </c>
      <c r="Q514" s="13">
        <v>18.5011</v>
      </c>
      <c r="R514" s="11">
        <v>55.7356</v>
      </c>
      <c r="S514" s="13">
        <v>12.8029</v>
      </c>
      <c r="T514" s="13">
        <v>12.8904</v>
      </c>
      <c r="U514" s="13">
        <v>12.5958</v>
      </c>
      <c r="V514" s="13">
        <v>12.1529</v>
      </c>
      <c r="W514" s="13">
        <v>12.0208</v>
      </c>
      <c r="X514" s="13">
        <v>11.2496</v>
      </c>
      <c r="Y514" s="13">
        <v>9.8352</v>
      </c>
      <c r="Z514" s="13">
        <v>9.1313</v>
      </c>
      <c r="AA514" s="13">
        <v>14.93</v>
      </c>
      <c r="AB514" s="13">
        <v>13.3982</v>
      </c>
      <c r="AC514" s="13">
        <v>0.9964</v>
      </c>
      <c r="AD514" s="13">
        <v>7.6503</v>
      </c>
      <c r="AE514" s="13">
        <v>25.9951</v>
      </c>
      <c r="AF514" s="13">
        <v>-5.5894</v>
      </c>
      <c r="AG514" s="13">
        <v>1.0312</v>
      </c>
      <c r="AH514" s="13">
        <v>0.0</v>
      </c>
      <c r="AI514" s="13">
        <v>1.5513</v>
      </c>
      <c r="AJ514" s="11">
        <v>1.37</v>
      </c>
      <c r="AK514" s="8" t="s">
        <v>1712</v>
      </c>
      <c r="AL514" s="14">
        <f>IFERROR(__xludf.DUMMYFUNCTION("IFERROR(GOOGLEFINANCE(B514,""price""),"""")"),14.34)</f>
        <v>14.34</v>
      </c>
    </row>
    <row r="515">
      <c r="A515" s="15">
        <v>46105.66950590944</v>
      </c>
      <c r="B515" s="16" t="s">
        <v>1649</v>
      </c>
      <c r="C515" s="16" t="s">
        <v>1650</v>
      </c>
      <c r="D515" s="17">
        <v>46110.0</v>
      </c>
      <c r="E515" s="16" t="s">
        <v>1651</v>
      </c>
      <c r="F515" s="18">
        <v>52.1</v>
      </c>
      <c r="G515" s="19">
        <v>2.6803</v>
      </c>
      <c r="H515" s="16" t="s">
        <v>93</v>
      </c>
      <c r="I515" s="20">
        <v>1.1468344E7</v>
      </c>
      <c r="J515" s="19">
        <v>31.7043</v>
      </c>
      <c r="K515" s="21">
        <v>0.8739</v>
      </c>
      <c r="L515" s="21">
        <v>1.7789</v>
      </c>
      <c r="M515" s="16">
        <v>5233725.0</v>
      </c>
      <c r="N515" s="21">
        <v>2.671</v>
      </c>
      <c r="O515" s="20">
        <v>8.027339406E9</v>
      </c>
      <c r="P515" s="21">
        <v>46.6786</v>
      </c>
      <c r="Q515" s="21">
        <v>41.9812</v>
      </c>
      <c r="R515" s="19">
        <v>63.0531</v>
      </c>
      <c r="S515" s="21">
        <v>51.1479</v>
      </c>
      <c r="T515" s="21">
        <v>50.7758</v>
      </c>
      <c r="U515" s="21">
        <v>50.2597</v>
      </c>
      <c r="V515" s="21">
        <v>49.6034</v>
      </c>
      <c r="W515" s="21">
        <v>49.406</v>
      </c>
      <c r="X515" s="21">
        <v>48.1939</v>
      </c>
      <c r="Y515" s="21">
        <v>45.3853</v>
      </c>
      <c r="Z515" s="21">
        <v>44.7667</v>
      </c>
      <c r="AA515" s="21">
        <v>53.76</v>
      </c>
      <c r="AB515" s="21">
        <v>9.9208</v>
      </c>
      <c r="AC515" s="21">
        <v>5.2516</v>
      </c>
      <c r="AD515" s="21">
        <v>16.4455</v>
      </c>
      <c r="AE515" s="21">
        <v>35.2147</v>
      </c>
      <c r="AF515" s="21">
        <v>26.6826</v>
      </c>
      <c r="AG515" s="21">
        <v>0.096</v>
      </c>
      <c r="AH515" s="21">
        <v>4.1799</v>
      </c>
      <c r="AI515" s="21">
        <v>1.7047</v>
      </c>
      <c r="AJ515" s="19">
        <v>0.98</v>
      </c>
      <c r="AK515" s="16" t="s">
        <v>2248</v>
      </c>
      <c r="AL515" s="22">
        <f>IFERROR(__xludf.DUMMYFUNCTION("IFERROR(GOOGLEFINANCE(B515,""price""),"""")"),51.62)</f>
        <v>51.62</v>
      </c>
    </row>
    <row r="516">
      <c r="A516" s="7">
        <v>46105.66950590944</v>
      </c>
      <c r="B516" s="8" t="s">
        <v>2197</v>
      </c>
      <c r="C516" s="8" t="s">
        <v>2198</v>
      </c>
      <c r="D516" s="9">
        <v>46110.0</v>
      </c>
      <c r="E516" s="8" t="s">
        <v>2199</v>
      </c>
      <c r="F516" s="10">
        <v>185.01</v>
      </c>
      <c r="G516" s="11">
        <v>1.4754</v>
      </c>
      <c r="H516" s="8" t="s">
        <v>117</v>
      </c>
      <c r="I516" s="12">
        <v>1392374.0</v>
      </c>
      <c r="J516" s="11">
        <v>21.2559</v>
      </c>
      <c r="K516" s="13">
        <v>5.2375</v>
      </c>
      <c r="L516" s="13">
        <v>10.5074</v>
      </c>
      <c r="M516" s="13">
        <v>817415.0</v>
      </c>
      <c r="N516" s="13">
        <v>1.7587</v>
      </c>
      <c r="O516" s="12">
        <v>1.1389281241E10</v>
      </c>
      <c r="P516" s="13">
        <v>45.3552</v>
      </c>
      <c r="Q516" s="13">
        <v>36.1495</v>
      </c>
      <c r="R516" s="11">
        <v>58.0812</v>
      </c>
      <c r="S516" s="13">
        <v>182.4784</v>
      </c>
      <c r="T516" s="13">
        <v>181.1381</v>
      </c>
      <c r="U516" s="13">
        <v>178.806</v>
      </c>
      <c r="V516" s="13">
        <v>175.8904</v>
      </c>
      <c r="W516" s="13">
        <v>174.9669</v>
      </c>
      <c r="X516" s="13">
        <v>168.6403</v>
      </c>
      <c r="Y516" s="13">
        <v>152.792</v>
      </c>
      <c r="Z516" s="13">
        <v>144.7803</v>
      </c>
      <c r="AA516" s="13">
        <v>198.0</v>
      </c>
      <c r="AB516" s="13">
        <v>0.0</v>
      </c>
      <c r="AC516" s="13">
        <v>-5.9701</v>
      </c>
      <c r="AD516" s="13">
        <v>-8.4673</v>
      </c>
      <c r="AE516" s="13">
        <v>13.5702</v>
      </c>
      <c r="AF516" s="13">
        <v>4.8818</v>
      </c>
      <c r="AG516" s="13">
        <v>1.2567</v>
      </c>
      <c r="AH516" s="13">
        <v>1.8577</v>
      </c>
      <c r="AI516" s="13">
        <v>1.985</v>
      </c>
      <c r="AJ516" s="11">
        <v>1.0</v>
      </c>
      <c r="AK516" s="23"/>
      <c r="AL516" s="14">
        <f>IFERROR(__xludf.DUMMYFUNCTION("IFERROR(GOOGLEFINANCE(B516,""price""),"""")"),194.2)</f>
        <v>194.2</v>
      </c>
    </row>
    <row r="517">
      <c r="A517" s="7">
        <v>46106.667395041004</v>
      </c>
      <c r="B517" s="8" t="s">
        <v>2249</v>
      </c>
      <c r="C517" s="8" t="s">
        <v>2250</v>
      </c>
      <c r="D517" s="9">
        <v>46110.0</v>
      </c>
      <c r="E517" s="8" t="s">
        <v>2251</v>
      </c>
      <c r="F517" s="10">
        <v>24.99</v>
      </c>
      <c r="G517" s="11">
        <v>2.0833</v>
      </c>
      <c r="H517" s="8" t="s">
        <v>286</v>
      </c>
      <c r="I517" s="12">
        <v>5844769.0</v>
      </c>
      <c r="J517" s="11">
        <v>24.382</v>
      </c>
      <c r="K517" s="13">
        <v>0.7008</v>
      </c>
      <c r="L517" s="13">
        <v>1.2431</v>
      </c>
      <c r="M517" s="8">
        <v>2092439.0</v>
      </c>
      <c r="N517" s="13">
        <v>3.6638</v>
      </c>
      <c r="O517" s="12">
        <v>9.823886988E9</v>
      </c>
      <c r="P517" s="13">
        <v>56.7746</v>
      </c>
      <c r="Q517" s="13">
        <v>36.5561</v>
      </c>
      <c r="R517" s="11">
        <v>61.8172</v>
      </c>
      <c r="S517" s="13">
        <v>23.9914</v>
      </c>
      <c r="T517" s="13">
        <v>24.0001</v>
      </c>
      <c r="U517" s="13">
        <v>23.9815</v>
      </c>
      <c r="V517" s="13">
        <v>23.8543</v>
      </c>
      <c r="W517" s="13">
        <v>23.8105</v>
      </c>
      <c r="X517" s="13">
        <v>23.5617</v>
      </c>
      <c r="Y517" s="13">
        <v>23.0276</v>
      </c>
      <c r="Z517" s="13">
        <v>23.4163</v>
      </c>
      <c r="AA517" s="13">
        <v>26.065</v>
      </c>
      <c r="AB517" s="13">
        <v>9.936</v>
      </c>
      <c r="AC517" s="13">
        <v>2.5151</v>
      </c>
      <c r="AD517" s="13">
        <v>15.6233</v>
      </c>
      <c r="AE517" s="13">
        <v>8.8811</v>
      </c>
      <c r="AF517" s="13">
        <v>10.2136</v>
      </c>
      <c r="AG517" s="13">
        <v>0.3523</v>
      </c>
      <c r="AH517" s="13">
        <v>2.9673</v>
      </c>
      <c r="AI517" s="13">
        <v>0.0396</v>
      </c>
      <c r="AJ517" s="11">
        <v>1.13</v>
      </c>
      <c r="AK517" s="8" t="s">
        <v>1785</v>
      </c>
      <c r="AL517" s="14">
        <f>IFERROR(__xludf.DUMMYFUNCTION("IFERROR(GOOGLEFINANCE(B517,""price""),"""")"),29.22)</f>
        <v>29.22</v>
      </c>
    </row>
    <row r="518">
      <c r="A518" s="15">
        <v>46106.667395041004</v>
      </c>
      <c r="B518" s="16" t="s">
        <v>1862</v>
      </c>
      <c r="C518" s="16" t="s">
        <v>1863</v>
      </c>
      <c r="D518" s="17">
        <v>46110.0</v>
      </c>
      <c r="E518" s="16" t="s">
        <v>1864</v>
      </c>
      <c r="F518" s="18">
        <v>10.745</v>
      </c>
      <c r="G518" s="19">
        <v>0.4206</v>
      </c>
      <c r="H518" s="16" t="s">
        <v>93</v>
      </c>
      <c r="I518" s="20">
        <v>1132247.0</v>
      </c>
      <c r="J518" s="19">
        <v>43.5913</v>
      </c>
      <c r="K518" s="21">
        <v>0.0448</v>
      </c>
      <c r="L518" s="21">
        <v>0.1507</v>
      </c>
      <c r="M518" s="21">
        <v>125529.4</v>
      </c>
      <c r="N518" s="21">
        <v>45.9432</v>
      </c>
      <c r="O518" s="20">
        <v>3.8614843E8</v>
      </c>
      <c r="P518" s="21">
        <v>63.0556</v>
      </c>
      <c r="Q518" s="21">
        <v>49.537</v>
      </c>
      <c r="R518" s="19">
        <v>56.4001</v>
      </c>
      <c r="S518" s="21">
        <v>10.71</v>
      </c>
      <c r="T518" s="21">
        <v>10.7023</v>
      </c>
      <c r="U518" s="21">
        <v>10.6951</v>
      </c>
      <c r="V518" s="21">
        <v>10.6872</v>
      </c>
      <c r="W518" s="21">
        <v>10.6851</v>
      </c>
      <c r="X518" s="21">
        <v>10.6758</v>
      </c>
      <c r="Y518" s="21">
        <v>10.6151</v>
      </c>
      <c r="Z518" s="21">
        <v>10.7807</v>
      </c>
      <c r="AA518" s="21">
        <v>13.73</v>
      </c>
      <c r="AB518" s="21">
        <v>66.8221</v>
      </c>
      <c r="AC518" s="21">
        <v>0.1608</v>
      </c>
      <c r="AD518" s="21">
        <v>2.0306</v>
      </c>
      <c r="AE518" s="21">
        <v>0.0</v>
      </c>
      <c r="AF518" s="21">
        <v>0.0</v>
      </c>
      <c r="AG518" s="21">
        <v>0.0087</v>
      </c>
      <c r="AH518" s="21">
        <v>0.1782</v>
      </c>
      <c r="AI518" s="21">
        <v>0.1387</v>
      </c>
      <c r="AJ518" s="19">
        <v>0.59</v>
      </c>
      <c r="AK518" s="16" t="s">
        <v>2252</v>
      </c>
      <c r="AL518" s="22">
        <f>IFERROR(__xludf.DUMMYFUNCTION("IFERROR(GOOGLEFINANCE(B518,""price""),"""")"),10.87)</f>
        <v>10.87</v>
      </c>
    </row>
    <row r="519">
      <c r="A519" s="7">
        <v>46106.667395041004</v>
      </c>
      <c r="B519" s="8" t="s">
        <v>2253</v>
      </c>
      <c r="C519" s="8" t="s">
        <v>2254</v>
      </c>
      <c r="D519" s="9">
        <v>46110.0</v>
      </c>
      <c r="E519" s="8" t="s">
        <v>2255</v>
      </c>
      <c r="F519" s="10">
        <v>14.06</v>
      </c>
      <c r="G519" s="11">
        <v>3.0792</v>
      </c>
      <c r="H519" s="8" t="s">
        <v>117</v>
      </c>
      <c r="I519" s="12">
        <v>1159686.0</v>
      </c>
      <c r="J519" s="11">
        <v>20.3947</v>
      </c>
      <c r="K519" s="13">
        <v>0.9799</v>
      </c>
      <c r="L519" s="13">
        <v>1.891</v>
      </c>
      <c r="M519" s="13">
        <v>908138.8</v>
      </c>
      <c r="N519" s="13">
        <v>1.342</v>
      </c>
      <c r="O519" s="12">
        <v>8.50997419E8</v>
      </c>
      <c r="P519" s="13">
        <v>26.0287</v>
      </c>
      <c r="Q519" s="13">
        <v>15.4238</v>
      </c>
      <c r="R519" s="11">
        <v>53.3708</v>
      </c>
      <c r="S519" s="13">
        <v>13.5764</v>
      </c>
      <c r="T519" s="13">
        <v>13.7783</v>
      </c>
      <c r="U519" s="13">
        <v>13.5423</v>
      </c>
      <c r="V519" s="13">
        <v>13.1014</v>
      </c>
      <c r="W519" s="13">
        <v>12.9585</v>
      </c>
      <c r="X519" s="13">
        <v>12.0817</v>
      </c>
      <c r="Y519" s="13">
        <v>10.8253</v>
      </c>
      <c r="Z519" s="13">
        <v>9.4969</v>
      </c>
      <c r="AA519" s="13">
        <v>16.74</v>
      </c>
      <c r="AB519" s="13">
        <v>0.0</v>
      </c>
      <c r="AC519" s="13">
        <v>-3.7238</v>
      </c>
      <c r="AD519" s="13">
        <v>-44.0173</v>
      </c>
      <c r="AE519" s="13">
        <v>0.0</v>
      </c>
      <c r="AF519" s="13">
        <v>0.0</v>
      </c>
      <c r="AG519" s="13">
        <v>0.0066</v>
      </c>
      <c r="AH519" s="13">
        <v>10.2476</v>
      </c>
      <c r="AI519" s="13">
        <v>0.2424</v>
      </c>
      <c r="AJ519" s="11">
        <v>1.04</v>
      </c>
      <c r="AK519" s="8" t="s">
        <v>1267</v>
      </c>
      <c r="AL519" s="14">
        <f>IFERROR(__xludf.DUMMYFUNCTION("IFERROR(GOOGLEFINANCE(B519,""price""),"""")"),14.54)</f>
        <v>14.54</v>
      </c>
    </row>
    <row r="520">
      <c r="A520" s="15">
        <v>46106.667395041004</v>
      </c>
      <c r="B520" s="16" t="s">
        <v>2256</v>
      </c>
      <c r="C520" s="16" t="s">
        <v>2257</v>
      </c>
      <c r="D520" s="17">
        <v>46110.0</v>
      </c>
      <c r="E520" s="16" t="s">
        <v>2258</v>
      </c>
      <c r="F520" s="18">
        <v>118.52</v>
      </c>
      <c r="G520" s="19">
        <v>9.9341</v>
      </c>
      <c r="H520" s="16" t="s">
        <v>308</v>
      </c>
      <c r="I520" s="20">
        <v>1283867.0</v>
      </c>
      <c r="J520" s="19">
        <v>33.1963</v>
      </c>
      <c r="K520" s="21">
        <v>5.4223</v>
      </c>
      <c r="L520" s="21">
        <v>8.3922</v>
      </c>
      <c r="M520" s="21">
        <v>709790.8</v>
      </c>
      <c r="N520" s="21">
        <v>2.1076</v>
      </c>
      <c r="O520" s="20">
        <v>4.690133299E9</v>
      </c>
      <c r="P520" s="21">
        <v>49.0715</v>
      </c>
      <c r="Q520" s="21">
        <v>33.3296</v>
      </c>
      <c r="R520" s="19">
        <v>61.8971</v>
      </c>
      <c r="S520" s="21">
        <v>109.0713</v>
      </c>
      <c r="T520" s="21">
        <v>109.3397</v>
      </c>
      <c r="U520" s="21">
        <v>108.7201</v>
      </c>
      <c r="V520" s="21">
        <v>106.6876</v>
      </c>
      <c r="W520" s="21">
        <v>105.9549</v>
      </c>
      <c r="X520" s="21">
        <v>101.0455</v>
      </c>
      <c r="Y520" s="21">
        <v>89.8942</v>
      </c>
      <c r="Z520" s="21">
        <v>86.5975</v>
      </c>
      <c r="AA520" s="21">
        <v>122.97</v>
      </c>
      <c r="AB520" s="21">
        <v>26.1553</v>
      </c>
      <c r="AC520" s="21">
        <v>4.5314</v>
      </c>
      <c r="AD520" s="21">
        <v>12.1019</v>
      </c>
      <c r="AE520" s="21">
        <v>8.751</v>
      </c>
      <c r="AF520" s="21">
        <v>16.85</v>
      </c>
      <c r="AG520" s="21">
        <v>0.5961</v>
      </c>
      <c r="AH520" s="21">
        <v>2.7009</v>
      </c>
      <c r="AI520" s="21">
        <v>0.2963</v>
      </c>
      <c r="AJ520" s="19">
        <v>1.29</v>
      </c>
      <c r="AK520" s="16" t="s">
        <v>2259</v>
      </c>
      <c r="AL520" s="22">
        <f>IFERROR(__xludf.DUMMYFUNCTION("IFERROR(GOOGLEFINANCE(B520,""price""),"""")"),120.83)</f>
        <v>120.83</v>
      </c>
    </row>
    <row r="521">
      <c r="A521" s="7">
        <v>46106.667395041004</v>
      </c>
      <c r="B521" s="8" t="s">
        <v>2260</v>
      </c>
      <c r="C521" s="8" t="s">
        <v>2261</v>
      </c>
      <c r="D521" s="9">
        <v>46110.0</v>
      </c>
      <c r="E521" s="8" t="s">
        <v>2262</v>
      </c>
      <c r="F521" s="10">
        <v>205.16</v>
      </c>
      <c r="G521" s="11">
        <v>-1.9359</v>
      </c>
      <c r="H521" s="8" t="s">
        <v>102</v>
      </c>
      <c r="I521" s="12">
        <v>3718623.0</v>
      </c>
      <c r="J521" s="11">
        <v>22.0079</v>
      </c>
      <c r="K521" s="13">
        <v>11.2099</v>
      </c>
      <c r="L521" s="13">
        <v>18.9115</v>
      </c>
      <c r="M521" s="8">
        <v>1281091.0</v>
      </c>
      <c r="N521" s="13">
        <v>3.8129</v>
      </c>
      <c r="O521" s="12">
        <v>1.2037933059E10</v>
      </c>
      <c r="P521" s="13">
        <v>48.2253</v>
      </c>
      <c r="Q521" s="13">
        <v>34.8521</v>
      </c>
      <c r="R521" s="11">
        <v>49.4737</v>
      </c>
      <c r="S521" s="13">
        <v>204.6602</v>
      </c>
      <c r="T521" s="13">
        <v>206.7772</v>
      </c>
      <c r="U521" s="13">
        <v>203.6602</v>
      </c>
      <c r="V521" s="13">
        <v>198.1121</v>
      </c>
      <c r="W521" s="13">
        <v>196.4938</v>
      </c>
      <c r="X521" s="13">
        <v>187.9467</v>
      </c>
      <c r="Y521" s="13">
        <v>173.8728</v>
      </c>
      <c r="Z521" s="13">
        <v>172.3091</v>
      </c>
      <c r="AA521" s="13">
        <v>241.091</v>
      </c>
      <c r="AB521" s="13">
        <v>76.3443</v>
      </c>
      <c r="AC521" s="13">
        <v>2.6873</v>
      </c>
      <c r="AD521" s="13">
        <v>6.2244</v>
      </c>
      <c r="AE521" s="13">
        <v>7.044</v>
      </c>
      <c r="AF521" s="13">
        <v>-2.0179</v>
      </c>
      <c r="AG521" s="13">
        <v>0.5261</v>
      </c>
      <c r="AH521" s="13">
        <v>2.0262</v>
      </c>
      <c r="AI521" s="13">
        <v>0.4874</v>
      </c>
      <c r="AJ521" s="11">
        <v>1.19</v>
      </c>
      <c r="AK521" s="8" t="s">
        <v>1933</v>
      </c>
      <c r="AL521" s="14">
        <f>IFERROR(__xludf.DUMMYFUNCTION("IFERROR(GOOGLEFINANCE(B521,""price""),"""")"),207.03)</f>
        <v>207.03</v>
      </c>
    </row>
    <row r="522">
      <c r="A522" s="15">
        <v>46106.667395041004</v>
      </c>
      <c r="B522" s="16" t="s">
        <v>2263</v>
      </c>
      <c r="C522" s="16" t="s">
        <v>2264</v>
      </c>
      <c r="D522" s="17">
        <v>46110.0</v>
      </c>
      <c r="E522" s="16" t="s">
        <v>2265</v>
      </c>
      <c r="F522" s="18">
        <v>22.54</v>
      </c>
      <c r="G522" s="19">
        <v>1.167</v>
      </c>
      <c r="H522" s="16" t="s">
        <v>270</v>
      </c>
      <c r="I522" s="20">
        <v>1297111.0</v>
      </c>
      <c r="J522" s="19">
        <v>29.3752</v>
      </c>
      <c r="K522" s="21">
        <v>1.0749</v>
      </c>
      <c r="L522" s="21">
        <v>1.9281</v>
      </c>
      <c r="M522" s="16">
        <v>1153034.0</v>
      </c>
      <c r="N522" s="21">
        <v>1.2264</v>
      </c>
      <c r="O522" s="20">
        <v>2.053790826E9</v>
      </c>
      <c r="P522" s="21">
        <v>28.9974</v>
      </c>
      <c r="Q522" s="21">
        <v>29.2257</v>
      </c>
      <c r="R522" s="19">
        <v>49.6396</v>
      </c>
      <c r="S522" s="21">
        <v>22.6392</v>
      </c>
      <c r="T522" s="21">
        <v>22.7102</v>
      </c>
      <c r="U522" s="21">
        <v>22.4037</v>
      </c>
      <c r="V522" s="21">
        <v>21.8817</v>
      </c>
      <c r="W522" s="21">
        <v>21.7165</v>
      </c>
      <c r="X522" s="21">
        <v>20.7866</v>
      </c>
      <c r="Y522" s="21">
        <v>20.2974</v>
      </c>
      <c r="Z522" s="21">
        <v>18.2675</v>
      </c>
      <c r="AA522" s="21">
        <v>26.116</v>
      </c>
      <c r="AB522" s="21">
        <v>48.9468</v>
      </c>
      <c r="AC522" s="21">
        <v>0.4605</v>
      </c>
      <c r="AD522" s="21">
        <v>7.7544</v>
      </c>
      <c r="AE522" s="21">
        <v>19.7118</v>
      </c>
      <c r="AF522" s="21">
        <v>0.0</v>
      </c>
      <c r="AG522" s="21">
        <v>0.9157</v>
      </c>
      <c r="AH522" s="21">
        <v>3.3353</v>
      </c>
      <c r="AI522" s="21">
        <v>1.0448</v>
      </c>
      <c r="AJ522" s="19">
        <v>1.11</v>
      </c>
      <c r="AK522" s="24"/>
      <c r="AL522" s="22">
        <f>IFERROR(__xludf.DUMMYFUNCTION("IFERROR(GOOGLEFINANCE(B522,""price""),"""")"),22.79)</f>
        <v>22.79</v>
      </c>
    </row>
    <row r="523">
      <c r="A523" s="7">
        <v>46106.667395041004</v>
      </c>
      <c r="B523" s="8" t="s">
        <v>2266</v>
      </c>
      <c r="C523" s="8" t="s">
        <v>2267</v>
      </c>
      <c r="D523" s="9">
        <v>46110.0</v>
      </c>
      <c r="E523" s="8" t="s">
        <v>2268</v>
      </c>
      <c r="F523" s="10">
        <v>5.0</v>
      </c>
      <c r="G523" s="11">
        <v>9.6491</v>
      </c>
      <c r="H523" s="8" t="s">
        <v>335</v>
      </c>
      <c r="I523" s="12">
        <v>507275.0</v>
      </c>
      <c r="J523" s="11">
        <v>26.3106</v>
      </c>
      <c r="K523" s="13">
        <v>0.2679</v>
      </c>
      <c r="L523" s="13">
        <v>0.5736</v>
      </c>
      <c r="M523" s="13">
        <v>357663.6</v>
      </c>
      <c r="N523" s="13">
        <v>1.5093</v>
      </c>
      <c r="O523" s="12">
        <v>2.17690942E8</v>
      </c>
      <c r="P523" s="13">
        <v>95.7245</v>
      </c>
      <c r="Q523" s="13">
        <v>87.5128</v>
      </c>
      <c r="R523" s="11">
        <v>65.9912</v>
      </c>
      <c r="S523" s="13">
        <v>4.4514</v>
      </c>
      <c r="T523" s="13">
        <v>4.378</v>
      </c>
      <c r="U523" s="13">
        <v>4.3903</v>
      </c>
      <c r="V523" s="13">
        <v>4.3231</v>
      </c>
      <c r="W523" s="13">
        <v>4.2898</v>
      </c>
      <c r="X523" s="13">
        <v>4.0164</v>
      </c>
      <c r="Y523" s="13">
        <v>3.3442</v>
      </c>
      <c r="Z523" s="13">
        <v>2.9627</v>
      </c>
      <c r="AA523" s="13">
        <v>5.589</v>
      </c>
      <c r="AB523" s="13">
        <v>153.8462</v>
      </c>
      <c r="AC523" s="13">
        <v>0.0325</v>
      </c>
      <c r="AD523" s="13">
        <v>0.5564</v>
      </c>
      <c r="AE523" s="13">
        <v>-1.5223</v>
      </c>
      <c r="AF523" s="13">
        <v>6.0314</v>
      </c>
      <c r="AG523" s="13">
        <v>0.1509</v>
      </c>
      <c r="AH523" s="13">
        <v>1.765</v>
      </c>
      <c r="AI523" s="13">
        <v>1.2217</v>
      </c>
      <c r="AJ523" s="11">
        <v>0.93</v>
      </c>
      <c r="AK523" s="23"/>
      <c r="AL523" s="14">
        <f>IFERROR(__xludf.DUMMYFUNCTION("IFERROR(GOOGLEFINANCE(B523,""price""),"""")"),4.93)</f>
        <v>4.93</v>
      </c>
    </row>
    <row r="524">
      <c r="A524" s="15">
        <v>46106.667395041004</v>
      </c>
      <c r="B524" s="16" t="s">
        <v>2245</v>
      </c>
      <c r="C524" s="16" t="s">
        <v>2246</v>
      </c>
      <c r="D524" s="17">
        <v>46110.0</v>
      </c>
      <c r="E524" s="16" t="s">
        <v>2247</v>
      </c>
      <c r="F524" s="18">
        <v>12.75</v>
      </c>
      <c r="G524" s="19">
        <v>-4.4944</v>
      </c>
      <c r="H524" s="16" t="s">
        <v>162</v>
      </c>
      <c r="I524" s="20">
        <v>326876.0</v>
      </c>
      <c r="J524" s="19">
        <v>26.1267</v>
      </c>
      <c r="K524" s="21">
        <v>0.7183</v>
      </c>
      <c r="L524" s="21">
        <v>1.0378</v>
      </c>
      <c r="M524" s="21">
        <v>250286.4</v>
      </c>
      <c r="N524" s="21">
        <v>1.2957</v>
      </c>
      <c r="O524" s="20">
        <v>2.69204752E8</v>
      </c>
      <c r="P524" s="21">
        <v>34.8133</v>
      </c>
      <c r="Q524" s="21">
        <v>24.2625</v>
      </c>
      <c r="R524" s="19">
        <v>49.7677</v>
      </c>
      <c r="S524" s="21">
        <v>12.7911</v>
      </c>
      <c r="T524" s="21">
        <v>12.8777</v>
      </c>
      <c r="U524" s="21">
        <v>12.6046</v>
      </c>
      <c r="V524" s="21">
        <v>12.1764</v>
      </c>
      <c r="W524" s="21">
        <v>12.0469</v>
      </c>
      <c r="X524" s="21">
        <v>11.283</v>
      </c>
      <c r="Y524" s="21">
        <v>9.8642</v>
      </c>
      <c r="Z524" s="21">
        <v>9.1629</v>
      </c>
      <c r="AA524" s="21">
        <v>14.93</v>
      </c>
      <c r="AB524" s="21">
        <v>12.7961</v>
      </c>
      <c r="AC524" s="21">
        <v>0.9964</v>
      </c>
      <c r="AD524" s="21">
        <v>7.6503</v>
      </c>
      <c r="AE524" s="21">
        <v>25.9951</v>
      </c>
      <c r="AF524" s="21">
        <v>-5.5894</v>
      </c>
      <c r="AG524" s="21">
        <v>1.0312</v>
      </c>
      <c r="AH524" s="21">
        <v>0.0</v>
      </c>
      <c r="AI524" s="21">
        <v>1.463</v>
      </c>
      <c r="AJ524" s="19">
        <v>1.38</v>
      </c>
      <c r="AK524" s="16" t="s">
        <v>1712</v>
      </c>
      <c r="AL524" s="22">
        <f>IFERROR(__xludf.DUMMYFUNCTION("IFERROR(GOOGLEFINANCE(B524,""price""),"""")"),14.34)</f>
        <v>14.34</v>
      </c>
    </row>
    <row r="525">
      <c r="A525" s="7">
        <v>46106.667395041004</v>
      </c>
      <c r="B525" s="8" t="s">
        <v>2177</v>
      </c>
      <c r="C525" s="8" t="s">
        <v>2178</v>
      </c>
      <c r="D525" s="9">
        <v>46110.0</v>
      </c>
      <c r="E525" s="8" t="s">
        <v>2179</v>
      </c>
      <c r="F525" s="10">
        <v>8.1</v>
      </c>
      <c r="G525" s="11">
        <v>0.0</v>
      </c>
      <c r="H525" s="8" t="s">
        <v>88</v>
      </c>
      <c r="I525" s="12">
        <v>940831.0</v>
      </c>
      <c r="J525" s="11">
        <v>57.7251</v>
      </c>
      <c r="K525" s="13">
        <v>0.0387</v>
      </c>
      <c r="L525" s="13">
        <v>0.2776</v>
      </c>
      <c r="M525" s="13">
        <v>569422.5</v>
      </c>
      <c r="N525" s="13">
        <v>1.8314</v>
      </c>
      <c r="O525" s="12">
        <v>3.47222103E8</v>
      </c>
      <c r="P525" s="13">
        <v>87.037</v>
      </c>
      <c r="Q525" s="13">
        <v>81.6138</v>
      </c>
      <c r="R525" s="11">
        <v>71.6316</v>
      </c>
      <c r="S525" s="13">
        <v>8.0717</v>
      </c>
      <c r="T525" s="13">
        <v>8.0324</v>
      </c>
      <c r="U525" s="13">
        <v>7.9513</v>
      </c>
      <c r="V525" s="13">
        <v>7.7908</v>
      </c>
      <c r="W525" s="13">
        <v>7.7345</v>
      </c>
      <c r="X525" s="13">
        <v>7.363</v>
      </c>
      <c r="Y525" s="13">
        <v>6.6755</v>
      </c>
      <c r="Z525" s="13">
        <v>6.2149</v>
      </c>
      <c r="AA525" s="13">
        <v>8.11</v>
      </c>
      <c r="AB525" s="13">
        <v>0.0</v>
      </c>
      <c r="AC525" s="13">
        <v>-0.6802</v>
      </c>
      <c r="AD525" s="13">
        <v>-19.3086</v>
      </c>
      <c r="AE525" s="13">
        <v>-23.2435</v>
      </c>
      <c r="AF525" s="13">
        <v>-5.9218</v>
      </c>
      <c r="AG525" s="13">
        <v>0.0408</v>
      </c>
      <c r="AH525" s="13">
        <v>2.3817</v>
      </c>
      <c r="AI525" s="13">
        <v>1.4865</v>
      </c>
      <c r="AJ525" s="11">
        <v>0.28</v>
      </c>
      <c r="AK525" s="8" t="s">
        <v>2269</v>
      </c>
      <c r="AL525" s="14">
        <f>IFERROR(__xludf.DUMMYFUNCTION("IFERROR(GOOGLEFINANCE(B525,""price""),"""")"),8.1)</f>
        <v>8.1</v>
      </c>
    </row>
    <row r="526">
      <c r="A526" s="15">
        <v>46106.667395041004</v>
      </c>
      <c r="B526" s="16" t="s">
        <v>2270</v>
      </c>
      <c r="C526" s="16" t="s">
        <v>2271</v>
      </c>
      <c r="D526" s="17">
        <v>46110.0</v>
      </c>
      <c r="E526" s="16" t="s">
        <v>2272</v>
      </c>
      <c r="F526" s="18">
        <v>9.88</v>
      </c>
      <c r="G526" s="19">
        <v>7.6253</v>
      </c>
      <c r="H526" s="16" t="s">
        <v>117</v>
      </c>
      <c r="I526" s="20">
        <v>895181.0</v>
      </c>
      <c r="J526" s="19">
        <v>20.1103</v>
      </c>
      <c r="K526" s="21">
        <v>0.6333</v>
      </c>
      <c r="L526" s="21">
        <v>1.4343</v>
      </c>
      <c r="M526" s="21">
        <v>656548.6</v>
      </c>
      <c r="N526" s="21">
        <v>1.4734</v>
      </c>
      <c r="O526" s="20">
        <v>5.04388708E8</v>
      </c>
      <c r="P526" s="21">
        <v>69.9894</v>
      </c>
      <c r="Q526" s="21">
        <v>57.4488</v>
      </c>
      <c r="R526" s="19">
        <v>62.2119</v>
      </c>
      <c r="S526" s="21">
        <v>9.1008</v>
      </c>
      <c r="T526" s="21">
        <v>8.9561</v>
      </c>
      <c r="U526" s="21">
        <v>8.9379</v>
      </c>
      <c r="V526" s="21">
        <v>8.9418</v>
      </c>
      <c r="W526" s="21">
        <v>8.9425</v>
      </c>
      <c r="X526" s="21">
        <v>8.8648</v>
      </c>
      <c r="Y526" s="21">
        <v>8.4459</v>
      </c>
      <c r="Z526" s="21">
        <v>7.9395</v>
      </c>
      <c r="AA526" s="21">
        <v>12.34</v>
      </c>
      <c r="AB526" s="21">
        <v>0.0</v>
      </c>
      <c r="AC526" s="21">
        <v>-2.5145</v>
      </c>
      <c r="AD526" s="21">
        <v>-27.5732</v>
      </c>
      <c r="AE526" s="21">
        <v>-187.242</v>
      </c>
      <c r="AF526" s="21">
        <v>230194.5946</v>
      </c>
      <c r="AG526" s="21">
        <v>0.0423</v>
      </c>
      <c r="AH526" s="21">
        <v>9.3926</v>
      </c>
      <c r="AI526" s="21">
        <v>1.648</v>
      </c>
      <c r="AJ526" s="19">
        <v>0.88</v>
      </c>
      <c r="AK526" s="24"/>
      <c r="AL526" s="22">
        <f>IFERROR(__xludf.DUMMYFUNCTION("IFERROR(GOOGLEFINANCE(B526,""price""),"""")"),9.81)</f>
        <v>9.81</v>
      </c>
    </row>
    <row r="527">
      <c r="A527" s="7">
        <v>46106.667395041004</v>
      </c>
      <c r="B527" s="8" t="s">
        <v>1649</v>
      </c>
      <c r="C527" s="8" t="s">
        <v>1650</v>
      </c>
      <c r="D527" s="9">
        <v>46110.0</v>
      </c>
      <c r="E527" s="8" t="s">
        <v>1651</v>
      </c>
      <c r="F527" s="10">
        <v>51.42</v>
      </c>
      <c r="G527" s="11">
        <v>-1.3052</v>
      </c>
      <c r="H527" s="8" t="s">
        <v>93</v>
      </c>
      <c r="I527" s="12">
        <v>9844633.0</v>
      </c>
      <c r="J527" s="11">
        <v>30.6678</v>
      </c>
      <c r="K527" s="13">
        <v>0.8657</v>
      </c>
      <c r="L527" s="13">
        <v>1.7789</v>
      </c>
      <c r="M527" s="8">
        <v>5951892.0</v>
      </c>
      <c r="N527" s="13">
        <v>1.8612</v>
      </c>
      <c r="O527" s="12">
        <v>7.922567495E9</v>
      </c>
      <c r="P527" s="13">
        <v>58.614</v>
      </c>
      <c r="Q527" s="13">
        <v>47.6635</v>
      </c>
      <c r="R527" s="11">
        <v>56.5659</v>
      </c>
      <c r="S527" s="13">
        <v>51.2063</v>
      </c>
      <c r="T527" s="13">
        <v>50.833</v>
      </c>
      <c r="U527" s="13">
        <v>50.3251</v>
      </c>
      <c r="V527" s="13">
        <v>49.674</v>
      </c>
      <c r="W527" s="13">
        <v>49.4773</v>
      </c>
      <c r="X527" s="13">
        <v>48.2652</v>
      </c>
      <c r="Y527" s="13">
        <v>45.4451</v>
      </c>
      <c r="Z527" s="13">
        <v>44.8398</v>
      </c>
      <c r="AA527" s="13">
        <v>53.76</v>
      </c>
      <c r="AB527" s="13">
        <v>9.7913</v>
      </c>
      <c r="AC527" s="13">
        <v>5.2516</v>
      </c>
      <c r="AD527" s="13">
        <v>16.4455</v>
      </c>
      <c r="AE527" s="13">
        <v>35.2147</v>
      </c>
      <c r="AF527" s="13">
        <v>26.6826</v>
      </c>
      <c r="AG527" s="13">
        <v>0.096</v>
      </c>
      <c r="AH527" s="13">
        <v>4.1799</v>
      </c>
      <c r="AI527" s="13">
        <v>1.7137</v>
      </c>
      <c r="AJ527" s="11">
        <v>0.97</v>
      </c>
      <c r="AK527" s="23"/>
      <c r="AL527" s="14">
        <f>IFERROR(__xludf.DUMMYFUNCTION("IFERROR(GOOGLEFINANCE(B527,""price""),"""")"),51.62)</f>
        <v>51.62</v>
      </c>
    </row>
    <row r="528">
      <c r="A528" s="15">
        <v>46106.667395041004</v>
      </c>
      <c r="B528" s="16" t="s">
        <v>2273</v>
      </c>
      <c r="C528" s="16" t="s">
        <v>2274</v>
      </c>
      <c r="D528" s="17">
        <v>46110.0</v>
      </c>
      <c r="E528" s="16" t="s">
        <v>2275</v>
      </c>
      <c r="F528" s="18">
        <v>5.15</v>
      </c>
      <c r="G528" s="19">
        <v>36.6048</v>
      </c>
      <c r="H528" s="16" t="s">
        <v>186</v>
      </c>
      <c r="I528" s="20">
        <v>9426843.0</v>
      </c>
      <c r="J528" s="19">
        <v>28.7083</v>
      </c>
      <c r="K528" s="21">
        <v>0.3015</v>
      </c>
      <c r="L528" s="21">
        <v>0.6435</v>
      </c>
      <c r="M528" s="16">
        <v>1593802.0</v>
      </c>
      <c r="N528" s="21">
        <v>14.0527</v>
      </c>
      <c r="O528" s="20">
        <v>2.83470856E8</v>
      </c>
      <c r="P528" s="21">
        <v>69.717</v>
      </c>
      <c r="Q528" s="21">
        <v>44.5353</v>
      </c>
      <c r="R528" s="19">
        <v>77.3771</v>
      </c>
      <c r="S528" s="21">
        <v>3.8289</v>
      </c>
      <c r="T528" s="21">
        <v>3.6695</v>
      </c>
      <c r="U528" s="21">
        <v>3.7376</v>
      </c>
      <c r="V528" s="21">
        <v>3.8911</v>
      </c>
      <c r="W528" s="21">
        <v>3.9417</v>
      </c>
      <c r="X528" s="21">
        <v>4.2384</v>
      </c>
      <c r="Y528" s="21">
        <v>4.5466</v>
      </c>
      <c r="Z528" s="21">
        <v>5.3217</v>
      </c>
      <c r="AA528" s="21">
        <v>8.88</v>
      </c>
      <c r="AB528" s="21">
        <v>40.6472</v>
      </c>
      <c r="AC528" s="21">
        <v>0.1267</v>
      </c>
      <c r="AD528" s="21">
        <v>19.1345</v>
      </c>
      <c r="AE528" s="21">
        <v>8.976</v>
      </c>
      <c r="AF528" s="21">
        <v>40.4964</v>
      </c>
      <c r="AG528" s="21">
        <v>0.2893</v>
      </c>
      <c r="AH528" s="21">
        <v>1.1096</v>
      </c>
      <c r="AI528" s="21">
        <v>1.7739</v>
      </c>
      <c r="AJ528" s="19">
        <v>0.94</v>
      </c>
      <c r="AK528" s="16" t="s">
        <v>2276</v>
      </c>
      <c r="AL528" s="22">
        <f>IFERROR(__xludf.DUMMYFUNCTION("IFERROR(GOOGLEFINANCE(B528,""price""),"""")"),5.23)</f>
        <v>5.23</v>
      </c>
    </row>
    <row r="529">
      <c r="A529" s="7">
        <v>46106.667395041004</v>
      </c>
      <c r="B529" s="8" t="s">
        <v>2277</v>
      </c>
      <c r="C529" s="8" t="s">
        <v>2278</v>
      </c>
      <c r="D529" s="9">
        <v>46110.0</v>
      </c>
      <c r="E529" s="8" t="s">
        <v>2279</v>
      </c>
      <c r="F529" s="10">
        <v>316.0</v>
      </c>
      <c r="G529" s="11">
        <v>0.6049</v>
      </c>
      <c r="H529" s="8" t="s">
        <v>149</v>
      </c>
      <c r="I529" s="12">
        <v>340364.0</v>
      </c>
      <c r="J529" s="11">
        <v>22.3122</v>
      </c>
      <c r="K529" s="13">
        <v>10.4138</v>
      </c>
      <c r="L529" s="13">
        <v>18.3732</v>
      </c>
      <c r="M529" s="13">
        <v>245661.0</v>
      </c>
      <c r="N529" s="13">
        <v>1.4797</v>
      </c>
      <c r="O529" s="12">
        <v>7.606061973E9</v>
      </c>
      <c r="P529" s="13">
        <v>50.3576</v>
      </c>
      <c r="Q529" s="13">
        <v>36.7345</v>
      </c>
      <c r="R529" s="11">
        <v>55.137</v>
      </c>
      <c r="S529" s="13">
        <v>313.7092</v>
      </c>
      <c r="T529" s="13">
        <v>312.616</v>
      </c>
      <c r="U529" s="13">
        <v>307.4089</v>
      </c>
      <c r="V529" s="13">
        <v>299.3571</v>
      </c>
      <c r="W529" s="13">
        <v>296.8252</v>
      </c>
      <c r="X529" s="13">
        <v>281.406</v>
      </c>
      <c r="Y529" s="13">
        <v>251.9813</v>
      </c>
      <c r="Z529" s="13">
        <v>237.8724</v>
      </c>
      <c r="AA529" s="13">
        <v>345.46</v>
      </c>
      <c r="AB529" s="13">
        <v>0.0</v>
      </c>
      <c r="AC529" s="13">
        <v>-0.6896</v>
      </c>
      <c r="AD529" s="13">
        <v>0.0</v>
      </c>
      <c r="AE529" s="13">
        <v>0.4221</v>
      </c>
      <c r="AF529" s="13">
        <v>0.2585</v>
      </c>
      <c r="AG529" s="13">
        <v>0.0</v>
      </c>
      <c r="AH529" s="13">
        <v>0.4651</v>
      </c>
      <c r="AI529" s="13">
        <v>1.9938</v>
      </c>
      <c r="AJ529" s="11">
        <v>1.13</v>
      </c>
      <c r="AK529" s="23"/>
      <c r="AL529" s="14">
        <f>IFERROR(__xludf.DUMMYFUNCTION("IFERROR(GOOGLEFINANCE(B529,""price""),"""")"),331.07)</f>
        <v>331.07</v>
      </c>
    </row>
    <row r="530">
      <c r="A530" s="7">
        <v>46107.670083269084</v>
      </c>
      <c r="B530" s="8" t="s">
        <v>2280</v>
      </c>
      <c r="C530" s="8" t="s">
        <v>2281</v>
      </c>
      <c r="D530" s="9">
        <v>46110.0</v>
      </c>
      <c r="E530" s="8" t="s">
        <v>2282</v>
      </c>
      <c r="F530" s="10">
        <v>16.64</v>
      </c>
      <c r="G530" s="11">
        <v>5.6508</v>
      </c>
      <c r="H530" s="8" t="s">
        <v>286</v>
      </c>
      <c r="I530" s="12">
        <v>1.0954864E7</v>
      </c>
      <c r="J530" s="11">
        <v>25.5391</v>
      </c>
      <c r="K530" s="13">
        <v>0.5558</v>
      </c>
      <c r="L530" s="13">
        <v>1.1077</v>
      </c>
      <c r="M530" s="8">
        <v>4903271.0</v>
      </c>
      <c r="N530" s="13">
        <v>2.6817</v>
      </c>
      <c r="O530" s="12">
        <v>1.7779987613E10</v>
      </c>
      <c r="P530" s="13">
        <v>77.9464</v>
      </c>
      <c r="Q530" s="13">
        <v>58.0917</v>
      </c>
      <c r="R530" s="11">
        <v>62.3442</v>
      </c>
      <c r="S530" s="13">
        <v>15.5578</v>
      </c>
      <c r="T530" s="13">
        <v>15.5486</v>
      </c>
      <c r="U530" s="13">
        <v>15.5541</v>
      </c>
      <c r="V530" s="13">
        <v>15.4608</v>
      </c>
      <c r="W530" s="13">
        <v>15.4236</v>
      </c>
      <c r="X530" s="13">
        <v>15.1775</v>
      </c>
      <c r="Y530" s="13">
        <v>14.5739</v>
      </c>
      <c r="Z530" s="13">
        <v>14.5386</v>
      </c>
      <c r="AA530" s="13">
        <v>18.02</v>
      </c>
      <c r="AB530" s="13">
        <v>10.943</v>
      </c>
      <c r="AC530" s="13">
        <v>1.5206</v>
      </c>
      <c r="AD530" s="13">
        <v>24.1976</v>
      </c>
      <c r="AE530" s="13">
        <v>5.2893</v>
      </c>
      <c r="AF530" s="13">
        <v>0.0</v>
      </c>
      <c r="AG530" s="13">
        <v>2.5887</v>
      </c>
      <c r="AH530" s="13">
        <v>1.6017</v>
      </c>
      <c r="AI530" s="13">
        <v>0.0223</v>
      </c>
      <c r="AJ530" s="11">
        <v>1.0</v>
      </c>
      <c r="AK530" s="8" t="s">
        <v>2283</v>
      </c>
      <c r="AL530" s="14">
        <f>IFERROR(__xludf.DUMMYFUNCTION("IFERROR(GOOGLEFINANCE(B530,""price""),"""")"),18.32)</f>
        <v>18.32</v>
      </c>
    </row>
    <row r="531">
      <c r="A531" s="15">
        <v>46107.670083269084</v>
      </c>
      <c r="B531" s="16" t="s">
        <v>1862</v>
      </c>
      <c r="C531" s="16" t="s">
        <v>1863</v>
      </c>
      <c r="D531" s="17">
        <v>46110.0</v>
      </c>
      <c r="E531" s="16" t="s">
        <v>1864</v>
      </c>
      <c r="F531" s="18">
        <v>10.77</v>
      </c>
      <c r="G531" s="19">
        <v>0.2327</v>
      </c>
      <c r="H531" s="16" t="s">
        <v>93</v>
      </c>
      <c r="I531" s="20">
        <v>382998.0</v>
      </c>
      <c r="J531" s="19">
        <v>43.4198</v>
      </c>
      <c r="K531" s="21">
        <v>0.0448</v>
      </c>
      <c r="L531" s="21">
        <v>0.1521</v>
      </c>
      <c r="M531" s="21">
        <v>161831.0</v>
      </c>
      <c r="N531" s="21">
        <v>3.0466</v>
      </c>
      <c r="O531" s="20">
        <v>3.8704687E8</v>
      </c>
      <c r="P531" s="21">
        <v>71.627</v>
      </c>
      <c r="Q531" s="21">
        <v>59.3386</v>
      </c>
      <c r="R531" s="19">
        <v>59.2287</v>
      </c>
      <c r="S531" s="21">
        <v>10.7233</v>
      </c>
      <c r="T531" s="21">
        <v>10.7084</v>
      </c>
      <c r="U531" s="21">
        <v>10.6993</v>
      </c>
      <c r="V531" s="21">
        <v>10.6904</v>
      </c>
      <c r="W531" s="21">
        <v>10.6881</v>
      </c>
      <c r="X531" s="21">
        <v>10.6779</v>
      </c>
      <c r="Y531" s="21">
        <v>10.6167</v>
      </c>
      <c r="Z531" s="21">
        <v>10.7745</v>
      </c>
      <c r="AA531" s="21">
        <v>13.73</v>
      </c>
      <c r="AB531" s="21">
        <v>66.9776</v>
      </c>
      <c r="AC531" s="21">
        <v>0.1608</v>
      </c>
      <c r="AD531" s="21">
        <v>2.0306</v>
      </c>
      <c r="AE531" s="21">
        <v>0.0</v>
      </c>
      <c r="AF531" s="21">
        <v>0.0</v>
      </c>
      <c r="AG531" s="21">
        <v>0.0087</v>
      </c>
      <c r="AH531" s="21">
        <v>0.1782</v>
      </c>
      <c r="AI531" s="21">
        <v>0.2225</v>
      </c>
      <c r="AJ531" s="19">
        <v>0.59</v>
      </c>
      <c r="AK531" s="16" t="s">
        <v>2284</v>
      </c>
      <c r="AL531" s="22">
        <f>IFERROR(__xludf.DUMMYFUNCTION("IFERROR(GOOGLEFINANCE(B531,""price""),"""")"),10.87)</f>
        <v>10.87</v>
      </c>
    </row>
    <row r="532">
      <c r="A532" s="7">
        <v>46107.670083269084</v>
      </c>
      <c r="B532" s="8" t="s">
        <v>2213</v>
      </c>
      <c r="C532" s="8" t="s">
        <v>2214</v>
      </c>
      <c r="D532" s="9">
        <v>46110.0</v>
      </c>
      <c r="E532" s="8" t="s">
        <v>2215</v>
      </c>
      <c r="F532" s="10">
        <v>38.93</v>
      </c>
      <c r="G532" s="11">
        <v>-0.3583</v>
      </c>
      <c r="H532" s="8" t="s">
        <v>873</v>
      </c>
      <c r="I532" s="12">
        <v>1796703.0</v>
      </c>
      <c r="J532" s="11">
        <v>20.4956</v>
      </c>
      <c r="K532" s="13">
        <v>0.7558</v>
      </c>
      <c r="L532" s="13">
        <v>1.733</v>
      </c>
      <c r="M532" s="8">
        <v>1281026.0</v>
      </c>
      <c r="N532" s="13">
        <v>1.4765</v>
      </c>
      <c r="O532" s="12">
        <v>2.1052613793E10</v>
      </c>
      <c r="P532" s="13">
        <v>31.352</v>
      </c>
      <c r="Q532" s="13">
        <v>28.749</v>
      </c>
      <c r="R532" s="11">
        <v>49.8242</v>
      </c>
      <c r="S532" s="13">
        <v>38.9414</v>
      </c>
      <c r="T532" s="13">
        <v>39.0255</v>
      </c>
      <c r="U532" s="13">
        <v>38.833</v>
      </c>
      <c r="V532" s="13">
        <v>38.563</v>
      </c>
      <c r="W532" s="13">
        <v>38.4822</v>
      </c>
      <c r="X532" s="13">
        <v>37.9242</v>
      </c>
      <c r="Y532" s="13">
        <v>36.3097</v>
      </c>
      <c r="Z532" s="13">
        <v>36.0299</v>
      </c>
      <c r="AA532" s="13">
        <v>41.14</v>
      </c>
      <c r="AB532" s="13">
        <v>4.2005</v>
      </c>
      <c r="AC532" s="13">
        <v>9.2679</v>
      </c>
      <c r="AD532" s="13">
        <v>48.9735</v>
      </c>
      <c r="AE532" s="13">
        <v>23.1116</v>
      </c>
      <c r="AF532" s="13">
        <v>10.4274</v>
      </c>
      <c r="AG532" s="13">
        <v>2.4886</v>
      </c>
      <c r="AH532" s="13">
        <v>0.5742</v>
      </c>
      <c r="AI532" s="13">
        <v>0.2785</v>
      </c>
      <c r="AJ532" s="11">
        <v>0.87</v>
      </c>
      <c r="AK532" s="8" t="s">
        <v>1267</v>
      </c>
      <c r="AL532" s="14">
        <f>IFERROR(__xludf.DUMMYFUNCTION("IFERROR(GOOGLEFINANCE(B532,""price""),"""")"),32.44)</f>
        <v>32.44</v>
      </c>
    </row>
    <row r="533">
      <c r="A533" s="15">
        <v>46107.670083269084</v>
      </c>
      <c r="B533" s="16" t="s">
        <v>2090</v>
      </c>
      <c r="C533" s="16" t="s">
        <v>2091</v>
      </c>
      <c r="D533" s="17">
        <v>46110.0</v>
      </c>
      <c r="E533" s="16" t="s">
        <v>2092</v>
      </c>
      <c r="F533" s="18">
        <v>10.83</v>
      </c>
      <c r="G533" s="19">
        <v>0.2778</v>
      </c>
      <c r="H533" s="16" t="s">
        <v>93</v>
      </c>
      <c r="I533" s="20">
        <v>513911.0</v>
      </c>
      <c r="J533" s="19">
        <v>36.1259</v>
      </c>
      <c r="K533" s="21">
        <v>0.0184</v>
      </c>
      <c r="L533" s="21">
        <v>0.0345</v>
      </c>
      <c r="M533" s="21">
        <v>142257.5</v>
      </c>
      <c r="N533" s="21">
        <v>5.2627</v>
      </c>
      <c r="O533" s="20">
        <v>3.89203109E8</v>
      </c>
      <c r="P533" s="21">
        <v>86.6667</v>
      </c>
      <c r="Q533" s="21">
        <v>82.7778</v>
      </c>
      <c r="R533" s="19">
        <v>64.2379</v>
      </c>
      <c r="S533" s="21">
        <v>10.8072</v>
      </c>
      <c r="T533" s="21">
        <v>10.7878</v>
      </c>
      <c r="U533" s="21">
        <v>10.7696</v>
      </c>
      <c r="V533" s="21">
        <v>10.7487</v>
      </c>
      <c r="W533" s="21">
        <v>10.7423</v>
      </c>
      <c r="X533" s="21">
        <v>10.6999</v>
      </c>
      <c r="Y533" s="21">
        <v>10.5543</v>
      </c>
      <c r="Z533" s="21">
        <v>10.5606</v>
      </c>
      <c r="AA533" s="21">
        <v>10.83</v>
      </c>
      <c r="AB533" s="21">
        <v>31.6389</v>
      </c>
      <c r="AC533" s="21">
        <v>0.3423</v>
      </c>
      <c r="AD533" s="21">
        <v>4.3067</v>
      </c>
      <c r="AE533" s="21">
        <v>0.0</v>
      </c>
      <c r="AF533" s="21">
        <v>0.0</v>
      </c>
      <c r="AG533" s="21">
        <v>0.0014</v>
      </c>
      <c r="AH533" s="21">
        <v>0.4479</v>
      </c>
      <c r="AI533" s="21">
        <v>0.3476</v>
      </c>
      <c r="AJ533" s="19">
        <v>1.07</v>
      </c>
      <c r="AK533" s="16" t="s">
        <v>2285</v>
      </c>
      <c r="AL533" s="22">
        <f>IFERROR(__xludf.DUMMYFUNCTION("IFERROR(GOOGLEFINANCE(B533,""price""),"""")"),10.87)</f>
        <v>10.87</v>
      </c>
    </row>
    <row r="534">
      <c r="A534" s="7">
        <v>46107.670083269084</v>
      </c>
      <c r="B534" s="8" t="s">
        <v>2286</v>
      </c>
      <c r="C534" s="8" t="s">
        <v>2287</v>
      </c>
      <c r="D534" s="9">
        <v>46110.0</v>
      </c>
      <c r="E534" s="8" t="s">
        <v>2288</v>
      </c>
      <c r="F534" s="10">
        <v>518.76</v>
      </c>
      <c r="G534" s="11">
        <v>12.3027</v>
      </c>
      <c r="H534" s="8" t="s">
        <v>117</v>
      </c>
      <c r="I534" s="12">
        <v>1350002.0</v>
      </c>
      <c r="J534" s="11">
        <v>30.6438</v>
      </c>
      <c r="K534" s="13">
        <v>25.9249</v>
      </c>
      <c r="L534" s="13">
        <v>47.705</v>
      </c>
      <c r="M534" s="13">
        <v>405684.8</v>
      </c>
      <c r="N534" s="13">
        <v>4.5077</v>
      </c>
      <c r="O534" s="12">
        <v>1.1900337668E10</v>
      </c>
      <c r="P534" s="13">
        <v>67.1133</v>
      </c>
      <c r="Q534" s="13">
        <v>62.4142</v>
      </c>
      <c r="R534" s="11">
        <v>71.8458</v>
      </c>
      <c r="S534" s="13">
        <v>463.7675</v>
      </c>
      <c r="T534" s="13">
        <v>454.0088</v>
      </c>
      <c r="U534" s="13">
        <v>459.08</v>
      </c>
      <c r="V534" s="13">
        <v>467.2664</v>
      </c>
      <c r="W534" s="13">
        <v>469.2494</v>
      </c>
      <c r="X534" s="13">
        <v>473.7016</v>
      </c>
      <c r="Y534" s="13">
        <v>444.5336</v>
      </c>
      <c r="Z534" s="13">
        <v>441.1012</v>
      </c>
      <c r="AA534" s="13">
        <v>615.0</v>
      </c>
      <c r="AB534" s="13">
        <v>0.0</v>
      </c>
      <c r="AC534" s="13">
        <v>-12.8641</v>
      </c>
      <c r="AD534" s="13">
        <v>-42.4862</v>
      </c>
      <c r="AE534" s="13">
        <v>-31.3122</v>
      </c>
      <c r="AF534" s="13">
        <v>432.053</v>
      </c>
      <c r="AG534" s="13">
        <v>0.5768</v>
      </c>
      <c r="AH534" s="13">
        <v>4.0149</v>
      </c>
      <c r="AI534" s="13">
        <v>0.9036</v>
      </c>
      <c r="AJ534" s="11">
        <v>1.09</v>
      </c>
      <c r="AK534" s="8" t="s">
        <v>1474</v>
      </c>
      <c r="AL534" s="14">
        <f>IFERROR(__xludf.DUMMYFUNCTION("IFERROR(GOOGLEFINANCE(B534,""price""),"""")"),519.61)</f>
        <v>519.61</v>
      </c>
    </row>
    <row r="535">
      <c r="A535" s="15">
        <v>46107.670083269084</v>
      </c>
      <c r="B535" s="16" t="s">
        <v>2289</v>
      </c>
      <c r="C535" s="16" t="s">
        <v>2290</v>
      </c>
      <c r="D535" s="17">
        <v>46110.0</v>
      </c>
      <c r="E535" s="16" t="s">
        <v>2291</v>
      </c>
      <c r="F535" s="18">
        <v>2.01</v>
      </c>
      <c r="G535" s="19">
        <v>51.1278</v>
      </c>
      <c r="H535" s="16" t="s">
        <v>129</v>
      </c>
      <c r="I535" s="20">
        <v>1.04610884E8</v>
      </c>
      <c r="J535" s="19">
        <v>23.4273</v>
      </c>
      <c r="K535" s="21">
        <v>0.1521</v>
      </c>
      <c r="L535" s="21">
        <v>0.2415</v>
      </c>
      <c r="M535" s="16">
        <v>1.2571335E7</v>
      </c>
      <c r="N535" s="21">
        <v>45.3953</v>
      </c>
      <c r="O535" s="20">
        <v>1.345499368E9</v>
      </c>
      <c r="P535" s="21">
        <v>64.7982</v>
      </c>
      <c r="Q535" s="21">
        <v>44.7617</v>
      </c>
      <c r="R535" s="19">
        <v>73.5949</v>
      </c>
      <c r="S535" s="21">
        <v>1.4647</v>
      </c>
      <c r="T535" s="21">
        <v>1.4255</v>
      </c>
      <c r="U535" s="21">
        <v>1.4405</v>
      </c>
      <c r="V535" s="21">
        <v>1.4433</v>
      </c>
      <c r="W535" s="21">
        <v>1.4416</v>
      </c>
      <c r="X535" s="21">
        <v>1.4234</v>
      </c>
      <c r="Y535" s="21">
        <v>1.4214</v>
      </c>
      <c r="Z535" s="21">
        <v>1.3767</v>
      </c>
      <c r="AA535" s="21">
        <v>2.01</v>
      </c>
      <c r="AB535" s="21">
        <v>0.0</v>
      </c>
      <c r="AC535" s="21">
        <v>-0.0139</v>
      </c>
      <c r="AD535" s="21">
        <v>-1.0551</v>
      </c>
      <c r="AE535" s="21">
        <v>1.6434</v>
      </c>
      <c r="AF535" s="21">
        <v>0.0686</v>
      </c>
      <c r="AG535" s="21">
        <v>0.4006</v>
      </c>
      <c r="AH535" s="21">
        <v>4.5831</v>
      </c>
      <c r="AI535" s="21">
        <v>1.2028</v>
      </c>
      <c r="AJ535" s="19">
        <v>1.26</v>
      </c>
      <c r="AK535" s="16" t="s">
        <v>2292</v>
      </c>
      <c r="AL535" s="22">
        <f>IFERROR(__xludf.DUMMYFUNCTION("IFERROR(GOOGLEFINANCE(B535,""price""),"""")"),2.02)</f>
        <v>2.02</v>
      </c>
    </row>
    <row r="536">
      <c r="A536" s="7">
        <v>46107.670083269084</v>
      </c>
      <c r="B536" s="8" t="s">
        <v>2249</v>
      </c>
      <c r="C536" s="8" t="s">
        <v>2250</v>
      </c>
      <c r="D536" s="9">
        <v>46110.0</v>
      </c>
      <c r="E536" s="8" t="s">
        <v>2251</v>
      </c>
      <c r="F536" s="10">
        <v>25.83</v>
      </c>
      <c r="G536" s="11">
        <v>3.3613</v>
      </c>
      <c r="H536" s="8" t="s">
        <v>286</v>
      </c>
      <c r="I536" s="12">
        <v>2829423.0</v>
      </c>
      <c r="J536" s="11">
        <v>25.2465</v>
      </c>
      <c r="K536" s="13">
        <v>0.73</v>
      </c>
      <c r="L536" s="13">
        <v>1.2749</v>
      </c>
      <c r="M536" s="8">
        <v>2287308.0</v>
      </c>
      <c r="N536" s="13">
        <v>1.3406</v>
      </c>
      <c r="O536" s="12">
        <v>1.0163517646E10</v>
      </c>
      <c r="P536" s="13">
        <v>77.1549</v>
      </c>
      <c r="Q536" s="13">
        <v>56.4328</v>
      </c>
      <c r="R536" s="11">
        <v>68.2382</v>
      </c>
      <c r="S536" s="13">
        <v>24.4</v>
      </c>
      <c r="T536" s="13">
        <v>24.1665</v>
      </c>
      <c r="U536" s="13">
        <v>24.0871</v>
      </c>
      <c r="V536" s="13">
        <v>23.9318</v>
      </c>
      <c r="W536" s="13">
        <v>23.8826</v>
      </c>
      <c r="X536" s="13">
        <v>23.6121</v>
      </c>
      <c r="Y536" s="13">
        <v>23.0555</v>
      </c>
      <c r="Z536" s="13">
        <v>23.4301</v>
      </c>
      <c r="AA536" s="13">
        <v>26.1</v>
      </c>
      <c r="AB536" s="13">
        <v>10.27</v>
      </c>
      <c r="AC536" s="13">
        <v>2.5151</v>
      </c>
      <c r="AD536" s="13">
        <v>15.6245</v>
      </c>
      <c r="AE536" s="13">
        <v>8.8698</v>
      </c>
      <c r="AF536" s="13">
        <v>10.1146</v>
      </c>
      <c r="AG536" s="13">
        <v>0.3524</v>
      </c>
      <c r="AH536" s="13">
        <v>2.9673</v>
      </c>
      <c r="AI536" s="13">
        <v>1.2112</v>
      </c>
      <c r="AJ536" s="11">
        <v>1.15</v>
      </c>
      <c r="AK536" s="23"/>
      <c r="AL536" s="14">
        <f>IFERROR(__xludf.DUMMYFUNCTION("IFERROR(GOOGLEFINANCE(B536,""price""),"""")"),29.22)</f>
        <v>29.22</v>
      </c>
    </row>
    <row r="537">
      <c r="A537" s="15">
        <v>46107.670083269084</v>
      </c>
      <c r="B537" s="16" t="s">
        <v>2293</v>
      </c>
      <c r="C537" s="16" t="s">
        <v>2294</v>
      </c>
      <c r="D537" s="17">
        <v>46110.0</v>
      </c>
      <c r="E537" s="16" t="s">
        <v>2295</v>
      </c>
      <c r="F537" s="18">
        <v>228.5</v>
      </c>
      <c r="G537" s="19">
        <v>-6.7499</v>
      </c>
      <c r="H537" s="16" t="s">
        <v>308</v>
      </c>
      <c r="I537" s="20">
        <v>1495862.0</v>
      </c>
      <c r="J537" s="19">
        <v>23.0587</v>
      </c>
      <c r="K537" s="21">
        <v>12.4892</v>
      </c>
      <c r="L537" s="21">
        <v>21.4789</v>
      </c>
      <c r="M537" s="16">
        <v>1182905.0</v>
      </c>
      <c r="N537" s="21">
        <v>1.2825</v>
      </c>
      <c r="O537" s="20">
        <v>1.7140234795E10</v>
      </c>
      <c r="P537" s="21">
        <v>83.3486</v>
      </c>
      <c r="Q537" s="21">
        <v>77.1076</v>
      </c>
      <c r="R537" s="19">
        <v>49.9247</v>
      </c>
      <c r="S537" s="21">
        <v>230.1726</v>
      </c>
      <c r="T537" s="21">
        <v>229.1152</v>
      </c>
      <c r="U537" s="21">
        <v>227.3302</v>
      </c>
      <c r="V537" s="21">
        <v>222.3938</v>
      </c>
      <c r="W537" s="21">
        <v>220.5677</v>
      </c>
      <c r="X537" s="21">
        <v>207.852</v>
      </c>
      <c r="Y537" s="21">
        <v>178.5157</v>
      </c>
      <c r="Z537" s="21">
        <v>167.3144</v>
      </c>
      <c r="AA537" s="21">
        <v>258.98</v>
      </c>
      <c r="AB537" s="21">
        <v>107.4283</v>
      </c>
      <c r="AC537" s="21">
        <v>2.127</v>
      </c>
      <c r="AD537" s="21">
        <v>12.9462</v>
      </c>
      <c r="AE537" s="21">
        <v>15.2263</v>
      </c>
      <c r="AF537" s="21">
        <v>29.1184</v>
      </c>
      <c r="AG537" s="21">
        <v>0.42</v>
      </c>
      <c r="AH537" s="21">
        <v>3.9601</v>
      </c>
      <c r="AI537" s="21">
        <v>1.244</v>
      </c>
      <c r="AJ537" s="19">
        <v>1.16</v>
      </c>
      <c r="AK537" s="24"/>
      <c r="AL537" s="22">
        <f>IFERROR(__xludf.DUMMYFUNCTION("IFERROR(GOOGLEFINANCE(B537,""price""),"""")"),258.11)</f>
        <v>258.11</v>
      </c>
    </row>
    <row r="538">
      <c r="A538" s="7">
        <v>46108.49607896191</v>
      </c>
      <c r="B538" s="8" t="s">
        <v>1773</v>
      </c>
      <c r="C538" s="8" t="s">
        <v>1774</v>
      </c>
      <c r="D538" s="9">
        <v>46110.0</v>
      </c>
      <c r="E538" s="8" t="s">
        <v>1775</v>
      </c>
      <c r="F538" s="10">
        <v>10.98</v>
      </c>
      <c r="G538" s="11">
        <v>0.0</v>
      </c>
      <c r="H538" s="8" t="s">
        <v>93</v>
      </c>
      <c r="I538" s="12">
        <v>1214559.0</v>
      </c>
      <c r="J538" s="11">
        <v>63.7931</v>
      </c>
      <c r="K538" s="13">
        <v>0.0532</v>
      </c>
      <c r="L538" s="13">
        <v>0.1316</v>
      </c>
      <c r="M538" s="13">
        <v>150441.6</v>
      </c>
      <c r="N538" s="13">
        <v>29.6223</v>
      </c>
      <c r="O538" s="12">
        <v>2.29554949E8</v>
      </c>
      <c r="P538" s="13">
        <v>29.1022</v>
      </c>
      <c r="Q538" s="13">
        <v>30.1686</v>
      </c>
      <c r="R538" s="11">
        <v>53.6122</v>
      </c>
      <c r="S538" s="13">
        <v>10.972</v>
      </c>
      <c r="T538" s="13">
        <v>10.9631</v>
      </c>
      <c r="U538" s="13">
        <v>10.9514</v>
      </c>
      <c r="V538" s="13">
        <v>10.9362</v>
      </c>
      <c r="W538" s="13">
        <v>10.9315</v>
      </c>
      <c r="X538" s="13">
        <v>10.8985</v>
      </c>
      <c r="Y538" s="13">
        <v>10.7763</v>
      </c>
      <c r="Z538" s="13">
        <v>10.7956</v>
      </c>
      <c r="AA538" s="13">
        <v>11.5</v>
      </c>
      <c r="AB538" s="13">
        <v>35.8706</v>
      </c>
      <c r="AC538" s="13">
        <v>0.3061</v>
      </c>
      <c r="AD538" s="13">
        <v>3.7822</v>
      </c>
      <c r="AE538" s="13">
        <v>0.0</v>
      </c>
      <c r="AF538" s="13">
        <v>0.0</v>
      </c>
      <c r="AG538" s="13">
        <v>0.0</v>
      </c>
      <c r="AH538" s="13">
        <v>0.0</v>
      </c>
      <c r="AI538" s="13">
        <v>0.1873</v>
      </c>
      <c r="AJ538" s="11">
        <v>0.81</v>
      </c>
      <c r="AK538" s="8" t="s">
        <v>2296</v>
      </c>
      <c r="AL538" s="14">
        <f>IFERROR(__xludf.DUMMYFUNCTION("IFERROR(GOOGLEFINANCE(B538,""price""),"""")"),11.01)</f>
        <v>11.01</v>
      </c>
    </row>
    <row r="539">
      <c r="A539" s="15">
        <v>46108.49607896191</v>
      </c>
      <c r="B539" s="16" t="s">
        <v>2297</v>
      </c>
      <c r="C539" s="16" t="s">
        <v>2298</v>
      </c>
      <c r="D539" s="17">
        <v>46110.0</v>
      </c>
      <c r="E539" s="16" t="s">
        <v>2299</v>
      </c>
      <c r="F539" s="18">
        <v>110.935</v>
      </c>
      <c r="G539" s="19">
        <v>7.8505</v>
      </c>
      <c r="H539" s="16" t="s">
        <v>917</v>
      </c>
      <c r="I539" s="20">
        <v>4183776.0</v>
      </c>
      <c r="J539" s="19">
        <v>23.861</v>
      </c>
      <c r="K539" s="21">
        <v>2.659</v>
      </c>
      <c r="L539" s="21">
        <v>4.8105</v>
      </c>
      <c r="M539" s="16">
        <v>2830233.0</v>
      </c>
      <c r="N539" s="21">
        <v>1.6037</v>
      </c>
      <c r="O539" s="20">
        <v>5.0252427938E10</v>
      </c>
      <c r="P539" s="21">
        <v>62.3328</v>
      </c>
      <c r="Q539" s="21">
        <v>47.9162</v>
      </c>
      <c r="R539" s="19">
        <v>69.2195</v>
      </c>
      <c r="S539" s="21">
        <v>104.7436</v>
      </c>
      <c r="T539" s="21">
        <v>104.0876</v>
      </c>
      <c r="U539" s="21">
        <v>103.1295</v>
      </c>
      <c r="V539" s="21">
        <v>101.8654</v>
      </c>
      <c r="W539" s="21">
        <v>101.4989</v>
      </c>
      <c r="X539" s="21">
        <v>99.357</v>
      </c>
      <c r="Y539" s="21">
        <v>93.8741</v>
      </c>
      <c r="Z539" s="21">
        <v>93.4034</v>
      </c>
      <c r="AA539" s="21">
        <v>111.33</v>
      </c>
      <c r="AB539" s="21">
        <v>28.3547</v>
      </c>
      <c r="AC539" s="21">
        <v>3.9124</v>
      </c>
      <c r="AD539" s="21">
        <v>10.931</v>
      </c>
      <c r="AE539" s="21">
        <v>22.9697</v>
      </c>
      <c r="AF539" s="21">
        <v>8.3782</v>
      </c>
      <c r="AG539" s="21">
        <v>1.8276</v>
      </c>
      <c r="AH539" s="21">
        <v>0.7243</v>
      </c>
      <c r="AI539" s="21">
        <v>1.455</v>
      </c>
      <c r="AJ539" s="19">
        <v>1.11</v>
      </c>
      <c r="AK539" s="24"/>
      <c r="AL539" s="22">
        <f>IFERROR(__xludf.DUMMYFUNCTION("IFERROR(GOOGLEFINANCE(B539,""price""),"""")"),116.47)</f>
        <v>116.47</v>
      </c>
    </row>
    <row r="540">
      <c r="A540" s="7">
        <v>46108.67005509595</v>
      </c>
      <c r="B540" s="8" t="s">
        <v>2300</v>
      </c>
      <c r="C540" s="8" t="s">
        <v>2301</v>
      </c>
      <c r="D540" s="9">
        <v>46110.0</v>
      </c>
      <c r="E540" s="8" t="s">
        <v>2302</v>
      </c>
      <c r="F540" s="10">
        <v>23.49</v>
      </c>
      <c r="G540" s="11">
        <v>0.0426</v>
      </c>
      <c r="H540" s="8" t="s">
        <v>88</v>
      </c>
      <c r="I540" s="12">
        <v>6059440.0</v>
      </c>
      <c r="J540" s="11">
        <v>20.7721</v>
      </c>
      <c r="K540" s="13">
        <v>0.2282</v>
      </c>
      <c r="L540" s="13">
        <v>0.9534</v>
      </c>
      <c r="M540" s="8">
        <v>4534494.0</v>
      </c>
      <c r="N540" s="13">
        <v>1.3951</v>
      </c>
      <c r="O540" s="12">
        <v>6.940500759E9</v>
      </c>
      <c r="P540" s="13">
        <v>74.2529</v>
      </c>
      <c r="Q540" s="13">
        <v>56.363</v>
      </c>
      <c r="R540" s="11">
        <v>53.6081</v>
      </c>
      <c r="S540" s="13">
        <v>23.3893</v>
      </c>
      <c r="T540" s="13">
        <v>23.3838</v>
      </c>
      <c r="U540" s="13">
        <v>23.386</v>
      </c>
      <c r="V540" s="13">
        <v>23.2798</v>
      </c>
      <c r="W540" s="13">
        <v>23.2275</v>
      </c>
      <c r="X540" s="13">
        <v>22.8357</v>
      </c>
      <c r="Y540" s="13">
        <v>22.4316</v>
      </c>
      <c r="Z540" s="13">
        <v>21.3154</v>
      </c>
      <c r="AA540" s="13">
        <v>27.09</v>
      </c>
      <c r="AB540" s="13">
        <v>0.0</v>
      </c>
      <c r="AC540" s="13">
        <v>-0.1371</v>
      </c>
      <c r="AD540" s="13">
        <v>-2.5819</v>
      </c>
      <c r="AE540" s="13">
        <v>3.8401</v>
      </c>
      <c r="AF540" s="13">
        <v>61.8776</v>
      </c>
      <c r="AG540" s="13">
        <v>0.4255</v>
      </c>
      <c r="AH540" s="13">
        <v>1.8035</v>
      </c>
      <c r="AI540" s="13">
        <v>0.0142</v>
      </c>
      <c r="AJ540" s="11">
        <v>0.48</v>
      </c>
      <c r="AK540" s="8" t="s">
        <v>2203</v>
      </c>
      <c r="AL540" s="14">
        <f>IFERROR(__xludf.DUMMYFUNCTION("IFERROR(GOOGLEFINANCE(B540,""price""),"""")"),24.0)</f>
        <v>24</v>
      </c>
    </row>
    <row r="541">
      <c r="A541" s="15">
        <v>46108.67005509595</v>
      </c>
      <c r="B541" s="16" t="s">
        <v>1626</v>
      </c>
      <c r="C541" s="16" t="s">
        <v>1627</v>
      </c>
      <c r="D541" s="17">
        <v>46110.0</v>
      </c>
      <c r="E541" s="16" t="s">
        <v>1628</v>
      </c>
      <c r="F541" s="18">
        <v>45.97</v>
      </c>
      <c r="G541" s="19">
        <v>1.1664</v>
      </c>
      <c r="H541" s="16" t="s">
        <v>917</v>
      </c>
      <c r="I541" s="20">
        <v>4288607.0</v>
      </c>
      <c r="J541" s="19">
        <v>21.8705</v>
      </c>
      <c r="K541" s="21">
        <v>0.94</v>
      </c>
      <c r="L541" s="21">
        <v>1.8014</v>
      </c>
      <c r="M541" s="16">
        <v>3072655.0</v>
      </c>
      <c r="N541" s="21">
        <v>1.4345</v>
      </c>
      <c r="O541" s="20">
        <v>2.1998167877E10</v>
      </c>
      <c r="P541" s="21">
        <v>31.2237</v>
      </c>
      <c r="Q541" s="21">
        <v>29.3652</v>
      </c>
      <c r="R541" s="19">
        <v>49.4301</v>
      </c>
      <c r="S541" s="21">
        <v>45.9113</v>
      </c>
      <c r="T541" s="21">
        <v>46.1207</v>
      </c>
      <c r="U541" s="21">
        <v>45.8733</v>
      </c>
      <c r="V541" s="21">
        <v>45.4558</v>
      </c>
      <c r="W541" s="21">
        <v>45.33</v>
      </c>
      <c r="X541" s="21">
        <v>44.5974</v>
      </c>
      <c r="Y541" s="21">
        <v>42.784</v>
      </c>
      <c r="Z541" s="21">
        <v>42.7784</v>
      </c>
      <c r="AA541" s="21">
        <v>47.9581</v>
      </c>
      <c r="AB541" s="21">
        <v>23.5357</v>
      </c>
      <c r="AC541" s="21">
        <v>1.9532</v>
      </c>
      <c r="AD541" s="21">
        <v>10.2226</v>
      </c>
      <c r="AE541" s="21">
        <v>27.6399</v>
      </c>
      <c r="AF541" s="21">
        <v>21.7613</v>
      </c>
      <c r="AG541" s="21">
        <v>1.7185</v>
      </c>
      <c r="AH541" s="21">
        <v>0.6876</v>
      </c>
      <c r="AI541" s="21">
        <v>0.0825</v>
      </c>
      <c r="AJ541" s="19">
        <v>1.04</v>
      </c>
      <c r="AK541" s="16" t="s">
        <v>1267</v>
      </c>
      <c r="AL541" s="22">
        <f>IFERROR(__xludf.DUMMYFUNCTION("IFERROR(GOOGLEFINANCE(B541,""price""),"""")"),48.05)</f>
        <v>48.05</v>
      </c>
    </row>
    <row r="542">
      <c r="A542" s="7">
        <v>46108.67005509595</v>
      </c>
      <c r="B542" s="8" t="s">
        <v>1773</v>
      </c>
      <c r="C542" s="8" t="s">
        <v>1774</v>
      </c>
      <c r="D542" s="9">
        <v>46110.0</v>
      </c>
      <c r="E542" s="8" t="s">
        <v>1775</v>
      </c>
      <c r="F542" s="10">
        <v>10.98</v>
      </c>
      <c r="G542" s="11">
        <v>0.0</v>
      </c>
      <c r="H542" s="8" t="s">
        <v>93</v>
      </c>
      <c r="I542" s="12">
        <v>1214881.0</v>
      </c>
      <c r="J542" s="11">
        <v>63.7931</v>
      </c>
      <c r="K542" s="13">
        <v>0.0532</v>
      </c>
      <c r="L542" s="13">
        <v>0.1316</v>
      </c>
      <c r="M542" s="13">
        <v>150473.8</v>
      </c>
      <c r="N542" s="13">
        <v>29.6302</v>
      </c>
      <c r="O542" s="12">
        <v>2.29554949E8</v>
      </c>
      <c r="P542" s="13">
        <v>29.1022</v>
      </c>
      <c r="Q542" s="13">
        <v>30.1686</v>
      </c>
      <c r="R542" s="11">
        <v>53.6122</v>
      </c>
      <c r="S542" s="13">
        <v>10.972</v>
      </c>
      <c r="T542" s="13">
        <v>10.9631</v>
      </c>
      <c r="U542" s="13">
        <v>10.9514</v>
      </c>
      <c r="V542" s="13">
        <v>10.9362</v>
      </c>
      <c r="W542" s="13">
        <v>10.9315</v>
      </c>
      <c r="X542" s="13">
        <v>10.8985</v>
      </c>
      <c r="Y542" s="13">
        <v>10.7763</v>
      </c>
      <c r="Z542" s="13">
        <v>10.7956</v>
      </c>
      <c r="AA542" s="13">
        <v>11.5</v>
      </c>
      <c r="AB542" s="13">
        <v>35.8706</v>
      </c>
      <c r="AC542" s="13">
        <v>0.3061</v>
      </c>
      <c r="AD542" s="13">
        <v>3.7822</v>
      </c>
      <c r="AE542" s="13">
        <v>0.0</v>
      </c>
      <c r="AF542" s="13">
        <v>0.0</v>
      </c>
      <c r="AG542" s="13">
        <v>0.0</v>
      </c>
      <c r="AH542" s="13">
        <v>0.0</v>
      </c>
      <c r="AI542" s="13">
        <v>0.1873</v>
      </c>
      <c r="AJ542" s="11">
        <v>0.81</v>
      </c>
      <c r="AK542" s="8" t="s">
        <v>2296</v>
      </c>
      <c r="AL542" s="14">
        <f>IFERROR(__xludf.DUMMYFUNCTION("IFERROR(GOOGLEFINANCE(B542,""price""),"""")"),11.01)</f>
        <v>11.01</v>
      </c>
    </row>
    <row r="543">
      <c r="A543" s="15">
        <v>46108.67005509595</v>
      </c>
      <c r="B543" s="16" t="s">
        <v>1521</v>
      </c>
      <c r="C543" s="16" t="s">
        <v>1522</v>
      </c>
      <c r="D543" s="17">
        <v>46110.0</v>
      </c>
      <c r="E543" s="16" t="s">
        <v>1523</v>
      </c>
      <c r="F543" s="18">
        <v>10.47</v>
      </c>
      <c r="G543" s="19">
        <v>0.0</v>
      </c>
      <c r="H543" s="16" t="s">
        <v>93</v>
      </c>
      <c r="I543" s="20">
        <v>367325.0</v>
      </c>
      <c r="J543" s="19">
        <v>30.5735</v>
      </c>
      <c r="K543" s="21">
        <v>0.033</v>
      </c>
      <c r="L543" s="21">
        <v>0.1432</v>
      </c>
      <c r="M543" s="21">
        <v>117391.9</v>
      </c>
      <c r="N543" s="21">
        <v>4.36</v>
      </c>
      <c r="O543" s="20">
        <v>2.36273014E8</v>
      </c>
      <c r="P543" s="21">
        <v>76.1905</v>
      </c>
      <c r="Q543" s="21">
        <v>72.0635</v>
      </c>
      <c r="R543" s="19">
        <v>65.4601</v>
      </c>
      <c r="S543" s="21">
        <v>10.4569</v>
      </c>
      <c r="T543" s="21">
        <v>10.4361</v>
      </c>
      <c r="U543" s="21">
        <v>10.4187</v>
      </c>
      <c r="V543" s="21">
        <v>10.4054</v>
      </c>
      <c r="W543" s="21">
        <v>10.403</v>
      </c>
      <c r="X543" s="21">
        <v>10.3972</v>
      </c>
      <c r="Y543" s="21">
        <v>10.3223</v>
      </c>
      <c r="Z543" s="21">
        <v>10.475</v>
      </c>
      <c r="AA543" s="21">
        <v>15.24</v>
      </c>
      <c r="AB543" s="21">
        <v>0.0</v>
      </c>
      <c r="AC543" s="21">
        <v>-0.7281</v>
      </c>
      <c r="AD543" s="21">
        <v>-8.6452</v>
      </c>
      <c r="AE543" s="21">
        <v>0.0</v>
      </c>
      <c r="AF543" s="21">
        <v>0.0</v>
      </c>
      <c r="AG543" s="21">
        <v>0.0</v>
      </c>
      <c r="AH543" s="21">
        <v>0.0802</v>
      </c>
      <c r="AI543" s="21">
        <v>0.3652</v>
      </c>
      <c r="AJ543" s="19">
        <v>0.46</v>
      </c>
      <c r="AK543" s="16" t="s">
        <v>2303</v>
      </c>
      <c r="AL543" s="22">
        <f>IFERROR(__xludf.DUMMYFUNCTION("IFERROR(GOOGLEFINANCE(B543,""price""),"""")"),10.48)</f>
        <v>10.48</v>
      </c>
    </row>
    <row r="544">
      <c r="A544" s="7">
        <v>46108.67005509595</v>
      </c>
      <c r="B544" s="8" t="s">
        <v>2304</v>
      </c>
      <c r="C544" s="8" t="s">
        <v>2305</v>
      </c>
      <c r="D544" s="9">
        <v>46110.0</v>
      </c>
      <c r="E544" s="8" t="s">
        <v>2306</v>
      </c>
      <c r="F544" s="10">
        <v>99.69</v>
      </c>
      <c r="G544" s="11">
        <v>1.1465</v>
      </c>
      <c r="H544" s="8" t="s">
        <v>917</v>
      </c>
      <c r="I544" s="12">
        <v>1600302.0</v>
      </c>
      <c r="J544" s="11">
        <v>23.3495</v>
      </c>
      <c r="K544" s="13">
        <v>1.9449</v>
      </c>
      <c r="L544" s="13">
        <v>3.7578</v>
      </c>
      <c r="M544" s="8">
        <v>1260530.0</v>
      </c>
      <c r="N544" s="13">
        <v>1.3118</v>
      </c>
      <c r="O544" s="12">
        <v>1.2053057819E10</v>
      </c>
      <c r="P544" s="13">
        <v>26.3158</v>
      </c>
      <c r="Q544" s="13">
        <v>18.782</v>
      </c>
      <c r="R544" s="11">
        <v>52.1865</v>
      </c>
      <c r="S544" s="13">
        <v>99.0983</v>
      </c>
      <c r="T544" s="13">
        <v>99.4787</v>
      </c>
      <c r="U544" s="13">
        <v>98.7291</v>
      </c>
      <c r="V544" s="13">
        <v>97.5673</v>
      </c>
      <c r="W544" s="13">
        <v>97.2285</v>
      </c>
      <c r="X544" s="13">
        <v>95.4327</v>
      </c>
      <c r="Y544" s="13">
        <v>92.7051</v>
      </c>
      <c r="Z544" s="13">
        <v>91.6834</v>
      </c>
      <c r="AA544" s="13">
        <v>103.97</v>
      </c>
      <c r="AB544" s="13">
        <v>19.7195</v>
      </c>
      <c r="AC544" s="13">
        <v>5.0554</v>
      </c>
      <c r="AD544" s="13">
        <v>8.9347</v>
      </c>
      <c r="AE544" s="13">
        <v>18.0962</v>
      </c>
      <c r="AF544" s="13">
        <v>4.1957</v>
      </c>
      <c r="AG544" s="13">
        <v>2.0293</v>
      </c>
      <c r="AH544" s="13">
        <v>0.4918</v>
      </c>
      <c r="AI544" s="13">
        <v>0.3704</v>
      </c>
      <c r="AJ544" s="11">
        <v>1.04</v>
      </c>
      <c r="AK544" s="8" t="s">
        <v>1267</v>
      </c>
      <c r="AL544" s="14">
        <f>IFERROR(__xludf.DUMMYFUNCTION("IFERROR(GOOGLEFINANCE(B544,""price""),"""")"),103.59)</f>
        <v>103.59</v>
      </c>
    </row>
    <row r="545">
      <c r="A545" s="15">
        <v>46108.67005509595</v>
      </c>
      <c r="B545" s="16" t="s">
        <v>1750</v>
      </c>
      <c r="C545" s="16" t="s">
        <v>1751</v>
      </c>
      <c r="D545" s="17">
        <v>46110.0</v>
      </c>
      <c r="E545" s="16" t="s">
        <v>1752</v>
      </c>
      <c r="F545" s="18">
        <v>15.79</v>
      </c>
      <c r="G545" s="19">
        <v>-0.1896</v>
      </c>
      <c r="H545" s="16" t="s">
        <v>186</v>
      </c>
      <c r="I545" s="20">
        <v>497436.0</v>
      </c>
      <c r="J545" s="19">
        <v>40.8998</v>
      </c>
      <c r="K545" s="21">
        <v>0.0544</v>
      </c>
      <c r="L545" s="21">
        <v>0.2707</v>
      </c>
      <c r="M545" s="21">
        <v>373898.0</v>
      </c>
      <c r="N545" s="21">
        <v>1.3273</v>
      </c>
      <c r="O545" s="20">
        <v>4.75858991E8</v>
      </c>
      <c r="P545" s="21">
        <v>54.2857</v>
      </c>
      <c r="Q545" s="21">
        <v>72.0635</v>
      </c>
      <c r="R545" s="19">
        <v>55.2038</v>
      </c>
      <c r="S545" s="21">
        <v>15.8093</v>
      </c>
      <c r="T545" s="21">
        <v>15.7717</v>
      </c>
      <c r="U545" s="21">
        <v>15.7215</v>
      </c>
      <c r="V545" s="21">
        <v>15.6477</v>
      </c>
      <c r="W545" s="21">
        <v>15.6207</v>
      </c>
      <c r="X545" s="21">
        <v>15.397</v>
      </c>
      <c r="Y545" s="21">
        <v>15.0157</v>
      </c>
      <c r="Z545" s="21">
        <v>14.044</v>
      </c>
      <c r="AA545" s="21">
        <v>15.9</v>
      </c>
      <c r="AB545" s="21">
        <v>14.5276</v>
      </c>
      <c r="AC545" s="21">
        <v>1.0869</v>
      </c>
      <c r="AD545" s="21">
        <v>22.0766</v>
      </c>
      <c r="AE545" s="21">
        <v>-3.6678</v>
      </c>
      <c r="AF545" s="21">
        <v>-8.6164</v>
      </c>
      <c r="AG545" s="21">
        <v>1.3444</v>
      </c>
      <c r="AH545" s="21">
        <v>2.5054</v>
      </c>
      <c r="AI545" s="21">
        <v>0.5561</v>
      </c>
      <c r="AJ545" s="19">
        <v>0.4</v>
      </c>
      <c r="AK545" s="16" t="s">
        <v>2307</v>
      </c>
      <c r="AL545" s="22">
        <f>IFERROR(__xludf.DUMMYFUNCTION("IFERROR(GOOGLEFINANCE(B545,""price""),"""")"),15.82)</f>
        <v>15.82</v>
      </c>
    </row>
    <row r="546">
      <c r="A546" s="7">
        <v>46108.67005509595</v>
      </c>
      <c r="B546" s="8" t="s">
        <v>2308</v>
      </c>
      <c r="C546" s="8" t="s">
        <v>2309</v>
      </c>
      <c r="D546" s="9">
        <v>46110.0</v>
      </c>
      <c r="E546" s="8" t="s">
        <v>2310</v>
      </c>
      <c r="F546" s="10">
        <v>2.59</v>
      </c>
      <c r="G546" s="11">
        <v>10.2128</v>
      </c>
      <c r="H546" s="8" t="s">
        <v>917</v>
      </c>
      <c r="I546" s="12">
        <v>2227518.0</v>
      </c>
      <c r="J546" s="11">
        <v>20.5037</v>
      </c>
      <c r="K546" s="13">
        <v>0.1202</v>
      </c>
      <c r="L546" s="13">
        <v>0.2772</v>
      </c>
      <c r="M546" s="8">
        <v>1779456.0</v>
      </c>
      <c r="N546" s="13">
        <v>1.3535</v>
      </c>
      <c r="O546" s="12">
        <v>5.68326148E8</v>
      </c>
      <c r="P546" s="13">
        <v>82.8247</v>
      </c>
      <c r="Q546" s="13">
        <v>72.8966</v>
      </c>
      <c r="R546" s="11">
        <v>67.3911</v>
      </c>
      <c r="S546" s="13">
        <v>2.3317</v>
      </c>
      <c r="T546" s="13">
        <v>2.302</v>
      </c>
      <c r="U546" s="13">
        <v>2.3136</v>
      </c>
      <c r="V546" s="13">
        <v>2.322</v>
      </c>
      <c r="W546" s="13">
        <v>2.324</v>
      </c>
      <c r="X546" s="13">
        <v>2.3324</v>
      </c>
      <c r="Y546" s="13">
        <v>2.3441</v>
      </c>
      <c r="Z546" s="13">
        <v>2.3401</v>
      </c>
      <c r="AA546" s="13">
        <v>3.11</v>
      </c>
      <c r="AB546" s="13">
        <v>0.0</v>
      </c>
      <c r="AC546" s="13">
        <v>-0.9999</v>
      </c>
      <c r="AD546" s="13">
        <v>-34.8904</v>
      </c>
      <c r="AE546" s="13">
        <v>-22.0097</v>
      </c>
      <c r="AF546" s="13">
        <v>2.5245</v>
      </c>
      <c r="AG546" s="13">
        <v>0.5821</v>
      </c>
      <c r="AH546" s="13">
        <v>2.3177</v>
      </c>
      <c r="AI546" s="13">
        <v>0.6991</v>
      </c>
      <c r="AJ546" s="11">
        <v>0.87</v>
      </c>
      <c r="AK546" s="8" t="s">
        <v>1283</v>
      </c>
      <c r="AL546" s="14">
        <f>IFERROR(__xludf.DUMMYFUNCTION("IFERROR(GOOGLEFINANCE(B546,""price""),"""")"),2.26)</f>
        <v>2.26</v>
      </c>
    </row>
    <row r="547">
      <c r="A547" s="15">
        <v>46108.67005509595</v>
      </c>
      <c r="B547" s="16" t="s">
        <v>2311</v>
      </c>
      <c r="C547" s="16" t="s">
        <v>2312</v>
      </c>
      <c r="D547" s="17">
        <v>46110.0</v>
      </c>
      <c r="E547" s="16" t="s">
        <v>2313</v>
      </c>
      <c r="F547" s="18">
        <v>42.96</v>
      </c>
      <c r="G547" s="19">
        <v>5.9433</v>
      </c>
      <c r="H547" s="16" t="s">
        <v>88</v>
      </c>
      <c r="I547" s="20">
        <v>2146384.0</v>
      </c>
      <c r="J547" s="19">
        <v>21.4568</v>
      </c>
      <c r="K547" s="21">
        <v>2.064</v>
      </c>
      <c r="L547" s="21">
        <v>3.6448</v>
      </c>
      <c r="M547" s="16">
        <v>1011904.0</v>
      </c>
      <c r="N547" s="21">
        <v>2.5351</v>
      </c>
      <c r="O547" s="20">
        <v>3.060113977E9</v>
      </c>
      <c r="P547" s="21">
        <v>83.1487</v>
      </c>
      <c r="Q547" s="21">
        <v>70.4589</v>
      </c>
      <c r="R547" s="19">
        <v>66.6985</v>
      </c>
      <c r="S547" s="21">
        <v>38.9752</v>
      </c>
      <c r="T547" s="21">
        <v>38.3708</v>
      </c>
      <c r="U547" s="21">
        <v>38.5879</v>
      </c>
      <c r="V547" s="21">
        <v>38.6125</v>
      </c>
      <c r="W547" s="21">
        <v>38.5755</v>
      </c>
      <c r="X547" s="21">
        <v>38.1627</v>
      </c>
      <c r="Y547" s="21">
        <v>36.7901</v>
      </c>
      <c r="Z547" s="21">
        <v>36.6074</v>
      </c>
      <c r="AA547" s="21">
        <v>49.34</v>
      </c>
      <c r="AB547" s="21">
        <v>10.9366</v>
      </c>
      <c r="AC547" s="21">
        <v>3.9281</v>
      </c>
      <c r="AD547" s="21">
        <v>27.4379</v>
      </c>
      <c r="AE547" s="21">
        <v>31.9797</v>
      </c>
      <c r="AF547" s="21">
        <v>0.0</v>
      </c>
      <c r="AG547" s="21">
        <v>8.0454</v>
      </c>
      <c r="AH547" s="21">
        <v>1.0921</v>
      </c>
      <c r="AI547" s="21">
        <v>0.9014</v>
      </c>
      <c r="AJ547" s="19">
        <v>1.13</v>
      </c>
      <c r="AK547" s="16" t="s">
        <v>1688</v>
      </c>
      <c r="AL547" s="22">
        <f>IFERROR(__xludf.DUMMYFUNCTION("IFERROR(GOOGLEFINANCE(B547,""price""),"""")"),49.94)</f>
        <v>49.94</v>
      </c>
    </row>
    <row r="548">
      <c r="A548" s="7">
        <v>46108.67005509595</v>
      </c>
      <c r="B548" s="8" t="s">
        <v>2297</v>
      </c>
      <c r="C548" s="8" t="s">
        <v>2298</v>
      </c>
      <c r="D548" s="9">
        <v>46110.0</v>
      </c>
      <c r="E548" s="8" t="s">
        <v>2299</v>
      </c>
      <c r="F548" s="10">
        <v>109.88</v>
      </c>
      <c r="G548" s="11">
        <v>6.8248</v>
      </c>
      <c r="H548" s="8" t="s">
        <v>917</v>
      </c>
      <c r="I548" s="12">
        <v>9097198.0</v>
      </c>
      <c r="J548" s="11">
        <v>24.0263</v>
      </c>
      <c r="K548" s="13">
        <v>2.7062</v>
      </c>
      <c r="L548" s="13">
        <v>4.8576</v>
      </c>
      <c r="M548" s="8">
        <v>3321575.0</v>
      </c>
      <c r="N548" s="13">
        <v>3.4872</v>
      </c>
      <c r="O548" s="12">
        <v>4.9774523656E10</v>
      </c>
      <c r="P548" s="13">
        <v>57.9055</v>
      </c>
      <c r="Q548" s="13">
        <v>46.4405</v>
      </c>
      <c r="R548" s="11">
        <v>67.5343</v>
      </c>
      <c r="S548" s="13">
        <v>104.5091</v>
      </c>
      <c r="T548" s="13">
        <v>103.9917</v>
      </c>
      <c r="U548" s="13">
        <v>103.0692</v>
      </c>
      <c r="V548" s="13">
        <v>101.824</v>
      </c>
      <c r="W548" s="13">
        <v>101.4612</v>
      </c>
      <c r="X548" s="13">
        <v>99.3335</v>
      </c>
      <c r="Y548" s="13">
        <v>93.8636</v>
      </c>
      <c r="Z548" s="13">
        <v>93.3981</v>
      </c>
      <c r="AA548" s="13">
        <v>111.99</v>
      </c>
      <c r="AB548" s="13">
        <v>28.0851</v>
      </c>
      <c r="AC548" s="13">
        <v>3.9124</v>
      </c>
      <c r="AD548" s="13">
        <v>10.931</v>
      </c>
      <c r="AE548" s="13">
        <v>22.9697</v>
      </c>
      <c r="AF548" s="13">
        <v>8.3782</v>
      </c>
      <c r="AG548" s="13">
        <v>1.8276</v>
      </c>
      <c r="AH548" s="13">
        <v>0.7243</v>
      </c>
      <c r="AI548" s="13">
        <v>1.3104</v>
      </c>
      <c r="AJ548" s="11">
        <v>1.11</v>
      </c>
      <c r="AK548" s="8" t="s">
        <v>2314</v>
      </c>
      <c r="AL548" s="14">
        <f>IFERROR(__xludf.DUMMYFUNCTION("IFERROR(GOOGLEFINANCE(B548,""price""),"""")"),116.47)</f>
        <v>116.47</v>
      </c>
    </row>
    <row r="549">
      <c r="A549" s="15">
        <v>46108.67005509595</v>
      </c>
      <c r="B549" s="16" t="s">
        <v>2177</v>
      </c>
      <c r="C549" s="16" t="s">
        <v>2178</v>
      </c>
      <c r="D549" s="17">
        <v>46110.0</v>
      </c>
      <c r="E549" s="16" t="s">
        <v>2179</v>
      </c>
      <c r="F549" s="18">
        <v>8.1</v>
      </c>
      <c r="G549" s="19">
        <v>0.0</v>
      </c>
      <c r="H549" s="16" t="s">
        <v>88</v>
      </c>
      <c r="I549" s="20">
        <v>802647.0</v>
      </c>
      <c r="J549" s="19">
        <v>58.0912</v>
      </c>
      <c r="K549" s="21">
        <v>0.0347</v>
      </c>
      <c r="L549" s="21">
        <v>0.2776</v>
      </c>
      <c r="M549" s="21">
        <v>636797.3</v>
      </c>
      <c r="N549" s="21">
        <v>1.3461</v>
      </c>
      <c r="O549" s="20">
        <v>3.47222103E8</v>
      </c>
      <c r="P549" s="21">
        <v>88.8889</v>
      </c>
      <c r="Q549" s="21">
        <v>88.2716</v>
      </c>
      <c r="R549" s="19">
        <v>71.6316</v>
      </c>
      <c r="S549" s="21">
        <v>8.0829</v>
      </c>
      <c r="T549" s="21">
        <v>8.0442</v>
      </c>
      <c r="U549" s="21">
        <v>7.9678</v>
      </c>
      <c r="V549" s="21">
        <v>7.8146</v>
      </c>
      <c r="W549" s="21">
        <v>7.7601</v>
      </c>
      <c r="X549" s="21">
        <v>7.3953</v>
      </c>
      <c r="Y549" s="21">
        <v>6.7037</v>
      </c>
      <c r="Z549" s="21">
        <v>6.2398</v>
      </c>
      <c r="AA549" s="21">
        <v>8.11</v>
      </c>
      <c r="AB549" s="21">
        <v>0.0</v>
      </c>
      <c r="AC549" s="21">
        <v>-0.6802</v>
      </c>
      <c r="AD549" s="21">
        <v>-19.3086</v>
      </c>
      <c r="AE549" s="21">
        <v>-23.2435</v>
      </c>
      <c r="AF549" s="21">
        <v>-5.9218</v>
      </c>
      <c r="AG549" s="21">
        <v>0.0408</v>
      </c>
      <c r="AH549" s="21">
        <v>2.3817</v>
      </c>
      <c r="AI549" s="21">
        <v>1.4205</v>
      </c>
      <c r="AJ549" s="19">
        <v>0.25</v>
      </c>
      <c r="AK549" s="16" t="s">
        <v>2315</v>
      </c>
      <c r="AL549" s="22">
        <f>IFERROR(__xludf.DUMMYFUNCTION("IFERROR(GOOGLEFINANCE(B549,""price""),"""")"),8.1)</f>
        <v>8.1</v>
      </c>
    </row>
    <row r="550">
      <c r="A550" s="7">
        <v>46108.67005509595</v>
      </c>
      <c r="B550" s="8" t="s">
        <v>2280</v>
      </c>
      <c r="C550" s="8" t="s">
        <v>2281</v>
      </c>
      <c r="D550" s="9">
        <v>46110.0</v>
      </c>
      <c r="E550" s="8" t="s">
        <v>2282</v>
      </c>
      <c r="F550" s="10">
        <v>17.03</v>
      </c>
      <c r="G550" s="11">
        <v>2.3438</v>
      </c>
      <c r="H550" s="8" t="s">
        <v>286</v>
      </c>
      <c r="I550" s="12">
        <v>7032765.0</v>
      </c>
      <c r="J550" s="11">
        <v>25.6974</v>
      </c>
      <c r="K550" s="13">
        <v>0.5607</v>
      </c>
      <c r="L550" s="13">
        <v>1.1077</v>
      </c>
      <c r="M550" s="8">
        <v>5306275.0</v>
      </c>
      <c r="N550" s="13">
        <v>1.4329</v>
      </c>
      <c r="O550" s="12">
        <v>1.8196705405E10</v>
      </c>
      <c r="P550" s="13">
        <v>90.5092</v>
      </c>
      <c r="Q550" s="13">
        <v>77.2568</v>
      </c>
      <c r="R550" s="11">
        <v>65.4391</v>
      </c>
      <c r="S550" s="13">
        <v>15.885</v>
      </c>
      <c r="T550" s="13">
        <v>15.6832</v>
      </c>
      <c r="U550" s="13">
        <v>15.6384</v>
      </c>
      <c r="V550" s="13">
        <v>15.5223</v>
      </c>
      <c r="W550" s="13">
        <v>15.481</v>
      </c>
      <c r="X550" s="13">
        <v>15.2187</v>
      </c>
      <c r="Y550" s="13">
        <v>14.5984</v>
      </c>
      <c r="Z550" s="13">
        <v>14.5524</v>
      </c>
      <c r="AA550" s="13">
        <v>18.02</v>
      </c>
      <c r="AB550" s="13">
        <v>9.911</v>
      </c>
      <c r="AC550" s="13">
        <v>1.7183</v>
      </c>
      <c r="AD550" s="13">
        <v>31.0119</v>
      </c>
      <c r="AE550" s="13">
        <v>4.8766</v>
      </c>
      <c r="AF550" s="13">
        <v>0.0</v>
      </c>
      <c r="AG550" s="13">
        <v>2.6263</v>
      </c>
      <c r="AH550" s="13">
        <v>1.5975</v>
      </c>
      <c r="AI550" s="13">
        <v>1.4476</v>
      </c>
      <c r="AJ550" s="11">
        <v>1.01</v>
      </c>
      <c r="AK550" s="23"/>
      <c r="AL550" s="14">
        <f>IFERROR(__xludf.DUMMYFUNCTION("IFERROR(GOOGLEFINANCE(B550,""price""),"""")"),18.32)</f>
        <v>18.32</v>
      </c>
    </row>
    <row r="551">
      <c r="A551" s="15">
        <v>46108.67005509595</v>
      </c>
      <c r="B551" s="16" t="s">
        <v>2316</v>
      </c>
      <c r="C551" s="16" t="s">
        <v>2317</v>
      </c>
      <c r="D551" s="17">
        <v>46110.0</v>
      </c>
      <c r="E551" s="16" t="s">
        <v>2318</v>
      </c>
      <c r="F551" s="18">
        <v>119.84</v>
      </c>
      <c r="G551" s="19">
        <v>2.4274</v>
      </c>
      <c r="H551" s="16" t="s">
        <v>137</v>
      </c>
      <c r="I551" s="20">
        <v>7940434.0</v>
      </c>
      <c r="J551" s="19">
        <v>25.5118</v>
      </c>
      <c r="K551" s="21">
        <v>3.3717</v>
      </c>
      <c r="L551" s="21">
        <v>7.2869</v>
      </c>
      <c r="M551" s="16">
        <v>6786582.0</v>
      </c>
      <c r="N551" s="21">
        <v>1.2177</v>
      </c>
      <c r="O551" s="20">
        <v>5.4270214004E10</v>
      </c>
      <c r="P551" s="21">
        <v>51.6019</v>
      </c>
      <c r="Q551" s="21">
        <v>39.6682</v>
      </c>
      <c r="R551" s="19">
        <v>60.7699</v>
      </c>
      <c r="S551" s="21">
        <v>116.9141</v>
      </c>
      <c r="T551" s="21">
        <v>116.3846</v>
      </c>
      <c r="U551" s="21">
        <v>115.1064</v>
      </c>
      <c r="V551" s="21">
        <v>113.0508</v>
      </c>
      <c r="W551" s="21">
        <v>112.4084</v>
      </c>
      <c r="X551" s="21">
        <v>108.8089</v>
      </c>
      <c r="Y551" s="21">
        <v>106.2486</v>
      </c>
      <c r="Z551" s="21">
        <v>100.4992</v>
      </c>
      <c r="AA551" s="21">
        <v>126.0</v>
      </c>
      <c r="AB551" s="21">
        <v>14.7332</v>
      </c>
      <c r="AC551" s="21">
        <v>8.134</v>
      </c>
      <c r="AD551" s="21">
        <v>24.0407</v>
      </c>
      <c r="AE551" s="21">
        <v>4.4684</v>
      </c>
      <c r="AF551" s="21">
        <v>-1.676</v>
      </c>
      <c r="AG551" s="21">
        <v>1.2552</v>
      </c>
      <c r="AH551" s="21">
        <v>0.9423</v>
      </c>
      <c r="AI551" s="21">
        <v>1.5084</v>
      </c>
      <c r="AJ551" s="19">
        <v>0.93</v>
      </c>
      <c r="AK551" s="24"/>
      <c r="AL551" s="22">
        <f>IFERROR(__xludf.DUMMYFUNCTION("IFERROR(GOOGLEFINANCE(B551,""price""),"""")"),121.89)</f>
        <v>121.89</v>
      </c>
    </row>
    <row r="552">
      <c r="A552" s="7">
        <v>46111.66756381924</v>
      </c>
      <c r="B552" s="8" t="s">
        <v>2319</v>
      </c>
      <c r="C552" s="8" t="s">
        <v>2320</v>
      </c>
      <c r="D552" s="9">
        <v>46117.0</v>
      </c>
      <c r="E552" s="8" t="s">
        <v>2321</v>
      </c>
      <c r="F552" s="10">
        <v>5.1</v>
      </c>
      <c r="G552" s="11">
        <v>-2.1113</v>
      </c>
      <c r="H552" s="8" t="s">
        <v>286</v>
      </c>
      <c r="I552" s="12">
        <v>2728597.0</v>
      </c>
      <c r="J552" s="11">
        <v>21.8802</v>
      </c>
      <c r="K552" s="13">
        <v>0.2357</v>
      </c>
      <c r="L552" s="13">
        <v>0.4806</v>
      </c>
      <c r="M552" s="8">
        <v>2107755.0</v>
      </c>
      <c r="N552" s="13">
        <v>1.364</v>
      </c>
      <c r="O552" s="12">
        <v>4.07853935E8</v>
      </c>
      <c r="P552" s="13">
        <v>44.4846</v>
      </c>
      <c r="Q552" s="13">
        <v>37.034</v>
      </c>
      <c r="R552" s="11">
        <v>50.3116</v>
      </c>
      <c r="S552" s="13">
        <v>5.0706</v>
      </c>
      <c r="T552" s="13">
        <v>5.1008</v>
      </c>
      <c r="U552" s="13">
        <v>5.0642</v>
      </c>
      <c r="V552" s="13">
        <v>4.9911</v>
      </c>
      <c r="W552" s="13">
        <v>4.969</v>
      </c>
      <c r="X552" s="13">
        <v>4.8583</v>
      </c>
      <c r="Y552" s="13">
        <v>4.9683</v>
      </c>
      <c r="Z552" s="13">
        <v>4.5424</v>
      </c>
      <c r="AA552" s="13">
        <v>7.235</v>
      </c>
      <c r="AB552" s="13">
        <v>0.0</v>
      </c>
      <c r="AC552" s="13">
        <v>-0.541</v>
      </c>
      <c r="AD552" s="13">
        <v>-8.8484</v>
      </c>
      <c r="AE552" s="13">
        <v>10.8402</v>
      </c>
      <c r="AF552" s="13">
        <v>-5.3697</v>
      </c>
      <c r="AG552" s="13">
        <v>4.4189</v>
      </c>
      <c r="AH552" s="13">
        <v>3.3199</v>
      </c>
      <c r="AI552" s="13">
        <v>0.1249</v>
      </c>
      <c r="AJ552" s="11">
        <v>0.98</v>
      </c>
      <c r="AK552" s="8" t="s">
        <v>1267</v>
      </c>
      <c r="AL552" s="14">
        <f>IFERROR(__xludf.DUMMYFUNCTION("IFERROR(GOOGLEFINANCE(B552,""price""),"""")"),5.42)</f>
        <v>5.42</v>
      </c>
    </row>
    <row r="553">
      <c r="A553" s="15">
        <v>46111.66756381924</v>
      </c>
      <c r="B553" s="16" t="s">
        <v>2090</v>
      </c>
      <c r="C553" s="16" t="s">
        <v>2091</v>
      </c>
      <c r="D553" s="17">
        <v>46117.0</v>
      </c>
      <c r="E553" s="16" t="s">
        <v>2092</v>
      </c>
      <c r="F553" s="18">
        <v>10.82</v>
      </c>
      <c r="G553" s="19">
        <v>0.0</v>
      </c>
      <c r="H553" s="16" t="s">
        <v>93</v>
      </c>
      <c r="I553" s="20">
        <v>660738.0</v>
      </c>
      <c r="J553" s="19">
        <v>37.4803</v>
      </c>
      <c r="K553" s="21">
        <v>0.0196</v>
      </c>
      <c r="L553" s="21">
        <v>0.0342</v>
      </c>
      <c r="M553" s="21">
        <v>143724.6</v>
      </c>
      <c r="N553" s="21">
        <v>4.9978</v>
      </c>
      <c r="O553" s="20">
        <v>3.88843739E8</v>
      </c>
      <c r="P553" s="21">
        <v>88.8889</v>
      </c>
      <c r="Q553" s="21">
        <v>85.5556</v>
      </c>
      <c r="R553" s="19">
        <v>60.8234</v>
      </c>
      <c r="S553" s="21">
        <v>10.8123</v>
      </c>
      <c r="T553" s="21">
        <v>10.7934</v>
      </c>
      <c r="U553" s="21">
        <v>10.7752</v>
      </c>
      <c r="V553" s="21">
        <v>10.7541</v>
      </c>
      <c r="W553" s="21">
        <v>10.7478</v>
      </c>
      <c r="X553" s="21">
        <v>10.7051</v>
      </c>
      <c r="Y553" s="21">
        <v>10.5596</v>
      </c>
      <c r="Z553" s="21">
        <v>10.5658</v>
      </c>
      <c r="AA553" s="21">
        <v>10.83</v>
      </c>
      <c r="AB553" s="21">
        <v>32.6987</v>
      </c>
      <c r="AC553" s="21">
        <v>0.3309</v>
      </c>
      <c r="AD553" s="21">
        <v>4.1183</v>
      </c>
      <c r="AE553" s="21">
        <v>0.0</v>
      </c>
      <c r="AF553" s="21">
        <v>0.0</v>
      </c>
      <c r="AG553" s="21">
        <v>0.0014</v>
      </c>
      <c r="AH553" s="21">
        <v>0.2964</v>
      </c>
      <c r="AI553" s="21">
        <v>0.3428</v>
      </c>
      <c r="AJ553" s="19">
        <v>1.15</v>
      </c>
      <c r="AK553" s="16" t="s">
        <v>2322</v>
      </c>
      <c r="AL553" s="22">
        <f>IFERROR(__xludf.DUMMYFUNCTION("IFERROR(GOOGLEFINANCE(B553,""price""),"""")"),10.87)</f>
        <v>10.87</v>
      </c>
    </row>
    <row r="554">
      <c r="A554" s="7">
        <v>46111.66756381924</v>
      </c>
      <c r="B554" s="8" t="s">
        <v>1521</v>
      </c>
      <c r="C554" s="8" t="s">
        <v>1522</v>
      </c>
      <c r="D554" s="9">
        <v>46117.0</v>
      </c>
      <c r="E554" s="8" t="s">
        <v>1523</v>
      </c>
      <c r="F554" s="10">
        <v>10.46</v>
      </c>
      <c r="G554" s="11">
        <v>-0.0955</v>
      </c>
      <c r="H554" s="8" t="s">
        <v>93</v>
      </c>
      <c r="I554" s="12">
        <v>481311.0</v>
      </c>
      <c r="J554" s="11">
        <v>29.8491</v>
      </c>
      <c r="K554" s="13">
        <v>0.0321</v>
      </c>
      <c r="L554" s="13">
        <v>0.1344</v>
      </c>
      <c r="M554" s="13">
        <v>163786.5</v>
      </c>
      <c r="N554" s="13">
        <v>4.0999</v>
      </c>
      <c r="O554" s="12">
        <v>2.36047347E8</v>
      </c>
      <c r="P554" s="13">
        <v>80.9524</v>
      </c>
      <c r="Q554" s="13">
        <v>76.0317</v>
      </c>
      <c r="R554" s="11">
        <v>61.0284</v>
      </c>
      <c r="S554" s="13">
        <v>10.4576</v>
      </c>
      <c r="T554" s="13">
        <v>10.4383</v>
      </c>
      <c r="U554" s="13">
        <v>10.421</v>
      </c>
      <c r="V554" s="13">
        <v>10.4075</v>
      </c>
      <c r="W554" s="13">
        <v>10.405</v>
      </c>
      <c r="X554" s="13">
        <v>10.3986</v>
      </c>
      <c r="Y554" s="13">
        <v>10.3237</v>
      </c>
      <c r="Z554" s="13">
        <v>10.477</v>
      </c>
      <c r="AA554" s="13">
        <v>15.24</v>
      </c>
      <c r="AB554" s="13">
        <v>0.0</v>
      </c>
      <c r="AC554" s="13">
        <v>-0.7281</v>
      </c>
      <c r="AD554" s="13">
        <v>-8.6452</v>
      </c>
      <c r="AE554" s="13">
        <v>0.0</v>
      </c>
      <c r="AF554" s="13">
        <v>0.0</v>
      </c>
      <c r="AG554" s="13">
        <v>0.0</v>
      </c>
      <c r="AH554" s="13">
        <v>0.0802</v>
      </c>
      <c r="AI554" s="13">
        <v>0.3495</v>
      </c>
      <c r="AJ554" s="11">
        <v>0.48</v>
      </c>
      <c r="AK554" s="8" t="s">
        <v>2323</v>
      </c>
      <c r="AL554" s="14">
        <f>IFERROR(__xludf.DUMMYFUNCTION("IFERROR(GOOGLEFINANCE(B554,""price""),"""")"),10.48)</f>
        <v>10.48</v>
      </c>
    </row>
    <row r="555">
      <c r="A555" s="15">
        <v>46111.66756381924</v>
      </c>
      <c r="B555" s="16" t="s">
        <v>2324</v>
      </c>
      <c r="C555" s="16" t="s">
        <v>2325</v>
      </c>
      <c r="D555" s="17">
        <v>46117.0</v>
      </c>
      <c r="E555" s="16" t="s">
        <v>2326</v>
      </c>
      <c r="F555" s="18">
        <v>7.45</v>
      </c>
      <c r="G555" s="19">
        <v>20.1613</v>
      </c>
      <c r="H555" s="16" t="s">
        <v>117</v>
      </c>
      <c r="I555" s="20">
        <v>1082569.0</v>
      </c>
      <c r="J555" s="19">
        <v>26.55</v>
      </c>
      <c r="K555" s="21">
        <v>0.3326</v>
      </c>
      <c r="L555" s="21">
        <v>0.4933</v>
      </c>
      <c r="M555" s="21">
        <v>126306.1</v>
      </c>
      <c r="N555" s="21">
        <v>56.8558</v>
      </c>
      <c r="O555" s="20">
        <v>5.455751E7</v>
      </c>
      <c r="P555" s="21">
        <v>36.5679</v>
      </c>
      <c r="Q555" s="21">
        <v>19.8567</v>
      </c>
      <c r="R555" s="19">
        <v>65.3405</v>
      </c>
      <c r="S555" s="21">
        <v>6.6838</v>
      </c>
      <c r="T555" s="21">
        <v>6.6969</v>
      </c>
      <c r="U555" s="21">
        <v>6.6553</v>
      </c>
      <c r="V555" s="21">
        <v>6.5727</v>
      </c>
      <c r="W555" s="21">
        <v>6.5431</v>
      </c>
      <c r="X555" s="21">
        <v>6.3244</v>
      </c>
      <c r="Y555" s="21">
        <v>5.9443</v>
      </c>
      <c r="Z555" s="21">
        <v>5.3899</v>
      </c>
      <c r="AA555" s="21">
        <v>7.55</v>
      </c>
      <c r="AB555" s="21">
        <v>0.0</v>
      </c>
      <c r="AC555" s="21">
        <v>-7.659</v>
      </c>
      <c r="AD555" s="21">
        <v>-59.9319</v>
      </c>
      <c r="AE555" s="21">
        <v>0.0</v>
      </c>
      <c r="AF555" s="21">
        <v>0.0</v>
      </c>
      <c r="AG555" s="21">
        <v>0.0332</v>
      </c>
      <c r="AH555" s="21">
        <v>11.5199</v>
      </c>
      <c r="AI555" s="21">
        <v>0.3825</v>
      </c>
      <c r="AJ555" s="19">
        <v>1.35</v>
      </c>
      <c r="AK555" s="16" t="s">
        <v>2327</v>
      </c>
      <c r="AL555" s="22">
        <f>IFERROR(__xludf.DUMMYFUNCTION("IFERROR(GOOGLEFINANCE(B555,""price""),"""")"),7.37)</f>
        <v>7.37</v>
      </c>
    </row>
    <row r="556">
      <c r="A556" s="7">
        <v>46111.66756381924</v>
      </c>
      <c r="B556" s="8" t="s">
        <v>1099</v>
      </c>
      <c r="C556" s="8" t="s">
        <v>1100</v>
      </c>
      <c r="D556" s="9">
        <v>46117.0</v>
      </c>
      <c r="E556" s="8" t="s">
        <v>1101</v>
      </c>
      <c r="F556" s="10">
        <v>22.91</v>
      </c>
      <c r="G556" s="11">
        <v>1.1033</v>
      </c>
      <c r="H556" s="8" t="s">
        <v>117</v>
      </c>
      <c r="I556" s="12">
        <v>2035092.0</v>
      </c>
      <c r="J556" s="11">
        <v>23.8119</v>
      </c>
      <c r="K556" s="13">
        <v>0.5951</v>
      </c>
      <c r="L556" s="13">
        <v>1.2807</v>
      </c>
      <c r="M556" s="13">
        <v>995592.0</v>
      </c>
      <c r="N556" s="13">
        <v>2.3989</v>
      </c>
      <c r="O556" s="12">
        <v>1.697027231E9</v>
      </c>
      <c r="P556" s="13">
        <v>76.6922</v>
      </c>
      <c r="Q556" s="13">
        <v>73.6837</v>
      </c>
      <c r="R556" s="11">
        <v>60.2434</v>
      </c>
      <c r="S556" s="13">
        <v>22.463</v>
      </c>
      <c r="T556" s="13">
        <v>22.3358</v>
      </c>
      <c r="U556" s="13">
        <v>22.1729</v>
      </c>
      <c r="V556" s="13">
        <v>21.911</v>
      </c>
      <c r="W556" s="13">
        <v>21.8298</v>
      </c>
      <c r="X556" s="13">
        <v>21.3508</v>
      </c>
      <c r="Y556" s="13">
        <v>20.4106</v>
      </c>
      <c r="Z556" s="13">
        <v>20.1968</v>
      </c>
      <c r="AA556" s="13">
        <v>25.145</v>
      </c>
      <c r="AB556" s="13">
        <v>7.4982</v>
      </c>
      <c r="AC556" s="13">
        <v>3.0554</v>
      </c>
      <c r="AD556" s="13">
        <v>29.095</v>
      </c>
      <c r="AE556" s="13">
        <v>38.5166</v>
      </c>
      <c r="AF556" s="13">
        <v>14.125</v>
      </c>
      <c r="AG556" s="13">
        <v>0.2294</v>
      </c>
      <c r="AH556" s="13">
        <v>14.6393</v>
      </c>
      <c r="AI556" s="13">
        <v>1.2661</v>
      </c>
      <c r="AJ556" s="11">
        <v>0.93</v>
      </c>
      <c r="AK556" s="8" t="s">
        <v>1368</v>
      </c>
      <c r="AL556" s="14">
        <f>IFERROR(__xludf.DUMMYFUNCTION("IFERROR(GOOGLEFINANCE(B556,""price""),"""")"),23.76)</f>
        <v>23.76</v>
      </c>
    </row>
    <row r="557">
      <c r="A557" s="15">
        <v>46111.66756381924</v>
      </c>
      <c r="B557" s="16" t="s">
        <v>2177</v>
      </c>
      <c r="C557" s="16" t="s">
        <v>2178</v>
      </c>
      <c r="D557" s="17">
        <v>46117.0</v>
      </c>
      <c r="E557" s="16" t="s">
        <v>2179</v>
      </c>
      <c r="F557" s="18">
        <v>8.09</v>
      </c>
      <c r="G557" s="19">
        <v>-0.1235</v>
      </c>
      <c r="H557" s="16" t="s">
        <v>88</v>
      </c>
      <c r="I557" s="20">
        <v>896387.0</v>
      </c>
      <c r="J557" s="19">
        <v>58.2549</v>
      </c>
      <c r="K557" s="21">
        <v>0.0329</v>
      </c>
      <c r="L557" s="21">
        <v>0.2585</v>
      </c>
      <c r="M557" s="21">
        <v>667703.1</v>
      </c>
      <c r="N557" s="21">
        <v>1.4076</v>
      </c>
      <c r="O557" s="20">
        <v>3.46793434E8</v>
      </c>
      <c r="P557" s="21">
        <v>85.1852</v>
      </c>
      <c r="Q557" s="21">
        <v>87.6543</v>
      </c>
      <c r="R557" s="19">
        <v>68.1359</v>
      </c>
      <c r="S557" s="21">
        <v>8.0845</v>
      </c>
      <c r="T557" s="21">
        <v>8.0483</v>
      </c>
      <c r="U557" s="21">
        <v>7.9748</v>
      </c>
      <c r="V557" s="21">
        <v>7.8254</v>
      </c>
      <c r="W557" s="21">
        <v>7.7719</v>
      </c>
      <c r="X557" s="21">
        <v>7.4108</v>
      </c>
      <c r="Y557" s="21">
        <v>6.7175</v>
      </c>
      <c r="Z557" s="21">
        <v>6.2528</v>
      </c>
      <c r="AA557" s="21">
        <v>8.11</v>
      </c>
      <c r="AB557" s="21">
        <v>0.0</v>
      </c>
      <c r="AC557" s="21">
        <v>-0.6802</v>
      </c>
      <c r="AD557" s="21">
        <v>-19.3086</v>
      </c>
      <c r="AE557" s="21">
        <v>-23.2435</v>
      </c>
      <c r="AF557" s="21">
        <v>-5.9218</v>
      </c>
      <c r="AG557" s="21">
        <v>0.0408</v>
      </c>
      <c r="AH557" s="21">
        <v>2.3817</v>
      </c>
      <c r="AI557" s="21">
        <v>1.3555</v>
      </c>
      <c r="AJ557" s="19">
        <v>0.25</v>
      </c>
      <c r="AK557" s="16" t="s">
        <v>2315</v>
      </c>
      <c r="AL557" s="22">
        <f>IFERROR(__xludf.DUMMYFUNCTION("IFERROR(GOOGLEFINANCE(B557,""price""),"""")"),8.1)</f>
        <v>8.1</v>
      </c>
    </row>
    <row r="558">
      <c r="A558" s="7">
        <v>46111.66756381924</v>
      </c>
      <c r="B558" s="8" t="s">
        <v>2328</v>
      </c>
      <c r="C558" s="8" t="s">
        <v>2329</v>
      </c>
      <c r="D558" s="9">
        <v>46117.0</v>
      </c>
      <c r="E558" s="8" t="s">
        <v>2330</v>
      </c>
      <c r="F558" s="10">
        <v>3.61</v>
      </c>
      <c r="G558" s="11">
        <v>6.4897</v>
      </c>
      <c r="H558" s="8" t="s">
        <v>112</v>
      </c>
      <c r="I558" s="12">
        <v>1632797.0</v>
      </c>
      <c r="J558" s="11">
        <v>35.2023</v>
      </c>
      <c r="K558" s="13">
        <v>0.1312</v>
      </c>
      <c r="L558" s="13">
        <v>0.2548</v>
      </c>
      <c r="M558" s="13">
        <v>609561.6</v>
      </c>
      <c r="N558" s="13">
        <v>2.9374</v>
      </c>
      <c r="O558" s="12">
        <v>8.445641092E9</v>
      </c>
      <c r="P558" s="13">
        <v>91.7035</v>
      </c>
      <c r="Q558" s="13">
        <v>84.7315</v>
      </c>
      <c r="R558" s="11">
        <v>72.9962</v>
      </c>
      <c r="S558" s="13">
        <v>3.2251</v>
      </c>
      <c r="T558" s="13">
        <v>3.1521</v>
      </c>
      <c r="U558" s="13">
        <v>3.1737</v>
      </c>
      <c r="V558" s="13">
        <v>3.205</v>
      </c>
      <c r="W558" s="13">
        <v>3.2134</v>
      </c>
      <c r="X558" s="13">
        <v>3.2567</v>
      </c>
      <c r="Y558" s="13">
        <v>3.384</v>
      </c>
      <c r="Z558" s="13">
        <v>3.3547</v>
      </c>
      <c r="AA558" s="13">
        <v>3.83</v>
      </c>
      <c r="AB558" s="13">
        <v>0.0</v>
      </c>
      <c r="AC558" s="13">
        <v>-1.591</v>
      </c>
      <c r="AD558" s="13">
        <v>0.0</v>
      </c>
      <c r="AE558" s="13">
        <v>-76.9918</v>
      </c>
      <c r="AF558" s="13">
        <v>97.7255</v>
      </c>
      <c r="AG558" s="13">
        <v>0.0</v>
      </c>
      <c r="AH558" s="13">
        <v>0.5117</v>
      </c>
      <c r="AI558" s="13">
        <v>1.4219</v>
      </c>
      <c r="AJ558" s="11">
        <v>1.03</v>
      </c>
      <c r="AK558" s="8" t="s">
        <v>1838</v>
      </c>
      <c r="AL558" s="14">
        <f>IFERROR(__xludf.DUMMYFUNCTION("IFERROR(GOOGLEFINANCE(B558,""price""),"""")"),4.19)</f>
        <v>4.19</v>
      </c>
    </row>
    <row r="559">
      <c r="A559" s="15">
        <v>46111.66756381924</v>
      </c>
      <c r="B559" s="16" t="s">
        <v>2331</v>
      </c>
      <c r="C559" s="16" t="s">
        <v>2332</v>
      </c>
      <c r="D559" s="17">
        <v>46117.0</v>
      </c>
      <c r="E559" s="16" t="s">
        <v>2333</v>
      </c>
      <c r="F559" s="18">
        <v>76.55</v>
      </c>
      <c r="G559" s="19">
        <v>1.1897</v>
      </c>
      <c r="H559" s="16" t="s">
        <v>107</v>
      </c>
      <c r="I559" s="20">
        <v>7269631.0</v>
      </c>
      <c r="J559" s="19">
        <v>24.6531</v>
      </c>
      <c r="K559" s="21">
        <v>2.7944</v>
      </c>
      <c r="L559" s="21">
        <v>4.7242</v>
      </c>
      <c r="M559" s="16">
        <v>4600474.0</v>
      </c>
      <c r="N559" s="21">
        <v>1.6512</v>
      </c>
      <c r="O559" s="20">
        <v>3.6831368896E10</v>
      </c>
      <c r="P559" s="21">
        <v>23.4729</v>
      </c>
      <c r="Q559" s="21">
        <v>24.5798</v>
      </c>
      <c r="R559" s="19">
        <v>52.9292</v>
      </c>
      <c r="S559" s="21">
        <v>75.9737</v>
      </c>
      <c r="T559" s="21">
        <v>75.7416</v>
      </c>
      <c r="U559" s="21">
        <v>74.5031</v>
      </c>
      <c r="V559" s="21">
        <v>72.7932</v>
      </c>
      <c r="W559" s="21">
        <v>72.2835</v>
      </c>
      <c r="X559" s="21">
        <v>69.3638</v>
      </c>
      <c r="Y559" s="21">
        <v>63.9735</v>
      </c>
      <c r="Z559" s="21">
        <v>62.477</v>
      </c>
      <c r="AA559" s="21">
        <v>85.3599</v>
      </c>
      <c r="AB559" s="21">
        <v>16.2713</v>
      </c>
      <c r="AC559" s="21">
        <v>4.7046</v>
      </c>
      <c r="AD559" s="21">
        <v>9.0003</v>
      </c>
      <c r="AE559" s="21">
        <v>13.4661</v>
      </c>
      <c r="AF559" s="21">
        <v>10.4838</v>
      </c>
      <c r="AG559" s="21">
        <v>0.4746</v>
      </c>
      <c r="AH559" s="21">
        <v>1.3358</v>
      </c>
      <c r="AI559" s="21">
        <v>1.9212</v>
      </c>
      <c r="AJ559" s="19">
        <v>1.18</v>
      </c>
      <c r="AK559" s="24"/>
      <c r="AL559" s="22">
        <f>IFERROR(__xludf.DUMMYFUNCTION("IFERROR(GOOGLEFINANCE(B559,""price""),"""")"),73.75)</f>
        <v>73.75</v>
      </c>
    </row>
    <row r="560">
      <c r="A560" s="7">
        <v>46112.667697849305</v>
      </c>
      <c r="B560" s="8" t="s">
        <v>1530</v>
      </c>
      <c r="C560" s="8" t="s">
        <v>1531</v>
      </c>
      <c r="D560" s="9">
        <v>46117.0</v>
      </c>
      <c r="E560" s="8" t="s">
        <v>1532</v>
      </c>
      <c r="F560" s="10">
        <v>10.76</v>
      </c>
      <c r="G560" s="11">
        <v>-0.278</v>
      </c>
      <c r="H560" s="8" t="s">
        <v>93</v>
      </c>
      <c r="I560" s="12">
        <v>475577.0</v>
      </c>
      <c r="J560" s="11">
        <v>26.3013</v>
      </c>
      <c r="K560" s="13">
        <v>0.0296</v>
      </c>
      <c r="L560" s="13">
        <v>0.047</v>
      </c>
      <c r="M560" s="13">
        <v>67283.4</v>
      </c>
      <c r="N560" s="13">
        <v>19.074</v>
      </c>
      <c r="O560" s="12">
        <v>3.0935E8</v>
      </c>
      <c r="P560" s="13">
        <v>73.6111</v>
      </c>
      <c r="Q560" s="13">
        <v>83.2407</v>
      </c>
      <c r="R560" s="11">
        <v>50.4682</v>
      </c>
      <c r="S560" s="13">
        <v>10.7769</v>
      </c>
      <c r="T560" s="13">
        <v>10.7648</v>
      </c>
      <c r="U560" s="13">
        <v>10.75</v>
      </c>
      <c r="V560" s="13">
        <v>10.7319</v>
      </c>
      <c r="W560" s="13">
        <v>10.7264</v>
      </c>
      <c r="X560" s="13">
        <v>10.6909</v>
      </c>
      <c r="Y560" s="13">
        <v>10.5664</v>
      </c>
      <c r="Z560" s="13">
        <v>10.5981</v>
      </c>
      <c r="AA560" s="13">
        <v>10.8</v>
      </c>
      <c r="AB560" s="13">
        <v>32.9354</v>
      </c>
      <c r="AC560" s="13">
        <v>0.3267</v>
      </c>
      <c r="AD560" s="13">
        <v>4.0671</v>
      </c>
      <c r="AE560" s="13">
        <v>0.0</v>
      </c>
      <c r="AF560" s="13">
        <v>0.0</v>
      </c>
      <c r="AG560" s="13">
        <v>0.0</v>
      </c>
      <c r="AH560" s="13">
        <v>2.6599</v>
      </c>
      <c r="AI560" s="13">
        <v>0.2496</v>
      </c>
      <c r="AJ560" s="11">
        <v>1.26</v>
      </c>
      <c r="AK560" s="8" t="s">
        <v>2334</v>
      </c>
      <c r="AL560" s="14">
        <f>IFERROR(__xludf.DUMMYFUNCTION("IFERROR(GOOGLEFINANCE(B560,""price""),"""")"),10.79)</f>
        <v>10.79</v>
      </c>
    </row>
    <row r="561">
      <c r="A561" s="15">
        <v>46112.667697849305</v>
      </c>
      <c r="B561" s="16" t="s">
        <v>2090</v>
      </c>
      <c r="C561" s="16" t="s">
        <v>2091</v>
      </c>
      <c r="D561" s="17">
        <v>46117.0</v>
      </c>
      <c r="E561" s="16" t="s">
        <v>2092</v>
      </c>
      <c r="F561" s="18">
        <v>10.84</v>
      </c>
      <c r="G561" s="19">
        <v>0.1848</v>
      </c>
      <c r="H561" s="16" t="s">
        <v>93</v>
      </c>
      <c r="I561" s="20">
        <v>1654249.0</v>
      </c>
      <c r="J561" s="19">
        <v>38.2299</v>
      </c>
      <c r="K561" s="21">
        <v>0.0204</v>
      </c>
      <c r="L561" s="21">
        <v>0.0349</v>
      </c>
      <c r="M561" s="21">
        <v>308361.6</v>
      </c>
      <c r="N561" s="21">
        <v>11.5099</v>
      </c>
      <c r="O561" s="20">
        <v>3.89562489E8</v>
      </c>
      <c r="P561" s="21">
        <v>88.8889</v>
      </c>
      <c r="Q561" s="21">
        <v>86.2963</v>
      </c>
      <c r="R561" s="19">
        <v>65.1234</v>
      </c>
      <c r="S561" s="21">
        <v>10.8184</v>
      </c>
      <c r="T561" s="21">
        <v>10.7976</v>
      </c>
      <c r="U561" s="21">
        <v>10.7789</v>
      </c>
      <c r="V561" s="21">
        <v>10.7575</v>
      </c>
      <c r="W561" s="21">
        <v>10.7511</v>
      </c>
      <c r="X561" s="21">
        <v>10.7081</v>
      </c>
      <c r="Y561" s="21">
        <v>10.5623</v>
      </c>
      <c r="Z561" s="21">
        <v>10.5688</v>
      </c>
      <c r="AA561" s="21">
        <v>10.84</v>
      </c>
      <c r="AB561" s="21">
        <v>32.7591</v>
      </c>
      <c r="AC561" s="21">
        <v>0.3309</v>
      </c>
      <c r="AD561" s="21">
        <v>4.1183</v>
      </c>
      <c r="AE561" s="21">
        <v>0.0</v>
      </c>
      <c r="AF561" s="21">
        <v>0.0</v>
      </c>
      <c r="AG561" s="21">
        <v>0.0014</v>
      </c>
      <c r="AH561" s="21">
        <v>0.2964</v>
      </c>
      <c r="AI561" s="21">
        <v>0.3648</v>
      </c>
      <c r="AJ561" s="19">
        <v>1.17</v>
      </c>
      <c r="AK561" s="16" t="s">
        <v>2335</v>
      </c>
      <c r="AL561" s="22">
        <f>IFERROR(__xludf.DUMMYFUNCTION("IFERROR(GOOGLEFINANCE(B561,""price""),"""")"),10.87)</f>
        <v>10.87</v>
      </c>
    </row>
    <row r="562">
      <c r="A562" s="7">
        <v>46112.667697849305</v>
      </c>
      <c r="B562" s="8" t="s">
        <v>1750</v>
      </c>
      <c r="C562" s="8" t="s">
        <v>1751</v>
      </c>
      <c r="D562" s="9">
        <v>46117.0</v>
      </c>
      <c r="E562" s="8" t="s">
        <v>1752</v>
      </c>
      <c r="F562" s="10">
        <v>15.8</v>
      </c>
      <c r="G562" s="11">
        <v>0.0</v>
      </c>
      <c r="H562" s="8" t="s">
        <v>186</v>
      </c>
      <c r="I562" s="12">
        <v>447031.0</v>
      </c>
      <c r="J562" s="11">
        <v>39.7598</v>
      </c>
      <c r="K562" s="13">
        <v>0.0531</v>
      </c>
      <c r="L562" s="13">
        <v>0.2563</v>
      </c>
      <c r="M562" s="13">
        <v>381231.0</v>
      </c>
      <c r="N562" s="13">
        <v>1.2251</v>
      </c>
      <c r="O562" s="12">
        <v>4.76160366E8</v>
      </c>
      <c r="P562" s="13">
        <v>40.9524</v>
      </c>
      <c r="Q562" s="13">
        <v>46.6667</v>
      </c>
      <c r="R562" s="11">
        <v>56.3213</v>
      </c>
      <c r="S562" s="13">
        <v>15.8056</v>
      </c>
      <c r="T562" s="13">
        <v>15.7766</v>
      </c>
      <c r="U562" s="13">
        <v>15.7302</v>
      </c>
      <c r="V562" s="13">
        <v>15.6594</v>
      </c>
      <c r="W562" s="13">
        <v>15.6333</v>
      </c>
      <c r="X562" s="13">
        <v>15.4147</v>
      </c>
      <c r="Y562" s="13">
        <v>15.0312</v>
      </c>
      <c r="Z562" s="13">
        <v>14.0921</v>
      </c>
      <c r="AA562" s="13">
        <v>15.9</v>
      </c>
      <c r="AB562" s="13">
        <v>14.5368</v>
      </c>
      <c r="AC562" s="13">
        <v>1.0869</v>
      </c>
      <c r="AD562" s="13">
        <v>22.0766</v>
      </c>
      <c r="AE562" s="13">
        <v>-3.6678</v>
      </c>
      <c r="AF562" s="13">
        <v>-8.6164</v>
      </c>
      <c r="AG562" s="13">
        <v>1.3444</v>
      </c>
      <c r="AH562" s="13">
        <v>2.5054</v>
      </c>
      <c r="AI562" s="13">
        <v>0.4774</v>
      </c>
      <c r="AJ562" s="11">
        <v>0.41</v>
      </c>
      <c r="AK562" s="8" t="s">
        <v>2137</v>
      </c>
      <c r="AL562" s="14">
        <f>IFERROR(__xludf.DUMMYFUNCTION("IFERROR(GOOGLEFINANCE(B562,""price""),"""")"),15.82)</f>
        <v>15.82</v>
      </c>
    </row>
    <row r="563">
      <c r="A563" s="15">
        <v>46112.667697849305</v>
      </c>
      <c r="B563" s="16" t="s">
        <v>2336</v>
      </c>
      <c r="C563" s="16" t="s">
        <v>2337</v>
      </c>
      <c r="D563" s="17">
        <v>46117.0</v>
      </c>
      <c r="E563" s="16" t="s">
        <v>2338</v>
      </c>
      <c r="F563" s="18">
        <v>22.26</v>
      </c>
      <c r="G563" s="19">
        <v>13.5494</v>
      </c>
      <c r="H563" s="16" t="s">
        <v>93</v>
      </c>
      <c r="I563" s="20">
        <v>411063.0</v>
      </c>
      <c r="J563" s="19">
        <v>22.3952</v>
      </c>
      <c r="K563" s="21">
        <v>0.66</v>
      </c>
      <c r="L563" s="21">
        <v>0.9521</v>
      </c>
      <c r="M563" s="21">
        <v>44887.7</v>
      </c>
      <c r="N563" s="21">
        <v>95.5405</v>
      </c>
      <c r="O563" s="20">
        <v>1.35672136E8</v>
      </c>
      <c r="P563" s="21">
        <v>75.2539</v>
      </c>
      <c r="Q563" s="21">
        <v>76.4597</v>
      </c>
      <c r="R563" s="19">
        <v>71.8317</v>
      </c>
      <c r="S563" s="21">
        <v>20.1112</v>
      </c>
      <c r="T563" s="21">
        <v>19.8348</v>
      </c>
      <c r="U563" s="21">
        <v>19.8844</v>
      </c>
      <c r="V563" s="21">
        <v>19.9288</v>
      </c>
      <c r="W563" s="21">
        <v>19.933</v>
      </c>
      <c r="X563" s="21">
        <v>19.8877</v>
      </c>
      <c r="Y563" s="21">
        <v>19.6234</v>
      </c>
      <c r="Z563" s="21">
        <v>19.4309</v>
      </c>
      <c r="AA563" s="21">
        <v>22.5</v>
      </c>
      <c r="AB563" s="21">
        <v>17.1892</v>
      </c>
      <c r="AC563" s="21">
        <v>1.295</v>
      </c>
      <c r="AD563" s="21">
        <v>6.506</v>
      </c>
      <c r="AE563" s="21">
        <v>21.2287</v>
      </c>
      <c r="AF563" s="21">
        <v>5.8893</v>
      </c>
      <c r="AG563" s="21">
        <v>0.4323</v>
      </c>
      <c r="AH563" s="21">
        <v>0.1354</v>
      </c>
      <c r="AI563" s="21">
        <v>1.0188</v>
      </c>
      <c r="AJ563" s="19">
        <v>1.39</v>
      </c>
      <c r="AK563" s="16" t="s">
        <v>2339</v>
      </c>
      <c r="AL563" s="22">
        <f>IFERROR(__xludf.DUMMYFUNCTION("IFERROR(GOOGLEFINANCE(B563,""price""),"""")"),22.31)</f>
        <v>22.31</v>
      </c>
    </row>
    <row r="564">
      <c r="A564" s="7">
        <v>46112.667697849305</v>
      </c>
      <c r="B564" s="8" t="s">
        <v>2340</v>
      </c>
      <c r="C564" s="8" t="s">
        <v>2341</v>
      </c>
      <c r="D564" s="9">
        <v>46117.0</v>
      </c>
      <c r="E564" s="8" t="s">
        <v>2342</v>
      </c>
      <c r="F564" s="10">
        <v>10.81</v>
      </c>
      <c r="G564" s="11">
        <v>1.028</v>
      </c>
      <c r="H564" s="8" t="s">
        <v>186</v>
      </c>
      <c r="I564" s="12">
        <v>3129940.0</v>
      </c>
      <c r="J564" s="11">
        <v>20.2068</v>
      </c>
      <c r="K564" s="13">
        <v>0.1637</v>
      </c>
      <c r="L564" s="13">
        <v>0.3034</v>
      </c>
      <c r="M564" s="8">
        <v>1087749.0</v>
      </c>
      <c r="N564" s="13">
        <v>3.4517</v>
      </c>
      <c r="O564" s="12">
        <v>7.96915304E8</v>
      </c>
      <c r="P564" s="13">
        <v>81.9593</v>
      </c>
      <c r="Q564" s="13">
        <v>80.9847</v>
      </c>
      <c r="R564" s="11">
        <v>63.2093</v>
      </c>
      <c r="S564" s="13">
        <v>10.6568</v>
      </c>
      <c r="T564" s="13">
        <v>10.5625</v>
      </c>
      <c r="U564" s="13">
        <v>10.5385</v>
      </c>
      <c r="V564" s="13">
        <v>10.539</v>
      </c>
      <c r="W564" s="13">
        <v>10.541</v>
      </c>
      <c r="X564" s="13">
        <v>10.5433</v>
      </c>
      <c r="Y564" s="13">
        <v>10.3074</v>
      </c>
      <c r="Z564" s="13">
        <v>10.7023</v>
      </c>
      <c r="AA564" s="13">
        <v>11.16</v>
      </c>
      <c r="AB564" s="13">
        <v>14.8184</v>
      </c>
      <c r="AC564" s="13">
        <v>0.7295</v>
      </c>
      <c r="AD564" s="13">
        <v>24.5507</v>
      </c>
      <c r="AE564" s="13">
        <v>8.5412</v>
      </c>
      <c r="AF564" s="13">
        <v>11.379</v>
      </c>
      <c r="AG564" s="13">
        <v>0.1839</v>
      </c>
      <c r="AH564" s="13">
        <v>1.908</v>
      </c>
      <c r="AI564" s="13">
        <v>1.0946</v>
      </c>
      <c r="AJ564" s="11">
        <v>1.08</v>
      </c>
      <c r="AK564" s="8" t="s">
        <v>2314</v>
      </c>
      <c r="AL564" s="14">
        <f>IFERROR(__xludf.DUMMYFUNCTION("IFERROR(GOOGLEFINANCE(B564,""price""),"""")"),10.88)</f>
        <v>10.88</v>
      </c>
    </row>
    <row r="565">
      <c r="A565" s="15">
        <v>46112.667697849305</v>
      </c>
      <c r="B565" s="16" t="s">
        <v>2177</v>
      </c>
      <c r="C565" s="16" t="s">
        <v>2178</v>
      </c>
      <c r="D565" s="17">
        <v>46117.0</v>
      </c>
      <c r="E565" s="16" t="s">
        <v>2179</v>
      </c>
      <c r="F565" s="18">
        <v>8.1</v>
      </c>
      <c r="G565" s="19">
        <v>0.1236</v>
      </c>
      <c r="H565" s="16" t="s">
        <v>88</v>
      </c>
      <c r="I565" s="20">
        <v>1009500.0</v>
      </c>
      <c r="J565" s="19">
        <v>58.5827</v>
      </c>
      <c r="K565" s="21">
        <v>0.032</v>
      </c>
      <c r="L565" s="21">
        <v>0.2592</v>
      </c>
      <c r="M565" s="21">
        <v>716925.1</v>
      </c>
      <c r="N565" s="21">
        <v>1.5119</v>
      </c>
      <c r="O565" s="20">
        <v>3.47222103E8</v>
      </c>
      <c r="P565" s="21">
        <v>85.1852</v>
      </c>
      <c r="Q565" s="21">
        <v>86.4198</v>
      </c>
      <c r="R565" s="19">
        <v>69.7269</v>
      </c>
      <c r="S565" s="21">
        <v>8.0879</v>
      </c>
      <c r="T565" s="21">
        <v>8.053</v>
      </c>
      <c r="U565" s="21">
        <v>7.982</v>
      </c>
      <c r="V565" s="21">
        <v>7.8362</v>
      </c>
      <c r="W565" s="21">
        <v>7.7836</v>
      </c>
      <c r="X565" s="21">
        <v>7.4261</v>
      </c>
      <c r="Y565" s="21">
        <v>6.7312</v>
      </c>
      <c r="Z565" s="21">
        <v>6.2657</v>
      </c>
      <c r="AA565" s="21">
        <v>8.11</v>
      </c>
      <c r="AB565" s="21">
        <v>0.0</v>
      </c>
      <c r="AC565" s="21">
        <v>-0.6802</v>
      </c>
      <c r="AD565" s="21">
        <v>-19.3086</v>
      </c>
      <c r="AE565" s="21">
        <v>-23.2435</v>
      </c>
      <c r="AF565" s="21">
        <v>-5.9218</v>
      </c>
      <c r="AG565" s="21">
        <v>0.0408</v>
      </c>
      <c r="AH565" s="21">
        <v>2.3817</v>
      </c>
      <c r="AI565" s="21">
        <v>1.3081</v>
      </c>
      <c r="AJ565" s="19">
        <v>0.25</v>
      </c>
      <c r="AK565" s="16" t="s">
        <v>2343</v>
      </c>
      <c r="AL565" s="22">
        <f>IFERROR(__xludf.DUMMYFUNCTION("IFERROR(GOOGLEFINANCE(B565,""price""),"""")"),8.1)</f>
        <v>8.1</v>
      </c>
    </row>
    <row r="566">
      <c r="A566" s="7">
        <v>46112.667697849305</v>
      </c>
      <c r="B566" s="8" t="s">
        <v>2344</v>
      </c>
      <c r="C566" s="8" t="s">
        <v>2345</v>
      </c>
      <c r="D566" s="9">
        <v>46117.0</v>
      </c>
      <c r="E566" s="8" t="s">
        <v>2346</v>
      </c>
      <c r="F566" s="10">
        <v>72.78</v>
      </c>
      <c r="G566" s="11">
        <v>0.4278</v>
      </c>
      <c r="H566" s="8" t="s">
        <v>270</v>
      </c>
      <c r="I566" s="12">
        <v>9456340.0</v>
      </c>
      <c r="J566" s="11">
        <v>28.8649</v>
      </c>
      <c r="K566" s="13">
        <v>1.6932</v>
      </c>
      <c r="L566" s="13">
        <v>3.1483</v>
      </c>
      <c r="M566" s="8">
        <v>6728324.0</v>
      </c>
      <c r="N566" s="13">
        <v>1.5063</v>
      </c>
      <c r="O566" s="12">
        <v>8.8905365383E10</v>
      </c>
      <c r="P566" s="13">
        <v>30.4449</v>
      </c>
      <c r="Q566" s="13">
        <v>41.8912</v>
      </c>
      <c r="R566" s="11">
        <v>49.4846</v>
      </c>
      <c r="S566" s="13">
        <v>73.3104</v>
      </c>
      <c r="T566" s="13">
        <v>73.2443</v>
      </c>
      <c r="U566" s="13">
        <v>72.316</v>
      </c>
      <c r="V566" s="13">
        <v>70.9155</v>
      </c>
      <c r="W566" s="13">
        <v>70.4971</v>
      </c>
      <c r="X566" s="13">
        <v>68.1494</v>
      </c>
      <c r="Y566" s="13">
        <v>63.785</v>
      </c>
      <c r="Z566" s="13">
        <v>62.5817</v>
      </c>
      <c r="AA566" s="13">
        <v>76.87</v>
      </c>
      <c r="AB566" s="13">
        <v>34.0954</v>
      </c>
      <c r="AC566" s="13">
        <v>2.1346</v>
      </c>
      <c r="AD566" s="13">
        <v>20.7424</v>
      </c>
      <c r="AE566" s="13">
        <v>35.471</v>
      </c>
      <c r="AF566" s="13">
        <v>9.774</v>
      </c>
      <c r="AG566" s="13">
        <v>2.3069</v>
      </c>
      <c r="AH566" s="13">
        <v>0.5313</v>
      </c>
      <c r="AI566" s="13">
        <v>1.3663</v>
      </c>
      <c r="AJ566" s="11">
        <v>1.08</v>
      </c>
      <c r="AK566" s="23"/>
      <c r="AL566" s="14">
        <f>IFERROR(__xludf.DUMMYFUNCTION("IFERROR(GOOGLEFINANCE(B566,""price""),"""")"),72.74)</f>
        <v>72.74</v>
      </c>
    </row>
    <row r="567">
      <c r="A567" s="15">
        <v>46112.667697849305</v>
      </c>
      <c r="B567" s="16" t="s">
        <v>2347</v>
      </c>
      <c r="C567" s="16" t="s">
        <v>2348</v>
      </c>
      <c r="D567" s="17">
        <v>46117.0</v>
      </c>
      <c r="E567" s="16" t="s">
        <v>2349</v>
      </c>
      <c r="F567" s="18">
        <v>75.31</v>
      </c>
      <c r="G567" s="19">
        <v>-0.2649</v>
      </c>
      <c r="H567" s="16" t="s">
        <v>107</v>
      </c>
      <c r="I567" s="20">
        <v>577535.0</v>
      </c>
      <c r="J567" s="19">
        <v>22.3132</v>
      </c>
      <c r="K567" s="21">
        <v>2.2088</v>
      </c>
      <c r="L567" s="21">
        <v>4.5204</v>
      </c>
      <c r="M567" s="21">
        <v>456971.4</v>
      </c>
      <c r="N567" s="21">
        <v>1.3079</v>
      </c>
      <c r="O567" s="20">
        <v>3.932809271E9</v>
      </c>
      <c r="P567" s="21">
        <v>91.9035</v>
      </c>
      <c r="Q567" s="21">
        <v>93.3899</v>
      </c>
      <c r="R567" s="19">
        <v>62.7254</v>
      </c>
      <c r="S567" s="21">
        <v>73.0875</v>
      </c>
      <c r="T567" s="21">
        <v>72.0526</v>
      </c>
      <c r="U567" s="21">
        <v>72.0323</v>
      </c>
      <c r="V567" s="21">
        <v>71.8601</v>
      </c>
      <c r="W567" s="21">
        <v>71.7948</v>
      </c>
      <c r="X567" s="21">
        <v>71.5864</v>
      </c>
      <c r="Y567" s="21">
        <v>73.628</v>
      </c>
      <c r="Z567" s="21">
        <v>72.5098</v>
      </c>
      <c r="AA567" s="21">
        <v>84.44</v>
      </c>
      <c r="AB567" s="21">
        <v>13.2181</v>
      </c>
      <c r="AC567" s="21">
        <v>5.6975</v>
      </c>
      <c r="AD567" s="21">
        <v>20.8773</v>
      </c>
      <c r="AE567" s="21">
        <v>16.6898</v>
      </c>
      <c r="AF567" s="21">
        <v>-9.6216</v>
      </c>
      <c r="AG567" s="21">
        <v>0.7149</v>
      </c>
      <c r="AH567" s="21">
        <v>1.667</v>
      </c>
      <c r="AI567" s="21">
        <v>1.4012</v>
      </c>
      <c r="AJ567" s="19">
        <v>0.98</v>
      </c>
      <c r="AK567" s="24"/>
      <c r="AL567" s="22">
        <f>IFERROR(__xludf.DUMMYFUNCTION("IFERROR(GOOGLEFINANCE(B567,""price""),"""")"),74.62)</f>
        <v>74.62</v>
      </c>
    </row>
    <row r="568">
      <c r="A568" s="7">
        <v>46112.667697849305</v>
      </c>
      <c r="B568" s="8" t="s">
        <v>2350</v>
      </c>
      <c r="C568" s="8" t="s">
        <v>2351</v>
      </c>
      <c r="D568" s="9">
        <v>46117.0</v>
      </c>
      <c r="E568" s="8" t="s">
        <v>2352</v>
      </c>
      <c r="F568" s="10">
        <v>35.36</v>
      </c>
      <c r="G568" s="11">
        <v>17.2803</v>
      </c>
      <c r="H568" s="8" t="s">
        <v>117</v>
      </c>
      <c r="I568" s="12">
        <v>1.203135E7</v>
      </c>
      <c r="J568" s="11">
        <v>24.4757</v>
      </c>
      <c r="K568" s="13">
        <v>1.4323</v>
      </c>
      <c r="L568" s="13">
        <v>2.8911</v>
      </c>
      <c r="M568" s="8">
        <v>3627384.0</v>
      </c>
      <c r="N568" s="13">
        <v>4.7076</v>
      </c>
      <c r="O568" s="12">
        <v>5.892741504E9</v>
      </c>
      <c r="P568" s="13">
        <v>86.3294</v>
      </c>
      <c r="Q568" s="13">
        <v>86.1325</v>
      </c>
      <c r="R568" s="11">
        <v>74.0151</v>
      </c>
      <c r="S568" s="13">
        <v>30.5272</v>
      </c>
      <c r="T568" s="13">
        <v>29.7517</v>
      </c>
      <c r="U568" s="13">
        <v>29.9768</v>
      </c>
      <c r="V568" s="13">
        <v>30.1854</v>
      </c>
      <c r="W568" s="13">
        <v>30.2217</v>
      </c>
      <c r="X568" s="13">
        <v>30.2822</v>
      </c>
      <c r="Y568" s="13">
        <v>30.0677</v>
      </c>
      <c r="Z568" s="13">
        <v>29.6754</v>
      </c>
      <c r="AA568" s="13">
        <v>36.3164</v>
      </c>
      <c r="AB568" s="13">
        <v>24.6824</v>
      </c>
      <c r="AC568" s="13">
        <v>1.4326</v>
      </c>
      <c r="AD568" s="13">
        <v>14.7164</v>
      </c>
      <c r="AE568" s="13">
        <v>17.2069</v>
      </c>
      <c r="AF568" s="13">
        <v>-5.2473</v>
      </c>
      <c r="AG568" s="13">
        <v>0.0385</v>
      </c>
      <c r="AH568" s="13">
        <v>3.5499</v>
      </c>
      <c r="AI568" s="13">
        <v>1.5564</v>
      </c>
      <c r="AJ568" s="11">
        <v>0.99</v>
      </c>
      <c r="AK568" s="8" t="s">
        <v>2353</v>
      </c>
      <c r="AL568" s="14">
        <f>IFERROR(__xludf.DUMMYFUNCTION("IFERROR(GOOGLEFINANCE(B568,""price""),"""")"),33.36)</f>
        <v>33.36</v>
      </c>
    </row>
    <row r="569">
      <c r="A569" s="15">
        <v>46112.667697849305</v>
      </c>
      <c r="B569" s="16" t="s">
        <v>2354</v>
      </c>
      <c r="C569" s="16" t="s">
        <v>2355</v>
      </c>
      <c r="D569" s="17">
        <v>46117.0</v>
      </c>
      <c r="E569" s="16" t="s">
        <v>2356</v>
      </c>
      <c r="F569" s="18">
        <v>73.18</v>
      </c>
      <c r="G569" s="19">
        <v>1.8653</v>
      </c>
      <c r="H569" s="16" t="s">
        <v>917</v>
      </c>
      <c r="I569" s="20">
        <v>4566045.0</v>
      </c>
      <c r="J569" s="19">
        <v>20.1132</v>
      </c>
      <c r="K569" s="21">
        <v>1.7525</v>
      </c>
      <c r="L569" s="21">
        <v>3.4464</v>
      </c>
      <c r="M569" s="16">
        <v>3534154.0</v>
      </c>
      <c r="N569" s="21">
        <v>1.3371</v>
      </c>
      <c r="O569" s="20">
        <v>2.8159001046E10</v>
      </c>
      <c r="P569" s="21">
        <v>57.5215</v>
      </c>
      <c r="Q569" s="21">
        <v>45.8828</v>
      </c>
      <c r="R569" s="19">
        <v>59.8407</v>
      </c>
      <c r="S569" s="21">
        <v>71.6443</v>
      </c>
      <c r="T569" s="21">
        <v>71.3915</v>
      </c>
      <c r="U569" s="21">
        <v>70.4714</v>
      </c>
      <c r="V569" s="21">
        <v>69.0527</v>
      </c>
      <c r="W569" s="21">
        <v>68.6179</v>
      </c>
      <c r="X569" s="21">
        <v>66.0983</v>
      </c>
      <c r="Y569" s="21">
        <v>62.7305</v>
      </c>
      <c r="Z569" s="21">
        <v>58.9461</v>
      </c>
      <c r="AA569" s="21">
        <v>75.5</v>
      </c>
      <c r="AB569" s="21">
        <v>6.3295</v>
      </c>
      <c r="AC569" s="21">
        <v>11.5617</v>
      </c>
      <c r="AD569" s="21">
        <v>27.8844</v>
      </c>
      <c r="AE569" s="21">
        <v>27.1264</v>
      </c>
      <c r="AF569" s="21">
        <v>9.7619</v>
      </c>
      <c r="AG569" s="21">
        <v>2.3636</v>
      </c>
      <c r="AH569" s="21">
        <v>0.7295</v>
      </c>
      <c r="AI569" s="21">
        <v>1.6028</v>
      </c>
      <c r="AJ569" s="19">
        <v>1.02</v>
      </c>
      <c r="AK569" s="24"/>
      <c r="AL569" s="22">
        <f>IFERROR(__xludf.DUMMYFUNCTION("IFERROR(GOOGLEFINANCE(B569,""price""),"""")"),75.72)</f>
        <v>75.72</v>
      </c>
    </row>
    <row r="570">
      <c r="A570" s="7">
        <v>46112.667697849305</v>
      </c>
      <c r="B570" s="8" t="s">
        <v>2357</v>
      </c>
      <c r="C570" s="8" t="s">
        <v>2358</v>
      </c>
      <c r="D570" s="9">
        <v>46117.0</v>
      </c>
      <c r="E570" s="8" t="s">
        <v>2359</v>
      </c>
      <c r="F570" s="10">
        <v>17.4</v>
      </c>
      <c r="G570" s="11">
        <v>7.7399</v>
      </c>
      <c r="H570" s="8" t="s">
        <v>93</v>
      </c>
      <c r="I570" s="12">
        <v>504390.0</v>
      </c>
      <c r="J570" s="11">
        <v>20.9252</v>
      </c>
      <c r="K570" s="13">
        <v>0.4231</v>
      </c>
      <c r="L570" s="13">
        <v>0.6837</v>
      </c>
      <c r="M570" s="13">
        <v>68511.7</v>
      </c>
      <c r="N570" s="13">
        <v>27.6357</v>
      </c>
      <c r="O570" s="12">
        <v>0.0</v>
      </c>
      <c r="P570" s="13">
        <v>77.3631</v>
      </c>
      <c r="Q570" s="13">
        <v>68.863</v>
      </c>
      <c r="R570" s="11">
        <v>75.3435</v>
      </c>
      <c r="S570" s="13">
        <v>16.2087</v>
      </c>
      <c r="T570" s="13">
        <v>15.9693</v>
      </c>
      <c r="U570" s="13">
        <v>15.9288</v>
      </c>
      <c r="V570" s="13">
        <v>15.8945</v>
      </c>
      <c r="W570" s="13">
        <v>15.8849</v>
      </c>
      <c r="X570" s="13">
        <v>15.8323</v>
      </c>
      <c r="Y570" s="13">
        <v>15.7383</v>
      </c>
      <c r="Z570" s="13">
        <v>15.7502</v>
      </c>
      <c r="AA570" s="13">
        <v>17.9</v>
      </c>
      <c r="AB570" s="13">
        <v>0.0</v>
      </c>
      <c r="AC570" s="13">
        <v>0.0</v>
      </c>
      <c r="AD570" s="13">
        <v>0.0</v>
      </c>
      <c r="AE570" s="13">
        <v>0.0</v>
      </c>
      <c r="AF570" s="13">
        <v>0.0</v>
      </c>
      <c r="AG570" s="13">
        <v>0.0</v>
      </c>
      <c r="AH570" s="13">
        <v>0.0</v>
      </c>
      <c r="AI570" s="13">
        <v>1.6087</v>
      </c>
      <c r="AJ570" s="11">
        <v>1.24</v>
      </c>
      <c r="AK570" s="8" t="s">
        <v>2360</v>
      </c>
      <c r="AL570" s="14">
        <f>IFERROR(__xludf.DUMMYFUNCTION("IFERROR(GOOGLEFINANCE(B570,""price""),"""")"),16.34)</f>
        <v>16.34</v>
      </c>
    </row>
    <row r="571">
      <c r="A571" s="7">
        <v>46113.6674911167</v>
      </c>
      <c r="B571" s="8" t="s">
        <v>2361</v>
      </c>
      <c r="C571" s="8" t="s">
        <v>2362</v>
      </c>
      <c r="D571" s="9">
        <v>46117.0</v>
      </c>
      <c r="E571" s="8" t="s">
        <v>2363</v>
      </c>
      <c r="F571" s="10">
        <v>696.99</v>
      </c>
      <c r="G571" s="11">
        <v>2.33</v>
      </c>
      <c r="H571" s="8" t="s">
        <v>308</v>
      </c>
      <c r="I571" s="12">
        <v>406169.0</v>
      </c>
      <c r="J571" s="11">
        <v>20.597</v>
      </c>
      <c r="K571" s="13">
        <v>31.5764</v>
      </c>
      <c r="L571" s="13">
        <v>49.3834</v>
      </c>
      <c r="M571" s="13">
        <v>337561.9</v>
      </c>
      <c r="N571" s="13">
        <v>1.2546</v>
      </c>
      <c r="O571" s="12">
        <v>2.5697672805E10</v>
      </c>
      <c r="P571" s="13">
        <v>48.7637</v>
      </c>
      <c r="Q571" s="13">
        <v>35.1497</v>
      </c>
      <c r="R571" s="11">
        <v>53.843</v>
      </c>
      <c r="S571" s="13">
        <v>677.8561</v>
      </c>
      <c r="T571" s="13">
        <v>680.8596</v>
      </c>
      <c r="U571" s="13">
        <v>677.091</v>
      </c>
      <c r="V571" s="13">
        <v>667.4446</v>
      </c>
      <c r="W571" s="13">
        <v>664.0101</v>
      </c>
      <c r="X571" s="13">
        <v>639.9924</v>
      </c>
      <c r="Y571" s="13">
        <v>571.5049</v>
      </c>
      <c r="Z571" s="13">
        <v>566.28</v>
      </c>
      <c r="AA571" s="13">
        <v>730.12</v>
      </c>
      <c r="AB571" s="13">
        <v>54.1511</v>
      </c>
      <c r="AC571" s="13">
        <v>12.8712</v>
      </c>
      <c r="AD571" s="13">
        <v>19.4337</v>
      </c>
      <c r="AE571" s="13">
        <v>18.2378</v>
      </c>
      <c r="AF571" s="13">
        <v>12.0846</v>
      </c>
      <c r="AG571" s="13">
        <v>0.461</v>
      </c>
      <c r="AH571" s="13">
        <v>1.4361</v>
      </c>
      <c r="AI571" s="13">
        <v>0.1098</v>
      </c>
      <c r="AJ571" s="11">
        <v>1.28</v>
      </c>
      <c r="AK571" s="8" t="s">
        <v>2208</v>
      </c>
      <c r="AL571" s="14">
        <f>IFERROR(__xludf.DUMMYFUNCTION("IFERROR(GOOGLEFINANCE(B571,""price""),"""")"),725.71)</f>
        <v>725.71</v>
      </c>
    </row>
    <row r="572">
      <c r="A572" s="15">
        <v>46113.6674911167</v>
      </c>
      <c r="B572" s="16" t="s">
        <v>1502</v>
      </c>
      <c r="C572" s="16" t="s">
        <v>1503</v>
      </c>
      <c r="D572" s="17">
        <v>46117.0</v>
      </c>
      <c r="E572" s="16" t="s">
        <v>1504</v>
      </c>
      <c r="F572" s="18">
        <v>80.17</v>
      </c>
      <c r="G572" s="19">
        <v>0.2877</v>
      </c>
      <c r="H572" s="16" t="s">
        <v>88</v>
      </c>
      <c r="I572" s="20">
        <v>667039.0</v>
      </c>
      <c r="J572" s="19">
        <v>41.6696</v>
      </c>
      <c r="K572" s="21">
        <v>0.3112</v>
      </c>
      <c r="L572" s="21">
        <v>1.3465</v>
      </c>
      <c r="M572" s="21">
        <v>493175.7</v>
      </c>
      <c r="N572" s="21">
        <v>1.3989</v>
      </c>
      <c r="O572" s="20">
        <v>2.284997323E9</v>
      </c>
      <c r="P572" s="21">
        <v>49.6599</v>
      </c>
      <c r="Q572" s="21">
        <v>54.6485</v>
      </c>
      <c r="R572" s="19">
        <v>55.6664</v>
      </c>
      <c r="S572" s="21">
        <v>80.0465</v>
      </c>
      <c r="T572" s="21">
        <v>79.9575</v>
      </c>
      <c r="U572" s="21">
        <v>79.8116</v>
      </c>
      <c r="V572" s="21">
        <v>79.4638</v>
      </c>
      <c r="W572" s="21">
        <v>79.3156</v>
      </c>
      <c r="X572" s="21">
        <v>77.985</v>
      </c>
      <c r="Y572" s="21">
        <v>73.0472</v>
      </c>
      <c r="Z572" s="21">
        <v>71.8837</v>
      </c>
      <c r="AA572" s="21">
        <v>80.67</v>
      </c>
      <c r="AB572" s="21">
        <v>40.396</v>
      </c>
      <c r="AC572" s="21">
        <v>1.9846</v>
      </c>
      <c r="AD572" s="21">
        <v>19.7366</v>
      </c>
      <c r="AE572" s="21">
        <v>12.1871</v>
      </c>
      <c r="AF572" s="21">
        <v>2.1751</v>
      </c>
      <c r="AG572" s="21">
        <v>1.9931</v>
      </c>
      <c r="AH572" s="21">
        <v>1.4408</v>
      </c>
      <c r="AI572" s="21">
        <v>0.2931</v>
      </c>
      <c r="AJ572" s="19">
        <v>0.46</v>
      </c>
      <c r="AK572" s="16" t="s">
        <v>2364</v>
      </c>
      <c r="AL572" s="22">
        <f>IFERROR(__xludf.DUMMYFUNCTION("IFERROR(GOOGLEFINANCE(B572,""price""),"""")"),80.04)</f>
        <v>80.04</v>
      </c>
    </row>
    <row r="573">
      <c r="A573" s="7">
        <v>46113.6674911167</v>
      </c>
      <c r="B573" s="8" t="s">
        <v>1521</v>
      </c>
      <c r="C573" s="8" t="s">
        <v>1522</v>
      </c>
      <c r="D573" s="9">
        <v>46117.0</v>
      </c>
      <c r="E573" s="8" t="s">
        <v>1523</v>
      </c>
      <c r="F573" s="10">
        <v>10.47</v>
      </c>
      <c r="G573" s="11">
        <v>0.0</v>
      </c>
      <c r="H573" s="8" t="s">
        <v>93</v>
      </c>
      <c r="I573" s="12">
        <v>413812.0</v>
      </c>
      <c r="J573" s="11">
        <v>28.5517</v>
      </c>
      <c r="K573" s="13">
        <v>0.0297</v>
      </c>
      <c r="L573" s="13">
        <v>0.1344</v>
      </c>
      <c r="M573" s="13">
        <v>187040.4</v>
      </c>
      <c r="N573" s="13">
        <v>2.4474</v>
      </c>
      <c r="O573" s="12">
        <v>1.73802E8</v>
      </c>
      <c r="P573" s="13">
        <v>80.9524</v>
      </c>
      <c r="Q573" s="13">
        <v>80.9524</v>
      </c>
      <c r="R573" s="11">
        <v>63.6767</v>
      </c>
      <c r="S573" s="13">
        <v>10.4625</v>
      </c>
      <c r="T573" s="13">
        <v>10.4438</v>
      </c>
      <c r="U573" s="13">
        <v>10.4265</v>
      </c>
      <c r="V573" s="13">
        <v>10.4123</v>
      </c>
      <c r="W573" s="13">
        <v>10.4096</v>
      </c>
      <c r="X573" s="13">
        <v>10.4017</v>
      </c>
      <c r="Y573" s="13">
        <v>10.3266</v>
      </c>
      <c r="Z573" s="13">
        <v>10.4812</v>
      </c>
      <c r="AA573" s="13">
        <v>15.24</v>
      </c>
      <c r="AB573" s="13">
        <v>0.0</v>
      </c>
      <c r="AC573" s="13">
        <v>-0.7281</v>
      </c>
      <c r="AD573" s="13">
        <v>-8.6452</v>
      </c>
      <c r="AE573" s="13">
        <v>0.0</v>
      </c>
      <c r="AF573" s="13">
        <v>0.0</v>
      </c>
      <c r="AG573" s="13">
        <v>0.0</v>
      </c>
      <c r="AH573" s="13">
        <v>0.0802</v>
      </c>
      <c r="AI573" s="13">
        <v>0.344</v>
      </c>
      <c r="AJ573" s="11">
        <v>0.44</v>
      </c>
      <c r="AK573" s="8" t="s">
        <v>2365</v>
      </c>
      <c r="AL573" s="14">
        <f>IFERROR(__xludf.DUMMYFUNCTION("IFERROR(GOOGLEFINANCE(B573,""price""),"""")"),10.48)</f>
        <v>10.48</v>
      </c>
    </row>
    <row r="574">
      <c r="A574" s="15">
        <v>46113.6674911167</v>
      </c>
      <c r="B574" s="16" t="s">
        <v>2090</v>
      </c>
      <c r="C574" s="16" t="s">
        <v>2091</v>
      </c>
      <c r="D574" s="17">
        <v>46117.0</v>
      </c>
      <c r="E574" s="16" t="s">
        <v>2092</v>
      </c>
      <c r="F574" s="18">
        <v>10.84</v>
      </c>
      <c r="G574" s="19">
        <v>0.0</v>
      </c>
      <c r="H574" s="16" t="s">
        <v>93</v>
      </c>
      <c r="I574" s="20">
        <v>1118453.0</v>
      </c>
      <c r="J574" s="19">
        <v>38.926</v>
      </c>
      <c r="K574" s="21">
        <v>0.0204</v>
      </c>
      <c r="L574" s="21">
        <v>0.0349</v>
      </c>
      <c r="M574" s="21">
        <v>417069.6</v>
      </c>
      <c r="N574" s="21">
        <v>3.6271</v>
      </c>
      <c r="O574" s="20">
        <v>3.1165E8</v>
      </c>
      <c r="P574" s="21">
        <v>94.4444</v>
      </c>
      <c r="Q574" s="21">
        <v>90.7407</v>
      </c>
      <c r="R574" s="19">
        <v>65.1234</v>
      </c>
      <c r="S574" s="21">
        <v>10.8232</v>
      </c>
      <c r="T574" s="21">
        <v>10.8015</v>
      </c>
      <c r="U574" s="21">
        <v>10.7824</v>
      </c>
      <c r="V574" s="21">
        <v>10.7607</v>
      </c>
      <c r="W574" s="21">
        <v>10.7542</v>
      </c>
      <c r="X574" s="21">
        <v>10.7111</v>
      </c>
      <c r="Y574" s="21">
        <v>10.5651</v>
      </c>
      <c r="Z574" s="21">
        <v>10.5716</v>
      </c>
      <c r="AA574" s="21">
        <v>10.84</v>
      </c>
      <c r="AB574" s="21">
        <v>32.7591</v>
      </c>
      <c r="AC574" s="21">
        <v>0.3309</v>
      </c>
      <c r="AD574" s="21">
        <v>4.1183</v>
      </c>
      <c r="AE574" s="21">
        <v>0.0</v>
      </c>
      <c r="AF574" s="21">
        <v>0.0</v>
      </c>
      <c r="AG574" s="21">
        <v>0.0014</v>
      </c>
      <c r="AH574" s="21">
        <v>0.2964</v>
      </c>
      <c r="AI574" s="21">
        <v>0.3768</v>
      </c>
      <c r="AJ574" s="19">
        <v>1.17</v>
      </c>
      <c r="AK574" s="16" t="s">
        <v>2136</v>
      </c>
      <c r="AL574" s="22">
        <f>IFERROR(__xludf.DUMMYFUNCTION("IFERROR(GOOGLEFINANCE(B574,""price""),"""")"),10.87)</f>
        <v>10.87</v>
      </c>
    </row>
    <row r="575">
      <c r="A575" s="7">
        <v>46113.6674911167</v>
      </c>
      <c r="B575" s="8" t="s">
        <v>2366</v>
      </c>
      <c r="C575" s="8" t="s">
        <v>2367</v>
      </c>
      <c r="D575" s="9">
        <v>46117.0</v>
      </c>
      <c r="E575" s="8" t="s">
        <v>2368</v>
      </c>
      <c r="F575" s="10">
        <v>256.03</v>
      </c>
      <c r="G575" s="11">
        <v>2.4489</v>
      </c>
      <c r="H575" s="8" t="s">
        <v>102</v>
      </c>
      <c r="I575" s="12">
        <v>1545729.0</v>
      </c>
      <c r="J575" s="11">
        <v>22.6823</v>
      </c>
      <c r="K575" s="13">
        <v>6.9397</v>
      </c>
      <c r="L575" s="13">
        <v>12.3767</v>
      </c>
      <c r="M575" s="13">
        <v>945332.1</v>
      </c>
      <c r="N575" s="13">
        <v>1.8067</v>
      </c>
      <c r="O575" s="12">
        <v>4.365746751E10</v>
      </c>
      <c r="P575" s="13">
        <v>65.7306</v>
      </c>
      <c r="Q575" s="13">
        <v>52.2286</v>
      </c>
      <c r="R575" s="11">
        <v>60.8658</v>
      </c>
      <c r="S575" s="13">
        <v>246.3238</v>
      </c>
      <c r="T575" s="13">
        <v>245.695</v>
      </c>
      <c r="U575" s="13">
        <v>245.0619</v>
      </c>
      <c r="V575" s="13">
        <v>242.5128</v>
      </c>
      <c r="W575" s="13">
        <v>241.5368</v>
      </c>
      <c r="X575" s="13">
        <v>234.7697</v>
      </c>
      <c r="Y575" s="13">
        <v>219.2538</v>
      </c>
      <c r="Z575" s="13">
        <v>214.1208</v>
      </c>
      <c r="AA575" s="13">
        <v>266.27</v>
      </c>
      <c r="AB575" s="13">
        <v>37.4883</v>
      </c>
      <c r="AC575" s="13">
        <v>6.8296</v>
      </c>
      <c r="AD575" s="13">
        <v>11.0112</v>
      </c>
      <c r="AE575" s="13">
        <v>16.3428</v>
      </c>
      <c r="AF575" s="13">
        <v>7.5094</v>
      </c>
      <c r="AG575" s="13">
        <v>0.5325</v>
      </c>
      <c r="AH575" s="13">
        <v>1.1056</v>
      </c>
      <c r="AI575" s="13">
        <v>0.4929</v>
      </c>
      <c r="AJ575" s="11">
        <v>1.12</v>
      </c>
      <c r="AK575" s="8" t="s">
        <v>1267</v>
      </c>
      <c r="AL575" s="14">
        <f>IFERROR(__xludf.DUMMYFUNCTION("IFERROR(GOOGLEFINANCE(B575,""price""),"""")"),267.28)</f>
        <v>267.28</v>
      </c>
    </row>
    <row r="576">
      <c r="A576" s="15">
        <v>46113.6674911167</v>
      </c>
      <c r="B576" s="16" t="s">
        <v>2369</v>
      </c>
      <c r="C576" s="16" t="s">
        <v>2370</v>
      </c>
      <c r="D576" s="17">
        <v>46117.0</v>
      </c>
      <c r="E576" s="16" t="s">
        <v>2371</v>
      </c>
      <c r="F576" s="18">
        <v>2.7</v>
      </c>
      <c r="G576" s="19">
        <v>2.6616</v>
      </c>
      <c r="H576" s="16" t="s">
        <v>117</v>
      </c>
      <c r="I576" s="20">
        <v>2423320.0</v>
      </c>
      <c r="J576" s="19">
        <v>32.0827</v>
      </c>
      <c r="K576" s="21">
        <v>0.2485</v>
      </c>
      <c r="L576" s="21">
        <v>0.4873</v>
      </c>
      <c r="M576" s="16">
        <v>1949153.0</v>
      </c>
      <c r="N576" s="21">
        <v>1.2375</v>
      </c>
      <c r="O576" s="20">
        <v>2.6346114E8</v>
      </c>
      <c r="P576" s="21">
        <v>40.0289</v>
      </c>
      <c r="Q576" s="21">
        <v>21.8524</v>
      </c>
      <c r="R576" s="19">
        <v>52.6827</v>
      </c>
      <c r="S576" s="21">
        <v>2.5955</v>
      </c>
      <c r="T576" s="21">
        <v>2.6268</v>
      </c>
      <c r="U576" s="21">
        <v>2.5774</v>
      </c>
      <c r="V576" s="21">
        <v>2.5167</v>
      </c>
      <c r="W576" s="21">
        <v>2.5018</v>
      </c>
      <c r="X576" s="21">
        <v>2.4375</v>
      </c>
      <c r="Y576" s="21">
        <v>2.4848</v>
      </c>
      <c r="Z576" s="21">
        <v>2.3324</v>
      </c>
      <c r="AA576" s="21">
        <v>3.82</v>
      </c>
      <c r="AB576" s="21">
        <v>0.0</v>
      </c>
      <c r="AC576" s="21">
        <v>-1.3568</v>
      </c>
      <c r="AD576" s="21">
        <v>-44.435</v>
      </c>
      <c r="AE576" s="21">
        <v>-290.6752</v>
      </c>
      <c r="AF576" s="21">
        <v>1.0201</v>
      </c>
      <c r="AG576" s="21">
        <v>0.2338</v>
      </c>
      <c r="AH576" s="21">
        <v>7.8139</v>
      </c>
      <c r="AI576" s="21">
        <v>0.6704</v>
      </c>
      <c r="AJ576" s="19">
        <v>1.02</v>
      </c>
      <c r="AK576" s="16" t="s">
        <v>1283</v>
      </c>
      <c r="AL576" s="22">
        <f>IFERROR(__xludf.DUMMYFUNCTION("IFERROR(GOOGLEFINANCE(B576,""price""),"""")"),2.54)</f>
        <v>2.54</v>
      </c>
    </row>
    <row r="577">
      <c r="A577" s="7">
        <v>46113.6674911167</v>
      </c>
      <c r="B577" s="8" t="s">
        <v>2340</v>
      </c>
      <c r="C577" s="8" t="s">
        <v>2341</v>
      </c>
      <c r="D577" s="9">
        <v>46117.0</v>
      </c>
      <c r="E577" s="8" t="s">
        <v>2342</v>
      </c>
      <c r="F577" s="10">
        <v>10.81</v>
      </c>
      <c r="G577" s="11">
        <v>0.0</v>
      </c>
      <c r="H577" s="8" t="s">
        <v>186</v>
      </c>
      <c r="I577" s="12">
        <v>1325796.0</v>
      </c>
      <c r="J577" s="11">
        <v>21.3346</v>
      </c>
      <c r="K577" s="13">
        <v>0.1588</v>
      </c>
      <c r="L577" s="13">
        <v>0.3034</v>
      </c>
      <c r="M577" s="8">
        <v>1167375.0</v>
      </c>
      <c r="N577" s="13">
        <v>1.2188</v>
      </c>
      <c r="O577" s="12">
        <v>7.96915362E8</v>
      </c>
      <c r="P577" s="13">
        <v>88.9433</v>
      </c>
      <c r="Q577" s="13">
        <v>83.9538</v>
      </c>
      <c r="R577" s="11">
        <v>63.2093</v>
      </c>
      <c r="S577" s="13">
        <v>10.6909</v>
      </c>
      <c r="T577" s="13">
        <v>10.585</v>
      </c>
      <c r="U577" s="13">
        <v>10.554</v>
      </c>
      <c r="V577" s="13">
        <v>10.5497</v>
      </c>
      <c r="W577" s="13">
        <v>10.5506</v>
      </c>
      <c r="X577" s="13">
        <v>10.5493</v>
      </c>
      <c r="Y577" s="13">
        <v>10.3124</v>
      </c>
      <c r="Z577" s="13">
        <v>10.7088</v>
      </c>
      <c r="AA577" s="13">
        <v>11.16</v>
      </c>
      <c r="AB577" s="13">
        <v>14.8184</v>
      </c>
      <c r="AC577" s="13">
        <v>0.7295</v>
      </c>
      <c r="AD577" s="13">
        <v>24.5507</v>
      </c>
      <c r="AE577" s="13">
        <v>8.5412</v>
      </c>
      <c r="AF577" s="13">
        <v>11.379</v>
      </c>
      <c r="AG577" s="13">
        <v>0.1839</v>
      </c>
      <c r="AH577" s="13">
        <v>1.908</v>
      </c>
      <c r="AI577" s="13">
        <v>1.2659</v>
      </c>
      <c r="AJ577" s="11">
        <v>1.05</v>
      </c>
      <c r="AK577" s="23"/>
      <c r="AL577" s="14">
        <f>IFERROR(__xludf.DUMMYFUNCTION("IFERROR(GOOGLEFINANCE(B577,""price""),"""")"),10.88)</f>
        <v>10.88</v>
      </c>
    </row>
    <row r="578">
      <c r="A578" s="7">
        <v>46114.66845086007</v>
      </c>
      <c r="B578" s="8" t="s">
        <v>2372</v>
      </c>
      <c r="C578" s="8" t="s">
        <v>2373</v>
      </c>
      <c r="D578" s="9">
        <v>46117.0</v>
      </c>
      <c r="E578" s="8" t="s">
        <v>2374</v>
      </c>
      <c r="F578" s="10">
        <v>10.5259</v>
      </c>
      <c r="G578" s="11">
        <v>0.1513</v>
      </c>
      <c r="H578" s="8" t="s">
        <v>93</v>
      </c>
      <c r="I578" s="12">
        <v>335768.0</v>
      </c>
      <c r="J578" s="11">
        <v>34.6504</v>
      </c>
      <c r="K578" s="13">
        <v>0.0144</v>
      </c>
      <c r="L578" s="13">
        <v>0.0487</v>
      </c>
      <c r="M578" s="13">
        <v>49137.1</v>
      </c>
      <c r="N578" s="13">
        <v>20.8134</v>
      </c>
      <c r="O578" s="12">
        <v>1.94604155E8</v>
      </c>
      <c r="P578" s="13">
        <v>86.1556</v>
      </c>
      <c r="Q578" s="13">
        <v>76.8667</v>
      </c>
      <c r="R578" s="11">
        <v>61.3784</v>
      </c>
      <c r="S578" s="13">
        <v>10.5076</v>
      </c>
      <c r="T578" s="13">
        <v>10.4993</v>
      </c>
      <c r="U578" s="13">
        <v>10.4923</v>
      </c>
      <c r="V578" s="13">
        <v>10.4809</v>
      </c>
      <c r="W578" s="13">
        <v>10.4768</v>
      </c>
      <c r="X578" s="13">
        <v>10.4453</v>
      </c>
      <c r="Y578" s="13">
        <v>10.354</v>
      </c>
      <c r="Z578" s="13">
        <v>10.3176</v>
      </c>
      <c r="AA578" s="13">
        <v>10.7</v>
      </c>
      <c r="AB578" s="13">
        <v>51.0223</v>
      </c>
      <c r="AC578" s="13">
        <v>0.2063</v>
      </c>
      <c r="AD578" s="13">
        <v>2.9045</v>
      </c>
      <c r="AE578" s="13">
        <v>0.0</v>
      </c>
      <c r="AF578" s="13">
        <v>0.0</v>
      </c>
      <c r="AG578" s="13">
        <v>0.0</v>
      </c>
      <c r="AH578" s="13">
        <v>27.1149</v>
      </c>
      <c r="AI578" s="13">
        <v>0.1453</v>
      </c>
      <c r="AJ578" s="11">
        <v>0.59</v>
      </c>
      <c r="AK578" s="8" t="s">
        <v>2375</v>
      </c>
      <c r="AL578" s="14">
        <f>IFERROR(__xludf.DUMMYFUNCTION("IFERROR(GOOGLEFINANCE(B578,""price""),"""")"),10.52)</f>
        <v>10.52</v>
      </c>
    </row>
    <row r="579">
      <c r="A579" s="15">
        <v>46114.66845086007</v>
      </c>
      <c r="B579" s="16" t="s">
        <v>1601</v>
      </c>
      <c r="C579" s="16" t="s">
        <v>1602</v>
      </c>
      <c r="D579" s="17">
        <v>46117.0</v>
      </c>
      <c r="E579" s="16" t="s">
        <v>1603</v>
      </c>
      <c r="F579" s="18">
        <v>64.95</v>
      </c>
      <c r="G579" s="19">
        <v>0.0</v>
      </c>
      <c r="H579" s="16" t="s">
        <v>93</v>
      </c>
      <c r="I579" s="20">
        <v>3049128.0</v>
      </c>
      <c r="J579" s="19">
        <v>21.458</v>
      </c>
      <c r="K579" s="21">
        <v>0.1233</v>
      </c>
      <c r="L579" s="21">
        <v>0.5769</v>
      </c>
      <c r="M579" s="16">
        <v>2430528.0</v>
      </c>
      <c r="N579" s="21">
        <v>1.3046</v>
      </c>
      <c r="O579" s="20">
        <v>7.27667325E9</v>
      </c>
      <c r="P579" s="21">
        <v>98.5397</v>
      </c>
      <c r="Q579" s="21">
        <v>92.6799</v>
      </c>
      <c r="R579" s="19">
        <v>63.1773</v>
      </c>
      <c r="S579" s="21">
        <v>64.8412</v>
      </c>
      <c r="T579" s="21">
        <v>64.7556</v>
      </c>
      <c r="U579" s="21">
        <v>64.704</v>
      </c>
      <c r="V579" s="21">
        <v>64.6177</v>
      </c>
      <c r="W579" s="21">
        <v>64.5818</v>
      </c>
      <c r="X579" s="21">
        <v>64.1809</v>
      </c>
      <c r="Y579" s="21">
        <v>61.6089</v>
      </c>
      <c r="Z579" s="21">
        <v>62.4689</v>
      </c>
      <c r="AA579" s="21">
        <v>64.96</v>
      </c>
      <c r="AB579" s="21">
        <v>6.9801</v>
      </c>
      <c r="AC579" s="21">
        <v>9.305</v>
      </c>
      <c r="AD579" s="21">
        <v>13.6003</v>
      </c>
      <c r="AE579" s="21">
        <v>49.5099</v>
      </c>
      <c r="AF579" s="21">
        <v>14.2078</v>
      </c>
      <c r="AG579" s="21">
        <v>2.3287</v>
      </c>
      <c r="AH579" s="21">
        <v>0.0521</v>
      </c>
      <c r="AI579" s="21">
        <v>0.2112</v>
      </c>
      <c r="AJ579" s="19">
        <v>0.43</v>
      </c>
      <c r="AK579" s="16" t="s">
        <v>2376</v>
      </c>
      <c r="AL579" s="22">
        <f>IFERROR(__xludf.DUMMYFUNCTION("IFERROR(GOOGLEFINANCE(B579,""price""),"""")"),65.0)</f>
        <v>65</v>
      </c>
    </row>
    <row r="580">
      <c r="A580" s="7">
        <v>46114.66845086007</v>
      </c>
      <c r="B580" s="8" t="s">
        <v>1521</v>
      </c>
      <c r="C580" s="8" t="s">
        <v>1522</v>
      </c>
      <c r="D580" s="9">
        <v>46117.0</v>
      </c>
      <c r="E580" s="8" t="s">
        <v>1523</v>
      </c>
      <c r="F580" s="10">
        <v>10.47</v>
      </c>
      <c r="G580" s="11">
        <v>0.0</v>
      </c>
      <c r="H580" s="8" t="s">
        <v>93</v>
      </c>
      <c r="I580" s="12">
        <v>414703.0</v>
      </c>
      <c r="J580" s="11">
        <v>27.9717</v>
      </c>
      <c r="K580" s="13">
        <v>0.0283</v>
      </c>
      <c r="L580" s="13">
        <v>0.1344</v>
      </c>
      <c r="M580" s="13">
        <v>214889.2</v>
      </c>
      <c r="N580" s="13">
        <v>2.2172</v>
      </c>
      <c r="O580" s="12">
        <v>1.73802E8</v>
      </c>
      <c r="P580" s="13">
        <v>85.7143</v>
      </c>
      <c r="Q580" s="13">
        <v>82.5397</v>
      </c>
      <c r="R580" s="11">
        <v>63.6767</v>
      </c>
      <c r="S580" s="13">
        <v>10.4642</v>
      </c>
      <c r="T580" s="13">
        <v>10.4462</v>
      </c>
      <c r="U580" s="13">
        <v>10.429</v>
      </c>
      <c r="V580" s="13">
        <v>10.4146</v>
      </c>
      <c r="W580" s="13">
        <v>10.4118</v>
      </c>
      <c r="X580" s="13">
        <v>10.4032</v>
      </c>
      <c r="Y580" s="13">
        <v>10.328</v>
      </c>
      <c r="Z580" s="13">
        <v>10.4833</v>
      </c>
      <c r="AA580" s="13">
        <v>15.24</v>
      </c>
      <c r="AB580" s="13">
        <v>0.0</v>
      </c>
      <c r="AC580" s="13">
        <v>-0.7281</v>
      </c>
      <c r="AD580" s="13">
        <v>-8.6452</v>
      </c>
      <c r="AE580" s="13">
        <v>0.0</v>
      </c>
      <c r="AF580" s="13">
        <v>0.0</v>
      </c>
      <c r="AG580" s="13">
        <v>0.0</v>
      </c>
      <c r="AH580" s="13">
        <v>0.0802</v>
      </c>
      <c r="AI580" s="13">
        <v>0.3362</v>
      </c>
      <c r="AJ580" s="11">
        <v>0.42</v>
      </c>
      <c r="AK580" s="8" t="s">
        <v>2377</v>
      </c>
      <c r="AL580" s="14">
        <f>IFERROR(__xludf.DUMMYFUNCTION("IFERROR(GOOGLEFINANCE(B580,""price""),"""")"),10.48)</f>
        <v>10.48</v>
      </c>
    </row>
    <row r="581">
      <c r="A581" s="15">
        <v>46114.66845086007</v>
      </c>
      <c r="B581" s="16" t="s">
        <v>2378</v>
      </c>
      <c r="C581" s="16" t="s">
        <v>2379</v>
      </c>
      <c r="D581" s="17">
        <v>46117.0</v>
      </c>
      <c r="E581" s="16" t="s">
        <v>2380</v>
      </c>
      <c r="F581" s="18">
        <v>4.18</v>
      </c>
      <c r="G581" s="19">
        <v>3.9801</v>
      </c>
      <c r="H581" s="16" t="s">
        <v>107</v>
      </c>
      <c r="I581" s="20">
        <v>946684.0</v>
      </c>
      <c r="J581" s="19">
        <v>29.0487</v>
      </c>
      <c r="K581" s="21">
        <v>0.2633</v>
      </c>
      <c r="L581" s="21">
        <v>0.46</v>
      </c>
      <c r="M581" s="21">
        <v>735380.3</v>
      </c>
      <c r="N581" s="21">
        <v>1.3302</v>
      </c>
      <c r="O581" s="20">
        <v>1.8334943E8</v>
      </c>
      <c r="P581" s="21">
        <v>69.6762</v>
      </c>
      <c r="Q581" s="21">
        <v>63.0224</v>
      </c>
      <c r="R581" s="19">
        <v>56.9975</v>
      </c>
      <c r="S581" s="21">
        <v>3.9239</v>
      </c>
      <c r="T581" s="21">
        <v>3.9206</v>
      </c>
      <c r="U581" s="21">
        <v>3.9097</v>
      </c>
      <c r="V581" s="21">
        <v>3.8655</v>
      </c>
      <c r="W581" s="21">
        <v>3.852</v>
      </c>
      <c r="X581" s="21">
        <v>3.7949</v>
      </c>
      <c r="Y581" s="21">
        <v>3.8874</v>
      </c>
      <c r="Z581" s="21">
        <v>3.7799</v>
      </c>
      <c r="AA581" s="21">
        <v>4.94</v>
      </c>
      <c r="AB581" s="21">
        <v>0.0</v>
      </c>
      <c r="AC581" s="21">
        <v>-1.1266</v>
      </c>
      <c r="AD581" s="21">
        <v>-27.4025</v>
      </c>
      <c r="AE581" s="21">
        <v>-55.7143</v>
      </c>
      <c r="AF581" s="21">
        <v>-60.6549</v>
      </c>
      <c r="AG581" s="21">
        <v>0.0</v>
      </c>
      <c r="AH581" s="21">
        <v>5.6677</v>
      </c>
      <c r="AI581" s="21">
        <v>0.3406</v>
      </c>
      <c r="AJ581" s="19">
        <v>1.14</v>
      </c>
      <c r="AK581" s="16" t="s">
        <v>1267</v>
      </c>
      <c r="AL581" s="22">
        <f>IFERROR(__xludf.DUMMYFUNCTION("IFERROR(GOOGLEFINANCE(B581,""price""),"""")"),4.11)</f>
        <v>4.11</v>
      </c>
    </row>
    <row r="582">
      <c r="A582" s="7">
        <v>46114.66845086007</v>
      </c>
      <c r="B582" s="8" t="s">
        <v>1576</v>
      </c>
      <c r="C582" s="8" t="s">
        <v>1577</v>
      </c>
      <c r="D582" s="9">
        <v>46117.0</v>
      </c>
      <c r="E582" s="8" t="s">
        <v>1578</v>
      </c>
      <c r="F582" s="10">
        <v>11.95</v>
      </c>
      <c r="G582" s="11">
        <v>-0.0836</v>
      </c>
      <c r="H582" s="8" t="s">
        <v>88</v>
      </c>
      <c r="I582" s="12">
        <v>1046598.0</v>
      </c>
      <c r="J582" s="11">
        <v>40.4879</v>
      </c>
      <c r="K582" s="13">
        <v>0.0228</v>
      </c>
      <c r="L582" s="13">
        <v>0.3332</v>
      </c>
      <c r="M582" s="13">
        <v>743865.4</v>
      </c>
      <c r="N582" s="13">
        <v>1.4187</v>
      </c>
      <c r="O582" s="12">
        <v>1.55755105E9</v>
      </c>
      <c r="P582" s="13">
        <v>81.4286</v>
      </c>
      <c r="Q582" s="13">
        <v>73.1056</v>
      </c>
      <c r="R582" s="11">
        <v>65.1966</v>
      </c>
      <c r="S582" s="13">
        <v>11.9412</v>
      </c>
      <c r="T582" s="13">
        <v>11.923</v>
      </c>
      <c r="U582" s="13">
        <v>11.8901</v>
      </c>
      <c r="V582" s="13">
        <v>11.7885</v>
      </c>
      <c r="W582" s="13">
        <v>11.7434</v>
      </c>
      <c r="X582" s="13">
        <v>11.3797</v>
      </c>
      <c r="Y582" s="13">
        <v>10.7926</v>
      </c>
      <c r="Z582" s="13">
        <v>9.7558</v>
      </c>
      <c r="AA582" s="13">
        <v>11.96</v>
      </c>
      <c r="AB582" s="13">
        <v>0.0</v>
      </c>
      <c r="AC582" s="13">
        <v>-0.1272</v>
      </c>
      <c r="AD582" s="13">
        <v>-6.9547</v>
      </c>
      <c r="AE582" s="13">
        <v>-5.0392</v>
      </c>
      <c r="AF582" s="13">
        <v>17.7352</v>
      </c>
      <c r="AG582" s="13">
        <v>0.0435</v>
      </c>
      <c r="AH582" s="13">
        <v>2.0225</v>
      </c>
      <c r="AI582" s="13">
        <v>0.4274</v>
      </c>
      <c r="AJ582" s="11">
        <v>0.14</v>
      </c>
      <c r="AK582" s="8" t="s">
        <v>2381</v>
      </c>
      <c r="AL582" s="14">
        <f>IFERROR(__xludf.DUMMYFUNCTION("IFERROR(GOOGLEFINANCE(B582,""price""),"""")"),11.94)</f>
        <v>11.94</v>
      </c>
    </row>
    <row r="583">
      <c r="A583" s="15">
        <v>46114.66845086007</v>
      </c>
      <c r="B583" s="16" t="s">
        <v>2382</v>
      </c>
      <c r="C583" s="16" t="s">
        <v>2383</v>
      </c>
      <c r="D583" s="17">
        <v>46117.0</v>
      </c>
      <c r="E583" s="16" t="s">
        <v>2384</v>
      </c>
      <c r="F583" s="18">
        <v>2.62</v>
      </c>
      <c r="G583" s="19">
        <v>7.377</v>
      </c>
      <c r="H583" s="16" t="s">
        <v>308</v>
      </c>
      <c r="I583" s="20">
        <v>5727086.0</v>
      </c>
      <c r="J583" s="19">
        <v>21.6886</v>
      </c>
      <c r="K583" s="21">
        <v>0.2326</v>
      </c>
      <c r="L583" s="21">
        <v>0.4545</v>
      </c>
      <c r="M583" s="16">
        <v>4673516.0</v>
      </c>
      <c r="N583" s="21">
        <v>1.324</v>
      </c>
      <c r="O583" s="20">
        <v>4.7825742E8</v>
      </c>
      <c r="P583" s="21">
        <v>80.0565</v>
      </c>
      <c r="Q583" s="21">
        <v>53.1226</v>
      </c>
      <c r="R583" s="19">
        <v>62.1717</v>
      </c>
      <c r="S583" s="21">
        <v>2.2455</v>
      </c>
      <c r="T583" s="21">
        <v>2.1912</v>
      </c>
      <c r="U583" s="21">
        <v>2.2315</v>
      </c>
      <c r="V583" s="21">
        <v>2.2915</v>
      </c>
      <c r="W583" s="21">
        <v>2.3082</v>
      </c>
      <c r="X583" s="21">
        <v>2.3779</v>
      </c>
      <c r="Y583" s="21">
        <v>2.2883</v>
      </c>
      <c r="Z583" s="21">
        <v>2.4123</v>
      </c>
      <c r="AA583" s="21">
        <v>4.16</v>
      </c>
      <c r="AB583" s="21">
        <v>0.0</v>
      </c>
      <c r="AC583" s="21">
        <v>-0.0375</v>
      </c>
      <c r="AD583" s="21">
        <v>-27.9094</v>
      </c>
      <c r="AE583" s="21">
        <v>-26.6351</v>
      </c>
      <c r="AF583" s="21">
        <v>3.0181</v>
      </c>
      <c r="AG583" s="21">
        <v>0.0941</v>
      </c>
      <c r="AH583" s="21">
        <v>1.466</v>
      </c>
      <c r="AI583" s="21">
        <v>0.5321</v>
      </c>
      <c r="AJ583" s="19">
        <v>1.02</v>
      </c>
      <c r="AK583" s="16" t="s">
        <v>1283</v>
      </c>
      <c r="AL583" s="22">
        <f>IFERROR(__xludf.DUMMYFUNCTION("IFERROR(GOOGLEFINANCE(B583,""price""),"""")"),2.66)</f>
        <v>2.66</v>
      </c>
    </row>
    <row r="584">
      <c r="A584" s="7">
        <v>46114.66845086007</v>
      </c>
      <c r="B584" s="8" t="s">
        <v>2385</v>
      </c>
      <c r="C584" s="8" t="s">
        <v>2386</v>
      </c>
      <c r="D584" s="9">
        <v>46117.0</v>
      </c>
      <c r="E584" s="8" t="s">
        <v>2387</v>
      </c>
      <c r="F584" s="10">
        <v>14.76</v>
      </c>
      <c r="G584" s="11">
        <v>4.311</v>
      </c>
      <c r="H584" s="8" t="s">
        <v>1119</v>
      </c>
      <c r="I584" s="12">
        <v>1435937.0</v>
      </c>
      <c r="J584" s="11">
        <v>21.9887</v>
      </c>
      <c r="K584" s="13">
        <v>0.371</v>
      </c>
      <c r="L584" s="13">
        <v>0.7076</v>
      </c>
      <c r="M584" s="13">
        <v>905075.0</v>
      </c>
      <c r="N584" s="13">
        <v>1.5948</v>
      </c>
      <c r="O584" s="12">
        <v>1.37853234E9</v>
      </c>
      <c r="P584" s="13">
        <v>38.7436</v>
      </c>
      <c r="Q584" s="13">
        <v>49.8927</v>
      </c>
      <c r="R584" s="11">
        <v>56.8682</v>
      </c>
      <c r="S584" s="13">
        <v>14.5634</v>
      </c>
      <c r="T584" s="13">
        <v>14.489</v>
      </c>
      <c r="U584" s="13">
        <v>14.3137</v>
      </c>
      <c r="V584" s="13">
        <v>14.0901</v>
      </c>
      <c r="W584" s="13">
        <v>14.0302</v>
      </c>
      <c r="X584" s="13">
        <v>13.7601</v>
      </c>
      <c r="Y584" s="13">
        <v>13.6793</v>
      </c>
      <c r="Z584" s="13">
        <v>13.5553</v>
      </c>
      <c r="AA584" s="13">
        <v>15.1199</v>
      </c>
      <c r="AB584" s="13">
        <v>28.9412</v>
      </c>
      <c r="AC584" s="13">
        <v>0.51</v>
      </c>
      <c r="AD584" s="13">
        <v>12.359</v>
      </c>
      <c r="AE584" s="13">
        <v>37.527</v>
      </c>
      <c r="AF584" s="13">
        <v>3.5688</v>
      </c>
      <c r="AG584" s="13">
        <v>0.6466</v>
      </c>
      <c r="AH584" s="13">
        <v>8.6401</v>
      </c>
      <c r="AI584" s="13">
        <v>1.6915</v>
      </c>
      <c r="AJ584" s="11">
        <v>1.05</v>
      </c>
      <c r="AK584" s="23"/>
      <c r="AL584" s="14">
        <f>IFERROR(__xludf.DUMMYFUNCTION("IFERROR(GOOGLEFINANCE(B584,""price""),"""")"),14.5)</f>
        <v>14.5</v>
      </c>
    </row>
    <row r="585">
      <c r="A585" s="7">
        <v>46115.66802387912</v>
      </c>
      <c r="B585" s="8" t="s">
        <v>2388</v>
      </c>
      <c r="C585" s="8" t="s">
        <v>2389</v>
      </c>
      <c r="D585" s="9">
        <v>46117.0</v>
      </c>
      <c r="E585" s="8" t="s">
        <v>2390</v>
      </c>
      <c r="F585" s="10">
        <v>56.81</v>
      </c>
      <c r="G585" s="11">
        <v>0.9597</v>
      </c>
      <c r="H585" s="8" t="s">
        <v>917</v>
      </c>
      <c r="I585" s="12">
        <v>1154638.0</v>
      </c>
      <c r="J585" s="11">
        <v>20.2556</v>
      </c>
      <c r="K585" s="13">
        <v>0.9149</v>
      </c>
      <c r="L585" s="13">
        <v>1.725</v>
      </c>
      <c r="M585" s="13">
        <v>857415.2</v>
      </c>
      <c r="N585" s="13">
        <v>1.2735</v>
      </c>
      <c r="O585" s="12">
        <v>2.8825394E10</v>
      </c>
      <c r="P585" s="13">
        <v>37.2805</v>
      </c>
      <c r="Q585" s="13">
        <v>31.375</v>
      </c>
      <c r="R585" s="11">
        <v>55.2209</v>
      </c>
      <c r="S585" s="13">
        <v>56.1652</v>
      </c>
      <c r="T585" s="13">
        <v>56.3194</v>
      </c>
      <c r="U585" s="13">
        <v>56.1049</v>
      </c>
      <c r="V585" s="13">
        <v>55.6262</v>
      </c>
      <c r="W585" s="13">
        <v>55.4679</v>
      </c>
      <c r="X585" s="13">
        <v>54.4638</v>
      </c>
      <c r="Y585" s="13">
        <v>52.0026</v>
      </c>
      <c r="Z585" s="13">
        <v>51.5874</v>
      </c>
      <c r="AA585" s="13">
        <v>58.7799</v>
      </c>
      <c r="AB585" s="13">
        <v>22.9211</v>
      </c>
      <c r="AC585" s="13">
        <v>2.4785</v>
      </c>
      <c r="AD585" s="13">
        <v>7.556</v>
      </c>
      <c r="AE585" s="13">
        <v>28.6935</v>
      </c>
      <c r="AF585" s="13">
        <v>10.8202</v>
      </c>
      <c r="AG585" s="13">
        <v>1.4571</v>
      </c>
      <c r="AH585" s="13">
        <v>0.5065</v>
      </c>
      <c r="AI585" s="13">
        <v>0.1061</v>
      </c>
      <c r="AJ585" s="11">
        <v>1.06</v>
      </c>
      <c r="AK585" s="8" t="s">
        <v>1267</v>
      </c>
      <c r="AL585" s="14">
        <f>IFERROR(__xludf.DUMMYFUNCTION("IFERROR(GOOGLEFINANCE(B585,""price""),"""")"),57.6)</f>
        <v>57.6</v>
      </c>
    </row>
    <row r="586">
      <c r="A586" s="15">
        <v>46115.66802387912</v>
      </c>
      <c r="B586" s="16" t="s">
        <v>2372</v>
      </c>
      <c r="C586" s="16" t="s">
        <v>2373</v>
      </c>
      <c r="D586" s="17">
        <v>46117.0</v>
      </c>
      <c r="E586" s="16" t="s">
        <v>2374</v>
      </c>
      <c r="F586" s="18">
        <v>10.5259</v>
      </c>
      <c r="G586" s="19">
        <v>0.1513</v>
      </c>
      <c r="H586" s="16" t="s">
        <v>93</v>
      </c>
      <c r="I586" s="20">
        <v>335768.0</v>
      </c>
      <c r="J586" s="19">
        <v>34.6504</v>
      </c>
      <c r="K586" s="21">
        <v>0.0144</v>
      </c>
      <c r="L586" s="21">
        <v>0.0487</v>
      </c>
      <c r="M586" s="21">
        <v>49137.1</v>
      </c>
      <c r="N586" s="21">
        <v>20.8134</v>
      </c>
      <c r="O586" s="20">
        <v>1.94604155E8</v>
      </c>
      <c r="P586" s="21">
        <v>86.1556</v>
      </c>
      <c r="Q586" s="21">
        <v>76.8667</v>
      </c>
      <c r="R586" s="19">
        <v>61.3784</v>
      </c>
      <c r="S586" s="21">
        <v>10.5076</v>
      </c>
      <c r="T586" s="21">
        <v>10.4993</v>
      </c>
      <c r="U586" s="21">
        <v>10.4923</v>
      </c>
      <c r="V586" s="21">
        <v>10.4809</v>
      </c>
      <c r="W586" s="21">
        <v>10.4768</v>
      </c>
      <c r="X586" s="21">
        <v>10.4453</v>
      </c>
      <c r="Y586" s="21">
        <v>10.354</v>
      </c>
      <c r="Z586" s="21">
        <v>10.3176</v>
      </c>
      <c r="AA586" s="21">
        <v>10.7</v>
      </c>
      <c r="AB586" s="21">
        <v>51.0223</v>
      </c>
      <c r="AC586" s="21">
        <v>0.2063</v>
      </c>
      <c r="AD586" s="21">
        <v>2.9045</v>
      </c>
      <c r="AE586" s="21">
        <v>0.0</v>
      </c>
      <c r="AF586" s="21">
        <v>0.0</v>
      </c>
      <c r="AG586" s="21">
        <v>0.0</v>
      </c>
      <c r="AH586" s="21">
        <v>27.1149</v>
      </c>
      <c r="AI586" s="21">
        <v>0.1453</v>
      </c>
      <c r="AJ586" s="19">
        <v>0.59</v>
      </c>
      <c r="AK586" s="16" t="s">
        <v>2375</v>
      </c>
      <c r="AL586" s="22">
        <f>IFERROR(__xludf.DUMMYFUNCTION("IFERROR(GOOGLEFINANCE(B586,""price""),"""")"),10.52)</f>
        <v>10.52</v>
      </c>
    </row>
    <row r="587">
      <c r="A587" s="7">
        <v>46115.66802387912</v>
      </c>
      <c r="B587" s="8" t="s">
        <v>1601</v>
      </c>
      <c r="C587" s="8" t="s">
        <v>1602</v>
      </c>
      <c r="D587" s="9">
        <v>46117.0</v>
      </c>
      <c r="E587" s="8" t="s">
        <v>1603</v>
      </c>
      <c r="F587" s="10">
        <v>64.95</v>
      </c>
      <c r="G587" s="11">
        <v>0.0</v>
      </c>
      <c r="H587" s="8" t="s">
        <v>93</v>
      </c>
      <c r="I587" s="12">
        <v>3987430.0</v>
      </c>
      <c r="J587" s="11">
        <v>21.458</v>
      </c>
      <c r="K587" s="13">
        <v>0.1233</v>
      </c>
      <c r="L587" s="13">
        <v>0.5769</v>
      </c>
      <c r="M587" s="8">
        <v>2524358.0</v>
      </c>
      <c r="N587" s="13">
        <v>1.7061</v>
      </c>
      <c r="O587" s="12">
        <v>7.27667325E9</v>
      </c>
      <c r="P587" s="13">
        <v>98.5397</v>
      </c>
      <c r="Q587" s="13">
        <v>92.6799</v>
      </c>
      <c r="R587" s="11">
        <v>63.1773</v>
      </c>
      <c r="S587" s="13">
        <v>64.8412</v>
      </c>
      <c r="T587" s="13">
        <v>64.7556</v>
      </c>
      <c r="U587" s="13">
        <v>64.704</v>
      </c>
      <c r="V587" s="13">
        <v>64.6177</v>
      </c>
      <c r="W587" s="13">
        <v>64.5818</v>
      </c>
      <c r="X587" s="13">
        <v>64.1809</v>
      </c>
      <c r="Y587" s="13">
        <v>61.6089</v>
      </c>
      <c r="Z587" s="13">
        <v>62.4689</v>
      </c>
      <c r="AA587" s="13">
        <v>64.96</v>
      </c>
      <c r="AB587" s="13">
        <v>6.9801</v>
      </c>
      <c r="AC587" s="13">
        <v>9.305</v>
      </c>
      <c r="AD587" s="13">
        <v>13.6003</v>
      </c>
      <c r="AE587" s="13">
        <v>49.5099</v>
      </c>
      <c r="AF587" s="13">
        <v>14.2078</v>
      </c>
      <c r="AG587" s="13">
        <v>2.3287</v>
      </c>
      <c r="AH587" s="13">
        <v>0.0521</v>
      </c>
      <c r="AI587" s="13">
        <v>0.2112</v>
      </c>
      <c r="AJ587" s="11">
        <v>0.43</v>
      </c>
      <c r="AK587" s="8" t="s">
        <v>2376</v>
      </c>
      <c r="AL587" s="14">
        <f>IFERROR(__xludf.DUMMYFUNCTION("IFERROR(GOOGLEFINANCE(B587,""price""),"""")"),65.0)</f>
        <v>65</v>
      </c>
    </row>
    <row r="588">
      <c r="A588" s="15">
        <v>46115.66802387912</v>
      </c>
      <c r="B588" s="16" t="s">
        <v>1521</v>
      </c>
      <c r="C588" s="16" t="s">
        <v>1522</v>
      </c>
      <c r="D588" s="17">
        <v>46117.0</v>
      </c>
      <c r="E588" s="16" t="s">
        <v>1523</v>
      </c>
      <c r="F588" s="18">
        <v>10.47</v>
      </c>
      <c r="G588" s="19">
        <v>0.0</v>
      </c>
      <c r="H588" s="16" t="s">
        <v>93</v>
      </c>
      <c r="I588" s="20">
        <v>414703.0</v>
      </c>
      <c r="J588" s="19">
        <v>27.9717</v>
      </c>
      <c r="K588" s="21">
        <v>0.0283</v>
      </c>
      <c r="L588" s="21">
        <v>0.1344</v>
      </c>
      <c r="M588" s="21">
        <v>214889.2</v>
      </c>
      <c r="N588" s="21">
        <v>2.2172</v>
      </c>
      <c r="O588" s="20">
        <v>1.73802E8</v>
      </c>
      <c r="P588" s="21">
        <v>85.7143</v>
      </c>
      <c r="Q588" s="21">
        <v>82.5397</v>
      </c>
      <c r="R588" s="19">
        <v>63.6767</v>
      </c>
      <c r="S588" s="21">
        <v>10.4642</v>
      </c>
      <c r="T588" s="21">
        <v>10.4462</v>
      </c>
      <c r="U588" s="21">
        <v>10.429</v>
      </c>
      <c r="V588" s="21">
        <v>10.4146</v>
      </c>
      <c r="W588" s="21">
        <v>10.4118</v>
      </c>
      <c r="X588" s="21">
        <v>10.4032</v>
      </c>
      <c r="Y588" s="21">
        <v>10.328</v>
      </c>
      <c r="Z588" s="21">
        <v>10.4833</v>
      </c>
      <c r="AA588" s="21">
        <v>15.24</v>
      </c>
      <c r="AB588" s="21">
        <v>0.0</v>
      </c>
      <c r="AC588" s="21">
        <v>-0.7281</v>
      </c>
      <c r="AD588" s="21">
        <v>-8.6452</v>
      </c>
      <c r="AE588" s="21">
        <v>0.0</v>
      </c>
      <c r="AF588" s="21">
        <v>0.0</v>
      </c>
      <c r="AG588" s="21">
        <v>0.0</v>
      </c>
      <c r="AH588" s="21">
        <v>0.0802</v>
      </c>
      <c r="AI588" s="21">
        <v>0.3362</v>
      </c>
      <c r="AJ588" s="19">
        <v>0.42</v>
      </c>
      <c r="AK588" s="16" t="s">
        <v>2377</v>
      </c>
      <c r="AL588" s="22">
        <f>IFERROR(__xludf.DUMMYFUNCTION("IFERROR(GOOGLEFINANCE(B588,""price""),"""")"),10.48)</f>
        <v>10.48</v>
      </c>
    </row>
    <row r="589">
      <c r="A589" s="7">
        <v>46115.66802387912</v>
      </c>
      <c r="B589" s="8" t="s">
        <v>2378</v>
      </c>
      <c r="C589" s="8" t="s">
        <v>2379</v>
      </c>
      <c r="D589" s="9">
        <v>46117.0</v>
      </c>
      <c r="E589" s="8" t="s">
        <v>2380</v>
      </c>
      <c r="F589" s="10">
        <v>4.18</v>
      </c>
      <c r="G589" s="11">
        <v>3.9801</v>
      </c>
      <c r="H589" s="8" t="s">
        <v>107</v>
      </c>
      <c r="I589" s="12">
        <v>946684.0</v>
      </c>
      <c r="J589" s="11">
        <v>29.0487</v>
      </c>
      <c r="K589" s="13">
        <v>0.2633</v>
      </c>
      <c r="L589" s="13">
        <v>0.46</v>
      </c>
      <c r="M589" s="13">
        <v>735380.3</v>
      </c>
      <c r="N589" s="13">
        <v>1.3302</v>
      </c>
      <c r="O589" s="12">
        <v>1.8334943E8</v>
      </c>
      <c r="P589" s="13">
        <v>69.6762</v>
      </c>
      <c r="Q589" s="13">
        <v>63.0224</v>
      </c>
      <c r="R589" s="11">
        <v>56.9975</v>
      </c>
      <c r="S589" s="13">
        <v>3.9239</v>
      </c>
      <c r="T589" s="13">
        <v>3.9206</v>
      </c>
      <c r="U589" s="13">
        <v>3.9097</v>
      </c>
      <c r="V589" s="13">
        <v>3.8655</v>
      </c>
      <c r="W589" s="13">
        <v>3.852</v>
      </c>
      <c r="X589" s="13">
        <v>3.7949</v>
      </c>
      <c r="Y589" s="13">
        <v>3.8874</v>
      </c>
      <c r="Z589" s="13">
        <v>3.7799</v>
      </c>
      <c r="AA589" s="13">
        <v>4.94</v>
      </c>
      <c r="AB589" s="13">
        <v>0.0</v>
      </c>
      <c r="AC589" s="13">
        <v>-1.1266</v>
      </c>
      <c r="AD589" s="13">
        <v>-27.4025</v>
      </c>
      <c r="AE589" s="13">
        <v>-55.7143</v>
      </c>
      <c r="AF589" s="13">
        <v>-60.6549</v>
      </c>
      <c r="AG589" s="13">
        <v>0.0</v>
      </c>
      <c r="AH589" s="13">
        <v>5.6677</v>
      </c>
      <c r="AI589" s="13">
        <v>0.3406</v>
      </c>
      <c r="AJ589" s="11">
        <v>1.14</v>
      </c>
      <c r="AK589" s="8" t="s">
        <v>1267</v>
      </c>
      <c r="AL589" s="14">
        <f>IFERROR(__xludf.DUMMYFUNCTION("IFERROR(GOOGLEFINANCE(B589,""price""),"""")"),4.11)</f>
        <v>4.11</v>
      </c>
    </row>
    <row r="590">
      <c r="A590" s="15">
        <v>46115.66802387912</v>
      </c>
      <c r="B590" s="16" t="s">
        <v>1576</v>
      </c>
      <c r="C590" s="16" t="s">
        <v>1577</v>
      </c>
      <c r="D590" s="17">
        <v>46117.0</v>
      </c>
      <c r="E590" s="16" t="s">
        <v>1578</v>
      </c>
      <c r="F590" s="18">
        <v>11.95</v>
      </c>
      <c r="G590" s="19">
        <v>-0.0836</v>
      </c>
      <c r="H590" s="16" t="s">
        <v>88</v>
      </c>
      <c r="I590" s="20">
        <v>1046598.0</v>
      </c>
      <c r="J590" s="19">
        <v>40.4879</v>
      </c>
      <c r="K590" s="21">
        <v>0.0228</v>
      </c>
      <c r="L590" s="21">
        <v>0.3332</v>
      </c>
      <c r="M590" s="21">
        <v>743865.4</v>
      </c>
      <c r="N590" s="21">
        <v>1.4187</v>
      </c>
      <c r="O590" s="20">
        <v>1.55755105E9</v>
      </c>
      <c r="P590" s="21">
        <v>81.4286</v>
      </c>
      <c r="Q590" s="21">
        <v>73.1056</v>
      </c>
      <c r="R590" s="19">
        <v>65.1966</v>
      </c>
      <c r="S590" s="21">
        <v>11.9412</v>
      </c>
      <c r="T590" s="21">
        <v>11.923</v>
      </c>
      <c r="U590" s="21">
        <v>11.8901</v>
      </c>
      <c r="V590" s="21">
        <v>11.7885</v>
      </c>
      <c r="W590" s="21">
        <v>11.7434</v>
      </c>
      <c r="X590" s="21">
        <v>11.3797</v>
      </c>
      <c r="Y590" s="21">
        <v>10.7926</v>
      </c>
      <c r="Z590" s="21">
        <v>9.7558</v>
      </c>
      <c r="AA590" s="21">
        <v>11.96</v>
      </c>
      <c r="AB590" s="21">
        <v>0.0</v>
      </c>
      <c r="AC590" s="21">
        <v>-0.1272</v>
      </c>
      <c r="AD590" s="21">
        <v>-6.9547</v>
      </c>
      <c r="AE590" s="21">
        <v>-5.0392</v>
      </c>
      <c r="AF590" s="21">
        <v>17.7352</v>
      </c>
      <c r="AG590" s="21">
        <v>0.0435</v>
      </c>
      <c r="AH590" s="21">
        <v>2.0225</v>
      </c>
      <c r="AI590" s="21">
        <v>0.4274</v>
      </c>
      <c r="AJ590" s="19">
        <v>0.14</v>
      </c>
      <c r="AK590" s="16" t="s">
        <v>2381</v>
      </c>
      <c r="AL590" s="22">
        <f>IFERROR(__xludf.DUMMYFUNCTION("IFERROR(GOOGLEFINANCE(B590,""price""),"""")"),11.94)</f>
        <v>11.94</v>
      </c>
    </row>
    <row r="591">
      <c r="A591" s="7">
        <v>46115.66802387912</v>
      </c>
      <c r="B591" s="8" t="s">
        <v>2382</v>
      </c>
      <c r="C591" s="8" t="s">
        <v>2383</v>
      </c>
      <c r="D591" s="9">
        <v>46117.0</v>
      </c>
      <c r="E591" s="8" t="s">
        <v>2384</v>
      </c>
      <c r="F591" s="10">
        <v>2.62</v>
      </c>
      <c r="G591" s="11">
        <v>7.377</v>
      </c>
      <c r="H591" s="8" t="s">
        <v>308</v>
      </c>
      <c r="I591" s="12">
        <v>5762351.0</v>
      </c>
      <c r="J591" s="11">
        <v>21.6886</v>
      </c>
      <c r="K591" s="13">
        <v>0.2326</v>
      </c>
      <c r="L591" s="13">
        <v>0.4545</v>
      </c>
      <c r="M591" s="8">
        <v>4677042.0</v>
      </c>
      <c r="N591" s="13">
        <v>1.3321</v>
      </c>
      <c r="O591" s="12">
        <v>4.7825742E8</v>
      </c>
      <c r="P591" s="13">
        <v>80.0565</v>
      </c>
      <c r="Q591" s="13">
        <v>53.1226</v>
      </c>
      <c r="R591" s="11">
        <v>62.1717</v>
      </c>
      <c r="S591" s="13">
        <v>2.2455</v>
      </c>
      <c r="T591" s="13">
        <v>2.1912</v>
      </c>
      <c r="U591" s="13">
        <v>2.2315</v>
      </c>
      <c r="V591" s="13">
        <v>2.2915</v>
      </c>
      <c r="W591" s="13">
        <v>2.3082</v>
      </c>
      <c r="X591" s="13">
        <v>2.3779</v>
      </c>
      <c r="Y591" s="13">
        <v>2.2883</v>
      </c>
      <c r="Z591" s="13">
        <v>2.4123</v>
      </c>
      <c r="AA591" s="13">
        <v>4.16</v>
      </c>
      <c r="AB591" s="13">
        <v>0.0</v>
      </c>
      <c r="AC591" s="13">
        <v>-0.0375</v>
      </c>
      <c r="AD591" s="13">
        <v>-27.9094</v>
      </c>
      <c r="AE591" s="13">
        <v>-26.6351</v>
      </c>
      <c r="AF591" s="13">
        <v>3.0181</v>
      </c>
      <c r="AG591" s="13">
        <v>0.0941</v>
      </c>
      <c r="AH591" s="13">
        <v>1.466</v>
      </c>
      <c r="AI591" s="13">
        <v>0.5321</v>
      </c>
      <c r="AJ591" s="11">
        <v>1.02</v>
      </c>
      <c r="AK591" s="8" t="s">
        <v>1283</v>
      </c>
      <c r="AL591" s="14">
        <f>IFERROR(__xludf.DUMMYFUNCTION("IFERROR(GOOGLEFINANCE(B591,""price""),"""")"),2.66)</f>
        <v>2.66</v>
      </c>
    </row>
    <row r="592">
      <c r="A592" s="15">
        <v>46115.66802387912</v>
      </c>
      <c r="B592" s="16" t="s">
        <v>2385</v>
      </c>
      <c r="C592" s="16" t="s">
        <v>2386</v>
      </c>
      <c r="D592" s="17">
        <v>46117.0</v>
      </c>
      <c r="E592" s="16" t="s">
        <v>2387</v>
      </c>
      <c r="F592" s="18">
        <v>14.76</v>
      </c>
      <c r="G592" s="19">
        <v>4.311</v>
      </c>
      <c r="H592" s="16" t="s">
        <v>1119</v>
      </c>
      <c r="I592" s="20">
        <v>1436289.0</v>
      </c>
      <c r="J592" s="19">
        <v>21.9887</v>
      </c>
      <c r="K592" s="21">
        <v>0.371</v>
      </c>
      <c r="L592" s="21">
        <v>0.7076</v>
      </c>
      <c r="M592" s="21">
        <v>905110.2</v>
      </c>
      <c r="N592" s="21">
        <v>1.5952</v>
      </c>
      <c r="O592" s="20">
        <v>1.37853234E9</v>
      </c>
      <c r="P592" s="21">
        <v>38.7436</v>
      </c>
      <c r="Q592" s="21">
        <v>49.8927</v>
      </c>
      <c r="R592" s="19">
        <v>56.8682</v>
      </c>
      <c r="S592" s="21">
        <v>14.5634</v>
      </c>
      <c r="T592" s="21">
        <v>14.489</v>
      </c>
      <c r="U592" s="21">
        <v>14.3137</v>
      </c>
      <c r="V592" s="21">
        <v>14.0901</v>
      </c>
      <c r="W592" s="21">
        <v>14.0302</v>
      </c>
      <c r="X592" s="21">
        <v>13.7601</v>
      </c>
      <c r="Y592" s="21">
        <v>13.6793</v>
      </c>
      <c r="Z592" s="21">
        <v>13.5553</v>
      </c>
      <c r="AA592" s="21">
        <v>15.1199</v>
      </c>
      <c r="AB592" s="21">
        <v>28.9412</v>
      </c>
      <c r="AC592" s="21">
        <v>0.51</v>
      </c>
      <c r="AD592" s="21">
        <v>12.359</v>
      </c>
      <c r="AE592" s="21">
        <v>37.527</v>
      </c>
      <c r="AF592" s="21">
        <v>3.5688</v>
      </c>
      <c r="AG592" s="21">
        <v>0.6466</v>
      </c>
      <c r="AH592" s="21">
        <v>8.6401</v>
      </c>
      <c r="AI592" s="21">
        <v>1.6915</v>
      </c>
      <c r="AJ592" s="19">
        <v>1.05</v>
      </c>
      <c r="AK592" s="24"/>
      <c r="AL592" s="22">
        <f>IFERROR(__xludf.DUMMYFUNCTION("IFERROR(GOOGLEFINANCE(B592,""price""),"""")"),14.5)</f>
        <v>14.5</v>
      </c>
    </row>
    <row r="593">
      <c r="A593" s="7">
        <v>46118.67070286143</v>
      </c>
      <c r="B593" s="8" t="s">
        <v>1526</v>
      </c>
      <c r="C593" s="8" t="s">
        <v>1527</v>
      </c>
      <c r="D593" s="9">
        <v>46124.0</v>
      </c>
      <c r="E593" s="8" t="s">
        <v>1528</v>
      </c>
      <c r="F593" s="10">
        <v>10.51</v>
      </c>
      <c r="G593" s="11">
        <v>0.0</v>
      </c>
      <c r="H593" s="8" t="s">
        <v>93</v>
      </c>
      <c r="I593" s="12">
        <v>314427.0</v>
      </c>
      <c r="J593" s="11">
        <v>23.5605</v>
      </c>
      <c r="K593" s="13">
        <v>0.0234</v>
      </c>
      <c r="L593" s="13">
        <v>0.0352</v>
      </c>
      <c r="M593" s="13">
        <v>49075.7</v>
      </c>
      <c r="N593" s="13">
        <v>5.4705</v>
      </c>
      <c r="O593" s="12">
        <v>3.52265173E8</v>
      </c>
      <c r="P593" s="13">
        <v>87.1671</v>
      </c>
      <c r="Q593" s="13">
        <v>83.1674</v>
      </c>
      <c r="R593" s="11">
        <v>57.658</v>
      </c>
      <c r="S593" s="13">
        <v>10.4997</v>
      </c>
      <c r="T593" s="13">
        <v>10.4845</v>
      </c>
      <c r="U593" s="13">
        <v>10.4694</v>
      </c>
      <c r="V593" s="13">
        <v>10.4516</v>
      </c>
      <c r="W593" s="13">
        <v>10.4462</v>
      </c>
      <c r="X593" s="13">
        <v>10.4116</v>
      </c>
      <c r="Y593" s="13">
        <v>10.3067</v>
      </c>
      <c r="Z593" s="13">
        <v>10.3134</v>
      </c>
      <c r="AA593" s="13">
        <v>10.52</v>
      </c>
      <c r="AB593" s="13">
        <v>62.3739</v>
      </c>
      <c r="AC593" s="13">
        <v>0.1685</v>
      </c>
      <c r="AD593" s="13">
        <v>4.8957</v>
      </c>
      <c r="AE593" s="13">
        <v>0.0</v>
      </c>
      <c r="AF593" s="13">
        <v>0.0</v>
      </c>
      <c r="AG593" s="13">
        <v>0.0</v>
      </c>
      <c r="AH593" s="13">
        <v>0.0618</v>
      </c>
      <c r="AI593" s="13">
        <v>0.2878</v>
      </c>
      <c r="AJ593" s="11">
        <v>1.33</v>
      </c>
      <c r="AK593" s="8" t="s">
        <v>2391</v>
      </c>
      <c r="AL593" s="14">
        <f>IFERROR(__xludf.DUMMYFUNCTION("IFERROR(GOOGLEFINANCE(B593,""price""),"""")"),10.52)</f>
        <v>10.52</v>
      </c>
    </row>
    <row r="594">
      <c r="A594" s="15">
        <v>46118.67070286143</v>
      </c>
      <c r="B594" s="16" t="s">
        <v>2392</v>
      </c>
      <c r="C594" s="16" t="s">
        <v>2393</v>
      </c>
      <c r="D594" s="17">
        <v>46124.0</v>
      </c>
      <c r="E594" s="16" t="s">
        <v>2394</v>
      </c>
      <c r="F594" s="18">
        <v>62.65</v>
      </c>
      <c r="G594" s="19">
        <v>-1.1206</v>
      </c>
      <c r="H594" s="16" t="s">
        <v>270</v>
      </c>
      <c r="I594" s="20">
        <v>4066030.0</v>
      </c>
      <c r="J594" s="19">
        <v>22.145</v>
      </c>
      <c r="K594" s="21">
        <v>1.1746</v>
      </c>
      <c r="L594" s="21">
        <v>2.2428</v>
      </c>
      <c r="M594" s="16">
        <v>3287710.0</v>
      </c>
      <c r="N594" s="21">
        <v>1.2107</v>
      </c>
      <c r="O594" s="20">
        <v>6.5232433E10</v>
      </c>
      <c r="P594" s="21">
        <v>33.9242</v>
      </c>
      <c r="Q594" s="21">
        <v>29.9723</v>
      </c>
      <c r="R594" s="19">
        <v>47.391</v>
      </c>
      <c r="S594" s="21">
        <v>63.0561</v>
      </c>
      <c r="T594" s="21">
        <v>63.1798</v>
      </c>
      <c r="U594" s="21">
        <v>62.6436</v>
      </c>
      <c r="V594" s="21">
        <v>61.7179</v>
      </c>
      <c r="W594" s="21">
        <v>61.4236</v>
      </c>
      <c r="X594" s="21">
        <v>59.6162</v>
      </c>
      <c r="Y594" s="21">
        <v>55.6524</v>
      </c>
      <c r="Z594" s="21">
        <v>54.3849</v>
      </c>
      <c r="AA594" s="21">
        <v>65.57</v>
      </c>
      <c r="AB594" s="21">
        <v>26.3238</v>
      </c>
      <c r="AC594" s="21">
        <v>2.38</v>
      </c>
      <c r="AD594" s="21">
        <v>13.5952</v>
      </c>
      <c r="AE594" s="21">
        <v>44.1752</v>
      </c>
      <c r="AF594" s="21">
        <v>0.5413</v>
      </c>
      <c r="AG594" s="21">
        <v>2.219</v>
      </c>
      <c r="AH594" s="21">
        <v>0.6342</v>
      </c>
      <c r="AI594" s="21">
        <v>0.6584</v>
      </c>
      <c r="AJ594" s="19">
        <v>1.05</v>
      </c>
      <c r="AK594" s="16" t="s">
        <v>1283</v>
      </c>
      <c r="AL594" s="22">
        <f>IFERROR(__xludf.DUMMYFUNCTION("IFERROR(GOOGLEFINANCE(B594,""price""),"""")"),63.83)</f>
        <v>63.83</v>
      </c>
    </row>
    <row r="595">
      <c r="A595" s="7">
        <v>46118.67070286143</v>
      </c>
      <c r="B595" s="8" t="s">
        <v>2300</v>
      </c>
      <c r="C595" s="8" t="s">
        <v>2301</v>
      </c>
      <c r="D595" s="9">
        <v>46124.0</v>
      </c>
      <c r="E595" s="8" t="s">
        <v>2302</v>
      </c>
      <c r="F595" s="10">
        <v>23.96</v>
      </c>
      <c r="G595" s="11">
        <v>0.6723</v>
      </c>
      <c r="H595" s="8" t="s">
        <v>88</v>
      </c>
      <c r="I595" s="12">
        <v>6906726.0</v>
      </c>
      <c r="J595" s="11">
        <v>20.9727</v>
      </c>
      <c r="K595" s="13">
        <v>0.2076</v>
      </c>
      <c r="L595" s="13">
        <v>0.8629</v>
      </c>
      <c r="M595" s="8">
        <v>4988246.0</v>
      </c>
      <c r="N595" s="13">
        <v>1.4748</v>
      </c>
      <c r="O595" s="12">
        <v>7.052700276E9</v>
      </c>
      <c r="P595" s="13">
        <v>91.6722</v>
      </c>
      <c r="Q595" s="13">
        <v>90.9963</v>
      </c>
      <c r="R595" s="11">
        <v>67.1975</v>
      </c>
      <c r="S595" s="13">
        <v>23.6813</v>
      </c>
      <c r="T595" s="13">
        <v>23.5296</v>
      </c>
      <c r="U595" s="13">
        <v>23.4817</v>
      </c>
      <c r="V595" s="13">
        <v>23.3664</v>
      </c>
      <c r="W595" s="13">
        <v>23.3155</v>
      </c>
      <c r="X595" s="13">
        <v>22.9333</v>
      </c>
      <c r="Y595" s="13">
        <v>22.496</v>
      </c>
      <c r="Z595" s="13">
        <v>21.3479</v>
      </c>
      <c r="AA595" s="13">
        <v>25.069</v>
      </c>
      <c r="AB595" s="13">
        <v>0.0</v>
      </c>
      <c r="AC595" s="13">
        <v>-0.1371</v>
      </c>
      <c r="AD595" s="13">
        <v>-2.5819</v>
      </c>
      <c r="AE595" s="13">
        <v>3.8401</v>
      </c>
      <c r="AF595" s="13">
        <v>61.8776</v>
      </c>
      <c r="AG595" s="13">
        <v>0.4255</v>
      </c>
      <c r="AH595" s="13">
        <v>1.8035</v>
      </c>
      <c r="AI595" s="13">
        <v>0.8332</v>
      </c>
      <c r="AJ595" s="11">
        <v>0.48</v>
      </c>
      <c r="AK595" s="8" t="s">
        <v>2395</v>
      </c>
      <c r="AL595" s="14">
        <f>IFERROR(__xludf.DUMMYFUNCTION("IFERROR(GOOGLEFINANCE(B595,""price""),"""")"),24.0)</f>
        <v>24</v>
      </c>
    </row>
    <row r="596">
      <c r="A596" s="15">
        <v>46118.67070286143</v>
      </c>
      <c r="B596" s="16" t="s">
        <v>2396</v>
      </c>
      <c r="C596" s="16" t="s">
        <v>2397</v>
      </c>
      <c r="D596" s="17">
        <v>46124.0</v>
      </c>
      <c r="E596" s="16" t="s">
        <v>2398</v>
      </c>
      <c r="F596" s="18">
        <v>38.91</v>
      </c>
      <c r="G596" s="19">
        <v>0.2577</v>
      </c>
      <c r="H596" s="16" t="s">
        <v>245</v>
      </c>
      <c r="I596" s="20">
        <v>1788112.0</v>
      </c>
      <c r="J596" s="19">
        <v>30.4183</v>
      </c>
      <c r="K596" s="21">
        <v>0.8404</v>
      </c>
      <c r="L596" s="21">
        <v>1.6088</v>
      </c>
      <c r="M596" s="16">
        <v>1247328.0</v>
      </c>
      <c r="N596" s="21">
        <v>1.4816</v>
      </c>
      <c r="O596" s="20">
        <v>5.03507073E9</v>
      </c>
      <c r="P596" s="21">
        <v>39.3331</v>
      </c>
      <c r="Q596" s="21">
        <v>31.6466</v>
      </c>
      <c r="R596" s="19">
        <v>50.3213</v>
      </c>
      <c r="S596" s="21">
        <v>39.0778</v>
      </c>
      <c r="T596" s="21">
        <v>39.064</v>
      </c>
      <c r="U596" s="21">
        <v>38.6273</v>
      </c>
      <c r="V596" s="21">
        <v>38.0604</v>
      </c>
      <c r="W596" s="21">
        <v>37.907</v>
      </c>
      <c r="X596" s="21">
        <v>37.2246</v>
      </c>
      <c r="Y596" s="21">
        <v>36.891</v>
      </c>
      <c r="Z596" s="21">
        <v>36.8696</v>
      </c>
      <c r="AA596" s="21">
        <v>44.14</v>
      </c>
      <c r="AB596" s="21">
        <v>13.6125</v>
      </c>
      <c r="AC596" s="21">
        <v>2.8584</v>
      </c>
      <c r="AD596" s="21">
        <v>64.222</v>
      </c>
      <c r="AE596" s="21">
        <v>62.1785</v>
      </c>
      <c r="AF596" s="21">
        <v>8.4119</v>
      </c>
      <c r="AG596" s="21">
        <v>6.6373</v>
      </c>
      <c r="AH596" s="21">
        <v>0.8466</v>
      </c>
      <c r="AI596" s="21">
        <v>1.1578</v>
      </c>
      <c r="AJ596" s="19">
        <v>1.04</v>
      </c>
      <c r="AK596" s="24"/>
      <c r="AL596" s="22">
        <f>IFERROR(__xludf.DUMMYFUNCTION("IFERROR(GOOGLEFINANCE(B596,""price""),"""")"),39.57)</f>
        <v>39.57</v>
      </c>
    </row>
    <row r="597">
      <c r="A597" s="7">
        <v>46118.67070286143</v>
      </c>
      <c r="B597" s="8" t="s">
        <v>2399</v>
      </c>
      <c r="C597" s="8" t="s">
        <v>2400</v>
      </c>
      <c r="D597" s="9">
        <v>46124.0</v>
      </c>
      <c r="E597" s="8" t="s">
        <v>2401</v>
      </c>
      <c r="F597" s="10">
        <v>18.96</v>
      </c>
      <c r="G597" s="11">
        <v>0.1585</v>
      </c>
      <c r="H597" s="8" t="s">
        <v>270</v>
      </c>
      <c r="I597" s="12">
        <v>2.2009027E7</v>
      </c>
      <c r="J597" s="11">
        <v>20.3591</v>
      </c>
      <c r="K597" s="13">
        <v>0.3757</v>
      </c>
      <c r="L597" s="13">
        <v>0.7205</v>
      </c>
      <c r="M597" s="8">
        <v>1.5869673E7</v>
      </c>
      <c r="N597" s="13">
        <v>1.4282</v>
      </c>
      <c r="O597" s="12">
        <v>6.52282776E10</v>
      </c>
      <c r="P597" s="13">
        <v>28.8422</v>
      </c>
      <c r="Q597" s="13">
        <v>43.1073</v>
      </c>
      <c r="R597" s="11">
        <v>50.8102</v>
      </c>
      <c r="S597" s="13">
        <v>19.1227</v>
      </c>
      <c r="T597" s="13">
        <v>19.0072</v>
      </c>
      <c r="U597" s="13">
        <v>18.8253</v>
      </c>
      <c r="V597" s="13">
        <v>18.5942</v>
      </c>
      <c r="W597" s="13">
        <v>18.5278</v>
      </c>
      <c r="X597" s="13">
        <v>18.1819</v>
      </c>
      <c r="Y597" s="13">
        <v>17.7667</v>
      </c>
      <c r="Z597" s="13">
        <v>17.5213</v>
      </c>
      <c r="AA597" s="13">
        <v>19.855</v>
      </c>
      <c r="AB597" s="13">
        <v>15.6928</v>
      </c>
      <c r="AC597" s="13">
        <v>1.2082</v>
      </c>
      <c r="AD597" s="13">
        <v>12.7475</v>
      </c>
      <c r="AE597" s="13">
        <v>10.8866</v>
      </c>
      <c r="AF597" s="13">
        <v>3.4655</v>
      </c>
      <c r="AG597" s="13">
        <v>2.0395</v>
      </c>
      <c r="AH597" s="13">
        <v>1.2192</v>
      </c>
      <c r="AI597" s="13">
        <v>1.5686</v>
      </c>
      <c r="AJ597" s="11">
        <v>1.04</v>
      </c>
      <c r="AK597" s="23"/>
      <c r="AL597" s="14">
        <f>IFERROR(__xludf.DUMMYFUNCTION("IFERROR(GOOGLEFINANCE(B597,""price""),"""")"),19.19)</f>
        <v>19.19</v>
      </c>
    </row>
    <row r="598">
      <c r="A598" s="7">
        <v>46119.668268584086</v>
      </c>
      <c r="B598" s="8" t="s">
        <v>1301</v>
      </c>
      <c r="C598" s="8" t="s">
        <v>1302</v>
      </c>
      <c r="D598" s="9">
        <v>46124.0</v>
      </c>
      <c r="E598" s="8" t="s">
        <v>1303</v>
      </c>
      <c r="F598" s="10">
        <v>69.69</v>
      </c>
      <c r="G598" s="11">
        <v>2.3198</v>
      </c>
      <c r="H598" s="8" t="s">
        <v>917</v>
      </c>
      <c r="I598" s="12">
        <v>1024829.0</v>
      </c>
      <c r="J598" s="11">
        <v>23.9062</v>
      </c>
      <c r="K598" s="13">
        <v>1.6926</v>
      </c>
      <c r="L598" s="13">
        <v>3.2996</v>
      </c>
      <c r="M598" s="13">
        <v>638638.5</v>
      </c>
      <c r="N598" s="13">
        <v>1.7413</v>
      </c>
      <c r="O598" s="12">
        <v>4.282006097E9</v>
      </c>
      <c r="P598" s="13">
        <v>84.0644</v>
      </c>
      <c r="Q598" s="13">
        <v>72.1151</v>
      </c>
      <c r="R598" s="11">
        <v>63.2515</v>
      </c>
      <c r="S598" s="13">
        <v>67.3487</v>
      </c>
      <c r="T598" s="13">
        <v>67.1528</v>
      </c>
      <c r="U598" s="13">
        <v>67.3401</v>
      </c>
      <c r="V598" s="13">
        <v>67.2963</v>
      </c>
      <c r="W598" s="13">
        <v>67.2296</v>
      </c>
      <c r="X598" s="13">
        <v>66.4062</v>
      </c>
      <c r="Y598" s="13">
        <v>63.2138</v>
      </c>
      <c r="Z598" s="13">
        <v>61.7255</v>
      </c>
      <c r="AA598" s="13">
        <v>72.21</v>
      </c>
      <c r="AB598" s="13">
        <v>23.6783</v>
      </c>
      <c r="AC598" s="13">
        <v>2.9432</v>
      </c>
      <c r="AD598" s="13">
        <v>6.306</v>
      </c>
      <c r="AE598" s="13">
        <v>20.2301</v>
      </c>
      <c r="AF598" s="13">
        <v>6.3849</v>
      </c>
      <c r="AG598" s="13">
        <v>1.1913</v>
      </c>
      <c r="AH598" s="13">
        <v>0.7225</v>
      </c>
      <c r="AI598" s="13">
        <v>0.0122</v>
      </c>
      <c r="AJ598" s="11">
        <v>1.03</v>
      </c>
      <c r="AK598" s="8" t="s">
        <v>1267</v>
      </c>
      <c r="AL598" s="14">
        <f>IFERROR(__xludf.DUMMYFUNCTION("IFERROR(GOOGLEFINANCE(B598,""price""),"""")"),70.61)</f>
        <v>70.61</v>
      </c>
    </row>
    <row r="599">
      <c r="A599" s="15">
        <v>46119.668268584086</v>
      </c>
      <c r="B599" s="16" t="s">
        <v>693</v>
      </c>
      <c r="C599" s="16" t="s">
        <v>694</v>
      </c>
      <c r="D599" s="17">
        <v>46124.0</v>
      </c>
      <c r="E599" s="16" t="s">
        <v>695</v>
      </c>
      <c r="F599" s="18">
        <v>3.17</v>
      </c>
      <c r="G599" s="19">
        <v>4.9669</v>
      </c>
      <c r="H599" s="16" t="s">
        <v>149</v>
      </c>
      <c r="I599" s="20">
        <v>512850.0</v>
      </c>
      <c r="J599" s="19">
        <v>22.0239</v>
      </c>
      <c r="K599" s="21">
        <v>0.131</v>
      </c>
      <c r="L599" s="21">
        <v>0.2903</v>
      </c>
      <c r="M599" s="21">
        <v>296908.3</v>
      </c>
      <c r="N599" s="21">
        <v>1.8393</v>
      </c>
      <c r="O599" s="20">
        <v>2.91524027E8</v>
      </c>
      <c r="P599" s="21">
        <v>46.7515</v>
      </c>
      <c r="Q599" s="21">
        <v>27.4118</v>
      </c>
      <c r="R599" s="19">
        <v>57.3022</v>
      </c>
      <c r="S599" s="21">
        <v>3.0505</v>
      </c>
      <c r="T599" s="21">
        <v>3.0472</v>
      </c>
      <c r="U599" s="21">
        <v>3.0461</v>
      </c>
      <c r="V599" s="21">
        <v>3.0339</v>
      </c>
      <c r="W599" s="21">
        <v>3.0274</v>
      </c>
      <c r="X599" s="21">
        <v>2.9634</v>
      </c>
      <c r="Y599" s="21">
        <v>2.7567</v>
      </c>
      <c r="Z599" s="21">
        <v>2.6888</v>
      </c>
      <c r="AA599" s="21">
        <v>3.68</v>
      </c>
      <c r="AB599" s="21">
        <v>0.0</v>
      </c>
      <c r="AC599" s="21">
        <v>-0.8614</v>
      </c>
      <c r="AD599" s="21">
        <v>-77.8291</v>
      </c>
      <c r="AE599" s="21">
        <v>0.1211</v>
      </c>
      <c r="AF599" s="21">
        <v>-20.6699</v>
      </c>
      <c r="AG599" s="21">
        <v>3.8532</v>
      </c>
      <c r="AH599" s="21">
        <v>1.5105</v>
      </c>
      <c r="AI599" s="21">
        <v>0.1374</v>
      </c>
      <c r="AJ599" s="19">
        <v>0.9</v>
      </c>
      <c r="AK599" s="16" t="s">
        <v>1267</v>
      </c>
      <c r="AL599" s="22">
        <f>IFERROR(__xludf.DUMMYFUNCTION("IFERROR(GOOGLEFINANCE(B599,""price""),"""")"),3.21)</f>
        <v>3.21</v>
      </c>
    </row>
    <row r="600">
      <c r="A600" s="7">
        <v>46119.668268584086</v>
      </c>
      <c r="B600" s="8" t="s">
        <v>2402</v>
      </c>
      <c r="C600" s="8" t="s">
        <v>2403</v>
      </c>
      <c r="D600" s="9">
        <v>46124.0</v>
      </c>
      <c r="E600" s="8" t="s">
        <v>2404</v>
      </c>
      <c r="F600" s="10">
        <v>8.63</v>
      </c>
      <c r="G600" s="11">
        <v>1.0539</v>
      </c>
      <c r="H600" s="8" t="s">
        <v>93</v>
      </c>
      <c r="I600" s="12">
        <v>3776264.0</v>
      </c>
      <c r="J600" s="11">
        <v>23.1096</v>
      </c>
      <c r="K600" s="13">
        <v>0.2296</v>
      </c>
      <c r="L600" s="13">
        <v>0.4428</v>
      </c>
      <c r="M600" s="8">
        <v>3127580.0</v>
      </c>
      <c r="N600" s="13">
        <v>1.2085</v>
      </c>
      <c r="O600" s="12">
        <v>3.345083377E9</v>
      </c>
      <c r="P600" s="13">
        <v>95.2865</v>
      </c>
      <c r="Q600" s="13">
        <v>84.9946</v>
      </c>
      <c r="R600" s="11">
        <v>61.7791</v>
      </c>
      <c r="S600" s="13">
        <v>8.3429</v>
      </c>
      <c r="T600" s="13">
        <v>8.2783</v>
      </c>
      <c r="U600" s="13">
        <v>8.3275</v>
      </c>
      <c r="V600" s="13">
        <v>8.3887</v>
      </c>
      <c r="W600" s="13">
        <v>8.404</v>
      </c>
      <c r="X600" s="13">
        <v>8.4548</v>
      </c>
      <c r="Y600" s="13">
        <v>8.2834</v>
      </c>
      <c r="Z600" s="13">
        <v>8.4563</v>
      </c>
      <c r="AA600" s="13">
        <v>9.28</v>
      </c>
      <c r="AB600" s="13">
        <v>16.1128</v>
      </c>
      <c r="AC600" s="13">
        <v>0.5356</v>
      </c>
      <c r="AD600" s="13">
        <v>2.5748</v>
      </c>
      <c r="AE600" s="13">
        <v>7.7452</v>
      </c>
      <c r="AF600" s="13">
        <v>-2.376</v>
      </c>
      <c r="AG600" s="13">
        <v>0.1781</v>
      </c>
      <c r="AH600" s="13">
        <v>0.0</v>
      </c>
      <c r="AI600" s="13">
        <v>0.1793</v>
      </c>
      <c r="AJ600" s="11">
        <v>1.04</v>
      </c>
      <c r="AK600" s="8" t="s">
        <v>1267</v>
      </c>
      <c r="AL600" s="14">
        <f>IFERROR(__xludf.DUMMYFUNCTION("IFERROR(GOOGLEFINANCE(B600,""price""),"""")"),8.75)</f>
        <v>8.75</v>
      </c>
    </row>
    <row r="601">
      <c r="A601" s="15">
        <v>46119.668268584086</v>
      </c>
      <c r="B601" s="16" t="s">
        <v>2405</v>
      </c>
      <c r="C601" s="16" t="s">
        <v>2406</v>
      </c>
      <c r="D601" s="17">
        <v>46124.0</v>
      </c>
      <c r="E601" s="16" t="s">
        <v>2407</v>
      </c>
      <c r="F601" s="18">
        <v>3.74</v>
      </c>
      <c r="G601" s="19">
        <v>-3.1088</v>
      </c>
      <c r="H601" s="16" t="s">
        <v>93</v>
      </c>
      <c r="I601" s="20">
        <v>798135.0</v>
      </c>
      <c r="J601" s="19">
        <v>21.1589</v>
      </c>
      <c r="K601" s="21">
        <v>0.2058</v>
      </c>
      <c r="L601" s="21">
        <v>0.5702</v>
      </c>
      <c r="M601" s="21">
        <v>499106.1</v>
      </c>
      <c r="N601" s="21">
        <v>1.8405</v>
      </c>
      <c r="O601" s="20">
        <v>7.038823E8</v>
      </c>
      <c r="P601" s="21">
        <v>80.4466</v>
      </c>
      <c r="Q601" s="21">
        <v>67.6107</v>
      </c>
      <c r="R601" s="19">
        <v>54.828</v>
      </c>
      <c r="S601" s="21">
        <v>3.6663</v>
      </c>
      <c r="T601" s="21">
        <v>3.6387</v>
      </c>
      <c r="U601" s="21">
        <v>3.6569</v>
      </c>
      <c r="V601" s="21">
        <v>3.6772</v>
      </c>
      <c r="W601" s="21">
        <v>3.6805</v>
      </c>
      <c r="X601" s="21">
        <v>3.6653</v>
      </c>
      <c r="Y601" s="21">
        <v>3.4742</v>
      </c>
      <c r="Z601" s="21">
        <v>3.6058</v>
      </c>
      <c r="AA601" s="21">
        <v>5.09</v>
      </c>
      <c r="AB601" s="21">
        <v>0.0</v>
      </c>
      <c r="AC601" s="21">
        <v>-0.0262</v>
      </c>
      <c r="AD601" s="21">
        <v>-3.6782</v>
      </c>
      <c r="AE601" s="21">
        <v>-114.6773</v>
      </c>
      <c r="AF601" s="21">
        <v>181.4123</v>
      </c>
      <c r="AG601" s="21">
        <v>0.0055</v>
      </c>
      <c r="AH601" s="21">
        <v>2.1734</v>
      </c>
      <c r="AI601" s="21">
        <v>0.2503</v>
      </c>
      <c r="AJ601" s="19">
        <v>0.72</v>
      </c>
      <c r="AK601" s="16" t="s">
        <v>2408</v>
      </c>
      <c r="AL601" s="22">
        <f>IFERROR(__xludf.DUMMYFUNCTION("IFERROR(GOOGLEFINANCE(B601,""price""),"""")"),3.28)</f>
        <v>3.28</v>
      </c>
    </row>
    <row r="602">
      <c r="A602" s="7">
        <v>46119.668268584086</v>
      </c>
      <c r="B602" s="8" t="s">
        <v>1750</v>
      </c>
      <c r="C602" s="8" t="s">
        <v>1751</v>
      </c>
      <c r="D602" s="9">
        <v>46124.0</v>
      </c>
      <c r="E602" s="8" t="s">
        <v>1752</v>
      </c>
      <c r="F602" s="10">
        <v>15.8</v>
      </c>
      <c r="G602" s="11">
        <v>-0.0633</v>
      </c>
      <c r="H602" s="8" t="s">
        <v>186</v>
      </c>
      <c r="I602" s="12">
        <v>563159.0</v>
      </c>
      <c r="J602" s="11">
        <v>37.3045</v>
      </c>
      <c r="K602" s="13">
        <v>0.0461</v>
      </c>
      <c r="L602" s="13">
        <v>0.2398</v>
      </c>
      <c r="M602" s="13">
        <v>330552.4</v>
      </c>
      <c r="N602" s="13">
        <v>1.8095</v>
      </c>
      <c r="O602" s="12">
        <v>4.7616038E8</v>
      </c>
      <c r="P602" s="13">
        <v>46.6667</v>
      </c>
      <c r="Q602" s="13">
        <v>46.0317</v>
      </c>
      <c r="R602" s="11">
        <v>55.6896</v>
      </c>
      <c r="S602" s="13">
        <v>15.8051</v>
      </c>
      <c r="T602" s="13">
        <v>15.7856</v>
      </c>
      <c r="U602" s="13">
        <v>15.7459</v>
      </c>
      <c r="V602" s="13">
        <v>15.681</v>
      </c>
      <c r="W602" s="13">
        <v>15.6565</v>
      </c>
      <c r="X602" s="13">
        <v>15.4483</v>
      </c>
      <c r="Y602" s="13">
        <v>15.0616</v>
      </c>
      <c r="Z602" s="13">
        <v>14.2061</v>
      </c>
      <c r="AA602" s="13">
        <v>15.9</v>
      </c>
      <c r="AB602" s="13">
        <v>14.5368</v>
      </c>
      <c r="AC602" s="13">
        <v>1.0869</v>
      </c>
      <c r="AD602" s="13">
        <v>22.0766</v>
      </c>
      <c r="AE602" s="13">
        <v>-3.6678</v>
      </c>
      <c r="AF602" s="13">
        <v>-8.6164</v>
      </c>
      <c r="AG602" s="13">
        <v>1.3444</v>
      </c>
      <c r="AH602" s="13">
        <v>2.5054</v>
      </c>
      <c r="AI602" s="13">
        <v>0.375</v>
      </c>
      <c r="AJ602" s="11">
        <v>0.38</v>
      </c>
      <c r="AK602" s="8" t="s">
        <v>2409</v>
      </c>
      <c r="AL602" s="14">
        <f>IFERROR(__xludf.DUMMYFUNCTION("IFERROR(GOOGLEFINANCE(B602,""price""),"""")"),15.82)</f>
        <v>15.82</v>
      </c>
    </row>
    <row r="603">
      <c r="A603" s="15">
        <v>46119.668268584086</v>
      </c>
      <c r="B603" s="16" t="s">
        <v>1521</v>
      </c>
      <c r="C603" s="16" t="s">
        <v>1522</v>
      </c>
      <c r="D603" s="17">
        <v>46124.0</v>
      </c>
      <c r="E603" s="16" t="s">
        <v>1523</v>
      </c>
      <c r="F603" s="18">
        <v>10.53</v>
      </c>
      <c r="G603" s="19">
        <v>0.2857</v>
      </c>
      <c r="H603" s="16" t="s">
        <v>93</v>
      </c>
      <c r="I603" s="20">
        <v>772742.0</v>
      </c>
      <c r="J603" s="19">
        <v>30.9325</v>
      </c>
      <c r="K603" s="21">
        <v>0.032</v>
      </c>
      <c r="L603" s="21">
        <v>0.1312</v>
      </c>
      <c r="M603" s="21">
        <v>299614.3</v>
      </c>
      <c r="N603" s="21">
        <v>3.3325</v>
      </c>
      <c r="O603" s="20">
        <v>2.37627008E8</v>
      </c>
      <c r="P603" s="21">
        <v>87.5458</v>
      </c>
      <c r="Q603" s="21">
        <v>87.9121</v>
      </c>
      <c r="R603" s="19">
        <v>76.2411</v>
      </c>
      <c r="S603" s="21">
        <v>10.485</v>
      </c>
      <c r="T603" s="21">
        <v>10.4582</v>
      </c>
      <c r="U603" s="21">
        <v>10.4386</v>
      </c>
      <c r="V603" s="21">
        <v>10.4223</v>
      </c>
      <c r="W603" s="21">
        <v>10.419</v>
      </c>
      <c r="X603" s="21">
        <v>10.4081</v>
      </c>
      <c r="Y603" s="21">
        <v>10.3317</v>
      </c>
      <c r="Z603" s="21">
        <v>10.4879</v>
      </c>
      <c r="AA603" s="21">
        <v>15.24</v>
      </c>
      <c r="AB603" s="21">
        <v>0.0</v>
      </c>
      <c r="AC603" s="21">
        <v>-0.7281</v>
      </c>
      <c r="AD603" s="21">
        <v>-8.6452</v>
      </c>
      <c r="AE603" s="21">
        <v>0.0</v>
      </c>
      <c r="AF603" s="21">
        <v>0.0</v>
      </c>
      <c r="AG603" s="21">
        <v>0.0</v>
      </c>
      <c r="AH603" s="21">
        <v>0.0802</v>
      </c>
      <c r="AI603" s="21">
        <v>0.4409</v>
      </c>
      <c r="AJ603" s="19">
        <v>0.49</v>
      </c>
      <c r="AK603" s="16" t="s">
        <v>2410</v>
      </c>
      <c r="AL603" s="22">
        <f>IFERROR(__xludf.DUMMYFUNCTION("IFERROR(GOOGLEFINANCE(B603,""price""),"""")"),10.48)</f>
        <v>10.48</v>
      </c>
    </row>
    <row r="604">
      <c r="A604" s="7">
        <v>46119.668268584086</v>
      </c>
      <c r="B604" s="8" t="s">
        <v>2411</v>
      </c>
      <c r="C604" s="8" t="s">
        <v>2412</v>
      </c>
      <c r="D604" s="9">
        <v>46124.0</v>
      </c>
      <c r="E604" s="8" t="s">
        <v>2413</v>
      </c>
      <c r="F604" s="10">
        <v>21.66</v>
      </c>
      <c r="G604" s="11">
        <v>16.015</v>
      </c>
      <c r="H604" s="8" t="s">
        <v>190</v>
      </c>
      <c r="I604" s="12">
        <v>1.4926855E7</v>
      </c>
      <c r="J604" s="11">
        <v>29.7081</v>
      </c>
      <c r="K604" s="13">
        <v>0.9929</v>
      </c>
      <c r="L604" s="13">
        <v>2.0066</v>
      </c>
      <c r="M604" s="8">
        <v>3800955.0</v>
      </c>
      <c r="N604" s="13">
        <v>5.5902</v>
      </c>
      <c r="O604" s="12">
        <v>4.425062068E9</v>
      </c>
      <c r="P604" s="13">
        <v>92.0467</v>
      </c>
      <c r="Q604" s="13">
        <v>81.1109</v>
      </c>
      <c r="R604" s="11">
        <v>70.8894</v>
      </c>
      <c r="S604" s="13">
        <v>18.758</v>
      </c>
      <c r="T604" s="13">
        <v>18.3706</v>
      </c>
      <c r="U604" s="13">
        <v>18.6509</v>
      </c>
      <c r="V604" s="13">
        <v>18.9265</v>
      </c>
      <c r="W604" s="13">
        <v>18.9757</v>
      </c>
      <c r="X604" s="13">
        <v>18.9858</v>
      </c>
      <c r="Y604" s="13">
        <v>17.8932</v>
      </c>
      <c r="Z604" s="13">
        <v>17.4906</v>
      </c>
      <c r="AA604" s="13">
        <v>23.87</v>
      </c>
      <c r="AB604" s="13">
        <v>0.0</v>
      </c>
      <c r="AC604" s="13">
        <v>-0.0092</v>
      </c>
      <c r="AD604" s="13">
        <v>-0.5188</v>
      </c>
      <c r="AE604" s="13">
        <v>0.3736</v>
      </c>
      <c r="AF604" s="13">
        <v>46.0562</v>
      </c>
      <c r="AG604" s="13">
        <v>1.8857</v>
      </c>
      <c r="AH604" s="13">
        <v>1.7088</v>
      </c>
      <c r="AI604" s="13">
        <v>0.4948</v>
      </c>
      <c r="AJ604" s="11">
        <v>0.99</v>
      </c>
      <c r="AK604" s="8" t="s">
        <v>2414</v>
      </c>
      <c r="AL604" s="14">
        <f>IFERROR(__xludf.DUMMYFUNCTION("IFERROR(GOOGLEFINANCE(B604,""price""),"""")"),20.5)</f>
        <v>20.5</v>
      </c>
    </row>
    <row r="605">
      <c r="A605" s="15">
        <v>46119.668268584086</v>
      </c>
      <c r="B605" s="16" t="s">
        <v>1313</v>
      </c>
      <c r="C605" s="16" t="s">
        <v>1314</v>
      </c>
      <c r="D605" s="17">
        <v>46124.0</v>
      </c>
      <c r="E605" s="16" t="s">
        <v>1315</v>
      </c>
      <c r="F605" s="18">
        <v>62.53</v>
      </c>
      <c r="G605" s="19">
        <v>0.1923</v>
      </c>
      <c r="H605" s="16" t="s">
        <v>129</v>
      </c>
      <c r="I605" s="20">
        <v>953647.0</v>
      </c>
      <c r="J605" s="19">
        <v>22.8363</v>
      </c>
      <c r="K605" s="21">
        <v>1.7416</v>
      </c>
      <c r="L605" s="21">
        <v>3.618</v>
      </c>
      <c r="M605" s="21">
        <v>753892.9</v>
      </c>
      <c r="N605" s="21">
        <v>1.2478</v>
      </c>
      <c r="O605" s="20">
        <v>5.118891404E9</v>
      </c>
      <c r="P605" s="21">
        <v>82.8244</v>
      </c>
      <c r="Q605" s="21">
        <v>85.167</v>
      </c>
      <c r="R605" s="19">
        <v>54.4535</v>
      </c>
      <c r="S605" s="21">
        <v>61.7007</v>
      </c>
      <c r="T605" s="21">
        <v>61.4347</v>
      </c>
      <c r="U605" s="21">
        <v>61.1802</v>
      </c>
      <c r="V605" s="21">
        <v>60.366</v>
      </c>
      <c r="W605" s="21">
        <v>60.073</v>
      </c>
      <c r="X605" s="21">
        <v>58.2559</v>
      </c>
      <c r="Y605" s="21">
        <v>55.2444</v>
      </c>
      <c r="Z605" s="21">
        <v>54.1628</v>
      </c>
      <c r="AA605" s="21">
        <v>68.29</v>
      </c>
      <c r="AB605" s="21">
        <v>25.6071</v>
      </c>
      <c r="AC605" s="21">
        <v>2.4419</v>
      </c>
      <c r="AD605" s="21">
        <v>4.2423</v>
      </c>
      <c r="AE605" s="21">
        <v>2.6633</v>
      </c>
      <c r="AF605" s="21">
        <v>2.9649</v>
      </c>
      <c r="AG605" s="21">
        <v>0.6414</v>
      </c>
      <c r="AH605" s="21">
        <v>2.0668</v>
      </c>
      <c r="AI605" s="21">
        <v>0.8323</v>
      </c>
      <c r="AJ605" s="19">
        <v>0.96</v>
      </c>
      <c r="AK605" s="16" t="s">
        <v>1283</v>
      </c>
      <c r="AL605" s="22">
        <f>IFERROR(__xludf.DUMMYFUNCTION("IFERROR(GOOGLEFINANCE(B605,""price""),"""")"),67.03)</f>
        <v>67.03</v>
      </c>
    </row>
    <row r="606">
      <c r="A606" s="7">
        <v>46119.668268584086</v>
      </c>
      <c r="B606" s="8" t="s">
        <v>2415</v>
      </c>
      <c r="C606" s="8" t="s">
        <v>2416</v>
      </c>
      <c r="D606" s="9">
        <v>46124.0</v>
      </c>
      <c r="E606" s="8" t="s">
        <v>2417</v>
      </c>
      <c r="F606" s="10">
        <v>12.13</v>
      </c>
      <c r="G606" s="11">
        <v>59.3089</v>
      </c>
      <c r="H606" s="8" t="s">
        <v>88</v>
      </c>
      <c r="I606" s="12">
        <v>1053169.0</v>
      </c>
      <c r="J606" s="11">
        <v>30.2605</v>
      </c>
      <c r="K606" s="13">
        <v>1.7887</v>
      </c>
      <c r="L606" s="13">
        <v>3.6508</v>
      </c>
      <c r="M606" s="13">
        <v>168176.551</v>
      </c>
      <c r="N606" s="13">
        <v>15.4213</v>
      </c>
      <c r="O606" s="12">
        <v>1.0797817E7</v>
      </c>
      <c r="P606" s="13">
        <v>23.5607</v>
      </c>
      <c r="Q606" s="13">
        <v>13.0561</v>
      </c>
      <c r="R606" s="11">
        <v>57.6935</v>
      </c>
      <c r="S606" s="13">
        <v>10.0736</v>
      </c>
      <c r="T606" s="13">
        <v>10.1229</v>
      </c>
      <c r="U606" s="13">
        <v>9.9134</v>
      </c>
      <c r="V606" s="13">
        <v>9.5686</v>
      </c>
      <c r="W606" s="13">
        <v>9.4585</v>
      </c>
      <c r="X606" s="13">
        <v>8.8494</v>
      </c>
      <c r="Y606" s="13">
        <v>10.1522</v>
      </c>
      <c r="Z606" s="13">
        <v>6.712</v>
      </c>
      <c r="AA606" s="13">
        <v>25.6775</v>
      </c>
      <c r="AB606" s="13">
        <v>0.0</v>
      </c>
      <c r="AC606" s="13">
        <v>-16.8552</v>
      </c>
      <c r="AD606" s="13">
        <v>-398.7836</v>
      </c>
      <c r="AE606" s="13">
        <v>-3156.2</v>
      </c>
      <c r="AF606" s="13">
        <v>-44.5676</v>
      </c>
      <c r="AG606" s="13">
        <v>0.0</v>
      </c>
      <c r="AH606" s="13">
        <v>0.7021</v>
      </c>
      <c r="AI606" s="13">
        <v>1.3204</v>
      </c>
      <c r="AJ606" s="11">
        <v>0.98</v>
      </c>
      <c r="AK606" s="8" t="s">
        <v>2418</v>
      </c>
      <c r="AL606" s="14">
        <f>IFERROR(__xludf.DUMMYFUNCTION("IFERROR(GOOGLEFINANCE(B606,""price""),"""")"),10.9)</f>
        <v>10.9</v>
      </c>
    </row>
    <row r="607">
      <c r="A607" s="15">
        <v>46119.668268584086</v>
      </c>
      <c r="B607" s="16" t="s">
        <v>1086</v>
      </c>
      <c r="C607" s="16" t="s">
        <v>1087</v>
      </c>
      <c r="D607" s="17">
        <v>46124.0</v>
      </c>
      <c r="E607" s="16" t="s">
        <v>1088</v>
      </c>
      <c r="F607" s="18">
        <v>18.16</v>
      </c>
      <c r="G607" s="19">
        <v>0.1103</v>
      </c>
      <c r="H607" s="16" t="s">
        <v>93</v>
      </c>
      <c r="I607" s="20">
        <v>1038754.0</v>
      </c>
      <c r="J607" s="19">
        <v>20.8268</v>
      </c>
      <c r="K607" s="21">
        <v>0.3801</v>
      </c>
      <c r="L607" s="21">
        <v>0.8465</v>
      </c>
      <c r="M607" s="21">
        <v>735107.3</v>
      </c>
      <c r="N607" s="21">
        <v>1.4063</v>
      </c>
      <c r="O607" s="20">
        <v>1.854920933E9</v>
      </c>
      <c r="P607" s="21">
        <v>94.9838</v>
      </c>
      <c r="Q607" s="21">
        <v>93.374</v>
      </c>
      <c r="R607" s="19">
        <v>66.8865</v>
      </c>
      <c r="S607" s="21">
        <v>17.7587</v>
      </c>
      <c r="T607" s="21">
        <v>17.5112</v>
      </c>
      <c r="U607" s="21">
        <v>17.5022</v>
      </c>
      <c r="V607" s="21">
        <v>17.4868</v>
      </c>
      <c r="W607" s="21">
        <v>17.4757</v>
      </c>
      <c r="X607" s="21">
        <v>17.365</v>
      </c>
      <c r="Y607" s="21">
        <v>17.0165</v>
      </c>
      <c r="Z607" s="21">
        <v>17.0023</v>
      </c>
      <c r="AA607" s="21">
        <v>19.08</v>
      </c>
      <c r="AB607" s="21">
        <v>12.3546</v>
      </c>
      <c r="AC607" s="21">
        <v>1.4699</v>
      </c>
      <c r="AD607" s="21">
        <v>10.2923</v>
      </c>
      <c r="AE607" s="21">
        <v>38.0428</v>
      </c>
      <c r="AF607" s="21">
        <v>4.5443</v>
      </c>
      <c r="AG607" s="21">
        <v>0.291</v>
      </c>
      <c r="AH607" s="21">
        <v>0.0292</v>
      </c>
      <c r="AI607" s="21">
        <v>1.4122</v>
      </c>
      <c r="AJ607" s="19">
        <v>0.9</v>
      </c>
      <c r="AK607" s="24"/>
      <c r="AL607" s="22">
        <f>IFERROR(__xludf.DUMMYFUNCTION("IFERROR(GOOGLEFINANCE(B607,""price""),"""")"),18.73)</f>
        <v>18.73</v>
      </c>
    </row>
    <row r="608">
      <c r="A608" s="7">
        <v>46119.668268584086</v>
      </c>
      <c r="B608" s="8" t="s">
        <v>2419</v>
      </c>
      <c r="C608" s="8" t="s">
        <v>2420</v>
      </c>
      <c r="D608" s="9">
        <v>46124.0</v>
      </c>
      <c r="E608" s="8" t="s">
        <v>2421</v>
      </c>
      <c r="F608" s="10">
        <v>508.52</v>
      </c>
      <c r="G608" s="11">
        <v>2.5242</v>
      </c>
      <c r="H608" s="8" t="s">
        <v>186</v>
      </c>
      <c r="I608" s="12">
        <v>329411.0</v>
      </c>
      <c r="J608" s="11">
        <v>23.0879</v>
      </c>
      <c r="K608" s="13">
        <v>18.8275</v>
      </c>
      <c r="L608" s="13">
        <v>41.0206</v>
      </c>
      <c r="M608" s="13">
        <v>275545.9</v>
      </c>
      <c r="N608" s="13">
        <v>1.2309</v>
      </c>
      <c r="O608" s="12">
        <v>1.4522333846E10</v>
      </c>
      <c r="P608" s="13">
        <v>93.0967</v>
      </c>
      <c r="Q608" s="13">
        <v>93.5445</v>
      </c>
      <c r="R608" s="11">
        <v>64.6381</v>
      </c>
      <c r="S608" s="13">
        <v>486.6864</v>
      </c>
      <c r="T608" s="13">
        <v>475.2413</v>
      </c>
      <c r="U608" s="13">
        <v>478.9916</v>
      </c>
      <c r="V608" s="13">
        <v>488.4265</v>
      </c>
      <c r="W608" s="13">
        <v>491.1968</v>
      </c>
      <c r="X608" s="13">
        <v>502.1894</v>
      </c>
      <c r="Y608" s="13">
        <v>485.4398</v>
      </c>
      <c r="Z608" s="13">
        <v>498.3661</v>
      </c>
      <c r="AA608" s="13">
        <v>628.9155</v>
      </c>
      <c r="AB608" s="13">
        <v>33.2525</v>
      </c>
      <c r="AC608" s="13">
        <v>15.2927</v>
      </c>
      <c r="AD608" s="13">
        <v>70.2347</v>
      </c>
      <c r="AE608" s="13">
        <v>21.1417</v>
      </c>
      <c r="AF608" s="13">
        <v>19.9701</v>
      </c>
      <c r="AG608" s="13">
        <v>0.2981</v>
      </c>
      <c r="AH608" s="13">
        <v>0.7365</v>
      </c>
      <c r="AI608" s="13">
        <v>1.5132</v>
      </c>
      <c r="AJ608" s="11">
        <v>0.92</v>
      </c>
      <c r="AK608" s="23"/>
      <c r="AL608" s="14">
        <f>IFERROR(__xludf.DUMMYFUNCTION("IFERROR(GOOGLEFINANCE(B608,""price""),"""")"),493.53)</f>
        <v>493.53</v>
      </c>
    </row>
    <row r="609">
      <c r="A609" s="15">
        <v>46119.668268584086</v>
      </c>
      <c r="B609" s="16" t="s">
        <v>2422</v>
      </c>
      <c r="C609" s="16" t="s">
        <v>2423</v>
      </c>
      <c r="D609" s="17">
        <v>46124.0</v>
      </c>
      <c r="E609" s="16" t="s">
        <v>2424</v>
      </c>
      <c r="F609" s="18">
        <v>32.13</v>
      </c>
      <c r="G609" s="19">
        <v>-0.2484</v>
      </c>
      <c r="H609" s="16" t="s">
        <v>102</v>
      </c>
      <c r="I609" s="20">
        <v>861900.0</v>
      </c>
      <c r="J609" s="19">
        <v>21.8641</v>
      </c>
      <c r="K609" s="21">
        <v>0.9114</v>
      </c>
      <c r="L609" s="21">
        <v>1.9926</v>
      </c>
      <c r="M609" s="21">
        <v>597949.1</v>
      </c>
      <c r="N609" s="21">
        <v>1.5279</v>
      </c>
      <c r="O609" s="20">
        <v>2.565250184E9</v>
      </c>
      <c r="P609" s="21">
        <v>75.641</v>
      </c>
      <c r="Q609" s="21">
        <v>83.2351</v>
      </c>
      <c r="R609" s="19">
        <v>53.8035</v>
      </c>
      <c r="S609" s="21">
        <v>32.057</v>
      </c>
      <c r="T609" s="21">
        <v>31.73</v>
      </c>
      <c r="U609" s="21">
        <v>31.5585</v>
      </c>
      <c r="V609" s="21">
        <v>31.2117</v>
      </c>
      <c r="W609" s="21">
        <v>31.0937</v>
      </c>
      <c r="X609" s="21">
        <v>30.3752</v>
      </c>
      <c r="Y609" s="21">
        <v>29.4448</v>
      </c>
      <c r="Z609" s="21">
        <v>28.4666</v>
      </c>
      <c r="AA609" s="21">
        <v>35.62</v>
      </c>
      <c r="AB609" s="21">
        <v>10.4152</v>
      </c>
      <c r="AC609" s="21">
        <v>3.0849</v>
      </c>
      <c r="AD609" s="21">
        <v>24.3715</v>
      </c>
      <c r="AE609" s="21">
        <v>16.737</v>
      </c>
      <c r="AF609" s="21">
        <v>-29.9526</v>
      </c>
      <c r="AG609" s="21">
        <v>5.1515</v>
      </c>
      <c r="AH609" s="21">
        <v>0.7255</v>
      </c>
      <c r="AI609" s="21">
        <v>1.5512</v>
      </c>
      <c r="AJ609" s="19">
        <v>0.91</v>
      </c>
      <c r="AK609" s="24"/>
      <c r="AL609" s="22">
        <f>IFERROR(__xludf.DUMMYFUNCTION("IFERROR(GOOGLEFINANCE(B609,""price""),"""")"),34.6)</f>
        <v>34.6</v>
      </c>
    </row>
    <row r="610">
      <c r="A610" s="7">
        <v>46120.668275893935</v>
      </c>
      <c r="B610" s="8" t="s">
        <v>1295</v>
      </c>
      <c r="C610" s="8" t="s">
        <v>1296</v>
      </c>
      <c r="D610" s="9">
        <v>46124.0</v>
      </c>
      <c r="E610" s="8" t="s">
        <v>1297</v>
      </c>
      <c r="F610" s="10">
        <v>169.47</v>
      </c>
      <c r="G610" s="11">
        <v>2.4669</v>
      </c>
      <c r="H610" s="8" t="s">
        <v>93</v>
      </c>
      <c r="I610" s="12">
        <v>1927192.0</v>
      </c>
      <c r="J610" s="11">
        <v>20.5695</v>
      </c>
      <c r="K610" s="13">
        <v>2.9291</v>
      </c>
      <c r="L610" s="13">
        <v>5.729</v>
      </c>
      <c r="M610" s="8">
        <v>1358201.0</v>
      </c>
      <c r="N610" s="13">
        <v>1.4839</v>
      </c>
      <c r="O610" s="12">
        <v>2.36683479183E11</v>
      </c>
      <c r="P610" s="13">
        <v>94.1996</v>
      </c>
      <c r="Q610" s="13">
        <v>87.3996</v>
      </c>
      <c r="R610" s="11">
        <v>62.8685</v>
      </c>
      <c r="S610" s="13">
        <v>164.4372</v>
      </c>
      <c r="T610" s="13">
        <v>163.7346</v>
      </c>
      <c r="U610" s="13">
        <v>164.374</v>
      </c>
      <c r="V610" s="13">
        <v>164.6391</v>
      </c>
      <c r="W610" s="13">
        <v>164.5703</v>
      </c>
      <c r="X610" s="13">
        <v>162.8338</v>
      </c>
      <c r="Y610" s="13">
        <v>153.4547</v>
      </c>
      <c r="Z610" s="13">
        <v>152.2879</v>
      </c>
      <c r="AA610" s="13">
        <v>176.19</v>
      </c>
      <c r="AB610" s="13">
        <v>15.8579</v>
      </c>
      <c r="AC610" s="13">
        <v>10.6868</v>
      </c>
      <c r="AD610" s="13">
        <v>15.3989</v>
      </c>
      <c r="AE610" s="13">
        <v>37.9241</v>
      </c>
      <c r="AF610" s="13">
        <v>7.1151</v>
      </c>
      <c r="AG610" s="13">
        <v>2.5924</v>
      </c>
      <c r="AH610" s="13">
        <v>0.6386</v>
      </c>
      <c r="AI610" s="13">
        <v>0.0373</v>
      </c>
      <c r="AJ610" s="11">
        <v>1.02</v>
      </c>
      <c r="AK610" s="8" t="s">
        <v>1267</v>
      </c>
      <c r="AL610" s="14">
        <f>IFERROR(__xludf.DUMMYFUNCTION("IFERROR(GOOGLEFINANCE(B610,""price""),"""")"),171.91)</f>
        <v>171.91</v>
      </c>
    </row>
    <row r="611">
      <c r="A611" s="15">
        <v>46120.668275893935</v>
      </c>
      <c r="B611" s="16" t="s">
        <v>2425</v>
      </c>
      <c r="C611" s="16" t="s">
        <v>2426</v>
      </c>
      <c r="D611" s="17">
        <v>46124.0</v>
      </c>
      <c r="E611" s="16" t="s">
        <v>2427</v>
      </c>
      <c r="F611" s="18">
        <v>30.29</v>
      </c>
      <c r="G611" s="19">
        <v>5.1736</v>
      </c>
      <c r="H611" s="16" t="s">
        <v>335</v>
      </c>
      <c r="I611" s="20">
        <v>1788435.0</v>
      </c>
      <c r="J611" s="19">
        <v>20.3119</v>
      </c>
      <c r="K611" s="21">
        <v>1.6647</v>
      </c>
      <c r="L611" s="21">
        <v>3.6504</v>
      </c>
      <c r="M611" s="16">
        <v>1028583.0</v>
      </c>
      <c r="N611" s="21">
        <v>1.8615</v>
      </c>
      <c r="O611" s="20">
        <v>3.158579692E9</v>
      </c>
      <c r="P611" s="21">
        <v>94.6871</v>
      </c>
      <c r="Q611" s="21">
        <v>96.1886</v>
      </c>
      <c r="R611" s="19">
        <v>61.9264</v>
      </c>
      <c r="S611" s="21">
        <v>27.9873</v>
      </c>
      <c r="T611" s="21">
        <v>27.5077</v>
      </c>
      <c r="U611" s="21">
        <v>27.9657</v>
      </c>
      <c r="V611" s="21">
        <v>28.2162</v>
      </c>
      <c r="W611" s="21">
        <v>28.2089</v>
      </c>
      <c r="X611" s="21">
        <v>27.5273</v>
      </c>
      <c r="Y611" s="21">
        <v>24.2131</v>
      </c>
      <c r="Z611" s="21">
        <v>22.7076</v>
      </c>
      <c r="AA611" s="21">
        <v>39.799</v>
      </c>
      <c r="AB611" s="21">
        <v>11.7191</v>
      </c>
      <c r="AC611" s="21">
        <v>2.5847</v>
      </c>
      <c r="AD611" s="21">
        <v>34.7635</v>
      </c>
      <c r="AE611" s="21">
        <v>34.0035</v>
      </c>
      <c r="AF611" s="21">
        <v>78.2357</v>
      </c>
      <c r="AG611" s="21">
        <v>0.6759</v>
      </c>
      <c r="AH611" s="21">
        <v>1.0594</v>
      </c>
      <c r="AI611" s="21">
        <v>0.0713</v>
      </c>
      <c r="AJ611" s="19">
        <v>0.91</v>
      </c>
      <c r="AK611" s="16" t="s">
        <v>1267</v>
      </c>
      <c r="AL611" s="22">
        <f>IFERROR(__xludf.DUMMYFUNCTION("IFERROR(GOOGLEFINANCE(B611,""price""),"""")"),31.15)</f>
        <v>31.15</v>
      </c>
    </row>
    <row r="612">
      <c r="A612" s="7">
        <v>46120.668275893935</v>
      </c>
      <c r="B612" s="8" t="s">
        <v>2428</v>
      </c>
      <c r="C612" s="8" t="s">
        <v>2429</v>
      </c>
      <c r="D612" s="9">
        <v>46124.0</v>
      </c>
      <c r="E612" s="8" t="s">
        <v>2430</v>
      </c>
      <c r="F612" s="10">
        <v>124.19</v>
      </c>
      <c r="G612" s="11">
        <v>5.0677</v>
      </c>
      <c r="H612" s="8" t="s">
        <v>102</v>
      </c>
      <c r="I612" s="12">
        <v>3010540.0</v>
      </c>
      <c r="J612" s="11">
        <v>22.0228</v>
      </c>
      <c r="K612" s="13">
        <v>2.9617</v>
      </c>
      <c r="L612" s="13">
        <v>6.1985</v>
      </c>
      <c r="M612" s="8">
        <v>2409197.0</v>
      </c>
      <c r="N612" s="13">
        <v>1.3122</v>
      </c>
      <c r="O612" s="12">
        <v>6.531082499E10</v>
      </c>
      <c r="P612" s="13">
        <v>96.028</v>
      </c>
      <c r="Q612" s="13">
        <v>95.6929</v>
      </c>
      <c r="R612" s="11">
        <v>64.1766</v>
      </c>
      <c r="S612" s="13">
        <v>118.4719</v>
      </c>
      <c r="T612" s="13">
        <v>117.7897</v>
      </c>
      <c r="U612" s="13">
        <v>118.3704</v>
      </c>
      <c r="V612" s="13">
        <v>118.3308</v>
      </c>
      <c r="W612" s="13">
        <v>118.1654</v>
      </c>
      <c r="X612" s="13">
        <v>116.21</v>
      </c>
      <c r="Y612" s="13">
        <v>110.4683</v>
      </c>
      <c r="Z612" s="13">
        <v>107.0357</v>
      </c>
      <c r="AA612" s="13">
        <v>131.875</v>
      </c>
      <c r="AB612" s="13">
        <v>27.5354</v>
      </c>
      <c r="AC612" s="13">
        <v>4.5102</v>
      </c>
      <c r="AD612" s="13">
        <v>12.9222</v>
      </c>
      <c r="AE612" s="13">
        <v>11.0749</v>
      </c>
      <c r="AF612" s="13">
        <v>-15.5032</v>
      </c>
      <c r="AG612" s="13">
        <v>0.815</v>
      </c>
      <c r="AH612" s="13">
        <v>1.0282</v>
      </c>
      <c r="AI612" s="13">
        <v>0.0817</v>
      </c>
      <c r="AJ612" s="11">
        <v>0.96</v>
      </c>
      <c r="AK612" s="8" t="s">
        <v>1267</v>
      </c>
      <c r="AL612" s="14">
        <f>IFERROR(__xludf.DUMMYFUNCTION("IFERROR(GOOGLEFINANCE(B612,""price""),"""")"),127.19)</f>
        <v>127.19</v>
      </c>
    </row>
    <row r="613">
      <c r="A613" s="15">
        <v>46120.668275893935</v>
      </c>
      <c r="B613" s="16" t="s">
        <v>2431</v>
      </c>
      <c r="C613" s="16" t="s">
        <v>2432</v>
      </c>
      <c r="D613" s="17">
        <v>46124.0</v>
      </c>
      <c r="E613" s="16" t="s">
        <v>2433</v>
      </c>
      <c r="F613" s="18">
        <v>71.97</v>
      </c>
      <c r="G613" s="19">
        <v>4.5316</v>
      </c>
      <c r="H613" s="16" t="s">
        <v>93</v>
      </c>
      <c r="I613" s="20">
        <v>3933718.0</v>
      </c>
      <c r="J613" s="19">
        <v>23.3128</v>
      </c>
      <c r="K613" s="21">
        <v>2.0926</v>
      </c>
      <c r="L613" s="21">
        <v>4.4651</v>
      </c>
      <c r="M613" s="16">
        <v>3176548.0</v>
      </c>
      <c r="N613" s="21">
        <v>1.2498</v>
      </c>
      <c r="O613" s="20">
        <v>2.501650393E10</v>
      </c>
      <c r="P613" s="21">
        <v>90.6067</v>
      </c>
      <c r="Q613" s="21">
        <v>88.9159</v>
      </c>
      <c r="R613" s="19">
        <v>64.1353</v>
      </c>
      <c r="S613" s="21">
        <v>68.8752</v>
      </c>
      <c r="T613" s="21">
        <v>68.068</v>
      </c>
      <c r="U613" s="21">
        <v>68.8082</v>
      </c>
      <c r="V613" s="21">
        <v>70.0111</v>
      </c>
      <c r="W613" s="21">
        <v>70.3444</v>
      </c>
      <c r="X613" s="21">
        <v>71.771</v>
      </c>
      <c r="Y613" s="21">
        <v>70.9365</v>
      </c>
      <c r="Z613" s="21">
        <v>73.514</v>
      </c>
      <c r="AA613" s="21">
        <v>88.77</v>
      </c>
      <c r="AB613" s="21">
        <v>7.7517</v>
      </c>
      <c r="AC613" s="21">
        <v>9.2844</v>
      </c>
      <c r="AD613" s="21">
        <v>21.3039</v>
      </c>
      <c r="AE613" s="21">
        <v>28.3846</v>
      </c>
      <c r="AF613" s="21">
        <v>-7.9146</v>
      </c>
      <c r="AG613" s="21">
        <v>0.9055</v>
      </c>
      <c r="AH613" s="21">
        <v>3.697</v>
      </c>
      <c r="AI613" s="21">
        <v>0.0931</v>
      </c>
      <c r="AJ613" s="19">
        <v>0.94</v>
      </c>
      <c r="AK613" s="16" t="s">
        <v>1267</v>
      </c>
      <c r="AL613" s="22">
        <f>IFERROR(__xludf.DUMMYFUNCTION("IFERROR(GOOGLEFINANCE(B613,""price""),"""")"),72.41)</f>
        <v>72.41</v>
      </c>
    </row>
    <row r="614">
      <c r="A614" s="7">
        <v>46120.668275893935</v>
      </c>
      <c r="B614" s="8" t="s">
        <v>1386</v>
      </c>
      <c r="C614" s="8" t="s">
        <v>1387</v>
      </c>
      <c r="D614" s="9">
        <v>46124.0</v>
      </c>
      <c r="E614" s="8" t="s">
        <v>1388</v>
      </c>
      <c r="F614" s="10">
        <v>207.76</v>
      </c>
      <c r="G614" s="11">
        <v>0.1929</v>
      </c>
      <c r="H614" s="8" t="s">
        <v>102</v>
      </c>
      <c r="I614" s="12">
        <v>2389777.0</v>
      </c>
      <c r="J614" s="11">
        <v>26.9305</v>
      </c>
      <c r="K614" s="13">
        <v>0.5004</v>
      </c>
      <c r="L614" s="13">
        <v>2.1483</v>
      </c>
      <c r="M614" s="8">
        <v>1990637.0</v>
      </c>
      <c r="N614" s="13">
        <v>1.2126</v>
      </c>
      <c r="O614" s="12">
        <v>9.944555622E9</v>
      </c>
      <c r="P614" s="13">
        <v>94.0678</v>
      </c>
      <c r="Q614" s="13">
        <v>84.3335</v>
      </c>
      <c r="R614" s="11">
        <v>61.8377</v>
      </c>
      <c r="S614" s="13">
        <v>207.2869</v>
      </c>
      <c r="T614" s="13">
        <v>207.1468</v>
      </c>
      <c r="U614" s="13">
        <v>207.0784</v>
      </c>
      <c r="V614" s="13">
        <v>206.857</v>
      </c>
      <c r="W614" s="13">
        <v>206.7421</v>
      </c>
      <c r="X614" s="13">
        <v>205.3159</v>
      </c>
      <c r="Y614" s="13">
        <v>196.9616</v>
      </c>
      <c r="Z614" s="13">
        <v>198.6939</v>
      </c>
      <c r="AA614" s="13">
        <v>208.24</v>
      </c>
      <c r="AB614" s="13">
        <v>804.0248</v>
      </c>
      <c r="AC614" s="13">
        <v>0.2584</v>
      </c>
      <c r="AD614" s="13">
        <v>1.3962</v>
      </c>
      <c r="AE614" s="13">
        <v>14.7514</v>
      </c>
      <c r="AF614" s="13">
        <v>2.4926</v>
      </c>
      <c r="AG614" s="13">
        <v>1.1392</v>
      </c>
      <c r="AH614" s="13">
        <v>1.3622</v>
      </c>
      <c r="AI614" s="13">
        <v>0.1004</v>
      </c>
      <c r="AJ614" s="11">
        <v>0.47</v>
      </c>
      <c r="AK614" s="8" t="s">
        <v>2434</v>
      </c>
      <c r="AL614" s="14">
        <f>IFERROR(__xludf.DUMMYFUNCTION("IFERROR(GOOGLEFINANCE(B614,""price""),"""")"),207.79)</f>
        <v>207.79</v>
      </c>
    </row>
    <row r="615">
      <c r="A615" s="15">
        <v>46120.668275893935</v>
      </c>
      <c r="B615" s="16" t="s">
        <v>2435</v>
      </c>
      <c r="C615" s="16" t="s">
        <v>2436</v>
      </c>
      <c r="D615" s="17">
        <v>46124.0</v>
      </c>
      <c r="E615" s="16" t="s">
        <v>2437</v>
      </c>
      <c r="F615" s="18">
        <v>93.94</v>
      </c>
      <c r="G615" s="19">
        <v>1.9204</v>
      </c>
      <c r="H615" s="16" t="s">
        <v>286</v>
      </c>
      <c r="I615" s="20">
        <v>448469.0</v>
      </c>
      <c r="J615" s="19">
        <v>21.8391</v>
      </c>
      <c r="K615" s="21">
        <v>3.0983</v>
      </c>
      <c r="L615" s="21">
        <v>7.153</v>
      </c>
      <c r="M615" s="21">
        <v>308668.2</v>
      </c>
      <c r="N615" s="21">
        <v>1.5113</v>
      </c>
      <c r="O615" s="20">
        <v>3.993079188E9</v>
      </c>
      <c r="P615" s="21">
        <v>90.3937</v>
      </c>
      <c r="Q615" s="21">
        <v>91.95</v>
      </c>
      <c r="R615" s="19">
        <v>60.1935</v>
      </c>
      <c r="S615" s="21">
        <v>90.9729</v>
      </c>
      <c r="T615" s="21">
        <v>90.1424</v>
      </c>
      <c r="U615" s="21">
        <v>90.8685</v>
      </c>
      <c r="V615" s="21">
        <v>91.748</v>
      </c>
      <c r="W615" s="21">
        <v>91.9884</v>
      </c>
      <c r="X615" s="21">
        <v>93.2729</v>
      </c>
      <c r="Y615" s="21">
        <v>93.7419</v>
      </c>
      <c r="Z615" s="21">
        <v>99.0076</v>
      </c>
      <c r="AA615" s="21">
        <v>121.54</v>
      </c>
      <c r="AB615" s="21">
        <v>29.7495</v>
      </c>
      <c r="AC615" s="21">
        <v>3.1577</v>
      </c>
      <c r="AD615" s="21">
        <v>11.9307</v>
      </c>
      <c r="AE615" s="21">
        <v>12.8482</v>
      </c>
      <c r="AF615" s="21">
        <v>3.5244</v>
      </c>
      <c r="AG615" s="21">
        <v>0.6279</v>
      </c>
      <c r="AH615" s="21">
        <v>4.1029</v>
      </c>
      <c r="AI615" s="21">
        <v>0.1111</v>
      </c>
      <c r="AJ615" s="19">
        <v>0.87</v>
      </c>
      <c r="AK615" s="16" t="s">
        <v>1267</v>
      </c>
      <c r="AL615" s="22">
        <f>IFERROR(__xludf.DUMMYFUNCTION("IFERROR(GOOGLEFINANCE(B615,""price""),"""")"),93.16)</f>
        <v>93.16</v>
      </c>
    </row>
    <row r="616">
      <c r="A616" s="7">
        <v>46120.668275893935</v>
      </c>
      <c r="B616" s="8" t="s">
        <v>2438</v>
      </c>
      <c r="C616" s="8" t="s">
        <v>2439</v>
      </c>
      <c r="D616" s="9">
        <v>46124.0</v>
      </c>
      <c r="E616" s="8" t="s">
        <v>2440</v>
      </c>
      <c r="F616" s="10">
        <v>208.9</v>
      </c>
      <c r="G616" s="11">
        <v>4.5886</v>
      </c>
      <c r="H616" s="8" t="s">
        <v>308</v>
      </c>
      <c r="I616" s="12">
        <v>7451471.0</v>
      </c>
      <c r="J616" s="11">
        <v>23.8064</v>
      </c>
      <c r="K616" s="13">
        <v>6.0171</v>
      </c>
      <c r="L616" s="13">
        <v>13.0734</v>
      </c>
      <c r="M616" s="8">
        <v>5510248.0</v>
      </c>
      <c r="N616" s="13">
        <v>1.3631</v>
      </c>
      <c r="O616" s="12">
        <v>1.90195800435E11</v>
      </c>
      <c r="P616" s="13">
        <v>97.0107</v>
      </c>
      <c r="Q616" s="13">
        <v>89.7443</v>
      </c>
      <c r="R616" s="11">
        <v>62.2626</v>
      </c>
      <c r="S616" s="13">
        <v>198.683</v>
      </c>
      <c r="T616" s="13">
        <v>197.3268</v>
      </c>
      <c r="U616" s="13">
        <v>198.4147</v>
      </c>
      <c r="V616" s="13">
        <v>198.352</v>
      </c>
      <c r="W616" s="13">
        <v>198.1026</v>
      </c>
      <c r="X616" s="13">
        <v>195.7174</v>
      </c>
      <c r="Y616" s="13">
        <v>191.161</v>
      </c>
      <c r="Z616" s="13">
        <v>190.2814</v>
      </c>
      <c r="AA616" s="13">
        <v>231.32</v>
      </c>
      <c r="AB616" s="13">
        <v>38.3627</v>
      </c>
      <c r="AC616" s="13">
        <v>5.4454</v>
      </c>
      <c r="AD616" s="13">
        <v>29.9795</v>
      </c>
      <c r="AE616" s="13">
        <v>34.7246</v>
      </c>
      <c r="AF616" s="13">
        <v>13.049</v>
      </c>
      <c r="AG616" s="13">
        <v>0.9082</v>
      </c>
      <c r="AH616" s="13">
        <v>4.3526</v>
      </c>
      <c r="AI616" s="13">
        <v>0.1284</v>
      </c>
      <c r="AJ616" s="11">
        <v>0.92</v>
      </c>
      <c r="AK616" s="8" t="s">
        <v>1267</v>
      </c>
      <c r="AL616" s="14">
        <f>IFERROR(__xludf.DUMMYFUNCTION("IFERROR(GOOGLEFINANCE(B616,""price""),"""")"),214.73)</f>
        <v>214.73</v>
      </c>
    </row>
    <row r="617">
      <c r="A617" s="15">
        <v>46120.668275893935</v>
      </c>
      <c r="B617" s="16" t="s">
        <v>2441</v>
      </c>
      <c r="C617" s="16" t="s">
        <v>2442</v>
      </c>
      <c r="D617" s="17">
        <v>46124.0</v>
      </c>
      <c r="E617" s="16" t="s">
        <v>2443</v>
      </c>
      <c r="F617" s="18">
        <v>93.15</v>
      </c>
      <c r="G617" s="19">
        <v>4.4165</v>
      </c>
      <c r="H617" s="16" t="s">
        <v>93</v>
      </c>
      <c r="I617" s="20">
        <v>1032602.0</v>
      </c>
      <c r="J617" s="19">
        <v>23.7876</v>
      </c>
      <c r="K617" s="21">
        <v>2.9344</v>
      </c>
      <c r="L617" s="21">
        <v>6.1957</v>
      </c>
      <c r="M617" s="21">
        <v>422510.4</v>
      </c>
      <c r="N617" s="21">
        <v>2.9214</v>
      </c>
      <c r="O617" s="20">
        <v>5.279578873E9</v>
      </c>
      <c r="P617" s="21">
        <v>91.8179</v>
      </c>
      <c r="Q617" s="21">
        <v>86.1383</v>
      </c>
      <c r="R617" s="19">
        <v>66.0154</v>
      </c>
      <c r="S617" s="21">
        <v>87.6551</v>
      </c>
      <c r="T617" s="21">
        <v>86.7548</v>
      </c>
      <c r="U617" s="21">
        <v>87.5094</v>
      </c>
      <c r="V617" s="21">
        <v>88.1211</v>
      </c>
      <c r="W617" s="21">
        <v>88.211</v>
      </c>
      <c r="X617" s="21">
        <v>88.0669</v>
      </c>
      <c r="Y617" s="21">
        <v>84.7726</v>
      </c>
      <c r="Z617" s="21">
        <v>86.5121</v>
      </c>
      <c r="AA617" s="21">
        <v>101.9199</v>
      </c>
      <c r="AB617" s="21">
        <v>11.7916</v>
      </c>
      <c r="AC617" s="21">
        <v>7.8997</v>
      </c>
      <c r="AD617" s="21">
        <v>16.7508</v>
      </c>
      <c r="AE617" s="21">
        <v>47.0043</v>
      </c>
      <c r="AF617" s="21">
        <v>2.9288</v>
      </c>
      <c r="AG617" s="21">
        <v>0.425</v>
      </c>
      <c r="AH617" s="21">
        <v>0.4628</v>
      </c>
      <c r="AI617" s="21">
        <v>0.1565</v>
      </c>
      <c r="AJ617" s="19">
        <v>0.95</v>
      </c>
      <c r="AK617" s="16" t="s">
        <v>2444</v>
      </c>
      <c r="AL617" s="22">
        <f>IFERROR(__xludf.DUMMYFUNCTION("IFERROR(GOOGLEFINANCE(B617,""price""),"""")"),92.5)</f>
        <v>92.5</v>
      </c>
    </row>
    <row r="618">
      <c r="A618" s="7">
        <v>46120.668275893935</v>
      </c>
      <c r="B618" s="8" t="s">
        <v>1276</v>
      </c>
      <c r="C618" s="8" t="s">
        <v>1277</v>
      </c>
      <c r="D618" s="9">
        <v>46124.0</v>
      </c>
      <c r="E618" s="8" t="s">
        <v>1278</v>
      </c>
      <c r="F618" s="10">
        <v>59.17</v>
      </c>
      <c r="G618" s="11">
        <v>0.0676</v>
      </c>
      <c r="H618" s="8" t="s">
        <v>917</v>
      </c>
      <c r="I618" s="12">
        <v>1663604.0</v>
      </c>
      <c r="J618" s="11">
        <v>23.8018</v>
      </c>
      <c r="K618" s="13">
        <v>0.3306</v>
      </c>
      <c r="L618" s="13">
        <v>0.6637</v>
      </c>
      <c r="M618" s="8">
        <v>1272066.0</v>
      </c>
      <c r="N618" s="13">
        <v>1.3454</v>
      </c>
      <c r="O618" s="12">
        <v>6.444876763E9</v>
      </c>
      <c r="P618" s="13">
        <v>93.8806</v>
      </c>
      <c r="Q618" s="13">
        <v>91.1662</v>
      </c>
      <c r="R618" s="11">
        <v>61.0536</v>
      </c>
      <c r="S618" s="13">
        <v>58.8448</v>
      </c>
      <c r="T618" s="13">
        <v>58.7181</v>
      </c>
      <c r="U618" s="13">
        <v>58.7411</v>
      </c>
      <c r="V618" s="13">
        <v>58.7421</v>
      </c>
      <c r="W618" s="13">
        <v>58.7315</v>
      </c>
      <c r="X618" s="13">
        <v>58.5521</v>
      </c>
      <c r="Y618" s="13">
        <v>57.1292</v>
      </c>
      <c r="Z618" s="13">
        <v>57.7646</v>
      </c>
      <c r="AA618" s="13">
        <v>59.52</v>
      </c>
      <c r="AB618" s="13">
        <v>40.9056</v>
      </c>
      <c r="AC618" s="13">
        <v>1.4465</v>
      </c>
      <c r="AD618" s="13">
        <v>5.094</v>
      </c>
      <c r="AE618" s="13">
        <v>20.3383</v>
      </c>
      <c r="AF618" s="13">
        <v>9.8624</v>
      </c>
      <c r="AG618" s="13">
        <v>1.6815</v>
      </c>
      <c r="AH618" s="13">
        <v>0.5549</v>
      </c>
      <c r="AI618" s="13">
        <v>0.1753</v>
      </c>
      <c r="AJ618" s="11">
        <v>1.0</v>
      </c>
      <c r="AK618" s="8" t="s">
        <v>1267</v>
      </c>
      <c r="AL618" s="14">
        <f>IFERROR(__xludf.DUMMYFUNCTION("IFERROR(GOOGLEFINANCE(B618,""price""),"""")"),59.18)</f>
        <v>59.18</v>
      </c>
    </row>
    <row r="619">
      <c r="A619" s="15">
        <v>46120.668275893935</v>
      </c>
      <c r="B619" s="16" t="s">
        <v>1492</v>
      </c>
      <c r="C619" s="16" t="s">
        <v>1493</v>
      </c>
      <c r="D619" s="17">
        <v>46124.0</v>
      </c>
      <c r="E619" s="16" t="s">
        <v>1494</v>
      </c>
      <c r="F619" s="18">
        <v>24.1</v>
      </c>
      <c r="G619" s="19">
        <v>3.9689</v>
      </c>
      <c r="H619" s="16" t="s">
        <v>93</v>
      </c>
      <c r="I619" s="20">
        <v>5774249.0</v>
      </c>
      <c r="J619" s="19">
        <v>20.9774</v>
      </c>
      <c r="K619" s="21">
        <v>0.6358</v>
      </c>
      <c r="L619" s="21">
        <v>1.3256</v>
      </c>
      <c r="M619" s="16">
        <v>3973174.0</v>
      </c>
      <c r="N619" s="21">
        <v>1.4492</v>
      </c>
      <c r="O619" s="20">
        <v>1.1510786186E10</v>
      </c>
      <c r="P619" s="21">
        <v>94.13</v>
      </c>
      <c r="Q619" s="21">
        <v>94.5098</v>
      </c>
      <c r="R619" s="19">
        <v>63.6643</v>
      </c>
      <c r="S619" s="21">
        <v>23.1556</v>
      </c>
      <c r="T619" s="21">
        <v>22.9451</v>
      </c>
      <c r="U619" s="21">
        <v>23.1122</v>
      </c>
      <c r="V619" s="21">
        <v>23.2671</v>
      </c>
      <c r="W619" s="21">
        <v>23.2928</v>
      </c>
      <c r="X619" s="21">
        <v>23.2795</v>
      </c>
      <c r="Y619" s="21">
        <v>22.5282</v>
      </c>
      <c r="Z619" s="21">
        <v>22.7425</v>
      </c>
      <c r="AA619" s="21">
        <v>26.56</v>
      </c>
      <c r="AB619" s="21">
        <v>12.8609</v>
      </c>
      <c r="AC619" s="21">
        <v>1.8739</v>
      </c>
      <c r="AD619" s="21">
        <v>11.1306</v>
      </c>
      <c r="AE619" s="21">
        <v>37.3755</v>
      </c>
      <c r="AF619" s="21">
        <v>-0.4798</v>
      </c>
      <c r="AG619" s="21">
        <v>0.5589</v>
      </c>
      <c r="AH619" s="21">
        <v>0.248</v>
      </c>
      <c r="AI619" s="21">
        <v>0.1802</v>
      </c>
      <c r="AJ619" s="19">
        <v>0.96</v>
      </c>
      <c r="AK619" s="16" t="s">
        <v>1267</v>
      </c>
      <c r="AL619" s="22">
        <f>IFERROR(__xludf.DUMMYFUNCTION("IFERROR(GOOGLEFINANCE(B619,""price""),"""")"),24.05)</f>
        <v>24.05</v>
      </c>
    </row>
    <row r="620">
      <c r="A620" s="7">
        <v>46120.668275893935</v>
      </c>
      <c r="B620" s="8" t="s">
        <v>1502</v>
      </c>
      <c r="C620" s="8" t="s">
        <v>1503</v>
      </c>
      <c r="D620" s="9">
        <v>46124.0</v>
      </c>
      <c r="E620" s="8" t="s">
        <v>1504</v>
      </c>
      <c r="F620" s="10">
        <v>80.1</v>
      </c>
      <c r="G620" s="11">
        <v>0.0375</v>
      </c>
      <c r="H620" s="8" t="s">
        <v>88</v>
      </c>
      <c r="I620" s="12">
        <v>602625.0</v>
      </c>
      <c r="J620" s="11">
        <v>40.7804</v>
      </c>
      <c r="K620" s="13">
        <v>0.2982</v>
      </c>
      <c r="L620" s="13">
        <v>1.2793</v>
      </c>
      <c r="M620" s="13">
        <v>382066.2</v>
      </c>
      <c r="N620" s="13">
        <v>1.5971</v>
      </c>
      <c r="O620" s="12">
        <v>2.283005062E9</v>
      </c>
      <c r="P620" s="13">
        <v>58.5034</v>
      </c>
      <c r="Q620" s="13">
        <v>58.5034</v>
      </c>
      <c r="R620" s="11">
        <v>54.0959</v>
      </c>
      <c r="S620" s="13">
        <v>80.0633</v>
      </c>
      <c r="T620" s="13">
        <v>79.993</v>
      </c>
      <c r="U620" s="13">
        <v>79.8655</v>
      </c>
      <c r="V620" s="13">
        <v>79.5532</v>
      </c>
      <c r="W620" s="13">
        <v>79.4175</v>
      </c>
      <c r="X620" s="13">
        <v>78.1641</v>
      </c>
      <c r="Y620" s="13">
        <v>73.3225</v>
      </c>
      <c r="Z620" s="13">
        <v>72.2166</v>
      </c>
      <c r="AA620" s="13">
        <v>80.67</v>
      </c>
      <c r="AB620" s="13">
        <v>40.3608</v>
      </c>
      <c r="AC620" s="13">
        <v>1.9846</v>
      </c>
      <c r="AD620" s="13">
        <v>19.7366</v>
      </c>
      <c r="AE620" s="13">
        <v>12.1871</v>
      </c>
      <c r="AF620" s="13">
        <v>2.1751</v>
      </c>
      <c r="AG620" s="13">
        <v>1.9931</v>
      </c>
      <c r="AH620" s="13">
        <v>1.4408</v>
      </c>
      <c r="AI620" s="13">
        <v>0.2469</v>
      </c>
      <c r="AJ620" s="11">
        <v>0.47</v>
      </c>
      <c r="AK620" s="8" t="s">
        <v>2445</v>
      </c>
      <c r="AL620" s="14">
        <f>IFERROR(__xludf.DUMMYFUNCTION("IFERROR(GOOGLEFINANCE(B620,""price""),"""")"),80.04)</f>
        <v>80.04</v>
      </c>
    </row>
    <row r="621">
      <c r="A621" s="15">
        <v>46120.668275893935</v>
      </c>
      <c r="B621" s="16" t="s">
        <v>2446</v>
      </c>
      <c r="C621" s="16" t="s">
        <v>2447</v>
      </c>
      <c r="D621" s="17">
        <v>46124.0</v>
      </c>
      <c r="E621" s="16" t="s">
        <v>2448</v>
      </c>
      <c r="F621" s="18">
        <v>61.44</v>
      </c>
      <c r="G621" s="19">
        <v>1.7387</v>
      </c>
      <c r="H621" s="16" t="s">
        <v>93</v>
      </c>
      <c r="I621" s="20">
        <v>326112.0</v>
      </c>
      <c r="J621" s="19">
        <v>23.8171</v>
      </c>
      <c r="K621" s="21">
        <v>1.5239</v>
      </c>
      <c r="L621" s="21">
        <v>3.4553</v>
      </c>
      <c r="M621" s="21">
        <v>232205.2</v>
      </c>
      <c r="N621" s="21">
        <v>1.4048</v>
      </c>
      <c r="O621" s="20">
        <v>3.239358248E9</v>
      </c>
      <c r="P621" s="21">
        <v>93.0564</v>
      </c>
      <c r="Q621" s="21">
        <v>93.7183</v>
      </c>
      <c r="R621" s="19">
        <v>63.8169</v>
      </c>
      <c r="S621" s="21">
        <v>59.6096</v>
      </c>
      <c r="T621" s="21">
        <v>59.0646</v>
      </c>
      <c r="U621" s="21">
        <v>59.4557</v>
      </c>
      <c r="V621" s="21">
        <v>59.7931</v>
      </c>
      <c r="W621" s="21">
        <v>59.8476</v>
      </c>
      <c r="X621" s="21">
        <v>59.8717</v>
      </c>
      <c r="Y621" s="21">
        <v>59.2632</v>
      </c>
      <c r="Z621" s="21">
        <v>58.7985</v>
      </c>
      <c r="AA621" s="21">
        <v>67.5</v>
      </c>
      <c r="AB621" s="21">
        <v>15.5058</v>
      </c>
      <c r="AC621" s="21">
        <v>3.9624</v>
      </c>
      <c r="AD621" s="21">
        <v>11.1205</v>
      </c>
      <c r="AE621" s="21">
        <v>34.3071</v>
      </c>
      <c r="AF621" s="21">
        <v>7.5439</v>
      </c>
      <c r="AG621" s="21">
        <v>0.3722</v>
      </c>
      <c r="AH621" s="21">
        <v>0.0306</v>
      </c>
      <c r="AI621" s="21">
        <v>0.2506</v>
      </c>
      <c r="AJ621" s="19">
        <v>0.88</v>
      </c>
      <c r="AK621" s="16" t="s">
        <v>1267</v>
      </c>
      <c r="AL621" s="22">
        <f>IFERROR(__xludf.DUMMYFUNCTION("IFERROR(GOOGLEFINANCE(B621,""price""),"""")"),62.45)</f>
        <v>62.45</v>
      </c>
    </row>
    <row r="622">
      <c r="A622" s="7">
        <v>46120.668275893935</v>
      </c>
      <c r="B622" s="8" t="s">
        <v>2449</v>
      </c>
      <c r="C622" s="8" t="s">
        <v>2450</v>
      </c>
      <c r="D622" s="9">
        <v>46124.0</v>
      </c>
      <c r="E622" s="8" t="s">
        <v>2451</v>
      </c>
      <c r="F622" s="10">
        <v>44.73</v>
      </c>
      <c r="G622" s="11">
        <v>1.1991</v>
      </c>
      <c r="H622" s="8" t="s">
        <v>112</v>
      </c>
      <c r="I622" s="12">
        <v>473794.0</v>
      </c>
      <c r="J622" s="11">
        <v>32.3547</v>
      </c>
      <c r="K622" s="13">
        <v>1.887</v>
      </c>
      <c r="L622" s="13">
        <v>3.92</v>
      </c>
      <c r="M622" s="13">
        <v>337874.7</v>
      </c>
      <c r="N622" s="13">
        <v>1.5385</v>
      </c>
      <c r="O622" s="12">
        <v>1.234735135E9</v>
      </c>
      <c r="P622" s="13">
        <v>78.5817</v>
      </c>
      <c r="Q622" s="13">
        <v>78.5533</v>
      </c>
      <c r="R622" s="11">
        <v>58.0608</v>
      </c>
      <c r="S622" s="13">
        <v>43.4985</v>
      </c>
      <c r="T622" s="13">
        <v>42.5835</v>
      </c>
      <c r="U622" s="13">
        <v>43.3709</v>
      </c>
      <c r="V622" s="13">
        <v>44.295</v>
      </c>
      <c r="W622" s="13">
        <v>44.4816</v>
      </c>
      <c r="X622" s="13">
        <v>44.7591</v>
      </c>
      <c r="Y622" s="13">
        <v>42.9846</v>
      </c>
      <c r="Z622" s="13">
        <v>41.4981</v>
      </c>
      <c r="AA622" s="13">
        <v>55.91</v>
      </c>
      <c r="AB622" s="13">
        <v>24.2111</v>
      </c>
      <c r="AC622" s="13">
        <v>1.8475</v>
      </c>
      <c r="AD622" s="13">
        <v>20.258</v>
      </c>
      <c r="AE622" s="13">
        <v>13.156</v>
      </c>
      <c r="AF622" s="13">
        <v>13.2731</v>
      </c>
      <c r="AG622" s="13">
        <v>0.0816</v>
      </c>
      <c r="AH622" s="13">
        <v>3.2493</v>
      </c>
      <c r="AI622" s="13">
        <v>0.2854</v>
      </c>
      <c r="AJ622" s="11">
        <v>0.96</v>
      </c>
      <c r="AK622" s="8" t="s">
        <v>1267</v>
      </c>
      <c r="AL622" s="14">
        <f>IFERROR(__xludf.DUMMYFUNCTION("IFERROR(GOOGLEFINANCE(B622,""price""),"""")"),46.07)</f>
        <v>46.07</v>
      </c>
    </row>
    <row r="623">
      <c r="A623" s="15">
        <v>46120.668275893935</v>
      </c>
      <c r="B623" s="16" t="s">
        <v>1526</v>
      </c>
      <c r="C623" s="16" t="s">
        <v>1527</v>
      </c>
      <c r="D623" s="17">
        <v>46124.0</v>
      </c>
      <c r="E623" s="16" t="s">
        <v>1528</v>
      </c>
      <c r="F623" s="18">
        <v>10.515</v>
      </c>
      <c r="G623" s="19">
        <v>0.0476</v>
      </c>
      <c r="H623" s="16" t="s">
        <v>93</v>
      </c>
      <c r="I623" s="20">
        <v>425092.0</v>
      </c>
      <c r="J623" s="19">
        <v>23.2841</v>
      </c>
      <c r="K623" s="21">
        <v>0.0209</v>
      </c>
      <c r="L623" s="21">
        <v>0.036</v>
      </c>
      <c r="M623" s="21">
        <v>86267.7</v>
      </c>
      <c r="N623" s="21">
        <v>9.5487</v>
      </c>
      <c r="O623" s="20">
        <v>3.52432769E8</v>
      </c>
      <c r="P623" s="21">
        <v>85.2381</v>
      </c>
      <c r="Q623" s="21">
        <v>86.0954</v>
      </c>
      <c r="R623" s="19">
        <v>58.7063</v>
      </c>
      <c r="S623" s="21">
        <v>10.5049</v>
      </c>
      <c r="T623" s="21">
        <v>10.4894</v>
      </c>
      <c r="U623" s="21">
        <v>10.4742</v>
      </c>
      <c r="V623" s="21">
        <v>10.4563</v>
      </c>
      <c r="W623" s="21">
        <v>10.4509</v>
      </c>
      <c r="X623" s="21">
        <v>10.4161</v>
      </c>
      <c r="Y623" s="21">
        <v>10.3108</v>
      </c>
      <c r="Z623" s="21">
        <v>10.3172</v>
      </c>
      <c r="AA623" s="21">
        <v>10.52</v>
      </c>
      <c r="AB623" s="21">
        <v>62.4036</v>
      </c>
      <c r="AC623" s="21">
        <v>0.1685</v>
      </c>
      <c r="AD623" s="21">
        <v>4.8957</v>
      </c>
      <c r="AE623" s="21">
        <v>0.0</v>
      </c>
      <c r="AF623" s="21">
        <v>0.0</v>
      </c>
      <c r="AG623" s="21">
        <v>0.0</v>
      </c>
      <c r="AH623" s="21">
        <v>0.0618</v>
      </c>
      <c r="AI623" s="21">
        <v>0.2914</v>
      </c>
      <c r="AJ623" s="19">
        <v>1.16</v>
      </c>
      <c r="AK623" s="16" t="s">
        <v>2452</v>
      </c>
      <c r="AL623" s="22">
        <f>IFERROR(__xludf.DUMMYFUNCTION("IFERROR(GOOGLEFINANCE(B623,""price""),"""")"),10.52)</f>
        <v>10.52</v>
      </c>
    </row>
    <row r="624">
      <c r="A624" s="7">
        <v>46120.668275893935</v>
      </c>
      <c r="B624" s="8" t="s">
        <v>2453</v>
      </c>
      <c r="C624" s="8" t="s">
        <v>2454</v>
      </c>
      <c r="D624" s="9">
        <v>46124.0</v>
      </c>
      <c r="E624" s="8" t="s">
        <v>2455</v>
      </c>
      <c r="F624" s="10">
        <v>249.2</v>
      </c>
      <c r="G624" s="11">
        <v>5.629</v>
      </c>
      <c r="H624" s="8" t="s">
        <v>129</v>
      </c>
      <c r="I624" s="12">
        <v>1769175.0</v>
      </c>
      <c r="J624" s="11">
        <v>23.7587</v>
      </c>
      <c r="K624" s="13">
        <v>7.9436</v>
      </c>
      <c r="L624" s="13">
        <v>14.7717</v>
      </c>
      <c r="M624" s="8">
        <v>1393745.0</v>
      </c>
      <c r="N624" s="13">
        <v>1.3022</v>
      </c>
      <c r="O624" s="12">
        <v>4.8442725155E10</v>
      </c>
      <c r="P624" s="13">
        <v>87.4003</v>
      </c>
      <c r="Q624" s="13">
        <v>84.4899</v>
      </c>
      <c r="R624" s="11">
        <v>61.4237</v>
      </c>
      <c r="S624" s="13">
        <v>236.6877</v>
      </c>
      <c r="T624" s="13">
        <v>233.9767</v>
      </c>
      <c r="U624" s="13">
        <v>235.9503</v>
      </c>
      <c r="V624" s="13">
        <v>237.7985</v>
      </c>
      <c r="W624" s="13">
        <v>238.1554</v>
      </c>
      <c r="X624" s="13">
        <v>238.6114</v>
      </c>
      <c r="Y624" s="13">
        <v>231.1968</v>
      </c>
      <c r="Z624" s="13">
        <v>235.6591</v>
      </c>
      <c r="AA624" s="13">
        <v>271.64</v>
      </c>
      <c r="AB624" s="13">
        <v>32.0828</v>
      </c>
      <c r="AC624" s="13">
        <v>7.7674</v>
      </c>
      <c r="AD624" s="13">
        <v>26.9328</v>
      </c>
      <c r="AE624" s="13">
        <v>7.8797</v>
      </c>
      <c r="AF624" s="13">
        <v>0.2054</v>
      </c>
      <c r="AG624" s="13">
        <v>1.0273</v>
      </c>
      <c r="AH624" s="13">
        <v>1.8607</v>
      </c>
      <c r="AI624" s="13">
        <v>0.2959</v>
      </c>
      <c r="AJ624" s="11">
        <v>1.08</v>
      </c>
      <c r="AK624" s="8" t="s">
        <v>1267</v>
      </c>
      <c r="AL624" s="14">
        <f>IFERROR(__xludf.DUMMYFUNCTION("IFERROR(GOOGLEFINANCE(B624,""price""),"""")"),256.61)</f>
        <v>256.61</v>
      </c>
    </row>
    <row r="625">
      <c r="A625" s="15">
        <v>46120.668275893935</v>
      </c>
      <c r="B625" s="16" t="s">
        <v>2456</v>
      </c>
      <c r="C625" s="16" t="s">
        <v>2457</v>
      </c>
      <c r="D625" s="17">
        <v>46124.0</v>
      </c>
      <c r="E625" s="16" t="s">
        <v>2458</v>
      </c>
      <c r="F625" s="18">
        <v>350.63</v>
      </c>
      <c r="G625" s="19">
        <v>4.9885</v>
      </c>
      <c r="H625" s="16" t="s">
        <v>308</v>
      </c>
      <c r="I625" s="20">
        <v>3.1414063E7</v>
      </c>
      <c r="J625" s="19">
        <v>21.9804</v>
      </c>
      <c r="K625" s="21">
        <v>13.1427</v>
      </c>
      <c r="L625" s="21">
        <v>30.7517</v>
      </c>
      <c r="M625" s="16">
        <v>2.3120844E7</v>
      </c>
      <c r="N625" s="21">
        <v>1.4306</v>
      </c>
      <c r="O625" s="20">
        <v>1.660116635951E12</v>
      </c>
      <c r="P625" s="21">
        <v>86.4706</v>
      </c>
      <c r="Q625" s="21">
        <v>73.7298</v>
      </c>
      <c r="R625" s="19">
        <v>64.367</v>
      </c>
      <c r="S625" s="21">
        <v>324.3882</v>
      </c>
      <c r="T625" s="21">
        <v>321.3387</v>
      </c>
      <c r="U625" s="21">
        <v>323.3287</v>
      </c>
      <c r="V625" s="21">
        <v>326.3035</v>
      </c>
      <c r="W625" s="21">
        <v>327.1297</v>
      </c>
      <c r="X625" s="21">
        <v>329.9209</v>
      </c>
      <c r="Y625" s="21">
        <v>314.8607</v>
      </c>
      <c r="Z625" s="21">
        <v>329.0884</v>
      </c>
      <c r="AA625" s="21">
        <v>414.61</v>
      </c>
      <c r="AB625" s="21">
        <v>68.3969</v>
      </c>
      <c r="AC625" s="21">
        <v>5.1264</v>
      </c>
      <c r="AD625" s="21">
        <v>33.3714</v>
      </c>
      <c r="AE625" s="21">
        <v>41.5688</v>
      </c>
      <c r="AF625" s="21">
        <v>25.2214</v>
      </c>
      <c r="AG625" s="21">
        <v>0.827</v>
      </c>
      <c r="AH625" s="21">
        <v>1.9018</v>
      </c>
      <c r="AI625" s="21">
        <v>0.3022</v>
      </c>
      <c r="AJ625" s="19">
        <v>0.85</v>
      </c>
      <c r="AK625" s="16" t="s">
        <v>1267</v>
      </c>
      <c r="AL625" s="22">
        <f>IFERROR(__xludf.DUMMYFUNCTION("IFERROR(GOOGLEFINANCE(B625,""price""),"""")"),371.55)</f>
        <v>371.55</v>
      </c>
    </row>
    <row r="626">
      <c r="A626" s="7">
        <v>46120.668275893935</v>
      </c>
      <c r="B626" s="8" t="s">
        <v>1750</v>
      </c>
      <c r="C626" s="8" t="s">
        <v>1751</v>
      </c>
      <c r="D626" s="9">
        <v>46124.0</v>
      </c>
      <c r="E626" s="8" t="s">
        <v>1752</v>
      </c>
      <c r="F626" s="10">
        <v>15.8</v>
      </c>
      <c r="G626" s="11">
        <v>0.0</v>
      </c>
      <c r="H626" s="8" t="s">
        <v>186</v>
      </c>
      <c r="I626" s="12">
        <v>519287.0</v>
      </c>
      <c r="J626" s="11">
        <v>36.9116</v>
      </c>
      <c r="K626" s="13">
        <v>0.0446</v>
      </c>
      <c r="L626" s="13">
        <v>0.2401</v>
      </c>
      <c r="M626" s="13">
        <v>352878.0</v>
      </c>
      <c r="N626" s="13">
        <v>1.5706</v>
      </c>
      <c r="O626" s="12">
        <v>4.76160373E8</v>
      </c>
      <c r="P626" s="13">
        <v>44.2017</v>
      </c>
      <c r="Q626" s="13">
        <v>45.845</v>
      </c>
      <c r="R626" s="11">
        <v>55.6896</v>
      </c>
      <c r="S626" s="13">
        <v>15.804</v>
      </c>
      <c r="T626" s="13">
        <v>15.7869</v>
      </c>
      <c r="U626" s="13">
        <v>15.749</v>
      </c>
      <c r="V626" s="13">
        <v>15.6856</v>
      </c>
      <c r="W626" s="13">
        <v>15.6616</v>
      </c>
      <c r="X626" s="13">
        <v>15.4561</v>
      </c>
      <c r="Y626" s="13">
        <v>15.0689</v>
      </c>
      <c r="Z626" s="13">
        <v>14.2346</v>
      </c>
      <c r="AA626" s="13">
        <v>15.9</v>
      </c>
      <c r="AB626" s="13">
        <v>14.5368</v>
      </c>
      <c r="AC626" s="13">
        <v>1.0869</v>
      </c>
      <c r="AD626" s="13">
        <v>22.0766</v>
      </c>
      <c r="AE626" s="13">
        <v>-3.6678</v>
      </c>
      <c r="AF626" s="13">
        <v>-8.6164</v>
      </c>
      <c r="AG626" s="13">
        <v>1.3444</v>
      </c>
      <c r="AH626" s="13">
        <v>2.5054</v>
      </c>
      <c r="AI626" s="13">
        <v>0.3482</v>
      </c>
      <c r="AJ626" s="11">
        <v>0.37</v>
      </c>
      <c r="AK626" s="8" t="s">
        <v>2459</v>
      </c>
      <c r="AL626" s="14">
        <f>IFERROR(__xludf.DUMMYFUNCTION("IFERROR(GOOGLEFINANCE(B626,""price""),"""")"),15.82)</f>
        <v>15.82</v>
      </c>
    </row>
    <row r="627">
      <c r="A627" s="15">
        <v>46120.668275893935</v>
      </c>
      <c r="B627" s="16" t="s">
        <v>2460</v>
      </c>
      <c r="C627" s="16" t="s">
        <v>2461</v>
      </c>
      <c r="D627" s="17">
        <v>46124.0</v>
      </c>
      <c r="E627" s="16" t="s">
        <v>2462</v>
      </c>
      <c r="F627" s="18">
        <v>21.81</v>
      </c>
      <c r="G627" s="19">
        <v>10.6545</v>
      </c>
      <c r="H627" s="16" t="s">
        <v>286</v>
      </c>
      <c r="I627" s="20">
        <v>1.1530289E7</v>
      </c>
      <c r="J627" s="19">
        <v>24.1883</v>
      </c>
      <c r="K627" s="21">
        <v>0.8946</v>
      </c>
      <c r="L627" s="21">
        <v>1.673</v>
      </c>
      <c r="M627" s="16">
        <v>3885562.0</v>
      </c>
      <c r="N627" s="21">
        <v>3.8784</v>
      </c>
      <c r="O627" s="20">
        <v>8.516091183E9</v>
      </c>
      <c r="P627" s="21">
        <v>87.8437</v>
      </c>
      <c r="Q627" s="21">
        <v>89.2621</v>
      </c>
      <c r="R627" s="19">
        <v>70.7552</v>
      </c>
      <c r="S627" s="21">
        <v>19.6497</v>
      </c>
      <c r="T627" s="21">
        <v>19.3227</v>
      </c>
      <c r="U627" s="21">
        <v>19.5703</v>
      </c>
      <c r="V627" s="21">
        <v>19.8762</v>
      </c>
      <c r="W627" s="21">
        <v>19.9563</v>
      </c>
      <c r="X627" s="21">
        <v>20.3104</v>
      </c>
      <c r="Y627" s="21">
        <v>20.2997</v>
      </c>
      <c r="Z627" s="21">
        <v>20.9913</v>
      </c>
      <c r="AA627" s="21">
        <v>24.82</v>
      </c>
      <c r="AB627" s="21">
        <v>18.8391</v>
      </c>
      <c r="AC627" s="21">
        <v>1.1577</v>
      </c>
      <c r="AD627" s="21">
        <v>25.4132</v>
      </c>
      <c r="AE627" s="21">
        <v>11.2478</v>
      </c>
      <c r="AF627" s="21">
        <v>2.6145</v>
      </c>
      <c r="AG627" s="21">
        <v>1.0499</v>
      </c>
      <c r="AH627" s="21">
        <v>1.5767</v>
      </c>
      <c r="AI627" s="21">
        <v>0.3642</v>
      </c>
      <c r="AJ627" s="19">
        <v>1.07</v>
      </c>
      <c r="AK627" s="16" t="s">
        <v>2463</v>
      </c>
      <c r="AL627" s="22">
        <f>IFERROR(__xludf.DUMMYFUNCTION("IFERROR(GOOGLEFINANCE(B627,""price""),"""")"),22.75)</f>
        <v>22.75</v>
      </c>
    </row>
    <row r="628">
      <c r="A628" s="7">
        <v>46120.668275893935</v>
      </c>
      <c r="B628" s="8" t="s">
        <v>2464</v>
      </c>
      <c r="C628" s="8" t="s">
        <v>2465</v>
      </c>
      <c r="D628" s="9">
        <v>46124.0</v>
      </c>
      <c r="E628" s="8" t="s">
        <v>2466</v>
      </c>
      <c r="F628" s="10">
        <v>10.34</v>
      </c>
      <c r="G628" s="11">
        <v>3.6072</v>
      </c>
      <c r="H628" s="8" t="s">
        <v>117</v>
      </c>
      <c r="I628" s="12">
        <v>3826043.0</v>
      </c>
      <c r="J628" s="11">
        <v>31.0861</v>
      </c>
      <c r="K628" s="13">
        <v>0.4711</v>
      </c>
      <c r="L628" s="13">
        <v>0.9708</v>
      </c>
      <c r="M628" s="8">
        <v>2378594.0</v>
      </c>
      <c r="N628" s="13">
        <v>1.7623</v>
      </c>
      <c r="O628" s="12">
        <v>2.249218589E9</v>
      </c>
      <c r="P628" s="13">
        <v>90.4001</v>
      </c>
      <c r="Q628" s="13">
        <v>90.4478</v>
      </c>
      <c r="R628" s="11">
        <v>62.7977</v>
      </c>
      <c r="S628" s="13">
        <v>9.6299</v>
      </c>
      <c r="T628" s="13">
        <v>9.5289</v>
      </c>
      <c r="U628" s="13">
        <v>9.5904</v>
      </c>
      <c r="V628" s="13">
        <v>9.5067</v>
      </c>
      <c r="W628" s="13">
        <v>9.4548</v>
      </c>
      <c r="X628" s="13">
        <v>9.0103</v>
      </c>
      <c r="Y628" s="13">
        <v>8.3742</v>
      </c>
      <c r="Z628" s="13">
        <v>7.1095</v>
      </c>
      <c r="AA628" s="13">
        <v>11.425</v>
      </c>
      <c r="AB628" s="13">
        <v>0.0</v>
      </c>
      <c r="AC628" s="13">
        <v>-2.7772</v>
      </c>
      <c r="AD628" s="13">
        <v>-25.2532</v>
      </c>
      <c r="AE628" s="13">
        <v>-1.275</v>
      </c>
      <c r="AF628" s="13">
        <v>-3.6669</v>
      </c>
      <c r="AG628" s="13">
        <v>0.3768</v>
      </c>
      <c r="AH628" s="13">
        <v>3.9074</v>
      </c>
      <c r="AI628" s="13">
        <v>0.3817</v>
      </c>
      <c r="AJ628" s="11">
        <v>0.97</v>
      </c>
      <c r="AK628" s="8" t="s">
        <v>1267</v>
      </c>
      <c r="AL628" s="14">
        <f>IFERROR(__xludf.DUMMYFUNCTION("IFERROR(GOOGLEFINANCE(B628,""price""),"""")"),9.42)</f>
        <v>9.42</v>
      </c>
    </row>
    <row r="629">
      <c r="A629" s="15">
        <v>46120.668275893935</v>
      </c>
      <c r="B629" s="16" t="s">
        <v>1576</v>
      </c>
      <c r="C629" s="16" t="s">
        <v>1577</v>
      </c>
      <c r="D629" s="17">
        <v>46124.0</v>
      </c>
      <c r="E629" s="16" t="s">
        <v>1578</v>
      </c>
      <c r="F629" s="18">
        <v>11.95</v>
      </c>
      <c r="G629" s="19">
        <v>0.0</v>
      </c>
      <c r="H629" s="16" t="s">
        <v>88</v>
      </c>
      <c r="I629" s="20">
        <v>1087610.0</v>
      </c>
      <c r="J629" s="19">
        <v>43.1929</v>
      </c>
      <c r="K629" s="21">
        <v>0.0217</v>
      </c>
      <c r="L629" s="21">
        <v>0.3116</v>
      </c>
      <c r="M629" s="21">
        <v>647753.1</v>
      </c>
      <c r="N629" s="21">
        <v>1.8423</v>
      </c>
      <c r="O629" s="20">
        <v>1.803962459E9</v>
      </c>
      <c r="P629" s="21">
        <v>72.381</v>
      </c>
      <c r="Q629" s="21">
        <v>79.6825</v>
      </c>
      <c r="R629" s="19">
        <v>65.1966</v>
      </c>
      <c r="S629" s="21">
        <v>11.9459</v>
      </c>
      <c r="T629" s="21">
        <v>11.9297</v>
      </c>
      <c r="U629" s="21">
        <v>11.8998</v>
      </c>
      <c r="V629" s="21">
        <v>11.8068</v>
      </c>
      <c r="W629" s="21">
        <v>11.7647</v>
      </c>
      <c r="X629" s="21">
        <v>11.4169</v>
      </c>
      <c r="Y629" s="21">
        <v>10.8268</v>
      </c>
      <c r="Z629" s="21">
        <v>9.7999</v>
      </c>
      <c r="AA629" s="21">
        <v>11.98</v>
      </c>
      <c r="AB629" s="21">
        <v>0.0</v>
      </c>
      <c r="AC629" s="21">
        <v>-0.1272</v>
      </c>
      <c r="AD629" s="21">
        <v>-6.9547</v>
      </c>
      <c r="AE629" s="21">
        <v>-5.0392</v>
      </c>
      <c r="AF629" s="21">
        <v>17.7352</v>
      </c>
      <c r="AG629" s="21">
        <v>0.0435</v>
      </c>
      <c r="AH629" s="21">
        <v>2.0225</v>
      </c>
      <c r="AI629" s="21">
        <v>0.3853</v>
      </c>
      <c r="AJ629" s="19">
        <v>0.14</v>
      </c>
      <c r="AK629" s="16" t="s">
        <v>2467</v>
      </c>
      <c r="AL629" s="22">
        <f>IFERROR(__xludf.DUMMYFUNCTION("IFERROR(GOOGLEFINANCE(B629,""price""),"""")"),11.94)</f>
        <v>11.94</v>
      </c>
    </row>
    <row r="630">
      <c r="A630" s="7">
        <v>46120.668275893935</v>
      </c>
      <c r="B630" s="8" t="s">
        <v>1521</v>
      </c>
      <c r="C630" s="8" t="s">
        <v>1522</v>
      </c>
      <c r="D630" s="9">
        <v>46124.0</v>
      </c>
      <c r="E630" s="8" t="s">
        <v>1523</v>
      </c>
      <c r="F630" s="10">
        <v>10.51</v>
      </c>
      <c r="G630" s="11">
        <v>-0.1899</v>
      </c>
      <c r="H630" s="8" t="s">
        <v>93</v>
      </c>
      <c r="I630" s="12">
        <v>402727.0</v>
      </c>
      <c r="J630" s="11">
        <v>33.1179</v>
      </c>
      <c r="K630" s="13">
        <v>0.0347</v>
      </c>
      <c r="L630" s="13">
        <v>0.1312</v>
      </c>
      <c r="M630" s="13">
        <v>336888.8</v>
      </c>
      <c r="N630" s="13">
        <v>1.3441</v>
      </c>
      <c r="O630" s="12">
        <v>2.37175669E8</v>
      </c>
      <c r="P630" s="13">
        <v>79.4872</v>
      </c>
      <c r="Q630" s="13">
        <v>85.8364</v>
      </c>
      <c r="R630" s="11">
        <v>67.5435</v>
      </c>
      <c r="S630" s="13">
        <v>10.4905</v>
      </c>
      <c r="T630" s="13">
        <v>10.463</v>
      </c>
      <c r="U630" s="13">
        <v>10.4427</v>
      </c>
      <c r="V630" s="13">
        <v>10.4258</v>
      </c>
      <c r="W630" s="13">
        <v>10.4223</v>
      </c>
      <c r="X630" s="13">
        <v>10.4104</v>
      </c>
      <c r="Y630" s="13">
        <v>10.3335</v>
      </c>
      <c r="Z630" s="13">
        <v>10.49</v>
      </c>
      <c r="AA630" s="13">
        <v>15.24</v>
      </c>
      <c r="AB630" s="13">
        <v>0.0</v>
      </c>
      <c r="AC630" s="13">
        <v>-0.7281</v>
      </c>
      <c r="AD630" s="13">
        <v>-8.6452</v>
      </c>
      <c r="AE630" s="13">
        <v>0.0</v>
      </c>
      <c r="AF630" s="13">
        <v>0.0</v>
      </c>
      <c r="AG630" s="13">
        <v>0.0</v>
      </c>
      <c r="AH630" s="13">
        <v>0.0802</v>
      </c>
      <c r="AI630" s="13">
        <v>0.4557</v>
      </c>
      <c r="AJ630" s="11">
        <v>0.53</v>
      </c>
      <c r="AK630" s="8" t="s">
        <v>2468</v>
      </c>
      <c r="AL630" s="14">
        <f>IFERROR(__xludf.DUMMYFUNCTION("IFERROR(GOOGLEFINANCE(B630,""price""),"""")"),10.48)</f>
        <v>10.48</v>
      </c>
    </row>
    <row r="631">
      <c r="A631" s="15">
        <v>46120.668275893935</v>
      </c>
      <c r="B631" s="16" t="s">
        <v>2469</v>
      </c>
      <c r="C631" s="16" t="s">
        <v>2470</v>
      </c>
      <c r="D631" s="17">
        <v>46124.0</v>
      </c>
      <c r="E631" s="16" t="s">
        <v>2471</v>
      </c>
      <c r="F631" s="18">
        <v>107.66</v>
      </c>
      <c r="G631" s="19">
        <v>1.6523</v>
      </c>
      <c r="H631" s="16" t="s">
        <v>162</v>
      </c>
      <c r="I631" s="20">
        <v>1602759.0</v>
      </c>
      <c r="J631" s="19">
        <v>21.7797</v>
      </c>
      <c r="K631" s="21">
        <v>2.3284</v>
      </c>
      <c r="L631" s="21">
        <v>4.8757</v>
      </c>
      <c r="M631" s="16">
        <v>1322210.0</v>
      </c>
      <c r="N631" s="21">
        <v>1.2608</v>
      </c>
      <c r="O631" s="20">
        <v>6.5823329084E10</v>
      </c>
      <c r="P631" s="21">
        <v>85.815</v>
      </c>
      <c r="Q631" s="21">
        <v>78.6285</v>
      </c>
      <c r="R631" s="19">
        <v>62.2213</v>
      </c>
      <c r="S631" s="21">
        <v>104.6269</v>
      </c>
      <c r="T631" s="21">
        <v>104.0421</v>
      </c>
      <c r="U631" s="21">
        <v>104.0406</v>
      </c>
      <c r="V631" s="21">
        <v>103.6342</v>
      </c>
      <c r="W631" s="21">
        <v>103.4626</v>
      </c>
      <c r="X631" s="21">
        <v>102.3049</v>
      </c>
      <c r="Y631" s="21">
        <v>101.1311</v>
      </c>
      <c r="Z631" s="21">
        <v>98.8149</v>
      </c>
      <c r="AA631" s="21">
        <v>113.085</v>
      </c>
      <c r="AB631" s="21">
        <v>19.53</v>
      </c>
      <c r="AC631" s="21">
        <v>5.5125</v>
      </c>
      <c r="AD631" s="21">
        <v>22.1497</v>
      </c>
      <c r="AE631" s="21">
        <v>38.0663</v>
      </c>
      <c r="AF631" s="21">
        <v>6.3781</v>
      </c>
      <c r="AG631" s="21">
        <v>0.9979</v>
      </c>
      <c r="AH631" s="21">
        <v>0.6686</v>
      </c>
      <c r="AI631" s="21">
        <v>0.5446</v>
      </c>
      <c r="AJ631" s="19">
        <v>0.96</v>
      </c>
      <c r="AK631" s="16" t="s">
        <v>1283</v>
      </c>
      <c r="AL631" s="22">
        <f>IFERROR(__xludf.DUMMYFUNCTION("IFERROR(GOOGLEFINANCE(B631,""price""),"""")"),110.09)</f>
        <v>110.09</v>
      </c>
    </row>
    <row r="632">
      <c r="A632" s="7">
        <v>46120.668275893935</v>
      </c>
      <c r="B632" s="8" t="s">
        <v>1467</v>
      </c>
      <c r="C632" s="8" t="s">
        <v>1468</v>
      </c>
      <c r="D632" s="9">
        <v>46124.0</v>
      </c>
      <c r="E632" s="8" t="s">
        <v>1469</v>
      </c>
      <c r="F632" s="10">
        <v>139.0</v>
      </c>
      <c r="G632" s="11">
        <v>4.3935</v>
      </c>
      <c r="H632" s="8" t="s">
        <v>102</v>
      </c>
      <c r="I632" s="12">
        <v>3772492.0</v>
      </c>
      <c r="J632" s="11">
        <v>28.274</v>
      </c>
      <c r="K632" s="13">
        <v>4.228</v>
      </c>
      <c r="L632" s="13">
        <v>7.6143</v>
      </c>
      <c r="M632" s="8">
        <v>3050245.0</v>
      </c>
      <c r="N632" s="13">
        <v>1.2643</v>
      </c>
      <c r="O632" s="12">
        <v>8.5077192633E10</v>
      </c>
      <c r="P632" s="13">
        <v>69.9354</v>
      </c>
      <c r="Q632" s="13">
        <v>64.1687</v>
      </c>
      <c r="R632" s="11">
        <v>58.1341</v>
      </c>
      <c r="S632" s="13">
        <v>134.1917</v>
      </c>
      <c r="T632" s="13">
        <v>133.8372</v>
      </c>
      <c r="U632" s="13">
        <v>133.3594</v>
      </c>
      <c r="V632" s="13">
        <v>131.9337</v>
      </c>
      <c r="W632" s="13">
        <v>131.4115</v>
      </c>
      <c r="X632" s="13">
        <v>127.756</v>
      </c>
      <c r="Y632" s="13">
        <v>117.388</v>
      </c>
      <c r="Z632" s="13">
        <v>116.8242</v>
      </c>
      <c r="AA632" s="13">
        <v>146.49</v>
      </c>
      <c r="AB632" s="13">
        <v>26.1485</v>
      </c>
      <c r="AC632" s="13">
        <v>5.3158</v>
      </c>
      <c r="AD632" s="13">
        <v>13.146</v>
      </c>
      <c r="AE632" s="13">
        <v>13.0805</v>
      </c>
      <c r="AF632" s="13">
        <v>-6.3935</v>
      </c>
      <c r="AG632" s="13">
        <v>0.735</v>
      </c>
      <c r="AH632" s="13">
        <v>0.9638</v>
      </c>
      <c r="AI632" s="13">
        <v>0.5988</v>
      </c>
      <c r="AJ632" s="11">
        <v>1.11</v>
      </c>
      <c r="AK632" s="8" t="s">
        <v>1283</v>
      </c>
      <c r="AL632" s="14">
        <f>IFERROR(__xludf.DUMMYFUNCTION("IFERROR(GOOGLEFINANCE(B632,""price""),"""")"),142.53)</f>
        <v>142.53</v>
      </c>
    </row>
    <row r="633">
      <c r="A633" s="15">
        <v>46120.668275893935</v>
      </c>
      <c r="B633" s="16" t="s">
        <v>2472</v>
      </c>
      <c r="C633" s="16" t="s">
        <v>2473</v>
      </c>
      <c r="D633" s="17">
        <v>46124.0</v>
      </c>
      <c r="E633" s="16" t="s">
        <v>2474</v>
      </c>
      <c r="F633" s="18">
        <v>38.91</v>
      </c>
      <c r="G633" s="19">
        <v>3.4565</v>
      </c>
      <c r="H633" s="16" t="s">
        <v>93</v>
      </c>
      <c r="I633" s="20">
        <v>763497.0</v>
      </c>
      <c r="J633" s="19">
        <v>22.0565</v>
      </c>
      <c r="K633" s="21">
        <v>1.1568</v>
      </c>
      <c r="L633" s="21">
        <v>2.3977</v>
      </c>
      <c r="M633" s="21">
        <v>611775.0</v>
      </c>
      <c r="N633" s="21">
        <v>1.3036</v>
      </c>
      <c r="O633" s="20">
        <v>3.663077087E9</v>
      </c>
      <c r="P633" s="21">
        <v>91.1805</v>
      </c>
      <c r="Q633" s="21">
        <v>94.5422</v>
      </c>
      <c r="R633" s="19">
        <v>65.4722</v>
      </c>
      <c r="S633" s="21">
        <v>37.2191</v>
      </c>
      <c r="T633" s="21">
        <v>36.7971</v>
      </c>
      <c r="U633" s="21">
        <v>36.9753</v>
      </c>
      <c r="V633" s="21">
        <v>37.1015</v>
      </c>
      <c r="W633" s="21">
        <v>37.1156</v>
      </c>
      <c r="X633" s="21">
        <v>37.0718</v>
      </c>
      <c r="Y633" s="21">
        <v>36.595</v>
      </c>
      <c r="Z633" s="21">
        <v>36.9271</v>
      </c>
      <c r="AA633" s="21">
        <v>42.11</v>
      </c>
      <c r="AB633" s="21">
        <v>18.3876</v>
      </c>
      <c r="AC633" s="21">
        <v>2.1161</v>
      </c>
      <c r="AD633" s="21">
        <v>5.5239</v>
      </c>
      <c r="AE633" s="21">
        <v>28.0686</v>
      </c>
      <c r="AF633" s="21">
        <v>32.4466</v>
      </c>
      <c r="AG633" s="21">
        <v>0.2864</v>
      </c>
      <c r="AH633" s="21">
        <v>0.0554</v>
      </c>
      <c r="AI633" s="21">
        <v>0.6265</v>
      </c>
      <c r="AJ633" s="19">
        <v>0.96</v>
      </c>
      <c r="AK633" s="16" t="s">
        <v>1283</v>
      </c>
      <c r="AL633" s="22">
        <f>IFERROR(__xludf.DUMMYFUNCTION("IFERROR(GOOGLEFINANCE(B633,""price""),"""")"),39.4)</f>
        <v>39.4</v>
      </c>
    </row>
    <row r="634">
      <c r="A634" s="7">
        <v>46120.668275893935</v>
      </c>
      <c r="B634" s="8" t="s">
        <v>2475</v>
      </c>
      <c r="C634" s="8" t="s">
        <v>2476</v>
      </c>
      <c r="D634" s="9">
        <v>46124.0</v>
      </c>
      <c r="E634" s="8" t="s">
        <v>2477</v>
      </c>
      <c r="F634" s="10">
        <v>18.39</v>
      </c>
      <c r="G634" s="11">
        <v>4.37</v>
      </c>
      <c r="H634" s="8" t="s">
        <v>917</v>
      </c>
      <c r="I634" s="12">
        <v>2.8103712E7</v>
      </c>
      <c r="J634" s="11">
        <v>22.507</v>
      </c>
      <c r="K634" s="13">
        <v>0.4086</v>
      </c>
      <c r="L634" s="13">
        <v>0.932</v>
      </c>
      <c r="M634" s="8">
        <v>1.8861197E7</v>
      </c>
      <c r="N634" s="13">
        <v>1.5434</v>
      </c>
      <c r="O634" s="12">
        <v>4.0420633768E10</v>
      </c>
      <c r="P634" s="13">
        <v>59.9716</v>
      </c>
      <c r="Q634" s="13">
        <v>47.8549</v>
      </c>
      <c r="R634" s="11">
        <v>62.2968</v>
      </c>
      <c r="S634" s="13">
        <v>17.797</v>
      </c>
      <c r="T634" s="13">
        <v>17.7778</v>
      </c>
      <c r="U634" s="13">
        <v>17.6813</v>
      </c>
      <c r="V634" s="13">
        <v>17.4787</v>
      </c>
      <c r="W634" s="13">
        <v>17.4136</v>
      </c>
      <c r="X634" s="13">
        <v>17.035</v>
      </c>
      <c r="Y634" s="13">
        <v>16.57</v>
      </c>
      <c r="Z634" s="13">
        <v>15.8329</v>
      </c>
      <c r="AA634" s="13">
        <v>19.155</v>
      </c>
      <c r="AB634" s="13">
        <v>15.7813</v>
      </c>
      <c r="AC634" s="13">
        <v>1.1653</v>
      </c>
      <c r="AD634" s="13">
        <v>8.6235</v>
      </c>
      <c r="AE634" s="13">
        <v>19.5869</v>
      </c>
      <c r="AF634" s="13">
        <v>2.1131</v>
      </c>
      <c r="AG634" s="13">
        <v>1.8849</v>
      </c>
      <c r="AH634" s="13">
        <v>0.9712</v>
      </c>
      <c r="AI634" s="13">
        <v>0.6288</v>
      </c>
      <c r="AJ634" s="11">
        <v>0.88</v>
      </c>
      <c r="AK634" s="8" t="s">
        <v>1283</v>
      </c>
      <c r="AL634" s="14">
        <f>IFERROR(__xludf.DUMMYFUNCTION("IFERROR(GOOGLEFINANCE(B634,""price""),"""")"),18.54)</f>
        <v>18.54</v>
      </c>
    </row>
    <row r="635">
      <c r="A635" s="15">
        <v>46120.668275893935</v>
      </c>
      <c r="B635" s="16" t="s">
        <v>1264</v>
      </c>
      <c r="C635" s="16" t="s">
        <v>1265</v>
      </c>
      <c r="D635" s="17">
        <v>46124.0</v>
      </c>
      <c r="E635" s="16" t="s">
        <v>1266</v>
      </c>
      <c r="F635" s="18">
        <v>42.9</v>
      </c>
      <c r="G635" s="19">
        <v>5.3795</v>
      </c>
      <c r="H635" s="16" t="s">
        <v>917</v>
      </c>
      <c r="I635" s="20">
        <v>1834969.0</v>
      </c>
      <c r="J635" s="19">
        <v>22.5684</v>
      </c>
      <c r="K635" s="21">
        <v>1.4115</v>
      </c>
      <c r="L635" s="21">
        <v>2.6879</v>
      </c>
      <c r="M635" s="16">
        <v>1480428.0</v>
      </c>
      <c r="N635" s="21">
        <v>1.2742</v>
      </c>
      <c r="O635" s="20">
        <v>6.242823099E9</v>
      </c>
      <c r="P635" s="21">
        <v>87.4602</v>
      </c>
      <c r="Q635" s="21">
        <v>85.0593</v>
      </c>
      <c r="R635" s="19">
        <v>62.1725</v>
      </c>
      <c r="S635" s="21">
        <v>40.9736</v>
      </c>
      <c r="T635" s="21">
        <v>40.6169</v>
      </c>
      <c r="U635" s="21">
        <v>40.6923</v>
      </c>
      <c r="V635" s="21">
        <v>40.6913</v>
      </c>
      <c r="W635" s="21">
        <v>40.6675</v>
      </c>
      <c r="X635" s="21">
        <v>40.2844</v>
      </c>
      <c r="Y635" s="21">
        <v>38.1238</v>
      </c>
      <c r="Z635" s="21">
        <v>38.2778</v>
      </c>
      <c r="AA635" s="21">
        <v>45.18</v>
      </c>
      <c r="AB635" s="21">
        <v>0.0</v>
      </c>
      <c r="AC635" s="21">
        <v>-18.0943</v>
      </c>
      <c r="AD635" s="21">
        <v>-473.8159</v>
      </c>
      <c r="AE635" s="21">
        <v>23.6753</v>
      </c>
      <c r="AF635" s="21">
        <v>-8.1235</v>
      </c>
      <c r="AG635" s="21">
        <v>0.0</v>
      </c>
      <c r="AH635" s="21">
        <v>0.2552</v>
      </c>
      <c r="AI635" s="21">
        <v>0.6556</v>
      </c>
      <c r="AJ635" s="19">
        <v>1.05</v>
      </c>
      <c r="AK635" s="16" t="s">
        <v>1283</v>
      </c>
      <c r="AL635" s="22">
        <f>IFERROR(__xludf.DUMMYFUNCTION("IFERROR(GOOGLEFINANCE(B635,""price""),"""")"),42.56)</f>
        <v>42.56</v>
      </c>
    </row>
    <row r="636">
      <c r="A636" s="7">
        <v>46120.668275893935</v>
      </c>
      <c r="B636" s="8" t="s">
        <v>2405</v>
      </c>
      <c r="C636" s="8" t="s">
        <v>2406</v>
      </c>
      <c r="D636" s="9">
        <v>46124.0</v>
      </c>
      <c r="E636" s="8" t="s">
        <v>2407</v>
      </c>
      <c r="F636" s="10">
        <v>3.77</v>
      </c>
      <c r="G636" s="11">
        <v>0.8021</v>
      </c>
      <c r="H636" s="8" t="s">
        <v>93</v>
      </c>
      <c r="I636" s="12">
        <v>949438.0</v>
      </c>
      <c r="J636" s="11">
        <v>20.5726</v>
      </c>
      <c r="K636" s="13">
        <v>0.1983</v>
      </c>
      <c r="L636" s="13">
        <v>0.5702</v>
      </c>
      <c r="M636" s="13">
        <v>544608.9</v>
      </c>
      <c r="N636" s="13">
        <v>1.9023</v>
      </c>
      <c r="O636" s="12">
        <v>7.09528436E8</v>
      </c>
      <c r="P636" s="13">
        <v>78.4314</v>
      </c>
      <c r="Q636" s="13">
        <v>76.4706</v>
      </c>
      <c r="R636" s="11">
        <v>56.1758</v>
      </c>
      <c r="S636" s="13">
        <v>3.6893</v>
      </c>
      <c r="T636" s="13">
        <v>3.6507</v>
      </c>
      <c r="U636" s="13">
        <v>3.6634</v>
      </c>
      <c r="V636" s="13">
        <v>3.6809</v>
      </c>
      <c r="W636" s="13">
        <v>3.6837</v>
      </c>
      <c r="X636" s="13">
        <v>3.6677</v>
      </c>
      <c r="Y636" s="13">
        <v>3.4771</v>
      </c>
      <c r="Z636" s="13">
        <v>3.6124</v>
      </c>
      <c r="AA636" s="13">
        <v>5.09</v>
      </c>
      <c r="AB636" s="13">
        <v>0.0</v>
      </c>
      <c r="AC636" s="13">
        <v>-0.0262</v>
      </c>
      <c r="AD636" s="13">
        <v>-3.6782</v>
      </c>
      <c r="AE636" s="13">
        <v>-114.6773</v>
      </c>
      <c r="AF636" s="13">
        <v>181.4123</v>
      </c>
      <c r="AG636" s="13">
        <v>0.0055</v>
      </c>
      <c r="AH636" s="13">
        <v>2.1734</v>
      </c>
      <c r="AI636" s="13">
        <v>0.6882</v>
      </c>
      <c r="AJ636" s="11">
        <v>0.7</v>
      </c>
      <c r="AK636" s="8" t="s">
        <v>2478</v>
      </c>
      <c r="AL636" s="14">
        <f>IFERROR(__xludf.DUMMYFUNCTION("IFERROR(GOOGLEFINANCE(B636,""price""),"""")"),3.28)</f>
        <v>3.28</v>
      </c>
    </row>
    <row r="637">
      <c r="A637" s="15">
        <v>46120.668275893935</v>
      </c>
      <c r="B637" s="16" t="s">
        <v>2479</v>
      </c>
      <c r="C637" s="16" t="s">
        <v>2480</v>
      </c>
      <c r="D637" s="17">
        <v>46124.0</v>
      </c>
      <c r="E637" s="16" t="s">
        <v>2481</v>
      </c>
      <c r="F637" s="18">
        <v>81.56</v>
      </c>
      <c r="G637" s="19">
        <v>4.2167</v>
      </c>
      <c r="H637" s="16" t="s">
        <v>93</v>
      </c>
      <c r="I637" s="20">
        <v>827456.0</v>
      </c>
      <c r="J637" s="19">
        <v>20.4074</v>
      </c>
      <c r="K637" s="21">
        <v>3.2144</v>
      </c>
      <c r="L637" s="21">
        <v>6.4623</v>
      </c>
      <c r="M637" s="21">
        <v>620358.9</v>
      </c>
      <c r="N637" s="21">
        <v>1.3224</v>
      </c>
      <c r="O637" s="20">
        <v>5.814391476E9</v>
      </c>
      <c r="P637" s="21">
        <v>76.5772</v>
      </c>
      <c r="Q637" s="21">
        <v>74.6922</v>
      </c>
      <c r="R637" s="19">
        <v>64.7758</v>
      </c>
      <c r="S637" s="21">
        <v>77.7258</v>
      </c>
      <c r="T637" s="21">
        <v>76.3963</v>
      </c>
      <c r="U637" s="21">
        <v>77.1302</v>
      </c>
      <c r="V637" s="21">
        <v>78.3979</v>
      </c>
      <c r="W637" s="21">
        <v>78.7479</v>
      </c>
      <c r="X637" s="21">
        <v>80.2564</v>
      </c>
      <c r="Y637" s="21">
        <v>79.6886</v>
      </c>
      <c r="Z637" s="21">
        <v>82.1709</v>
      </c>
      <c r="AA637" s="21">
        <v>95.065</v>
      </c>
      <c r="AB637" s="21">
        <v>20.6335</v>
      </c>
      <c r="AC637" s="21">
        <v>3.9528</v>
      </c>
      <c r="AD637" s="21">
        <v>21.6505</v>
      </c>
      <c r="AE637" s="21">
        <v>20.1907</v>
      </c>
      <c r="AF637" s="21">
        <v>24.6388</v>
      </c>
      <c r="AG637" s="21">
        <v>0.0849</v>
      </c>
      <c r="AH637" s="21">
        <v>1.0462</v>
      </c>
      <c r="AI637" s="21">
        <v>0.7303</v>
      </c>
      <c r="AJ637" s="19">
        <v>0.99</v>
      </c>
      <c r="AK637" s="16" t="s">
        <v>1283</v>
      </c>
      <c r="AL637" s="22">
        <f>IFERROR(__xludf.DUMMYFUNCTION("IFERROR(GOOGLEFINANCE(B637,""price""),"""")"),83.47)</f>
        <v>83.47</v>
      </c>
    </row>
    <row r="638">
      <c r="A638" s="7">
        <v>46120.668275893935</v>
      </c>
      <c r="B638" s="8" t="s">
        <v>2482</v>
      </c>
      <c r="C638" s="8" t="s">
        <v>2483</v>
      </c>
      <c r="D638" s="9">
        <v>46124.0</v>
      </c>
      <c r="E638" s="8" t="s">
        <v>2484</v>
      </c>
      <c r="F638" s="10">
        <v>326.02</v>
      </c>
      <c r="G638" s="11">
        <v>6.2266</v>
      </c>
      <c r="H638" s="8" t="s">
        <v>93</v>
      </c>
      <c r="I638" s="12">
        <v>709358.0</v>
      </c>
      <c r="J638" s="11">
        <v>26.333</v>
      </c>
      <c r="K638" s="13">
        <v>13.8423</v>
      </c>
      <c r="L638" s="13">
        <v>26.7264</v>
      </c>
      <c r="M638" s="13">
        <v>543660.2</v>
      </c>
      <c r="N638" s="13">
        <v>1.2858</v>
      </c>
      <c r="O638" s="12">
        <v>1.2912183528E10</v>
      </c>
      <c r="P638" s="13">
        <v>89.575</v>
      </c>
      <c r="Q638" s="13">
        <v>87.7993</v>
      </c>
      <c r="R638" s="11">
        <v>66.9903</v>
      </c>
      <c r="S638" s="13">
        <v>304.1058</v>
      </c>
      <c r="T638" s="13">
        <v>297.3728</v>
      </c>
      <c r="U638" s="13">
        <v>301.6288</v>
      </c>
      <c r="V638" s="13">
        <v>307.712</v>
      </c>
      <c r="W638" s="13">
        <v>309.2472</v>
      </c>
      <c r="X638" s="13">
        <v>314.9188</v>
      </c>
      <c r="Y638" s="13">
        <v>308.219</v>
      </c>
      <c r="Z638" s="13">
        <v>318.713</v>
      </c>
      <c r="AA638" s="13">
        <v>388.71</v>
      </c>
      <c r="AB638" s="13">
        <v>23.2802</v>
      </c>
      <c r="AC638" s="13">
        <v>14.0042</v>
      </c>
      <c r="AD638" s="13">
        <v>31.6602</v>
      </c>
      <c r="AE638" s="13">
        <v>21.2383</v>
      </c>
      <c r="AF638" s="13">
        <v>29.4932</v>
      </c>
      <c r="AG638" s="13">
        <v>0.5686</v>
      </c>
      <c r="AH638" s="13">
        <v>2.1634</v>
      </c>
      <c r="AI638" s="13">
        <v>0.7598</v>
      </c>
      <c r="AJ638" s="11">
        <v>1.04</v>
      </c>
      <c r="AK638" s="8" t="s">
        <v>1283</v>
      </c>
      <c r="AL638" s="14">
        <f>IFERROR(__xludf.DUMMYFUNCTION("IFERROR(GOOGLEFINANCE(B638,""price""),"""")"),337.9)</f>
        <v>337.9</v>
      </c>
    </row>
    <row r="639">
      <c r="A639" s="15">
        <v>46120.668275893935</v>
      </c>
      <c r="B639" s="16" t="s">
        <v>2057</v>
      </c>
      <c r="C639" s="16" t="s">
        <v>2058</v>
      </c>
      <c r="D639" s="17">
        <v>46124.0</v>
      </c>
      <c r="E639" s="16" t="s">
        <v>2059</v>
      </c>
      <c r="F639" s="18">
        <v>14.46</v>
      </c>
      <c r="G639" s="19">
        <v>-0.0691</v>
      </c>
      <c r="H639" s="16" t="s">
        <v>117</v>
      </c>
      <c r="I639" s="20">
        <v>2982563.0</v>
      </c>
      <c r="J639" s="19">
        <v>66.9061</v>
      </c>
      <c r="K639" s="21">
        <v>0.0278</v>
      </c>
      <c r="L639" s="21">
        <v>0.3303</v>
      </c>
      <c r="M639" s="16">
        <v>2430198.0</v>
      </c>
      <c r="N639" s="21">
        <v>1.2063</v>
      </c>
      <c r="O639" s="20">
        <v>4.540450675E9</v>
      </c>
      <c r="P639" s="21">
        <v>90.2357</v>
      </c>
      <c r="Q639" s="21">
        <v>86.8687</v>
      </c>
      <c r="R639" s="19">
        <v>68.2394</v>
      </c>
      <c r="S639" s="21">
        <v>14.4464</v>
      </c>
      <c r="T639" s="21">
        <v>14.4128</v>
      </c>
      <c r="U639" s="21">
        <v>14.3361</v>
      </c>
      <c r="V639" s="21">
        <v>14.1237</v>
      </c>
      <c r="W639" s="21">
        <v>14.0352</v>
      </c>
      <c r="X639" s="21">
        <v>13.3195</v>
      </c>
      <c r="Y639" s="21">
        <v>11.543</v>
      </c>
      <c r="Z639" s="21">
        <v>10.3266</v>
      </c>
      <c r="AA639" s="21">
        <v>14.48</v>
      </c>
      <c r="AB639" s="21">
        <v>0.0</v>
      </c>
      <c r="AC639" s="21">
        <v>-0.0886</v>
      </c>
      <c r="AD639" s="21">
        <v>-11.5784</v>
      </c>
      <c r="AE639" s="21">
        <v>5.4384</v>
      </c>
      <c r="AF639" s="21">
        <v>20.0485</v>
      </c>
      <c r="AG639" s="21">
        <v>1.613</v>
      </c>
      <c r="AH639" s="21">
        <v>2.8431</v>
      </c>
      <c r="AI639" s="21">
        <v>0.7628</v>
      </c>
      <c r="AJ639" s="19">
        <v>0.17</v>
      </c>
      <c r="AK639" s="16" t="s">
        <v>2485</v>
      </c>
      <c r="AL639" s="22">
        <f>IFERROR(__xludf.DUMMYFUNCTION("IFERROR(GOOGLEFINANCE(B639,""price""),"""")"),14.46)</f>
        <v>14.46</v>
      </c>
    </row>
    <row r="640">
      <c r="A640" s="7">
        <v>46120.668275893935</v>
      </c>
      <c r="B640" s="8" t="s">
        <v>2344</v>
      </c>
      <c r="C640" s="8" t="s">
        <v>2345</v>
      </c>
      <c r="D640" s="9">
        <v>46124.0</v>
      </c>
      <c r="E640" s="8" t="s">
        <v>2346</v>
      </c>
      <c r="F640" s="10">
        <v>73.01</v>
      </c>
      <c r="G640" s="11">
        <v>-1.3911</v>
      </c>
      <c r="H640" s="8" t="s">
        <v>270</v>
      </c>
      <c r="I640" s="12">
        <v>8872432.0</v>
      </c>
      <c r="J640" s="11">
        <v>21.3428</v>
      </c>
      <c r="K640" s="13">
        <v>1.762</v>
      </c>
      <c r="L640" s="13">
        <v>3.212</v>
      </c>
      <c r="M640" s="8">
        <v>6426364.0</v>
      </c>
      <c r="N640" s="13">
        <v>1.4759</v>
      </c>
      <c r="O640" s="12">
        <v>8.9280794738E10</v>
      </c>
      <c r="P640" s="13">
        <v>49.9974</v>
      </c>
      <c r="Q640" s="13">
        <v>38.888</v>
      </c>
      <c r="R640" s="11">
        <v>50.8563</v>
      </c>
      <c r="S640" s="13">
        <v>73.0155</v>
      </c>
      <c r="T640" s="13">
        <v>73.0668</v>
      </c>
      <c r="U640" s="13">
        <v>72.4254</v>
      </c>
      <c r="V640" s="13">
        <v>71.2443</v>
      </c>
      <c r="W640" s="13">
        <v>70.8677</v>
      </c>
      <c r="X640" s="13">
        <v>68.6345</v>
      </c>
      <c r="Y640" s="13">
        <v>64.2199</v>
      </c>
      <c r="Z640" s="13">
        <v>62.9139</v>
      </c>
      <c r="AA640" s="13">
        <v>76.87</v>
      </c>
      <c r="AB640" s="13">
        <v>34.2031</v>
      </c>
      <c r="AC640" s="13">
        <v>2.1346</v>
      </c>
      <c r="AD640" s="13">
        <v>20.7424</v>
      </c>
      <c r="AE640" s="13">
        <v>35.471</v>
      </c>
      <c r="AF640" s="13">
        <v>9.774</v>
      </c>
      <c r="AG640" s="13">
        <v>2.3069</v>
      </c>
      <c r="AH640" s="13">
        <v>0.5313</v>
      </c>
      <c r="AI640" s="13">
        <v>0.8083</v>
      </c>
      <c r="AJ640" s="11">
        <v>1.1</v>
      </c>
      <c r="AK640" s="8" t="s">
        <v>1283</v>
      </c>
      <c r="AL640" s="14">
        <f>IFERROR(__xludf.DUMMYFUNCTION("IFERROR(GOOGLEFINANCE(B640,""price""),"""")"),72.74)</f>
        <v>72.74</v>
      </c>
    </row>
    <row r="641">
      <c r="A641" s="15">
        <v>46120.668275893935</v>
      </c>
      <c r="B641" s="16" t="s">
        <v>2486</v>
      </c>
      <c r="C641" s="16" t="s">
        <v>2487</v>
      </c>
      <c r="D641" s="17">
        <v>46124.0</v>
      </c>
      <c r="E641" s="16" t="s">
        <v>2488</v>
      </c>
      <c r="F641" s="18">
        <v>33.46</v>
      </c>
      <c r="G641" s="19">
        <v>3.0807</v>
      </c>
      <c r="H641" s="16" t="s">
        <v>93</v>
      </c>
      <c r="I641" s="20">
        <v>950307.0</v>
      </c>
      <c r="J641" s="19">
        <v>21.7727</v>
      </c>
      <c r="K641" s="21">
        <v>0.8001</v>
      </c>
      <c r="L641" s="21">
        <v>1.8248</v>
      </c>
      <c r="M641" s="21">
        <v>757968.0</v>
      </c>
      <c r="N641" s="21">
        <v>1.294</v>
      </c>
      <c r="O641" s="20">
        <v>4.002256959E9</v>
      </c>
      <c r="P641" s="21">
        <v>96.7828</v>
      </c>
      <c r="Q641" s="21">
        <v>95.6494</v>
      </c>
      <c r="R641" s="19">
        <v>67.7064</v>
      </c>
      <c r="S641" s="21">
        <v>32.1596</v>
      </c>
      <c r="T641" s="21">
        <v>31.7124</v>
      </c>
      <c r="U641" s="21">
        <v>31.886</v>
      </c>
      <c r="V641" s="21">
        <v>32.0748</v>
      </c>
      <c r="W641" s="21">
        <v>32.1087</v>
      </c>
      <c r="X641" s="21">
        <v>32.1373</v>
      </c>
      <c r="Y641" s="21">
        <v>31.6298</v>
      </c>
      <c r="Z641" s="21">
        <v>31.733</v>
      </c>
      <c r="AA641" s="21">
        <v>36.77</v>
      </c>
      <c r="AB641" s="21">
        <v>12.7759</v>
      </c>
      <c r="AC641" s="21">
        <v>2.619</v>
      </c>
      <c r="AD641" s="21">
        <v>9.2259</v>
      </c>
      <c r="AE641" s="21">
        <v>41.1297</v>
      </c>
      <c r="AF641" s="21">
        <v>3.5444</v>
      </c>
      <c r="AG641" s="21">
        <v>0.067</v>
      </c>
      <c r="AH641" s="21">
        <v>0.0305</v>
      </c>
      <c r="AI641" s="21">
        <v>0.8178</v>
      </c>
      <c r="AJ641" s="19">
        <v>0.88</v>
      </c>
      <c r="AK641" s="16" t="s">
        <v>1283</v>
      </c>
      <c r="AL641" s="22">
        <f>IFERROR(__xludf.DUMMYFUNCTION("IFERROR(GOOGLEFINANCE(B641,""price""),"""")"),33.99)</f>
        <v>33.99</v>
      </c>
    </row>
    <row r="642">
      <c r="A642" s="7">
        <v>46120.668275893935</v>
      </c>
      <c r="B642" s="8" t="s">
        <v>2489</v>
      </c>
      <c r="C642" s="8" t="s">
        <v>2490</v>
      </c>
      <c r="D642" s="9">
        <v>46124.0</v>
      </c>
      <c r="E642" s="8" t="s">
        <v>2491</v>
      </c>
      <c r="F642" s="10">
        <v>63.13</v>
      </c>
      <c r="G642" s="11">
        <v>4.5545</v>
      </c>
      <c r="H642" s="8" t="s">
        <v>102</v>
      </c>
      <c r="I642" s="12">
        <v>1.4141872E7</v>
      </c>
      <c r="J642" s="11">
        <v>22.3418</v>
      </c>
      <c r="K642" s="13">
        <v>2.3714</v>
      </c>
      <c r="L642" s="13">
        <v>3.9332</v>
      </c>
      <c r="M642" s="8">
        <v>2384778.0</v>
      </c>
      <c r="N642" s="13">
        <v>13.5981</v>
      </c>
      <c r="O642" s="12">
        <v>5.145637421E9</v>
      </c>
      <c r="P642" s="13">
        <v>90.2024</v>
      </c>
      <c r="Q642" s="13">
        <v>78.4312</v>
      </c>
      <c r="R642" s="11">
        <v>61.8201</v>
      </c>
      <c r="S642" s="13">
        <v>59.6516</v>
      </c>
      <c r="T642" s="13">
        <v>59.0949</v>
      </c>
      <c r="U642" s="13">
        <v>59.128</v>
      </c>
      <c r="V642" s="13">
        <v>58.7356</v>
      </c>
      <c r="W642" s="13">
        <v>58.5365</v>
      </c>
      <c r="X642" s="13">
        <v>56.7799</v>
      </c>
      <c r="Y642" s="13">
        <v>51.331</v>
      </c>
      <c r="Z642" s="13">
        <v>49.5168</v>
      </c>
      <c r="AA642" s="13">
        <v>66.5</v>
      </c>
      <c r="AB642" s="13">
        <v>25.2107</v>
      </c>
      <c r="AC642" s="13">
        <v>2.5041</v>
      </c>
      <c r="AD642" s="13">
        <v>68.4601</v>
      </c>
      <c r="AE642" s="13">
        <v>16.3691</v>
      </c>
      <c r="AF642" s="13">
        <v>5.672</v>
      </c>
      <c r="AG642" s="13">
        <v>1.6196</v>
      </c>
      <c r="AH642" s="13">
        <v>2.4237</v>
      </c>
      <c r="AI642" s="13">
        <v>0.8295</v>
      </c>
      <c r="AJ642" s="11">
        <v>1.21</v>
      </c>
      <c r="AK642" s="8" t="s">
        <v>2492</v>
      </c>
      <c r="AL642" s="14">
        <f>IFERROR(__xludf.DUMMYFUNCTION("IFERROR(GOOGLEFINANCE(B642,""price""),"""")"),63.2)</f>
        <v>63.2</v>
      </c>
    </row>
    <row r="643">
      <c r="A643" s="15">
        <v>46120.668275893935</v>
      </c>
      <c r="B643" s="16" t="s">
        <v>1152</v>
      </c>
      <c r="C643" s="16" t="s">
        <v>1153</v>
      </c>
      <c r="D643" s="17">
        <v>46124.0</v>
      </c>
      <c r="E643" s="16" t="s">
        <v>1154</v>
      </c>
      <c r="F643" s="18">
        <v>27.43</v>
      </c>
      <c r="G643" s="19">
        <v>1.4798</v>
      </c>
      <c r="H643" s="16" t="s">
        <v>93</v>
      </c>
      <c r="I643" s="20">
        <v>2407485.0</v>
      </c>
      <c r="J643" s="19">
        <v>23.7446</v>
      </c>
      <c r="K643" s="21">
        <v>0.5386</v>
      </c>
      <c r="L643" s="21">
        <v>1.1786</v>
      </c>
      <c r="M643" s="16">
        <v>1808667.0</v>
      </c>
      <c r="N643" s="21">
        <v>1.3941</v>
      </c>
      <c r="O643" s="20">
        <v>5.896170647E9</v>
      </c>
      <c r="P643" s="21">
        <v>91.7718</v>
      </c>
      <c r="Q643" s="21">
        <v>88.6114</v>
      </c>
      <c r="R643" s="19">
        <v>65.4402</v>
      </c>
      <c r="S643" s="21">
        <v>26.7176</v>
      </c>
      <c r="T643" s="21">
        <v>26.4392</v>
      </c>
      <c r="U643" s="21">
        <v>26.4834</v>
      </c>
      <c r="V643" s="21">
        <v>26.6288</v>
      </c>
      <c r="W643" s="21">
        <v>26.6758</v>
      </c>
      <c r="X643" s="21">
        <v>26.9151</v>
      </c>
      <c r="Y643" s="21">
        <v>26.8559</v>
      </c>
      <c r="Z643" s="21">
        <v>27.3637</v>
      </c>
      <c r="AA643" s="21">
        <v>29.97</v>
      </c>
      <c r="AB643" s="21">
        <v>8.7351</v>
      </c>
      <c r="AC643" s="21">
        <v>3.1402</v>
      </c>
      <c r="AD643" s="21">
        <v>14.3092</v>
      </c>
      <c r="AE643" s="21">
        <v>79.4423</v>
      </c>
      <c r="AF643" s="21">
        <v>0.4889</v>
      </c>
      <c r="AG643" s="21">
        <v>0.1255</v>
      </c>
      <c r="AH643" s="21">
        <v>3.7247</v>
      </c>
      <c r="AI643" s="21">
        <v>0.8538</v>
      </c>
      <c r="AJ643" s="19">
        <v>0.91</v>
      </c>
      <c r="AK643" s="16" t="s">
        <v>1283</v>
      </c>
      <c r="AL643" s="22">
        <f>IFERROR(__xludf.DUMMYFUNCTION("IFERROR(GOOGLEFINANCE(B643,""price""),"""")"),27.2)</f>
        <v>27.2</v>
      </c>
    </row>
    <row r="644">
      <c r="A644" s="7">
        <v>46120.668275893935</v>
      </c>
      <c r="B644" s="8" t="s">
        <v>2493</v>
      </c>
      <c r="C644" s="8" t="s">
        <v>2494</v>
      </c>
      <c r="D644" s="9">
        <v>46124.0</v>
      </c>
      <c r="E644" s="8" t="s">
        <v>2495</v>
      </c>
      <c r="F644" s="10">
        <v>79.01</v>
      </c>
      <c r="G644" s="11">
        <v>-0.5788</v>
      </c>
      <c r="H644" s="8" t="s">
        <v>117</v>
      </c>
      <c r="I644" s="12">
        <v>716259.0</v>
      </c>
      <c r="J644" s="11">
        <v>20.017</v>
      </c>
      <c r="K644" s="13">
        <v>2.8428</v>
      </c>
      <c r="L644" s="13">
        <v>5.9138</v>
      </c>
      <c r="M644" s="13">
        <v>340864.5</v>
      </c>
      <c r="N644" s="13">
        <v>2.4596</v>
      </c>
      <c r="O644" s="12">
        <v>1.771796785E9</v>
      </c>
      <c r="P644" s="13">
        <v>77.1382</v>
      </c>
      <c r="Q644" s="13">
        <v>72.1768</v>
      </c>
      <c r="R644" s="11">
        <v>59.1241</v>
      </c>
      <c r="S644" s="13">
        <v>76.7961</v>
      </c>
      <c r="T644" s="13">
        <v>75.7411</v>
      </c>
      <c r="U644" s="13">
        <v>76.0616</v>
      </c>
      <c r="V644" s="13">
        <v>76.8565</v>
      </c>
      <c r="W644" s="13">
        <v>77.1178</v>
      </c>
      <c r="X644" s="13">
        <v>78.5069</v>
      </c>
      <c r="Y644" s="13">
        <v>78.0939</v>
      </c>
      <c r="Z644" s="13">
        <v>81.5124</v>
      </c>
      <c r="AA644" s="13">
        <v>99.5</v>
      </c>
      <c r="AB644" s="13">
        <v>23.5731</v>
      </c>
      <c r="AC644" s="13">
        <v>3.3517</v>
      </c>
      <c r="AD644" s="13">
        <v>15.1139</v>
      </c>
      <c r="AE644" s="13">
        <v>9.1955</v>
      </c>
      <c r="AF644" s="13">
        <v>43.7826</v>
      </c>
      <c r="AG644" s="13">
        <v>1.1619</v>
      </c>
      <c r="AH644" s="13">
        <v>2.7072</v>
      </c>
      <c r="AI644" s="13">
        <v>0.9296</v>
      </c>
      <c r="AJ644" s="11">
        <v>0.96</v>
      </c>
      <c r="AK644" s="8" t="s">
        <v>1688</v>
      </c>
      <c r="AL644" s="14">
        <f>IFERROR(__xludf.DUMMYFUNCTION("IFERROR(GOOGLEFINANCE(B644,""price""),"""")"),78.36)</f>
        <v>78.36</v>
      </c>
    </row>
    <row r="645">
      <c r="A645" s="15">
        <v>46120.668275893935</v>
      </c>
      <c r="B645" s="16" t="s">
        <v>2496</v>
      </c>
      <c r="C645" s="16" t="s">
        <v>2497</v>
      </c>
      <c r="D645" s="17">
        <v>46124.0</v>
      </c>
      <c r="E645" s="16" t="s">
        <v>2498</v>
      </c>
      <c r="F645" s="18">
        <v>22.06</v>
      </c>
      <c r="G645" s="19">
        <v>2.0824</v>
      </c>
      <c r="H645" s="16" t="s">
        <v>93</v>
      </c>
      <c r="I645" s="20">
        <v>1229416.0</v>
      </c>
      <c r="J645" s="19">
        <v>22.2169</v>
      </c>
      <c r="K645" s="21">
        <v>0.5481</v>
      </c>
      <c r="L645" s="21">
        <v>1.2298</v>
      </c>
      <c r="M645" s="21">
        <v>831645.0</v>
      </c>
      <c r="N645" s="21">
        <v>1.5381</v>
      </c>
      <c r="O645" s="20">
        <v>2.883160218E9</v>
      </c>
      <c r="P645" s="21">
        <v>91.9413</v>
      </c>
      <c r="Q645" s="21">
        <v>90.9128</v>
      </c>
      <c r="R645" s="19">
        <v>66.681</v>
      </c>
      <c r="S645" s="21">
        <v>21.403</v>
      </c>
      <c r="T645" s="21">
        <v>21.165</v>
      </c>
      <c r="U645" s="21">
        <v>21.1917</v>
      </c>
      <c r="V645" s="21">
        <v>21.1679</v>
      </c>
      <c r="W645" s="21">
        <v>21.1446</v>
      </c>
      <c r="X645" s="21">
        <v>20.8929</v>
      </c>
      <c r="Y645" s="21">
        <v>20.0441</v>
      </c>
      <c r="Z645" s="21">
        <v>19.857</v>
      </c>
      <c r="AA645" s="21">
        <v>23.9789</v>
      </c>
      <c r="AB645" s="21">
        <v>9.8884</v>
      </c>
      <c r="AC645" s="21">
        <v>2.2309</v>
      </c>
      <c r="AD645" s="21">
        <v>10.7154</v>
      </c>
      <c r="AE645" s="21">
        <v>46.8833</v>
      </c>
      <c r="AF645" s="21">
        <v>21.3199</v>
      </c>
      <c r="AG645" s="21">
        <v>0.9105</v>
      </c>
      <c r="AH645" s="21">
        <v>0.0181</v>
      </c>
      <c r="AI645" s="21">
        <v>0.9582</v>
      </c>
      <c r="AJ645" s="19">
        <v>0.89</v>
      </c>
      <c r="AK645" s="16" t="s">
        <v>1283</v>
      </c>
      <c r="AL645" s="22">
        <f>IFERROR(__xludf.DUMMYFUNCTION("IFERROR(GOOGLEFINANCE(B645,""price""),"""")"),22.05)</f>
        <v>22.05</v>
      </c>
    </row>
    <row r="646">
      <c r="A646" s="7">
        <v>46120.668275893935</v>
      </c>
      <c r="B646" s="8" t="s">
        <v>2499</v>
      </c>
      <c r="C646" s="8" t="s">
        <v>2500</v>
      </c>
      <c r="D646" s="9">
        <v>46124.0</v>
      </c>
      <c r="E646" s="8" t="s">
        <v>2501</v>
      </c>
      <c r="F646" s="10">
        <v>41.71</v>
      </c>
      <c r="G646" s="11">
        <v>3.5244</v>
      </c>
      <c r="H646" s="8" t="s">
        <v>93</v>
      </c>
      <c r="I646" s="12">
        <v>3821910.0</v>
      </c>
      <c r="J646" s="11">
        <v>21.211</v>
      </c>
      <c r="K646" s="13">
        <v>1.2842</v>
      </c>
      <c r="L646" s="13">
        <v>2.6609</v>
      </c>
      <c r="M646" s="8">
        <v>3009266.0</v>
      </c>
      <c r="N646" s="13">
        <v>1.2917</v>
      </c>
      <c r="O646" s="12">
        <v>1.2843270225E10</v>
      </c>
      <c r="P646" s="13">
        <v>93.947</v>
      </c>
      <c r="Q646" s="13">
        <v>93.1376</v>
      </c>
      <c r="R646" s="11">
        <v>64.3199</v>
      </c>
      <c r="S646" s="13">
        <v>40.0282</v>
      </c>
      <c r="T646" s="13">
        <v>39.4071</v>
      </c>
      <c r="U646" s="13">
        <v>39.626</v>
      </c>
      <c r="V646" s="13">
        <v>40.0336</v>
      </c>
      <c r="W646" s="13">
        <v>40.1419</v>
      </c>
      <c r="X646" s="13">
        <v>40.5523</v>
      </c>
      <c r="Y646" s="13">
        <v>40.1909</v>
      </c>
      <c r="Z646" s="13">
        <v>40.7238</v>
      </c>
      <c r="AA646" s="13">
        <v>47.27</v>
      </c>
      <c r="AB646" s="13">
        <v>17.7105</v>
      </c>
      <c r="AC646" s="13">
        <v>2.3551</v>
      </c>
      <c r="AD646" s="13">
        <v>5.7957</v>
      </c>
      <c r="AE646" s="13">
        <v>14.9541</v>
      </c>
      <c r="AF646" s="13">
        <v>-7.6998</v>
      </c>
      <c r="AG646" s="13">
        <v>1.4124</v>
      </c>
      <c r="AH646" s="13">
        <v>0.299</v>
      </c>
      <c r="AI646" s="13">
        <v>0.9643</v>
      </c>
      <c r="AJ646" s="11">
        <v>0.97</v>
      </c>
      <c r="AK646" s="8" t="s">
        <v>1283</v>
      </c>
      <c r="AL646" s="14">
        <f>IFERROR(__xludf.DUMMYFUNCTION("IFERROR(GOOGLEFINANCE(B646,""price""),"""")"),41.27)</f>
        <v>41.27</v>
      </c>
    </row>
    <row r="647">
      <c r="A647" s="15">
        <v>46120.668275893935</v>
      </c>
      <c r="B647" s="16" t="s">
        <v>2502</v>
      </c>
      <c r="C647" s="16" t="s">
        <v>2503</v>
      </c>
      <c r="D647" s="17">
        <v>46124.0</v>
      </c>
      <c r="E647" s="16" t="s">
        <v>2504</v>
      </c>
      <c r="F647" s="18">
        <v>44.6</v>
      </c>
      <c r="G647" s="19">
        <v>1.4559</v>
      </c>
      <c r="H647" s="16" t="s">
        <v>93</v>
      </c>
      <c r="I647" s="20">
        <v>389950.0</v>
      </c>
      <c r="J647" s="19">
        <v>23.6973</v>
      </c>
      <c r="K647" s="21">
        <v>0.9838</v>
      </c>
      <c r="L647" s="21">
        <v>2.07</v>
      </c>
      <c r="M647" s="21">
        <v>228932.0</v>
      </c>
      <c r="N647" s="21">
        <v>1.7958</v>
      </c>
      <c r="O647" s="20">
        <v>1.804049921E9</v>
      </c>
      <c r="P647" s="21">
        <v>92.1952</v>
      </c>
      <c r="Q647" s="21">
        <v>87.3014</v>
      </c>
      <c r="R647" s="19">
        <v>64.5704</v>
      </c>
      <c r="S647" s="21">
        <v>43.4902</v>
      </c>
      <c r="T647" s="21">
        <v>43.0385</v>
      </c>
      <c r="U647" s="21">
        <v>43.0477</v>
      </c>
      <c r="V647" s="21">
        <v>43.2043</v>
      </c>
      <c r="W647" s="21">
        <v>43.2598</v>
      </c>
      <c r="X647" s="21">
        <v>43.5611</v>
      </c>
      <c r="Y647" s="21">
        <v>43.425</v>
      </c>
      <c r="Z647" s="21">
        <v>44.1078</v>
      </c>
      <c r="AA647" s="21">
        <v>48.325</v>
      </c>
      <c r="AB647" s="21">
        <v>11.4465</v>
      </c>
      <c r="AC647" s="21">
        <v>3.8964</v>
      </c>
      <c r="AD647" s="21">
        <v>11.7031</v>
      </c>
      <c r="AE647" s="21">
        <v>13.965</v>
      </c>
      <c r="AF647" s="21">
        <v>6.6575</v>
      </c>
      <c r="AG647" s="21">
        <v>0.4002</v>
      </c>
      <c r="AH647" s="21">
        <v>0.0</v>
      </c>
      <c r="AI647" s="21">
        <v>0.9922</v>
      </c>
      <c r="AJ647" s="19">
        <v>0.95</v>
      </c>
      <c r="AK647" s="16" t="s">
        <v>1283</v>
      </c>
      <c r="AL647" s="22">
        <f>IFERROR(__xludf.DUMMYFUNCTION("IFERROR(GOOGLEFINANCE(B647,""price""),"""")"),44.22)</f>
        <v>44.22</v>
      </c>
    </row>
    <row r="648">
      <c r="A648" s="7">
        <v>46120.668275893935</v>
      </c>
      <c r="B648" s="8" t="s">
        <v>2505</v>
      </c>
      <c r="C648" s="8" t="s">
        <v>2506</v>
      </c>
      <c r="D648" s="9">
        <v>46124.0</v>
      </c>
      <c r="E648" s="8" t="s">
        <v>2507</v>
      </c>
      <c r="F648" s="10">
        <v>182.16</v>
      </c>
      <c r="G648" s="11">
        <v>5.1368</v>
      </c>
      <c r="H648" s="8" t="s">
        <v>335</v>
      </c>
      <c r="I648" s="12">
        <v>1621519.0</v>
      </c>
      <c r="J648" s="11">
        <v>24.7569</v>
      </c>
      <c r="K648" s="13">
        <v>5.0928</v>
      </c>
      <c r="L648" s="13">
        <v>11.4789</v>
      </c>
      <c r="M648" s="8">
        <v>1315982.0</v>
      </c>
      <c r="N648" s="13">
        <v>1.2089</v>
      </c>
      <c r="O648" s="12">
        <v>4.1491422084E10</v>
      </c>
      <c r="P648" s="13">
        <v>87.0187</v>
      </c>
      <c r="Q648" s="13">
        <v>84.308</v>
      </c>
      <c r="R648" s="11">
        <v>65.8162</v>
      </c>
      <c r="S648" s="13">
        <v>172.3809</v>
      </c>
      <c r="T648" s="13">
        <v>169.9568</v>
      </c>
      <c r="U648" s="13">
        <v>170.5401</v>
      </c>
      <c r="V648" s="13">
        <v>170.6042</v>
      </c>
      <c r="W648" s="13">
        <v>170.4195</v>
      </c>
      <c r="X648" s="13">
        <v>167.7389</v>
      </c>
      <c r="Y648" s="13">
        <v>158.0867</v>
      </c>
      <c r="Z648" s="13">
        <v>154.7695</v>
      </c>
      <c r="AA648" s="13">
        <v>196.895</v>
      </c>
      <c r="AB648" s="13">
        <v>24.1745</v>
      </c>
      <c r="AC648" s="13">
        <v>7.5352</v>
      </c>
      <c r="AD648" s="13">
        <v>8.4259</v>
      </c>
      <c r="AE648" s="13">
        <v>8.26</v>
      </c>
      <c r="AF648" s="13">
        <v>5.7251</v>
      </c>
      <c r="AG648" s="13">
        <v>0.3462</v>
      </c>
      <c r="AH648" s="13">
        <v>2.9383</v>
      </c>
      <c r="AI648" s="13">
        <v>1.0106</v>
      </c>
      <c r="AJ648" s="11">
        <v>0.89</v>
      </c>
      <c r="AK648" s="23"/>
      <c r="AL648" s="14">
        <f>IFERROR(__xludf.DUMMYFUNCTION("IFERROR(GOOGLEFINANCE(B648,""price""),"""")"),186.12)</f>
        <v>186.12</v>
      </c>
    </row>
    <row r="649">
      <c r="A649" s="15">
        <v>46120.668275893935</v>
      </c>
      <c r="B649" s="16" t="s">
        <v>2300</v>
      </c>
      <c r="C649" s="16" t="s">
        <v>2301</v>
      </c>
      <c r="D649" s="17">
        <v>46124.0</v>
      </c>
      <c r="E649" s="16" t="s">
        <v>2302</v>
      </c>
      <c r="F649" s="18">
        <v>24.02</v>
      </c>
      <c r="G649" s="19">
        <v>0.4181</v>
      </c>
      <c r="H649" s="16" t="s">
        <v>88</v>
      </c>
      <c r="I649" s="20">
        <v>6877797.0</v>
      </c>
      <c r="J649" s="19">
        <v>23.4957</v>
      </c>
      <c r="K649" s="21">
        <v>0.1964</v>
      </c>
      <c r="L649" s="21">
        <v>0.8686</v>
      </c>
      <c r="M649" s="16">
        <v>4954056.0</v>
      </c>
      <c r="N649" s="21">
        <v>1.4516</v>
      </c>
      <c r="O649" s="20">
        <v>7.148910183E9</v>
      </c>
      <c r="P649" s="21">
        <v>92.9416</v>
      </c>
      <c r="Q649" s="21">
        <v>92.136</v>
      </c>
      <c r="R649" s="19">
        <v>67.7752</v>
      </c>
      <c r="S649" s="21">
        <v>23.7978</v>
      </c>
      <c r="T649" s="21">
        <v>23.6064</v>
      </c>
      <c r="U649" s="21">
        <v>23.536</v>
      </c>
      <c r="V649" s="21">
        <v>23.4129</v>
      </c>
      <c r="W649" s="21">
        <v>23.3615</v>
      </c>
      <c r="X649" s="21">
        <v>22.9789</v>
      </c>
      <c r="Y649" s="21">
        <v>22.5252</v>
      </c>
      <c r="Z649" s="21">
        <v>21.3723</v>
      </c>
      <c r="AA649" s="21">
        <v>25.069</v>
      </c>
      <c r="AB649" s="21">
        <v>0.0</v>
      </c>
      <c r="AC649" s="21">
        <v>-0.1371</v>
      </c>
      <c r="AD649" s="21">
        <v>-2.5819</v>
      </c>
      <c r="AE649" s="21">
        <v>3.8401</v>
      </c>
      <c r="AF649" s="21">
        <v>61.8776</v>
      </c>
      <c r="AG649" s="21">
        <v>0.4255</v>
      </c>
      <c r="AH649" s="21">
        <v>1.8035</v>
      </c>
      <c r="AI649" s="21">
        <v>1.0899</v>
      </c>
      <c r="AJ649" s="19">
        <v>0.45</v>
      </c>
      <c r="AK649" s="16" t="s">
        <v>2508</v>
      </c>
      <c r="AL649" s="22">
        <f>IFERROR(__xludf.DUMMYFUNCTION("IFERROR(GOOGLEFINANCE(B649,""price""),"""")"),24.0)</f>
        <v>24</v>
      </c>
    </row>
    <row r="650">
      <c r="A650" s="7">
        <v>46120.668275893935</v>
      </c>
      <c r="B650" s="8" t="s">
        <v>2509</v>
      </c>
      <c r="C650" s="8" t="s">
        <v>2510</v>
      </c>
      <c r="D650" s="9">
        <v>46124.0</v>
      </c>
      <c r="E650" s="8" t="s">
        <v>2511</v>
      </c>
      <c r="F650" s="10">
        <v>77.89</v>
      </c>
      <c r="G650" s="11">
        <v>8.9675</v>
      </c>
      <c r="H650" s="8" t="s">
        <v>149</v>
      </c>
      <c r="I650" s="12">
        <v>3820441.0</v>
      </c>
      <c r="J650" s="11">
        <v>22.5059</v>
      </c>
      <c r="K650" s="13">
        <v>3.7818</v>
      </c>
      <c r="L650" s="13">
        <v>5.9165</v>
      </c>
      <c r="M650" s="8">
        <v>3137543.0</v>
      </c>
      <c r="N650" s="13">
        <v>1.239</v>
      </c>
      <c r="O650" s="12">
        <v>3.4722274461E10</v>
      </c>
      <c r="P650" s="13">
        <v>60.2404</v>
      </c>
      <c r="Q650" s="13">
        <v>65.3737</v>
      </c>
      <c r="R650" s="11">
        <v>57.8625</v>
      </c>
      <c r="S650" s="13">
        <v>73.8299</v>
      </c>
      <c r="T650" s="13">
        <v>73.0121</v>
      </c>
      <c r="U650" s="13">
        <v>72.9692</v>
      </c>
      <c r="V650" s="13">
        <v>72.6803</v>
      </c>
      <c r="W650" s="13">
        <v>72.5276</v>
      </c>
      <c r="X650" s="13">
        <v>71.0356</v>
      </c>
      <c r="Y650" s="13">
        <v>64.9402</v>
      </c>
      <c r="Z650" s="13">
        <v>65.2096</v>
      </c>
      <c r="AA650" s="13">
        <v>81.4753</v>
      </c>
      <c r="AB650" s="13">
        <v>30.3192</v>
      </c>
      <c r="AC650" s="13">
        <v>2.569</v>
      </c>
      <c r="AD650" s="13">
        <v>263.4915</v>
      </c>
      <c r="AE650" s="13">
        <v>23.0955</v>
      </c>
      <c r="AF650" s="13">
        <v>21.8891</v>
      </c>
      <c r="AG650" s="13">
        <v>5.2487</v>
      </c>
      <c r="AH650" s="13">
        <v>0.7876</v>
      </c>
      <c r="AI650" s="13">
        <v>1.1051</v>
      </c>
      <c r="AJ650" s="11">
        <v>1.28</v>
      </c>
      <c r="AK650" s="8" t="s">
        <v>1712</v>
      </c>
      <c r="AL650" s="14">
        <f>IFERROR(__xludf.DUMMYFUNCTION("IFERROR(GOOGLEFINANCE(B650,""price""),"""")"),77.17)</f>
        <v>77.17</v>
      </c>
    </row>
    <row r="651">
      <c r="A651" s="15">
        <v>46120.668275893935</v>
      </c>
      <c r="B651" s="16" t="s">
        <v>2512</v>
      </c>
      <c r="C651" s="16" t="s">
        <v>2513</v>
      </c>
      <c r="D651" s="17">
        <v>46124.0</v>
      </c>
      <c r="E651" s="16" t="s">
        <v>2514</v>
      </c>
      <c r="F651" s="18">
        <v>26.39</v>
      </c>
      <c r="G651" s="19">
        <v>2.7648</v>
      </c>
      <c r="H651" s="16" t="s">
        <v>93</v>
      </c>
      <c r="I651" s="20">
        <v>1860525.0</v>
      </c>
      <c r="J651" s="19">
        <v>21.844</v>
      </c>
      <c r="K651" s="21">
        <v>0.6449</v>
      </c>
      <c r="L651" s="21">
        <v>1.3537</v>
      </c>
      <c r="M651" s="16">
        <v>1465269.0</v>
      </c>
      <c r="N651" s="21">
        <v>1.2772</v>
      </c>
      <c r="O651" s="20">
        <v>3.242666255E9</v>
      </c>
      <c r="P651" s="21">
        <v>96.331</v>
      </c>
      <c r="Q651" s="21">
        <v>95.8963</v>
      </c>
      <c r="R651" s="19">
        <v>69.0042</v>
      </c>
      <c r="S651" s="21">
        <v>25.3041</v>
      </c>
      <c r="T651" s="21">
        <v>24.9014</v>
      </c>
      <c r="U651" s="21">
        <v>24.993</v>
      </c>
      <c r="V651" s="21">
        <v>25.1469</v>
      </c>
      <c r="W651" s="21">
        <v>25.1831</v>
      </c>
      <c r="X651" s="21">
        <v>25.2989</v>
      </c>
      <c r="Y651" s="21">
        <v>25.1852</v>
      </c>
      <c r="Z651" s="21">
        <v>25.2626</v>
      </c>
      <c r="AA651" s="21">
        <v>28.35</v>
      </c>
      <c r="AB651" s="21">
        <v>11.984</v>
      </c>
      <c r="AC651" s="21">
        <v>2.2021</v>
      </c>
      <c r="AD651" s="21">
        <v>10.257</v>
      </c>
      <c r="AE651" s="21">
        <v>39.9831</v>
      </c>
      <c r="AF651" s="21">
        <v>0.1217</v>
      </c>
      <c r="AG651" s="21">
        <v>0.022</v>
      </c>
      <c r="AH651" s="21">
        <v>0.158</v>
      </c>
      <c r="AI651" s="21">
        <v>1.1791</v>
      </c>
      <c r="AJ651" s="19">
        <v>0.95</v>
      </c>
      <c r="AK651" s="24"/>
      <c r="AL651" s="22">
        <f>IFERROR(__xludf.DUMMYFUNCTION("IFERROR(GOOGLEFINANCE(B651,""price""),"""")"),26.27)</f>
        <v>26.27</v>
      </c>
    </row>
    <row r="652">
      <c r="A652" s="7">
        <v>46120.668275893935</v>
      </c>
      <c r="B652" s="8" t="s">
        <v>2515</v>
      </c>
      <c r="C652" s="8" t="s">
        <v>2516</v>
      </c>
      <c r="D652" s="9">
        <v>46124.0</v>
      </c>
      <c r="E652" s="8" t="s">
        <v>2517</v>
      </c>
      <c r="F652" s="10">
        <v>7.0</v>
      </c>
      <c r="G652" s="11">
        <v>5.4217</v>
      </c>
      <c r="H652" s="8" t="s">
        <v>93</v>
      </c>
      <c r="I652" s="12">
        <v>1451264.0</v>
      </c>
      <c r="J652" s="11">
        <v>22.7562</v>
      </c>
      <c r="K652" s="13">
        <v>0.2895</v>
      </c>
      <c r="L652" s="13">
        <v>0.5946</v>
      </c>
      <c r="M652" s="13">
        <v>652483.1</v>
      </c>
      <c r="N652" s="13">
        <v>2.5463</v>
      </c>
      <c r="O652" s="12">
        <v>1.586381377E9</v>
      </c>
      <c r="P652" s="13">
        <v>83.609</v>
      </c>
      <c r="Q652" s="13">
        <v>84.1728</v>
      </c>
      <c r="R652" s="11">
        <v>61.7253</v>
      </c>
      <c r="S652" s="13">
        <v>6.6533</v>
      </c>
      <c r="T652" s="13">
        <v>6.5606</v>
      </c>
      <c r="U652" s="13">
        <v>6.5628</v>
      </c>
      <c r="V652" s="13">
        <v>6.5463</v>
      </c>
      <c r="W652" s="13">
        <v>6.5367</v>
      </c>
      <c r="X652" s="13">
        <v>6.4447</v>
      </c>
      <c r="Y652" s="13">
        <v>6.0819</v>
      </c>
      <c r="Z652" s="13">
        <v>6.1267</v>
      </c>
      <c r="AA652" s="13">
        <v>7.75</v>
      </c>
      <c r="AB652" s="13">
        <v>0.0</v>
      </c>
      <c r="AC652" s="13">
        <v>-0.1366</v>
      </c>
      <c r="AD652" s="13">
        <v>-3.7179</v>
      </c>
      <c r="AE652" s="13">
        <v>7.2832</v>
      </c>
      <c r="AF652" s="13">
        <v>7.861</v>
      </c>
      <c r="AG652" s="13">
        <v>2.9879</v>
      </c>
      <c r="AH652" s="13">
        <v>1.3267</v>
      </c>
      <c r="AI652" s="13">
        <v>1.2932</v>
      </c>
      <c r="AJ652" s="11">
        <v>0.97</v>
      </c>
      <c r="AK652" s="8" t="s">
        <v>1495</v>
      </c>
      <c r="AL652" s="14">
        <f>IFERROR(__xludf.DUMMYFUNCTION("IFERROR(GOOGLEFINANCE(B652,""price""),"""")"),7.26)</f>
        <v>7.26</v>
      </c>
    </row>
    <row r="653">
      <c r="A653" s="15">
        <v>46120.668275893935</v>
      </c>
      <c r="B653" s="16" t="s">
        <v>2396</v>
      </c>
      <c r="C653" s="16" t="s">
        <v>2397</v>
      </c>
      <c r="D653" s="17">
        <v>46124.0</v>
      </c>
      <c r="E653" s="16" t="s">
        <v>2398</v>
      </c>
      <c r="F653" s="18">
        <v>39.58</v>
      </c>
      <c r="G653" s="19">
        <v>0.5845</v>
      </c>
      <c r="H653" s="16" t="s">
        <v>245</v>
      </c>
      <c r="I653" s="20">
        <v>2125310.0</v>
      </c>
      <c r="J653" s="19">
        <v>28.7199</v>
      </c>
      <c r="K653" s="21">
        <v>0.9039</v>
      </c>
      <c r="L653" s="21">
        <v>1.712</v>
      </c>
      <c r="M653" s="16">
        <v>1393148.0</v>
      </c>
      <c r="N653" s="21">
        <v>1.6824</v>
      </c>
      <c r="O653" s="20">
        <v>8.220232935E9</v>
      </c>
      <c r="P653" s="21">
        <v>57.9141</v>
      </c>
      <c r="Q653" s="21">
        <v>49.3359</v>
      </c>
      <c r="R653" s="19">
        <v>56.8278</v>
      </c>
      <c r="S653" s="21">
        <v>39.2365</v>
      </c>
      <c r="T653" s="21">
        <v>39.1346</v>
      </c>
      <c r="U653" s="21">
        <v>38.7207</v>
      </c>
      <c r="V653" s="21">
        <v>38.1685</v>
      </c>
      <c r="W653" s="21">
        <v>38.0165</v>
      </c>
      <c r="X653" s="21">
        <v>37.3232</v>
      </c>
      <c r="Y653" s="21">
        <v>36.942</v>
      </c>
      <c r="Z653" s="21">
        <v>36.8789</v>
      </c>
      <c r="AA653" s="21">
        <v>44.14</v>
      </c>
      <c r="AB653" s="21">
        <v>13.8469</v>
      </c>
      <c r="AC653" s="21">
        <v>2.8584</v>
      </c>
      <c r="AD653" s="21">
        <v>64.222</v>
      </c>
      <c r="AE653" s="21">
        <v>62.1785</v>
      </c>
      <c r="AF653" s="21">
        <v>8.4119</v>
      </c>
      <c r="AG653" s="21">
        <v>6.6373</v>
      </c>
      <c r="AH653" s="21">
        <v>0.8466</v>
      </c>
      <c r="AI653" s="21">
        <v>1.3031</v>
      </c>
      <c r="AJ653" s="19">
        <v>1.06</v>
      </c>
      <c r="AK653" s="24"/>
      <c r="AL653" s="22">
        <f>IFERROR(__xludf.DUMMYFUNCTION("IFERROR(GOOGLEFINANCE(B653,""price""),"""")"),39.57)</f>
        <v>39.57</v>
      </c>
    </row>
    <row r="654">
      <c r="A654" s="7">
        <v>46120.668275893935</v>
      </c>
      <c r="B654" s="8" t="s">
        <v>2518</v>
      </c>
      <c r="C654" s="8" t="s">
        <v>2519</v>
      </c>
      <c r="D654" s="9">
        <v>46124.0</v>
      </c>
      <c r="E654" s="8" t="s">
        <v>2520</v>
      </c>
      <c r="F654" s="10">
        <v>73.8</v>
      </c>
      <c r="G654" s="11">
        <v>2.9002</v>
      </c>
      <c r="H654" s="8" t="s">
        <v>93</v>
      </c>
      <c r="I654" s="12">
        <v>420612.0</v>
      </c>
      <c r="J654" s="11">
        <v>25.4329</v>
      </c>
      <c r="K654" s="13">
        <v>2.3348</v>
      </c>
      <c r="L654" s="13">
        <v>5.2053</v>
      </c>
      <c r="M654" s="13">
        <v>307983.8</v>
      </c>
      <c r="N654" s="13">
        <v>1.4275</v>
      </c>
      <c r="O654" s="12">
        <v>2.524858726E9</v>
      </c>
      <c r="P654" s="13">
        <v>92.6677</v>
      </c>
      <c r="Q654" s="13">
        <v>92.4715</v>
      </c>
      <c r="R654" s="11">
        <v>65.0643</v>
      </c>
      <c r="S654" s="13">
        <v>70.9342</v>
      </c>
      <c r="T654" s="13">
        <v>69.6276</v>
      </c>
      <c r="U654" s="13">
        <v>69.8882</v>
      </c>
      <c r="V654" s="13">
        <v>70.3792</v>
      </c>
      <c r="W654" s="13">
        <v>70.4834</v>
      </c>
      <c r="X654" s="13">
        <v>70.5295</v>
      </c>
      <c r="Y654" s="13">
        <v>67.5064</v>
      </c>
      <c r="Z654" s="13">
        <v>68.6759</v>
      </c>
      <c r="AA654" s="13">
        <v>82.56</v>
      </c>
      <c r="AB654" s="13">
        <v>11.9002</v>
      </c>
      <c r="AC654" s="13">
        <v>6.2016</v>
      </c>
      <c r="AD654" s="13">
        <v>11.3399</v>
      </c>
      <c r="AE654" s="13">
        <v>39.3241</v>
      </c>
      <c r="AF654" s="13">
        <v>6.2815</v>
      </c>
      <c r="AG654" s="13">
        <v>0.8259</v>
      </c>
      <c r="AH654" s="13">
        <v>0.3469</v>
      </c>
      <c r="AI654" s="13">
        <v>1.4172</v>
      </c>
      <c r="AJ654" s="11">
        <v>0.9</v>
      </c>
      <c r="AK654" s="23"/>
      <c r="AL654" s="14">
        <f>IFERROR(__xludf.DUMMYFUNCTION("IFERROR(GOOGLEFINANCE(B654,""price""),"""")"),73.99)</f>
        <v>73.99</v>
      </c>
    </row>
    <row r="655">
      <c r="A655" s="15">
        <v>46120.668275893935</v>
      </c>
      <c r="B655" s="16" t="s">
        <v>2242</v>
      </c>
      <c r="C655" s="16" t="s">
        <v>2243</v>
      </c>
      <c r="D655" s="17">
        <v>46124.0</v>
      </c>
      <c r="E655" s="16" t="s">
        <v>2244</v>
      </c>
      <c r="F655" s="18">
        <v>156.39</v>
      </c>
      <c r="G655" s="19">
        <v>6.1855</v>
      </c>
      <c r="H655" s="16" t="s">
        <v>335</v>
      </c>
      <c r="I655" s="20">
        <v>2554656.0</v>
      </c>
      <c r="J655" s="19">
        <v>20.337</v>
      </c>
      <c r="K655" s="21">
        <v>6.8655</v>
      </c>
      <c r="L655" s="21">
        <v>11.3859</v>
      </c>
      <c r="M655" s="16">
        <v>2058403.0</v>
      </c>
      <c r="N655" s="21">
        <v>1.2173</v>
      </c>
      <c r="O655" s="20">
        <v>2.1415466928E10</v>
      </c>
      <c r="P655" s="21">
        <v>69.6849</v>
      </c>
      <c r="Q655" s="21">
        <v>64.957</v>
      </c>
      <c r="R655" s="19">
        <v>58.1892</v>
      </c>
      <c r="S655" s="21">
        <v>148.6948</v>
      </c>
      <c r="T655" s="21">
        <v>147.9477</v>
      </c>
      <c r="U655" s="21">
        <v>146.4729</v>
      </c>
      <c r="V655" s="21">
        <v>142.9864</v>
      </c>
      <c r="W655" s="21">
        <v>141.7343</v>
      </c>
      <c r="X655" s="21">
        <v>133.1023</v>
      </c>
      <c r="Y655" s="21">
        <v>112.3136</v>
      </c>
      <c r="Z655" s="21">
        <v>105.8844</v>
      </c>
      <c r="AA655" s="21">
        <v>168.1425</v>
      </c>
      <c r="AB655" s="21">
        <v>54.8294</v>
      </c>
      <c r="AC655" s="21">
        <v>2.8523</v>
      </c>
      <c r="AD655" s="21">
        <v>22.1237</v>
      </c>
      <c r="AE655" s="21">
        <v>14.0319</v>
      </c>
      <c r="AF655" s="21">
        <v>5.1649</v>
      </c>
      <c r="AG655" s="21">
        <v>1.0306</v>
      </c>
      <c r="AH655" s="21">
        <v>2.6632</v>
      </c>
      <c r="AI655" s="21">
        <v>1.4207</v>
      </c>
      <c r="AJ655" s="19">
        <v>1.21</v>
      </c>
      <c r="AK655" s="16" t="s">
        <v>1712</v>
      </c>
      <c r="AL655" s="22">
        <f>IFERROR(__xludf.DUMMYFUNCTION("IFERROR(GOOGLEFINANCE(B655,""price""),"""")"),162.21)</f>
        <v>162.21</v>
      </c>
    </row>
    <row r="656">
      <c r="A656" s="7">
        <v>46120.668275893935</v>
      </c>
      <c r="B656" s="8" t="s">
        <v>2521</v>
      </c>
      <c r="C656" s="8" t="s">
        <v>2522</v>
      </c>
      <c r="D656" s="9">
        <v>46124.0</v>
      </c>
      <c r="E656" s="8" t="s">
        <v>2523</v>
      </c>
      <c r="F656" s="10">
        <v>346.21</v>
      </c>
      <c r="G656" s="11">
        <v>5.742</v>
      </c>
      <c r="H656" s="8" t="s">
        <v>308</v>
      </c>
      <c r="I656" s="12">
        <v>4518861.0</v>
      </c>
      <c r="J656" s="11">
        <v>25.0044</v>
      </c>
      <c r="K656" s="13">
        <v>10.7686</v>
      </c>
      <c r="L656" s="13">
        <v>20.4167</v>
      </c>
      <c r="M656" s="8">
        <v>3261612.0</v>
      </c>
      <c r="N656" s="13">
        <v>1.4345</v>
      </c>
      <c r="O656" s="12">
        <v>1.69021165023E11</v>
      </c>
      <c r="P656" s="13">
        <v>96.1612</v>
      </c>
      <c r="Q656" s="13">
        <v>86.7766</v>
      </c>
      <c r="R656" s="11">
        <v>65.8233</v>
      </c>
      <c r="S656" s="13">
        <v>325.9647</v>
      </c>
      <c r="T656" s="13">
        <v>321.8739</v>
      </c>
      <c r="U656" s="13">
        <v>321.0413</v>
      </c>
      <c r="V656" s="13">
        <v>317.7602</v>
      </c>
      <c r="W656" s="13">
        <v>316.382</v>
      </c>
      <c r="X656" s="13">
        <v>305.7992</v>
      </c>
      <c r="Y656" s="13">
        <v>278.6345</v>
      </c>
      <c r="Z656" s="13">
        <v>269.6418</v>
      </c>
      <c r="AA656" s="13">
        <v>363.2</v>
      </c>
      <c r="AB656" s="13">
        <v>63.2416</v>
      </c>
      <c r="AC656" s="13">
        <v>5.4744</v>
      </c>
      <c r="AD656" s="13">
        <v>7.8622</v>
      </c>
      <c r="AE656" s="13">
        <v>29.7854</v>
      </c>
      <c r="AF656" s="13">
        <v>25.9077</v>
      </c>
      <c r="AG656" s="13">
        <v>0.257</v>
      </c>
      <c r="AH656" s="13">
        <v>1.7555</v>
      </c>
      <c r="AI656" s="13">
        <v>1.4221</v>
      </c>
      <c r="AJ656" s="11">
        <v>1.05</v>
      </c>
      <c r="AK656" s="23"/>
      <c r="AL656" s="14">
        <f>IFERROR(__xludf.DUMMYFUNCTION("IFERROR(GOOGLEFINANCE(B656,""price""),"""")"),350.14)</f>
        <v>350.14</v>
      </c>
    </row>
    <row r="657">
      <c r="A657" s="15">
        <v>46120.668275893935</v>
      </c>
      <c r="B657" s="16" t="s">
        <v>2524</v>
      </c>
      <c r="C657" s="16" t="s">
        <v>2525</v>
      </c>
      <c r="D657" s="17">
        <v>46124.0</v>
      </c>
      <c r="E657" s="16" t="s">
        <v>2526</v>
      </c>
      <c r="F657" s="18">
        <v>44.11</v>
      </c>
      <c r="G657" s="19">
        <v>0.4784</v>
      </c>
      <c r="H657" s="16" t="s">
        <v>149</v>
      </c>
      <c r="I657" s="20">
        <v>377994.0</v>
      </c>
      <c r="J657" s="19">
        <v>20.1104</v>
      </c>
      <c r="K657" s="21">
        <v>0.9376</v>
      </c>
      <c r="L657" s="21">
        <v>1.812</v>
      </c>
      <c r="M657" s="21">
        <v>294600.9</v>
      </c>
      <c r="N657" s="21">
        <v>1.3262</v>
      </c>
      <c r="O657" s="20">
        <v>2.824677476E9</v>
      </c>
      <c r="P657" s="21">
        <v>83.8231</v>
      </c>
      <c r="Q657" s="21">
        <v>80.1185</v>
      </c>
      <c r="R657" s="19">
        <v>61.6374</v>
      </c>
      <c r="S657" s="21">
        <v>43.3713</v>
      </c>
      <c r="T657" s="21">
        <v>42.9724</v>
      </c>
      <c r="U657" s="21">
        <v>42.6974</v>
      </c>
      <c r="V657" s="21">
        <v>42.3412</v>
      </c>
      <c r="W657" s="21">
        <v>42.2427</v>
      </c>
      <c r="X657" s="21">
        <v>41.7896</v>
      </c>
      <c r="Y657" s="21">
        <v>41.3612</v>
      </c>
      <c r="Z657" s="21">
        <v>41.9359</v>
      </c>
      <c r="AA657" s="21">
        <v>47.18</v>
      </c>
      <c r="AB657" s="21">
        <v>0.0</v>
      </c>
      <c r="AC657" s="21">
        <v>-0.3776</v>
      </c>
      <c r="AD657" s="21">
        <v>-4.4501</v>
      </c>
      <c r="AE657" s="21">
        <v>2.2668</v>
      </c>
      <c r="AF657" s="21">
        <v>10.5235</v>
      </c>
      <c r="AG657" s="21">
        <v>1.5979</v>
      </c>
      <c r="AH657" s="21">
        <v>0.4209</v>
      </c>
      <c r="AI657" s="21">
        <v>1.5277</v>
      </c>
      <c r="AJ657" s="19">
        <v>1.03</v>
      </c>
      <c r="AK657" s="24"/>
      <c r="AL657" s="22">
        <f>IFERROR(__xludf.DUMMYFUNCTION("IFERROR(GOOGLEFINANCE(B657,""price""),"""")"),44.18)</f>
        <v>44.18</v>
      </c>
    </row>
    <row r="658">
      <c r="A658" s="7">
        <v>46120.668275893935</v>
      </c>
      <c r="B658" s="8" t="s">
        <v>1645</v>
      </c>
      <c r="C658" s="8" t="s">
        <v>1646</v>
      </c>
      <c r="D658" s="9">
        <v>46124.0</v>
      </c>
      <c r="E658" s="8" t="s">
        <v>1647</v>
      </c>
      <c r="F658" s="10">
        <v>16.35</v>
      </c>
      <c r="G658" s="11">
        <v>0.0</v>
      </c>
      <c r="H658" s="8" t="s">
        <v>190</v>
      </c>
      <c r="I658" s="12">
        <v>1687654.0</v>
      </c>
      <c r="J658" s="11">
        <v>29.1792</v>
      </c>
      <c r="K658" s="13">
        <v>0.1061</v>
      </c>
      <c r="L658" s="13">
        <v>0.7424</v>
      </c>
      <c r="M658" s="8">
        <v>1216384.0</v>
      </c>
      <c r="N658" s="13">
        <v>1.3662</v>
      </c>
      <c r="O658" s="12">
        <v>2.027699175E9</v>
      </c>
      <c r="P658" s="13">
        <v>75.5952</v>
      </c>
      <c r="Q658" s="13">
        <v>79.6153</v>
      </c>
      <c r="R658" s="11">
        <v>65.3017</v>
      </c>
      <c r="S658" s="13">
        <v>16.3279</v>
      </c>
      <c r="T658" s="13">
        <v>16.2198</v>
      </c>
      <c r="U658" s="13">
        <v>16.076</v>
      </c>
      <c r="V658" s="13">
        <v>15.8944</v>
      </c>
      <c r="W658" s="13">
        <v>15.8386</v>
      </c>
      <c r="X658" s="13">
        <v>15.5118</v>
      </c>
      <c r="Y658" s="13">
        <v>15.2484</v>
      </c>
      <c r="Z658" s="13">
        <v>14.4203</v>
      </c>
      <c r="AA658" s="13">
        <v>18.605</v>
      </c>
      <c r="AB658" s="13">
        <v>14.1167</v>
      </c>
      <c r="AC658" s="13">
        <v>1.1582</v>
      </c>
      <c r="AD658" s="13">
        <v>8.4395</v>
      </c>
      <c r="AE658" s="13">
        <v>6.1359</v>
      </c>
      <c r="AF658" s="13">
        <v>-17.659</v>
      </c>
      <c r="AG658" s="13">
        <v>1.682</v>
      </c>
      <c r="AH658" s="13">
        <v>1.0414</v>
      </c>
      <c r="AI658" s="13">
        <v>1.5408</v>
      </c>
      <c r="AJ658" s="11">
        <v>0.29</v>
      </c>
      <c r="AK658" s="8" t="s">
        <v>2527</v>
      </c>
      <c r="AL658" s="14">
        <f>IFERROR(__xludf.DUMMYFUNCTION("IFERROR(GOOGLEFINANCE(B658,""price""),"""")"),16.37)</f>
        <v>16.37</v>
      </c>
    </row>
    <row r="659">
      <c r="A659" s="15">
        <v>46120.668275893935</v>
      </c>
      <c r="B659" s="16" t="s">
        <v>2528</v>
      </c>
      <c r="C659" s="16" t="s">
        <v>2529</v>
      </c>
      <c r="D659" s="17">
        <v>46124.0</v>
      </c>
      <c r="E659" s="16" t="s">
        <v>2530</v>
      </c>
      <c r="F659" s="18">
        <v>61.0</v>
      </c>
      <c r="G659" s="19">
        <v>3.2324</v>
      </c>
      <c r="H659" s="16" t="s">
        <v>93</v>
      </c>
      <c r="I659" s="20">
        <v>2018706.0</v>
      </c>
      <c r="J659" s="19">
        <v>20.0644</v>
      </c>
      <c r="K659" s="21">
        <v>1.6841</v>
      </c>
      <c r="L659" s="21">
        <v>3.6573</v>
      </c>
      <c r="M659" s="16">
        <v>1731091.0</v>
      </c>
      <c r="N659" s="21">
        <v>1.201</v>
      </c>
      <c r="O659" s="20">
        <v>9.021218315E9</v>
      </c>
      <c r="P659" s="21">
        <v>95.5025</v>
      </c>
      <c r="Q659" s="21">
        <v>93.6754</v>
      </c>
      <c r="R659" s="19">
        <v>65.8766</v>
      </c>
      <c r="S659" s="21">
        <v>58.4861</v>
      </c>
      <c r="T659" s="21">
        <v>57.411</v>
      </c>
      <c r="U659" s="21">
        <v>57.533</v>
      </c>
      <c r="V659" s="21">
        <v>57.7157</v>
      </c>
      <c r="W659" s="21">
        <v>57.7361</v>
      </c>
      <c r="X659" s="21">
        <v>57.5497</v>
      </c>
      <c r="Y659" s="21">
        <v>55.9971</v>
      </c>
      <c r="Z659" s="21">
        <v>56.2033</v>
      </c>
      <c r="AA659" s="21">
        <v>66.175</v>
      </c>
      <c r="AB659" s="21">
        <v>10.1543</v>
      </c>
      <c r="AC659" s="21">
        <v>6.0073</v>
      </c>
      <c r="AD659" s="21">
        <v>13.3494</v>
      </c>
      <c r="AE659" s="21">
        <v>34.6915</v>
      </c>
      <c r="AF659" s="21">
        <v>-1.0012</v>
      </c>
      <c r="AG659" s="21">
        <v>0.6731</v>
      </c>
      <c r="AH659" s="21">
        <v>0.3648</v>
      </c>
      <c r="AI659" s="21">
        <v>1.5624</v>
      </c>
      <c r="AJ659" s="19">
        <v>0.92</v>
      </c>
      <c r="AK659" s="24"/>
      <c r="AL659" s="22">
        <f>IFERROR(__xludf.DUMMYFUNCTION("IFERROR(GOOGLEFINANCE(B659,""price""),"""")"),61.05)</f>
        <v>61.05</v>
      </c>
    </row>
    <row r="660">
      <c r="A660" s="7">
        <v>46120.668275893935</v>
      </c>
      <c r="B660" s="8" t="s">
        <v>2531</v>
      </c>
      <c r="C660" s="8" t="s">
        <v>2532</v>
      </c>
      <c r="D660" s="9">
        <v>46124.0</v>
      </c>
      <c r="E660" s="8" t="s">
        <v>2533</v>
      </c>
      <c r="F660" s="10">
        <v>43.58</v>
      </c>
      <c r="G660" s="11">
        <v>2.7588</v>
      </c>
      <c r="H660" s="8" t="s">
        <v>93</v>
      </c>
      <c r="I660" s="12">
        <v>1363268.0</v>
      </c>
      <c r="J660" s="11">
        <v>21.3924</v>
      </c>
      <c r="K660" s="13">
        <v>0.9768</v>
      </c>
      <c r="L660" s="13">
        <v>2.0834</v>
      </c>
      <c r="M660" s="8">
        <v>1075792.0</v>
      </c>
      <c r="N660" s="13">
        <v>1.2703</v>
      </c>
      <c r="O660" s="12">
        <v>6.075900889E9</v>
      </c>
      <c r="P660" s="13">
        <v>94.7175</v>
      </c>
      <c r="Q660" s="13">
        <v>93.9028</v>
      </c>
      <c r="R660" s="11">
        <v>70.6115</v>
      </c>
      <c r="S660" s="13">
        <v>42.0294</v>
      </c>
      <c r="T660" s="13">
        <v>41.3446</v>
      </c>
      <c r="U660" s="13">
        <v>41.2912</v>
      </c>
      <c r="V660" s="13">
        <v>41.189</v>
      </c>
      <c r="W660" s="13">
        <v>41.1339</v>
      </c>
      <c r="X660" s="13">
        <v>40.6319</v>
      </c>
      <c r="Y660" s="13">
        <v>39.2467</v>
      </c>
      <c r="Z660" s="13">
        <v>38.676</v>
      </c>
      <c r="AA660" s="13">
        <v>45.925</v>
      </c>
      <c r="AB660" s="13">
        <v>13.3444</v>
      </c>
      <c r="AC660" s="13">
        <v>3.2658</v>
      </c>
      <c r="AD660" s="13">
        <v>8.8389</v>
      </c>
      <c r="AE660" s="13">
        <v>47.1408</v>
      </c>
      <c r="AF660" s="13">
        <v>12.2535</v>
      </c>
      <c r="AG660" s="13">
        <v>0.1503</v>
      </c>
      <c r="AH660" s="13">
        <v>0.1023</v>
      </c>
      <c r="AI660" s="13">
        <v>1.6938</v>
      </c>
      <c r="AJ660" s="11">
        <v>0.94</v>
      </c>
      <c r="AK660" s="23"/>
      <c r="AL660" s="14">
        <f>IFERROR(__xludf.DUMMYFUNCTION("IFERROR(GOOGLEFINANCE(B660,""price""),"""")"),43.84)</f>
        <v>43.84</v>
      </c>
    </row>
    <row r="661">
      <c r="A661" s="15">
        <v>46120.668275893935</v>
      </c>
      <c r="B661" s="16" t="s">
        <v>2534</v>
      </c>
      <c r="C661" s="16" t="s">
        <v>2535</v>
      </c>
      <c r="D661" s="17">
        <v>46124.0</v>
      </c>
      <c r="E661" s="16" t="s">
        <v>2536</v>
      </c>
      <c r="F661" s="18">
        <v>35.7</v>
      </c>
      <c r="G661" s="19">
        <v>1.6515</v>
      </c>
      <c r="H661" s="16" t="s">
        <v>270</v>
      </c>
      <c r="I661" s="20">
        <v>2141791.0</v>
      </c>
      <c r="J661" s="19">
        <v>28.2269</v>
      </c>
      <c r="K661" s="21">
        <v>1.1092</v>
      </c>
      <c r="L661" s="21">
        <v>1.9973</v>
      </c>
      <c r="M661" s="16">
        <v>1649901.0</v>
      </c>
      <c r="N661" s="21">
        <v>1.3499</v>
      </c>
      <c r="O661" s="20">
        <v>6.245567622E9</v>
      </c>
      <c r="P661" s="21">
        <v>40.479</v>
      </c>
      <c r="Q661" s="21">
        <v>31.6209</v>
      </c>
      <c r="R661" s="19">
        <v>55.3005</v>
      </c>
      <c r="S661" s="21">
        <v>35.1997</v>
      </c>
      <c r="T661" s="21">
        <v>35.1943</v>
      </c>
      <c r="U661" s="21">
        <v>34.5946</v>
      </c>
      <c r="V661" s="21">
        <v>33.6128</v>
      </c>
      <c r="W661" s="21">
        <v>33.3087</v>
      </c>
      <c r="X661" s="21">
        <v>31.5482</v>
      </c>
      <c r="Y661" s="21">
        <v>28.5097</v>
      </c>
      <c r="Z661" s="21">
        <v>27.0262</v>
      </c>
      <c r="AA661" s="21">
        <v>37.725</v>
      </c>
      <c r="AB661" s="21">
        <v>19.5317</v>
      </c>
      <c r="AC661" s="21">
        <v>1.8278</v>
      </c>
      <c r="AD661" s="21">
        <v>22.6609</v>
      </c>
      <c r="AE661" s="21">
        <v>38.6508</v>
      </c>
      <c r="AF661" s="21">
        <v>28.6999</v>
      </c>
      <c r="AG661" s="21">
        <v>1.6262</v>
      </c>
      <c r="AH661" s="21">
        <v>1.5428</v>
      </c>
      <c r="AI661" s="21">
        <v>1.6951</v>
      </c>
      <c r="AJ661" s="19">
        <v>1.11</v>
      </c>
      <c r="AK661" s="24"/>
      <c r="AL661" s="22">
        <f>IFERROR(__xludf.DUMMYFUNCTION("IFERROR(GOOGLEFINANCE(B661,""price""),"""")"),35.95)</f>
        <v>35.95</v>
      </c>
    </row>
    <row r="662">
      <c r="A662" s="7">
        <v>46120.668275893935</v>
      </c>
      <c r="B662" s="8" t="s">
        <v>2537</v>
      </c>
      <c r="C662" s="8" t="s">
        <v>2538</v>
      </c>
      <c r="D662" s="9">
        <v>46124.0</v>
      </c>
      <c r="E662" s="8" t="s">
        <v>2539</v>
      </c>
      <c r="F662" s="10">
        <v>210.08</v>
      </c>
      <c r="G662" s="11">
        <v>7.0471</v>
      </c>
      <c r="H662" s="8" t="s">
        <v>102</v>
      </c>
      <c r="I662" s="12">
        <v>1333792.0</v>
      </c>
      <c r="J662" s="11">
        <v>20.0385</v>
      </c>
      <c r="K662" s="13">
        <v>6.9273</v>
      </c>
      <c r="L662" s="13">
        <v>12.1906</v>
      </c>
      <c r="M662" s="8">
        <v>1041259.0</v>
      </c>
      <c r="N662" s="13">
        <v>1.2751</v>
      </c>
      <c r="O662" s="12">
        <v>1.8075286598E10</v>
      </c>
      <c r="P662" s="13">
        <v>94.0929</v>
      </c>
      <c r="Q662" s="13">
        <v>87.5341</v>
      </c>
      <c r="R662" s="11">
        <v>67.3988</v>
      </c>
      <c r="S662" s="13">
        <v>195.9498</v>
      </c>
      <c r="T662" s="13">
        <v>192.6918</v>
      </c>
      <c r="U662" s="13">
        <v>192.1385</v>
      </c>
      <c r="V662" s="13">
        <v>191.2384</v>
      </c>
      <c r="W662" s="13">
        <v>190.8952</v>
      </c>
      <c r="X662" s="13">
        <v>188.1686</v>
      </c>
      <c r="Y662" s="13">
        <v>178.3968</v>
      </c>
      <c r="Z662" s="13">
        <v>178.6831</v>
      </c>
      <c r="AA662" s="13">
        <v>210.35</v>
      </c>
      <c r="AB662" s="13">
        <v>34.3858</v>
      </c>
      <c r="AC662" s="13">
        <v>6.1095</v>
      </c>
      <c r="AD662" s="13">
        <v>14.2573</v>
      </c>
      <c r="AE662" s="13">
        <v>17.5143</v>
      </c>
      <c r="AF662" s="13">
        <v>8.4777</v>
      </c>
      <c r="AG662" s="13">
        <v>0.2123</v>
      </c>
      <c r="AH662" s="13">
        <v>2.5836</v>
      </c>
      <c r="AI662" s="13">
        <v>1.8142</v>
      </c>
      <c r="AJ662" s="11">
        <v>1.14</v>
      </c>
      <c r="AK662" s="23"/>
      <c r="AL662" s="14">
        <f>IFERROR(__xludf.DUMMYFUNCTION("IFERROR(GOOGLEFINANCE(B662,""price""),"""")"),216.9)</f>
        <v>216.9</v>
      </c>
    </row>
    <row r="663">
      <c r="A663" s="15">
        <v>46120.668275893935</v>
      </c>
      <c r="B663" s="16" t="s">
        <v>2540</v>
      </c>
      <c r="C663" s="16" t="s">
        <v>2541</v>
      </c>
      <c r="D663" s="17">
        <v>46124.0</v>
      </c>
      <c r="E663" s="16" t="s">
        <v>2542</v>
      </c>
      <c r="F663" s="18">
        <v>220.27</v>
      </c>
      <c r="G663" s="19">
        <v>6.2259</v>
      </c>
      <c r="H663" s="16" t="s">
        <v>162</v>
      </c>
      <c r="I663" s="20">
        <v>350506.0</v>
      </c>
      <c r="J663" s="19">
        <v>20.0107</v>
      </c>
      <c r="K663" s="21">
        <v>7.1103</v>
      </c>
      <c r="L663" s="21">
        <v>14.0914</v>
      </c>
      <c r="M663" s="21">
        <v>289487.3</v>
      </c>
      <c r="N663" s="21">
        <v>1.2234</v>
      </c>
      <c r="O663" s="20">
        <v>8.68463028E9</v>
      </c>
      <c r="P663" s="21">
        <v>88.3289</v>
      </c>
      <c r="Q663" s="21">
        <v>84.6493</v>
      </c>
      <c r="R663" s="19">
        <v>66.9873</v>
      </c>
      <c r="S663" s="21">
        <v>207.7214</v>
      </c>
      <c r="T663" s="21">
        <v>204.2145</v>
      </c>
      <c r="U663" s="21">
        <v>203.7227</v>
      </c>
      <c r="V663" s="21">
        <v>202.5974</v>
      </c>
      <c r="W663" s="21">
        <v>202.1269</v>
      </c>
      <c r="X663" s="21">
        <v>198.4139</v>
      </c>
      <c r="Y663" s="21">
        <v>186.8478</v>
      </c>
      <c r="Z663" s="21">
        <v>186.8627</v>
      </c>
      <c r="AA663" s="21">
        <v>230.385</v>
      </c>
      <c r="AB663" s="21">
        <v>18.6004</v>
      </c>
      <c r="AC663" s="21">
        <v>11.8422</v>
      </c>
      <c r="AD663" s="21">
        <v>16.1452</v>
      </c>
      <c r="AE663" s="21">
        <v>8.582</v>
      </c>
      <c r="AF663" s="21">
        <v>0.2295</v>
      </c>
      <c r="AG663" s="21">
        <v>2.844</v>
      </c>
      <c r="AH663" s="21">
        <v>0.8902</v>
      </c>
      <c r="AI663" s="21">
        <v>1.8154</v>
      </c>
      <c r="AJ663" s="19">
        <v>1.01</v>
      </c>
      <c r="AK663" s="24"/>
      <c r="AL663" s="22">
        <f>IFERROR(__xludf.DUMMYFUNCTION("IFERROR(GOOGLEFINANCE(B663,""price""),"""")"),218.97)</f>
        <v>218.97</v>
      </c>
    </row>
    <row r="664">
      <c r="A664" s="7">
        <v>46120.668275893935</v>
      </c>
      <c r="B664" s="8" t="s">
        <v>1313</v>
      </c>
      <c r="C664" s="8" t="s">
        <v>1314</v>
      </c>
      <c r="D664" s="9">
        <v>46124.0</v>
      </c>
      <c r="E664" s="8" t="s">
        <v>1315</v>
      </c>
      <c r="F664" s="10">
        <v>66.0</v>
      </c>
      <c r="G664" s="11">
        <v>5.5493</v>
      </c>
      <c r="H664" s="8" t="s">
        <v>129</v>
      </c>
      <c r="I664" s="12">
        <v>1119189.0</v>
      </c>
      <c r="J664" s="11">
        <v>22.6003</v>
      </c>
      <c r="K664" s="13">
        <v>1.8686</v>
      </c>
      <c r="L664" s="13">
        <v>3.8112</v>
      </c>
      <c r="M664" s="13">
        <v>795606.5</v>
      </c>
      <c r="N664" s="13">
        <v>1.4845</v>
      </c>
      <c r="O664" s="12">
        <v>5.402955812E9</v>
      </c>
      <c r="P664" s="13">
        <v>90.4419</v>
      </c>
      <c r="Q664" s="13">
        <v>86.7817</v>
      </c>
      <c r="R664" s="11">
        <v>64.1059</v>
      </c>
      <c r="S664" s="13">
        <v>62.6561</v>
      </c>
      <c r="T664" s="13">
        <v>61.8497</v>
      </c>
      <c r="U664" s="13">
        <v>61.4557</v>
      </c>
      <c r="V664" s="13">
        <v>60.5869</v>
      </c>
      <c r="W664" s="13">
        <v>60.2846</v>
      </c>
      <c r="X664" s="13">
        <v>58.428</v>
      </c>
      <c r="Y664" s="13">
        <v>55.3514</v>
      </c>
      <c r="Z664" s="13">
        <v>54.2376</v>
      </c>
      <c r="AA664" s="13">
        <v>68.29</v>
      </c>
      <c r="AB664" s="13">
        <v>27.0281</v>
      </c>
      <c r="AC664" s="13">
        <v>2.4419</v>
      </c>
      <c r="AD664" s="13">
        <v>4.2423</v>
      </c>
      <c r="AE664" s="13">
        <v>2.6633</v>
      </c>
      <c r="AF664" s="13">
        <v>2.9649</v>
      </c>
      <c r="AG664" s="13">
        <v>0.6414</v>
      </c>
      <c r="AH664" s="13">
        <v>2.0668</v>
      </c>
      <c r="AI664" s="13">
        <v>1.8188</v>
      </c>
      <c r="AJ664" s="11">
        <v>0.98</v>
      </c>
      <c r="AK664" s="23"/>
      <c r="AL664" s="14">
        <f>IFERROR(__xludf.DUMMYFUNCTION("IFERROR(GOOGLEFINANCE(B664,""price""),"""")"),67.03)</f>
        <v>67.03</v>
      </c>
    </row>
    <row r="665">
      <c r="A665" s="15">
        <v>46120.668275893935</v>
      </c>
      <c r="B665" s="16" t="s">
        <v>2543</v>
      </c>
      <c r="C665" s="16" t="s">
        <v>2544</v>
      </c>
      <c r="D665" s="17">
        <v>46124.0</v>
      </c>
      <c r="E665" s="16" t="s">
        <v>2545</v>
      </c>
      <c r="F665" s="18">
        <v>20.83</v>
      </c>
      <c r="G665" s="19">
        <v>2.7627</v>
      </c>
      <c r="H665" s="16" t="s">
        <v>93</v>
      </c>
      <c r="I665" s="20">
        <v>426936.0</v>
      </c>
      <c r="J665" s="19">
        <v>20.1177</v>
      </c>
      <c r="K665" s="21">
        <v>0.5359</v>
      </c>
      <c r="L665" s="21">
        <v>1.0829</v>
      </c>
      <c r="M665" s="21">
        <v>248266.4</v>
      </c>
      <c r="N665" s="21">
        <v>1.8412</v>
      </c>
      <c r="O665" s="20">
        <v>4.40894353E8</v>
      </c>
      <c r="P665" s="21">
        <v>81.4408</v>
      </c>
      <c r="Q665" s="21">
        <v>76.5149</v>
      </c>
      <c r="R665" s="19">
        <v>69.2982</v>
      </c>
      <c r="S665" s="21">
        <v>20.1799</v>
      </c>
      <c r="T665" s="21">
        <v>19.9006</v>
      </c>
      <c r="U665" s="21">
        <v>19.7928</v>
      </c>
      <c r="V665" s="21">
        <v>19.62</v>
      </c>
      <c r="W665" s="21">
        <v>19.5582</v>
      </c>
      <c r="X665" s="21">
        <v>19.1289</v>
      </c>
      <c r="Y665" s="21">
        <v>18.082</v>
      </c>
      <c r="Z665" s="21">
        <v>17.8311</v>
      </c>
      <c r="AA665" s="21">
        <v>21.46</v>
      </c>
      <c r="AB665" s="21">
        <v>13.1262</v>
      </c>
      <c r="AC665" s="21">
        <v>1.5869</v>
      </c>
      <c r="AD665" s="21">
        <v>8.6322</v>
      </c>
      <c r="AE665" s="21">
        <v>28.1417</v>
      </c>
      <c r="AF665" s="21">
        <v>7.7094</v>
      </c>
      <c r="AG665" s="21">
        <v>0.7141</v>
      </c>
      <c r="AH665" s="21">
        <v>0.1197</v>
      </c>
      <c r="AI665" s="21">
        <v>1.8582</v>
      </c>
      <c r="AJ665" s="19">
        <v>0.99</v>
      </c>
      <c r="AK665" s="24"/>
      <c r="AL665" s="22">
        <f>IFERROR(__xludf.DUMMYFUNCTION("IFERROR(GOOGLEFINANCE(B665,""price""),"""")"),20.95)</f>
        <v>20.95</v>
      </c>
    </row>
    <row r="666">
      <c r="A666" s="7">
        <v>46120.668275893935</v>
      </c>
      <c r="B666" s="8" t="s">
        <v>2546</v>
      </c>
      <c r="C666" s="8" t="s">
        <v>2547</v>
      </c>
      <c r="D666" s="9">
        <v>46124.0</v>
      </c>
      <c r="E666" s="8" t="s">
        <v>2548</v>
      </c>
      <c r="F666" s="10">
        <v>189.66</v>
      </c>
      <c r="G666" s="11">
        <v>0.5087</v>
      </c>
      <c r="H666" s="8" t="s">
        <v>917</v>
      </c>
      <c r="I666" s="12">
        <v>1043302.0</v>
      </c>
      <c r="J666" s="11">
        <v>22.9473</v>
      </c>
      <c r="K666" s="13">
        <v>3.0054</v>
      </c>
      <c r="L666" s="13">
        <v>6.092</v>
      </c>
      <c r="M666" s="13">
        <v>777721.9</v>
      </c>
      <c r="N666" s="13">
        <v>1.391</v>
      </c>
      <c r="O666" s="12">
        <v>3.1377150671E10</v>
      </c>
      <c r="P666" s="13">
        <v>87.7594</v>
      </c>
      <c r="Q666" s="13">
        <v>82.8112</v>
      </c>
      <c r="R666" s="11">
        <v>66.6235</v>
      </c>
      <c r="S666" s="13">
        <v>187.1547</v>
      </c>
      <c r="T666" s="13">
        <v>185.2045</v>
      </c>
      <c r="U666" s="13">
        <v>183.474</v>
      </c>
      <c r="V666" s="13">
        <v>181.5121</v>
      </c>
      <c r="W666" s="13">
        <v>180.9724</v>
      </c>
      <c r="X666" s="13">
        <v>177.966</v>
      </c>
      <c r="Y666" s="13">
        <v>170.5052</v>
      </c>
      <c r="Z666" s="13">
        <v>170.2194</v>
      </c>
      <c r="AA666" s="13">
        <v>190.13</v>
      </c>
      <c r="AB666" s="13">
        <v>24.687</v>
      </c>
      <c r="AC666" s="13">
        <v>7.6826</v>
      </c>
      <c r="AD666" s="13">
        <v>9.2326</v>
      </c>
      <c r="AE666" s="13">
        <v>33.1719</v>
      </c>
      <c r="AF666" s="13">
        <v>16.4157</v>
      </c>
      <c r="AG666" s="13">
        <v>0.6744</v>
      </c>
      <c r="AH666" s="13">
        <v>1.1305</v>
      </c>
      <c r="AI666" s="13">
        <v>1.9407</v>
      </c>
      <c r="AJ666" s="11">
        <v>0.99</v>
      </c>
      <c r="AK666" s="23"/>
      <c r="AL666" s="14">
        <f>IFERROR(__xludf.DUMMYFUNCTION("IFERROR(GOOGLEFINANCE(B666,""price""),"""")"),190.36)</f>
        <v>190.36</v>
      </c>
    </row>
    <row r="667">
      <c r="A667" s="7">
        <v>46121.670625638406</v>
      </c>
      <c r="B667" s="8" t="s">
        <v>1276</v>
      </c>
      <c r="C667" s="8" t="s">
        <v>1277</v>
      </c>
      <c r="D667" s="9">
        <v>46124.0</v>
      </c>
      <c r="E667" s="8" t="s">
        <v>1278</v>
      </c>
      <c r="F667" s="10">
        <v>59.06</v>
      </c>
      <c r="G667" s="11">
        <v>-0.1859</v>
      </c>
      <c r="H667" s="8" t="s">
        <v>917</v>
      </c>
      <c r="I667" s="12">
        <v>2061245.0</v>
      </c>
      <c r="J667" s="11">
        <v>23.6001</v>
      </c>
      <c r="K667" s="13">
        <v>0.3284</v>
      </c>
      <c r="L667" s="13">
        <v>0.6637</v>
      </c>
      <c r="M667" s="8">
        <v>1323108.0</v>
      </c>
      <c r="N667" s="13">
        <v>1.6204</v>
      </c>
      <c r="O667" s="12">
        <v>6.432895098E9</v>
      </c>
      <c r="P667" s="13">
        <v>89.1824</v>
      </c>
      <c r="Q667" s="13">
        <v>92.3764</v>
      </c>
      <c r="R667" s="11">
        <v>57.8757</v>
      </c>
      <c r="S667" s="13">
        <v>58.8926</v>
      </c>
      <c r="T667" s="13">
        <v>58.7492</v>
      </c>
      <c r="U667" s="13">
        <v>58.7593</v>
      </c>
      <c r="V667" s="13">
        <v>58.7545</v>
      </c>
      <c r="W667" s="13">
        <v>58.7433</v>
      </c>
      <c r="X667" s="13">
        <v>58.5634</v>
      </c>
      <c r="Y667" s="13">
        <v>57.1484</v>
      </c>
      <c r="Z667" s="13">
        <v>57.7769</v>
      </c>
      <c r="AA667" s="13">
        <v>59.52</v>
      </c>
      <c r="AB667" s="13">
        <v>40.8296</v>
      </c>
      <c r="AC667" s="13">
        <v>1.4465</v>
      </c>
      <c r="AD667" s="13">
        <v>5.094</v>
      </c>
      <c r="AE667" s="13">
        <v>20.3383</v>
      </c>
      <c r="AF667" s="13">
        <v>9.8624</v>
      </c>
      <c r="AG667" s="13">
        <v>1.6815</v>
      </c>
      <c r="AH667" s="13">
        <v>0.5549</v>
      </c>
      <c r="AI667" s="13">
        <v>0.2257</v>
      </c>
      <c r="AJ667" s="11">
        <v>0.99</v>
      </c>
      <c r="AK667" s="8" t="s">
        <v>1267</v>
      </c>
      <c r="AL667" s="14">
        <f>IFERROR(__xludf.DUMMYFUNCTION("IFERROR(GOOGLEFINANCE(B667,""price""),"""")"),59.18)</f>
        <v>59.18</v>
      </c>
    </row>
    <row r="668">
      <c r="A668" s="15">
        <v>46121.670625638406</v>
      </c>
      <c r="B668" s="16" t="s">
        <v>1526</v>
      </c>
      <c r="C668" s="16" t="s">
        <v>1527</v>
      </c>
      <c r="D668" s="17">
        <v>46124.0</v>
      </c>
      <c r="E668" s="16" t="s">
        <v>1528</v>
      </c>
      <c r="F668" s="18">
        <v>10.515</v>
      </c>
      <c r="G668" s="19">
        <v>0.0476</v>
      </c>
      <c r="H668" s="16" t="s">
        <v>93</v>
      </c>
      <c r="I668" s="20">
        <v>425092.0</v>
      </c>
      <c r="J668" s="19">
        <v>23.2841</v>
      </c>
      <c r="K668" s="21">
        <v>0.0209</v>
      </c>
      <c r="L668" s="21">
        <v>0.036</v>
      </c>
      <c r="M668" s="21">
        <v>86267.7</v>
      </c>
      <c r="N668" s="21">
        <v>9.5487</v>
      </c>
      <c r="O668" s="20">
        <v>3.52432773E8</v>
      </c>
      <c r="P668" s="21">
        <v>85.2381</v>
      </c>
      <c r="Q668" s="21">
        <v>86.0954</v>
      </c>
      <c r="R668" s="19">
        <v>58.7063</v>
      </c>
      <c r="S668" s="21">
        <v>10.5049</v>
      </c>
      <c r="T668" s="21">
        <v>10.4894</v>
      </c>
      <c r="U668" s="21">
        <v>10.4742</v>
      </c>
      <c r="V668" s="21">
        <v>10.4563</v>
      </c>
      <c r="W668" s="21">
        <v>10.4509</v>
      </c>
      <c r="X668" s="21">
        <v>10.4161</v>
      </c>
      <c r="Y668" s="21">
        <v>10.3108</v>
      </c>
      <c r="Z668" s="21">
        <v>10.3172</v>
      </c>
      <c r="AA668" s="21">
        <v>10.52</v>
      </c>
      <c r="AB668" s="21">
        <v>62.4036</v>
      </c>
      <c r="AC668" s="21">
        <v>0.1685</v>
      </c>
      <c r="AD668" s="21">
        <v>4.8957</v>
      </c>
      <c r="AE668" s="21">
        <v>0.0</v>
      </c>
      <c r="AF668" s="21">
        <v>0.0</v>
      </c>
      <c r="AG668" s="21">
        <v>0.0</v>
      </c>
      <c r="AH668" s="21">
        <v>0.0618</v>
      </c>
      <c r="AI668" s="21">
        <v>0.2914</v>
      </c>
      <c r="AJ668" s="19">
        <v>1.16</v>
      </c>
      <c r="AK668" s="16" t="s">
        <v>2452</v>
      </c>
      <c r="AL668" s="22">
        <f>IFERROR(__xludf.DUMMYFUNCTION("IFERROR(GOOGLEFINANCE(B668,""price""),"""")"),10.52)</f>
        <v>10.52</v>
      </c>
    </row>
    <row r="669">
      <c r="A669" s="7">
        <v>46121.670625638406</v>
      </c>
      <c r="B669" s="8" t="s">
        <v>1908</v>
      </c>
      <c r="C669" s="8" t="s">
        <v>1909</v>
      </c>
      <c r="D669" s="9">
        <v>46124.0</v>
      </c>
      <c r="E669" s="8" t="s">
        <v>1910</v>
      </c>
      <c r="F669" s="10">
        <v>15.57</v>
      </c>
      <c r="G669" s="11">
        <v>2.9081</v>
      </c>
      <c r="H669" s="8" t="s">
        <v>129</v>
      </c>
      <c r="I669" s="12">
        <v>984799.0</v>
      </c>
      <c r="J669" s="11">
        <v>22.8362</v>
      </c>
      <c r="K669" s="13">
        <v>0.4046</v>
      </c>
      <c r="L669" s="13">
        <v>0.8254</v>
      </c>
      <c r="M669" s="13">
        <v>649018.1</v>
      </c>
      <c r="N669" s="13">
        <v>1.6358</v>
      </c>
      <c r="O669" s="12">
        <v>1.481713611E9</v>
      </c>
      <c r="P669" s="13">
        <v>90.894</v>
      </c>
      <c r="Q669" s="13">
        <v>89.1804</v>
      </c>
      <c r="R669" s="11">
        <v>64.7197</v>
      </c>
      <c r="S669" s="13">
        <v>14.9435</v>
      </c>
      <c r="T669" s="13">
        <v>14.8145</v>
      </c>
      <c r="U669" s="13">
        <v>14.8902</v>
      </c>
      <c r="V669" s="13">
        <v>14.9359</v>
      </c>
      <c r="W669" s="13">
        <v>14.9369</v>
      </c>
      <c r="X669" s="13">
        <v>14.8636</v>
      </c>
      <c r="Y669" s="13">
        <v>14.5746</v>
      </c>
      <c r="Z669" s="13">
        <v>14.3611</v>
      </c>
      <c r="AA669" s="13">
        <v>16.57</v>
      </c>
      <c r="AB669" s="13">
        <v>22.598</v>
      </c>
      <c r="AC669" s="13">
        <v>0.689</v>
      </c>
      <c r="AD669" s="13">
        <v>7.3213</v>
      </c>
      <c r="AE669" s="13">
        <v>2.7108</v>
      </c>
      <c r="AF669" s="13">
        <v>8.2305</v>
      </c>
      <c r="AG669" s="13">
        <v>0.9127</v>
      </c>
      <c r="AH669" s="13">
        <v>1.1721</v>
      </c>
      <c r="AI669" s="13">
        <v>0.3424</v>
      </c>
      <c r="AJ669" s="11">
        <v>0.98</v>
      </c>
      <c r="AK669" s="8" t="s">
        <v>1267</v>
      </c>
      <c r="AL669" s="14">
        <f>IFERROR(__xludf.DUMMYFUNCTION("IFERROR(GOOGLEFINANCE(B669,""price""),"""")"),15.69)</f>
        <v>15.69</v>
      </c>
    </row>
    <row r="670">
      <c r="A670" s="15">
        <v>46121.670625638406</v>
      </c>
      <c r="B670" s="16" t="s">
        <v>1576</v>
      </c>
      <c r="C670" s="16" t="s">
        <v>1577</v>
      </c>
      <c r="D670" s="17">
        <v>46124.0</v>
      </c>
      <c r="E670" s="16" t="s">
        <v>1578</v>
      </c>
      <c r="F670" s="18">
        <v>11.96</v>
      </c>
      <c r="G670" s="19">
        <v>0.0837</v>
      </c>
      <c r="H670" s="16" t="s">
        <v>88</v>
      </c>
      <c r="I670" s="20">
        <v>1058819.0</v>
      </c>
      <c r="J670" s="19">
        <v>44.4504</v>
      </c>
      <c r="K670" s="21">
        <v>0.0209</v>
      </c>
      <c r="L670" s="21">
        <v>0.3116</v>
      </c>
      <c r="M670" s="21">
        <v>676498.0</v>
      </c>
      <c r="N670" s="21">
        <v>1.6346</v>
      </c>
      <c r="O670" s="20">
        <v>1.805472051E9</v>
      </c>
      <c r="P670" s="21">
        <v>68.7912</v>
      </c>
      <c r="Q670" s="21">
        <v>73.7241</v>
      </c>
      <c r="R670" s="19">
        <v>68.3435</v>
      </c>
      <c r="S670" s="21">
        <v>11.949</v>
      </c>
      <c r="T670" s="21">
        <v>11.9324</v>
      </c>
      <c r="U670" s="21">
        <v>11.9033</v>
      </c>
      <c r="V670" s="21">
        <v>11.8128</v>
      </c>
      <c r="W670" s="21">
        <v>11.7717</v>
      </c>
      <c r="X670" s="21">
        <v>11.429</v>
      </c>
      <c r="Y670" s="21">
        <v>10.8381</v>
      </c>
      <c r="Z670" s="21">
        <v>9.8146</v>
      </c>
      <c r="AA670" s="21">
        <v>11.98</v>
      </c>
      <c r="AB670" s="21">
        <v>0.0</v>
      </c>
      <c r="AC670" s="21">
        <v>-0.1272</v>
      </c>
      <c r="AD670" s="21">
        <v>-6.9547</v>
      </c>
      <c r="AE670" s="21">
        <v>-5.0392</v>
      </c>
      <c r="AF670" s="21">
        <v>17.7352</v>
      </c>
      <c r="AG670" s="21">
        <v>0.0435</v>
      </c>
      <c r="AH670" s="21">
        <v>2.0225</v>
      </c>
      <c r="AI670" s="21">
        <v>0.3825</v>
      </c>
      <c r="AJ670" s="19">
        <v>0.13</v>
      </c>
      <c r="AK670" s="16" t="s">
        <v>2549</v>
      </c>
      <c r="AL670" s="22">
        <f>IFERROR(__xludf.DUMMYFUNCTION("IFERROR(GOOGLEFINANCE(B670,""price""),"""")"),11.94)</f>
        <v>11.94</v>
      </c>
    </row>
    <row r="671">
      <c r="A671" s="7">
        <v>46121.670625638406</v>
      </c>
      <c r="B671" s="8" t="s">
        <v>2550</v>
      </c>
      <c r="C671" s="8" t="s">
        <v>2551</v>
      </c>
      <c r="D671" s="9">
        <v>46124.0</v>
      </c>
      <c r="E671" s="8" t="s">
        <v>2552</v>
      </c>
      <c r="F671" s="10">
        <v>120.81</v>
      </c>
      <c r="G671" s="11">
        <v>0.6247</v>
      </c>
      <c r="H671" s="8" t="s">
        <v>93</v>
      </c>
      <c r="I671" s="12">
        <v>721139.0</v>
      </c>
      <c r="J671" s="11">
        <v>22.165</v>
      </c>
      <c r="K671" s="13">
        <v>3.4125</v>
      </c>
      <c r="L671" s="13">
        <v>7.4464</v>
      </c>
      <c r="M671" s="13">
        <v>583326.6</v>
      </c>
      <c r="N671" s="13">
        <v>1.3045</v>
      </c>
      <c r="O671" s="12">
        <v>9.198061136E9</v>
      </c>
      <c r="P671" s="13">
        <v>90.6477</v>
      </c>
      <c r="Q671" s="13">
        <v>90.5096</v>
      </c>
      <c r="R671" s="11">
        <v>64.7318</v>
      </c>
      <c r="S671" s="13">
        <v>116.4673</v>
      </c>
      <c r="T671" s="13">
        <v>114.9646</v>
      </c>
      <c r="U671" s="13">
        <v>115.8093</v>
      </c>
      <c r="V671" s="13">
        <v>116.7069</v>
      </c>
      <c r="W671" s="13">
        <v>116.884</v>
      </c>
      <c r="X671" s="13">
        <v>117.2214</v>
      </c>
      <c r="Y671" s="13">
        <v>115.124</v>
      </c>
      <c r="Z671" s="13">
        <v>115.9691</v>
      </c>
      <c r="AA671" s="13">
        <v>136.11</v>
      </c>
      <c r="AB671" s="13">
        <v>13.2176</v>
      </c>
      <c r="AC671" s="13">
        <v>9.1401</v>
      </c>
      <c r="AD671" s="13">
        <v>12.5877</v>
      </c>
      <c r="AE671" s="13">
        <v>33.1953</v>
      </c>
      <c r="AF671" s="13">
        <v>47.8771</v>
      </c>
      <c r="AG671" s="13">
        <v>0.5033</v>
      </c>
      <c r="AH671" s="13">
        <v>0.4849</v>
      </c>
      <c r="AI671" s="13">
        <v>0.5446</v>
      </c>
      <c r="AJ671" s="11">
        <v>0.92</v>
      </c>
      <c r="AK671" s="8" t="s">
        <v>1283</v>
      </c>
      <c r="AL671" s="14">
        <f>IFERROR(__xludf.DUMMYFUNCTION("IFERROR(GOOGLEFINANCE(B671,""price""),"""")"),120.23)</f>
        <v>120.23</v>
      </c>
    </row>
    <row r="672">
      <c r="A672" s="15">
        <v>46121.670625638406</v>
      </c>
      <c r="B672" s="16" t="s">
        <v>1443</v>
      </c>
      <c r="C672" s="16" t="s">
        <v>1444</v>
      </c>
      <c r="D672" s="17">
        <v>46124.0</v>
      </c>
      <c r="E672" s="16" t="s">
        <v>1445</v>
      </c>
      <c r="F672" s="18">
        <v>202.2</v>
      </c>
      <c r="G672" s="19">
        <v>-0.8775</v>
      </c>
      <c r="H672" s="16" t="s">
        <v>88</v>
      </c>
      <c r="I672" s="20">
        <v>2370784.0</v>
      </c>
      <c r="J672" s="19">
        <v>23.8033</v>
      </c>
      <c r="K672" s="21">
        <v>1.1014</v>
      </c>
      <c r="L672" s="21">
        <v>3.2045</v>
      </c>
      <c r="M672" s="16">
        <v>1972300.0</v>
      </c>
      <c r="N672" s="21">
        <v>1.2076</v>
      </c>
      <c r="O672" s="20">
        <v>5.0601304183E10</v>
      </c>
      <c r="P672" s="21">
        <v>79.3987</v>
      </c>
      <c r="Q672" s="21">
        <v>89.5728</v>
      </c>
      <c r="R672" s="19">
        <v>50.69</v>
      </c>
      <c r="S672" s="21">
        <v>203.1436</v>
      </c>
      <c r="T672" s="21">
        <v>202.2995</v>
      </c>
      <c r="U672" s="21">
        <v>201.956</v>
      </c>
      <c r="V672" s="21">
        <v>201.7223</v>
      </c>
      <c r="W672" s="21">
        <v>201.6114</v>
      </c>
      <c r="X672" s="21">
        <v>199.9357</v>
      </c>
      <c r="Y672" s="21">
        <v>189.3859</v>
      </c>
      <c r="Z672" s="21">
        <v>189.1842</v>
      </c>
      <c r="AA672" s="21">
        <v>204.885</v>
      </c>
      <c r="AB672" s="21">
        <v>75.9151</v>
      </c>
      <c r="AC672" s="21">
        <v>2.6635</v>
      </c>
      <c r="AD672" s="21">
        <v>10.0265</v>
      </c>
      <c r="AE672" s="21">
        <v>14.2154</v>
      </c>
      <c r="AF672" s="21">
        <v>-0.3134</v>
      </c>
      <c r="AG672" s="21">
        <v>0.317</v>
      </c>
      <c r="AH672" s="21">
        <v>0.9261</v>
      </c>
      <c r="AI672" s="21">
        <v>0.5873</v>
      </c>
      <c r="AJ672" s="19">
        <v>0.69</v>
      </c>
      <c r="AK672" s="16" t="s">
        <v>2553</v>
      </c>
      <c r="AL672" s="22">
        <f>IFERROR(__xludf.DUMMYFUNCTION("IFERROR(GOOGLEFINANCE(B672,""price""),"""")"),202.74)</f>
        <v>202.74</v>
      </c>
    </row>
    <row r="673">
      <c r="A673" s="7">
        <v>46121.670625638406</v>
      </c>
      <c r="B673" s="8" t="s">
        <v>1295</v>
      </c>
      <c r="C673" s="8" t="s">
        <v>1296</v>
      </c>
      <c r="D673" s="9">
        <v>46124.0</v>
      </c>
      <c r="E673" s="8" t="s">
        <v>1297</v>
      </c>
      <c r="F673" s="10">
        <v>170.79</v>
      </c>
      <c r="G673" s="11">
        <v>0.7789</v>
      </c>
      <c r="H673" s="8" t="s">
        <v>93</v>
      </c>
      <c r="I673" s="12">
        <v>2002031.0</v>
      </c>
      <c r="J673" s="11">
        <v>20.441</v>
      </c>
      <c r="K673" s="13">
        <v>2.906</v>
      </c>
      <c r="L673" s="13">
        <v>5.8265</v>
      </c>
      <c r="M673" s="8">
        <v>1443452.0</v>
      </c>
      <c r="N673" s="13">
        <v>1.4146</v>
      </c>
      <c r="O673" s="12">
        <v>2.38526997307E11</v>
      </c>
      <c r="P673" s="13">
        <v>96.7509</v>
      </c>
      <c r="Q673" s="13">
        <v>92.8171</v>
      </c>
      <c r="R673" s="11">
        <v>65.0544</v>
      </c>
      <c r="S673" s="13">
        <v>165.8489</v>
      </c>
      <c r="T673" s="13">
        <v>164.376</v>
      </c>
      <c r="U673" s="13">
        <v>164.7406</v>
      </c>
      <c r="V673" s="13">
        <v>164.8803</v>
      </c>
      <c r="W673" s="13">
        <v>164.7924</v>
      </c>
      <c r="X673" s="13">
        <v>163.0106</v>
      </c>
      <c r="Y673" s="13">
        <v>153.6272</v>
      </c>
      <c r="Z673" s="13">
        <v>152.5059</v>
      </c>
      <c r="AA673" s="13">
        <v>176.19</v>
      </c>
      <c r="AB673" s="13">
        <v>15.9815</v>
      </c>
      <c r="AC673" s="13">
        <v>10.6868</v>
      </c>
      <c r="AD673" s="13">
        <v>15.3989</v>
      </c>
      <c r="AE673" s="13">
        <v>37.9241</v>
      </c>
      <c r="AF673" s="13">
        <v>7.1151</v>
      </c>
      <c r="AG673" s="13">
        <v>2.5924</v>
      </c>
      <c r="AH673" s="13">
        <v>0.6386</v>
      </c>
      <c r="AI673" s="13">
        <v>0.6489</v>
      </c>
      <c r="AJ673" s="11">
        <v>1.0</v>
      </c>
      <c r="AK673" s="8" t="s">
        <v>1283</v>
      </c>
      <c r="AL673" s="14">
        <f>IFERROR(__xludf.DUMMYFUNCTION("IFERROR(GOOGLEFINANCE(B673,""price""),"""")"),171.91)</f>
        <v>171.91</v>
      </c>
    </row>
    <row r="674">
      <c r="A674" s="15">
        <v>46121.670625638406</v>
      </c>
      <c r="B674" s="16" t="s">
        <v>2554</v>
      </c>
      <c r="C674" s="16" t="s">
        <v>2555</v>
      </c>
      <c r="D674" s="17">
        <v>46124.0</v>
      </c>
      <c r="E674" s="16" t="s">
        <v>2556</v>
      </c>
      <c r="F674" s="18">
        <v>56.44</v>
      </c>
      <c r="G674" s="19">
        <v>0.966</v>
      </c>
      <c r="H674" s="16" t="s">
        <v>93</v>
      </c>
      <c r="I674" s="20">
        <v>430205.0</v>
      </c>
      <c r="J674" s="19">
        <v>22.4747</v>
      </c>
      <c r="K674" s="21">
        <v>1.4122</v>
      </c>
      <c r="L674" s="21">
        <v>3.3259</v>
      </c>
      <c r="M674" s="21">
        <v>324872.9</v>
      </c>
      <c r="N674" s="21">
        <v>1.3632</v>
      </c>
      <c r="O674" s="20">
        <v>2.921196593E9</v>
      </c>
      <c r="P674" s="21">
        <v>94.2128</v>
      </c>
      <c r="Q674" s="21">
        <v>95.696</v>
      </c>
      <c r="R674" s="19">
        <v>68.3525</v>
      </c>
      <c r="S674" s="21">
        <v>54.2302</v>
      </c>
      <c r="T674" s="21">
        <v>53.4273</v>
      </c>
      <c r="U674" s="21">
        <v>53.8457</v>
      </c>
      <c r="V674" s="21">
        <v>54.4107</v>
      </c>
      <c r="W674" s="21">
        <v>54.5436</v>
      </c>
      <c r="X674" s="21">
        <v>54.9236</v>
      </c>
      <c r="Y674" s="21">
        <v>53.7297</v>
      </c>
      <c r="Z674" s="21">
        <v>54.0416</v>
      </c>
      <c r="AA674" s="21">
        <v>62.365</v>
      </c>
      <c r="AB674" s="21">
        <v>23.4502</v>
      </c>
      <c r="AC674" s="21">
        <v>2.4068</v>
      </c>
      <c r="AD674" s="21">
        <v>6.9757</v>
      </c>
      <c r="AE674" s="21">
        <v>29.6839</v>
      </c>
      <c r="AF674" s="21">
        <v>13.4285</v>
      </c>
      <c r="AG674" s="21">
        <v>0.1403</v>
      </c>
      <c r="AH674" s="21">
        <v>0.1012</v>
      </c>
      <c r="AI674" s="21">
        <v>0.6813</v>
      </c>
      <c r="AJ674" s="19">
        <v>0.85</v>
      </c>
      <c r="AK674" s="16" t="s">
        <v>1283</v>
      </c>
      <c r="AL674" s="22">
        <f>IFERROR(__xludf.DUMMYFUNCTION("IFERROR(GOOGLEFINANCE(B674,""price""),"""")"),54.9)</f>
        <v>54.9</v>
      </c>
    </row>
    <row r="675">
      <c r="A675" s="7">
        <v>46121.670625638406</v>
      </c>
      <c r="B675" s="8" t="s">
        <v>2464</v>
      </c>
      <c r="C675" s="8" t="s">
        <v>2465</v>
      </c>
      <c r="D675" s="9">
        <v>46124.0</v>
      </c>
      <c r="E675" s="8" t="s">
        <v>2466</v>
      </c>
      <c r="F675" s="10">
        <v>10.035</v>
      </c>
      <c r="G675" s="11">
        <v>-2.9497</v>
      </c>
      <c r="H675" s="8" t="s">
        <v>117</v>
      </c>
      <c r="I675" s="12">
        <v>5812075.0</v>
      </c>
      <c r="J675" s="11">
        <v>29.4766</v>
      </c>
      <c r="K675" s="13">
        <v>0.5539</v>
      </c>
      <c r="L675" s="13">
        <v>0.9873</v>
      </c>
      <c r="M675" s="8">
        <v>2722513.0</v>
      </c>
      <c r="N675" s="13">
        <v>2.4426</v>
      </c>
      <c r="O675" s="12">
        <v>2.182873299E9</v>
      </c>
      <c r="P675" s="13">
        <v>81.1488</v>
      </c>
      <c r="Q675" s="13">
        <v>87.6425</v>
      </c>
      <c r="R675" s="11">
        <v>57.0149</v>
      </c>
      <c r="S675" s="13">
        <v>9.7199</v>
      </c>
      <c r="T675" s="13">
        <v>9.5749</v>
      </c>
      <c r="U675" s="13">
        <v>9.6158</v>
      </c>
      <c r="V675" s="13">
        <v>9.5274</v>
      </c>
      <c r="W675" s="13">
        <v>9.4755</v>
      </c>
      <c r="X675" s="13">
        <v>9.0331</v>
      </c>
      <c r="Y675" s="13">
        <v>8.3907</v>
      </c>
      <c r="Z675" s="13">
        <v>7.1358</v>
      </c>
      <c r="AA675" s="13">
        <v>11.425</v>
      </c>
      <c r="AB675" s="13">
        <v>0.0</v>
      </c>
      <c r="AC675" s="13">
        <v>-2.7772</v>
      </c>
      <c r="AD675" s="13">
        <v>-25.2532</v>
      </c>
      <c r="AE675" s="13">
        <v>-1.275</v>
      </c>
      <c r="AF675" s="13">
        <v>-3.6669</v>
      </c>
      <c r="AG675" s="13">
        <v>0.3768</v>
      </c>
      <c r="AH675" s="13">
        <v>3.9074</v>
      </c>
      <c r="AI675" s="13">
        <v>1.0372</v>
      </c>
      <c r="AJ675" s="11">
        <v>1.12</v>
      </c>
      <c r="AK675" s="8" t="s">
        <v>1368</v>
      </c>
      <c r="AL675" s="14">
        <f>IFERROR(__xludf.DUMMYFUNCTION("IFERROR(GOOGLEFINANCE(B675,""price""),"""")"),9.42)</f>
        <v>9.42</v>
      </c>
    </row>
    <row r="676">
      <c r="A676" s="15">
        <v>46121.670625638406</v>
      </c>
      <c r="B676" s="16" t="s">
        <v>2557</v>
      </c>
      <c r="C676" s="16" t="s">
        <v>2558</v>
      </c>
      <c r="D676" s="17">
        <v>46124.0</v>
      </c>
      <c r="E676" s="16" t="s">
        <v>2559</v>
      </c>
      <c r="F676" s="18">
        <v>81.25</v>
      </c>
      <c r="G676" s="19">
        <v>1.3977</v>
      </c>
      <c r="H676" s="16" t="s">
        <v>93</v>
      </c>
      <c r="I676" s="20">
        <v>350501.0</v>
      </c>
      <c r="J676" s="19">
        <v>20.6949</v>
      </c>
      <c r="K676" s="21">
        <v>2.0977</v>
      </c>
      <c r="L676" s="21">
        <v>4.7881</v>
      </c>
      <c r="M676" s="21">
        <v>282859.8</v>
      </c>
      <c r="N676" s="21">
        <v>1.2661</v>
      </c>
      <c r="O676" s="20">
        <v>3.973542483E9</v>
      </c>
      <c r="P676" s="21">
        <v>90.0702</v>
      </c>
      <c r="Q676" s="21">
        <v>90.6507</v>
      </c>
      <c r="R676" s="19">
        <v>69.3127</v>
      </c>
      <c r="S676" s="21">
        <v>78.109</v>
      </c>
      <c r="T676" s="21">
        <v>77.0525</v>
      </c>
      <c r="U676" s="21">
        <v>77.2496</v>
      </c>
      <c r="V676" s="21">
        <v>77.3097</v>
      </c>
      <c r="W676" s="21">
        <v>77.2621</v>
      </c>
      <c r="X676" s="21">
        <v>76.4697</v>
      </c>
      <c r="Y676" s="21">
        <v>73.1022</v>
      </c>
      <c r="Z676" s="21">
        <v>72.313</v>
      </c>
      <c r="AA676" s="21">
        <v>87.0</v>
      </c>
      <c r="AB676" s="21">
        <v>18.2568</v>
      </c>
      <c r="AC676" s="21">
        <v>4.4504</v>
      </c>
      <c r="AD676" s="21">
        <v>6.2548</v>
      </c>
      <c r="AE676" s="21">
        <v>36.968</v>
      </c>
      <c r="AF676" s="21">
        <v>19.2888</v>
      </c>
      <c r="AG676" s="21">
        <v>0.2528</v>
      </c>
      <c r="AH676" s="21">
        <v>0.0567</v>
      </c>
      <c r="AI676" s="21">
        <v>1.0577</v>
      </c>
      <c r="AJ676" s="19">
        <v>0.88</v>
      </c>
      <c r="AK676" s="24"/>
      <c r="AL676" s="22">
        <f>IFERROR(__xludf.DUMMYFUNCTION("IFERROR(GOOGLEFINANCE(B676,""price""),"""")"),79.62)</f>
        <v>79.62</v>
      </c>
    </row>
    <row r="677">
      <c r="A677" s="7">
        <v>46121.670625638406</v>
      </c>
      <c r="B677" s="8" t="s">
        <v>2560</v>
      </c>
      <c r="C677" s="8" t="s">
        <v>2561</v>
      </c>
      <c r="D677" s="9">
        <v>46124.0</v>
      </c>
      <c r="E677" s="8" t="s">
        <v>2562</v>
      </c>
      <c r="F677" s="10">
        <v>20.29</v>
      </c>
      <c r="G677" s="11">
        <v>5.5122</v>
      </c>
      <c r="H677" s="8" t="s">
        <v>93</v>
      </c>
      <c r="I677" s="12">
        <v>1598986.0</v>
      </c>
      <c r="J677" s="11">
        <v>21.9565</v>
      </c>
      <c r="K677" s="13">
        <v>0.9355</v>
      </c>
      <c r="L677" s="13">
        <v>2.0275</v>
      </c>
      <c r="M677" s="13">
        <v>814703.3</v>
      </c>
      <c r="N677" s="13">
        <v>2.3044</v>
      </c>
      <c r="O677" s="12">
        <v>1.862451323E9</v>
      </c>
      <c r="P677" s="13">
        <v>84.846</v>
      </c>
      <c r="Q677" s="13">
        <v>73.7432</v>
      </c>
      <c r="R677" s="11">
        <v>68.4369</v>
      </c>
      <c r="S677" s="13">
        <v>18.5361</v>
      </c>
      <c r="T677" s="13">
        <v>18.1092</v>
      </c>
      <c r="U677" s="13">
        <v>18.318</v>
      </c>
      <c r="V677" s="13">
        <v>18.5906</v>
      </c>
      <c r="W677" s="13">
        <v>18.6587</v>
      </c>
      <c r="X677" s="13">
        <v>18.9788</v>
      </c>
      <c r="Y677" s="13">
        <v>19.394</v>
      </c>
      <c r="Z677" s="13">
        <v>19.8472</v>
      </c>
      <c r="AA677" s="13">
        <v>25.925</v>
      </c>
      <c r="AB677" s="13">
        <v>43.804</v>
      </c>
      <c r="AC677" s="13">
        <v>0.4632</v>
      </c>
      <c r="AD677" s="13">
        <v>0.0</v>
      </c>
      <c r="AE677" s="13">
        <v>6.3936</v>
      </c>
      <c r="AF677" s="13">
        <v>-14.4795</v>
      </c>
      <c r="AG677" s="13">
        <v>0.0</v>
      </c>
      <c r="AH677" s="13">
        <v>1.331</v>
      </c>
      <c r="AI677" s="13">
        <v>1.0752</v>
      </c>
      <c r="AJ677" s="11">
        <v>0.92</v>
      </c>
      <c r="AK677" s="8" t="s">
        <v>1830</v>
      </c>
      <c r="AL677" s="14">
        <f>IFERROR(__xludf.DUMMYFUNCTION("IFERROR(GOOGLEFINANCE(B677,""price""),"""")"),20.43)</f>
        <v>20.43</v>
      </c>
    </row>
    <row r="678">
      <c r="A678" s="15">
        <v>46121.670625638406</v>
      </c>
      <c r="B678" s="16" t="s">
        <v>2563</v>
      </c>
      <c r="C678" s="16" t="s">
        <v>2564</v>
      </c>
      <c r="D678" s="17">
        <v>46124.0</v>
      </c>
      <c r="E678" s="16" t="s">
        <v>2565</v>
      </c>
      <c r="F678" s="18">
        <v>37.82</v>
      </c>
      <c r="G678" s="19">
        <v>3.3333</v>
      </c>
      <c r="H678" s="16" t="s">
        <v>129</v>
      </c>
      <c r="I678" s="20">
        <v>1028433.0</v>
      </c>
      <c r="J678" s="19">
        <v>21.1604</v>
      </c>
      <c r="K678" s="21">
        <v>1.6491</v>
      </c>
      <c r="L678" s="21">
        <v>3.3648</v>
      </c>
      <c r="M678" s="21">
        <v>851133.6</v>
      </c>
      <c r="N678" s="21">
        <v>1.2785</v>
      </c>
      <c r="O678" s="20">
        <v>5.720165115E9</v>
      </c>
      <c r="P678" s="21">
        <v>81.8588</v>
      </c>
      <c r="Q678" s="21">
        <v>74.137</v>
      </c>
      <c r="R678" s="19">
        <v>62.9192</v>
      </c>
      <c r="S678" s="21">
        <v>35.5781</v>
      </c>
      <c r="T678" s="21">
        <v>35.0606</v>
      </c>
      <c r="U678" s="21">
        <v>35.1538</v>
      </c>
      <c r="V678" s="21">
        <v>35.2865</v>
      </c>
      <c r="W678" s="21">
        <v>35.3159</v>
      </c>
      <c r="X678" s="21">
        <v>35.2745</v>
      </c>
      <c r="Y678" s="21">
        <v>33.2166</v>
      </c>
      <c r="Z678" s="21">
        <v>34.3493</v>
      </c>
      <c r="AA678" s="21">
        <v>45.29</v>
      </c>
      <c r="AB678" s="21">
        <v>0.0</v>
      </c>
      <c r="AC678" s="21">
        <v>-4.0312</v>
      </c>
      <c r="AD678" s="21">
        <v>-16.929</v>
      </c>
      <c r="AE678" s="21">
        <v>8.5252</v>
      </c>
      <c r="AF678" s="21">
        <v>10.5162</v>
      </c>
      <c r="AG678" s="21">
        <v>1.1416</v>
      </c>
      <c r="AH678" s="21">
        <v>1.9134</v>
      </c>
      <c r="AI678" s="21">
        <v>1.1218</v>
      </c>
      <c r="AJ678" s="19">
        <v>0.98</v>
      </c>
      <c r="AK678" s="24"/>
      <c r="AL678" s="22">
        <f>IFERROR(__xludf.DUMMYFUNCTION("IFERROR(GOOGLEFINANCE(B678,""price""),"""")"),37.65)</f>
        <v>37.65</v>
      </c>
    </row>
    <row r="679">
      <c r="A679" s="7">
        <v>46121.670625638406</v>
      </c>
      <c r="B679" s="8" t="s">
        <v>2566</v>
      </c>
      <c r="C679" s="8" t="s">
        <v>2567</v>
      </c>
      <c r="D679" s="9">
        <v>46124.0</v>
      </c>
      <c r="E679" s="8" t="s">
        <v>2568</v>
      </c>
      <c r="F679" s="10">
        <v>53.39</v>
      </c>
      <c r="G679" s="11">
        <v>4.3793</v>
      </c>
      <c r="H679" s="8" t="s">
        <v>308</v>
      </c>
      <c r="I679" s="12">
        <v>516196.0</v>
      </c>
      <c r="J679" s="11">
        <v>22.3288</v>
      </c>
      <c r="K679" s="13">
        <v>1.9222</v>
      </c>
      <c r="L679" s="13">
        <v>3.6274</v>
      </c>
      <c r="M679" s="13">
        <v>163200.7</v>
      </c>
      <c r="N679" s="13">
        <v>4.1301</v>
      </c>
      <c r="O679" s="12">
        <v>1.532064063E9</v>
      </c>
      <c r="P679" s="13">
        <v>80.6946</v>
      </c>
      <c r="Q679" s="13">
        <v>71.0367</v>
      </c>
      <c r="R679" s="11">
        <v>65.5853</v>
      </c>
      <c r="S679" s="13">
        <v>50.0219</v>
      </c>
      <c r="T679" s="13">
        <v>49.2951</v>
      </c>
      <c r="U679" s="13">
        <v>49.4096</v>
      </c>
      <c r="V679" s="13">
        <v>49.2974</v>
      </c>
      <c r="W679" s="13">
        <v>49.2045</v>
      </c>
      <c r="X679" s="13">
        <v>48.3096</v>
      </c>
      <c r="Y679" s="13">
        <v>46.334</v>
      </c>
      <c r="Z679" s="13">
        <v>44.5614</v>
      </c>
      <c r="AA679" s="13">
        <v>59.66</v>
      </c>
      <c r="AB679" s="13">
        <v>24.3212</v>
      </c>
      <c r="AC679" s="13">
        <v>2.1952</v>
      </c>
      <c r="AD679" s="13">
        <v>12.0665</v>
      </c>
      <c r="AE679" s="13">
        <v>15.3972</v>
      </c>
      <c r="AF679" s="13">
        <v>5.1641</v>
      </c>
      <c r="AG679" s="13">
        <v>0.15</v>
      </c>
      <c r="AH679" s="13">
        <v>2.3039</v>
      </c>
      <c r="AI679" s="13">
        <v>1.1469</v>
      </c>
      <c r="AJ679" s="11">
        <v>1.06</v>
      </c>
      <c r="AK679" s="8" t="s">
        <v>2569</v>
      </c>
      <c r="AL679" s="14">
        <f>IFERROR(__xludf.DUMMYFUNCTION("IFERROR(GOOGLEFINANCE(B679,""price""),"""")"),54.94)</f>
        <v>54.94</v>
      </c>
    </row>
    <row r="680">
      <c r="A680" s="15">
        <v>46121.670625638406</v>
      </c>
      <c r="B680" s="16" t="s">
        <v>2570</v>
      </c>
      <c r="C680" s="16" t="s">
        <v>2571</v>
      </c>
      <c r="D680" s="17">
        <v>46124.0</v>
      </c>
      <c r="E680" s="16" t="s">
        <v>2572</v>
      </c>
      <c r="F680" s="18">
        <v>53.95</v>
      </c>
      <c r="G680" s="19">
        <v>2.3719</v>
      </c>
      <c r="H680" s="16" t="s">
        <v>270</v>
      </c>
      <c r="I680" s="20">
        <v>1591393.0</v>
      </c>
      <c r="J680" s="19">
        <v>24.645</v>
      </c>
      <c r="K680" s="21">
        <v>2.0281</v>
      </c>
      <c r="L680" s="21">
        <v>4.2399</v>
      </c>
      <c r="M680" s="21">
        <v>991469.5</v>
      </c>
      <c r="N680" s="21">
        <v>1.7886</v>
      </c>
      <c r="O680" s="20">
        <v>4.308354069E9</v>
      </c>
      <c r="P680" s="21">
        <v>97.8766</v>
      </c>
      <c r="Q680" s="21">
        <v>95.0399</v>
      </c>
      <c r="R680" s="19">
        <v>64.1964</v>
      </c>
      <c r="S680" s="21">
        <v>50.7085</v>
      </c>
      <c r="T680" s="21">
        <v>49.6925</v>
      </c>
      <c r="U680" s="21">
        <v>50.0619</v>
      </c>
      <c r="V680" s="21">
        <v>50.2423</v>
      </c>
      <c r="W680" s="21">
        <v>50.2125</v>
      </c>
      <c r="X680" s="21">
        <v>49.5211</v>
      </c>
      <c r="Y680" s="21">
        <v>47.9934</v>
      </c>
      <c r="Z680" s="21">
        <v>45.4547</v>
      </c>
      <c r="AA680" s="21">
        <v>59.25</v>
      </c>
      <c r="AB680" s="21">
        <v>22.4408</v>
      </c>
      <c r="AC680" s="21">
        <v>2.4041</v>
      </c>
      <c r="AD680" s="21">
        <v>14.4517</v>
      </c>
      <c r="AE680" s="21">
        <v>23.2149</v>
      </c>
      <c r="AF680" s="21">
        <v>-4.493</v>
      </c>
      <c r="AG680" s="21">
        <v>0.0308</v>
      </c>
      <c r="AH680" s="21">
        <v>5.8141</v>
      </c>
      <c r="AI680" s="21">
        <v>1.1985</v>
      </c>
      <c r="AJ680" s="19">
        <v>0.96</v>
      </c>
      <c r="AK680" s="24"/>
      <c r="AL680" s="22">
        <f>IFERROR(__xludf.DUMMYFUNCTION("IFERROR(GOOGLEFINANCE(B680,""price""),"""")"),54.34)</f>
        <v>54.34</v>
      </c>
    </row>
    <row r="681">
      <c r="A681" s="7">
        <v>46121.670625638406</v>
      </c>
      <c r="B681" s="8" t="s">
        <v>2469</v>
      </c>
      <c r="C681" s="8" t="s">
        <v>2470</v>
      </c>
      <c r="D681" s="9">
        <v>46124.0</v>
      </c>
      <c r="E681" s="8" t="s">
        <v>2471</v>
      </c>
      <c r="F681" s="10">
        <v>110.14</v>
      </c>
      <c r="G681" s="11">
        <v>2.3035</v>
      </c>
      <c r="H681" s="8" t="s">
        <v>162</v>
      </c>
      <c r="I681" s="12">
        <v>2031002.0</v>
      </c>
      <c r="J681" s="11">
        <v>22.4459</v>
      </c>
      <c r="K681" s="13">
        <v>2.367</v>
      </c>
      <c r="L681" s="13">
        <v>4.9435</v>
      </c>
      <c r="M681" s="8">
        <v>1320426.0</v>
      </c>
      <c r="N681" s="13">
        <v>1.5231</v>
      </c>
      <c r="O681" s="12">
        <v>6.7339595656E10</v>
      </c>
      <c r="P681" s="13">
        <v>91.3402</v>
      </c>
      <c r="Q681" s="13">
        <v>86.022</v>
      </c>
      <c r="R681" s="11">
        <v>67.6977</v>
      </c>
      <c r="S681" s="13">
        <v>105.8521</v>
      </c>
      <c r="T681" s="13">
        <v>104.5965</v>
      </c>
      <c r="U681" s="13">
        <v>104.3891</v>
      </c>
      <c r="V681" s="13">
        <v>103.8894</v>
      </c>
      <c r="W681" s="13">
        <v>103.701</v>
      </c>
      <c r="X681" s="13">
        <v>102.479</v>
      </c>
      <c r="Y681" s="13">
        <v>101.2208</v>
      </c>
      <c r="Z681" s="13">
        <v>98.8542</v>
      </c>
      <c r="AA681" s="13">
        <v>113.085</v>
      </c>
      <c r="AB681" s="13">
        <v>19.9799</v>
      </c>
      <c r="AC681" s="13">
        <v>5.5125</v>
      </c>
      <c r="AD681" s="13">
        <v>22.1497</v>
      </c>
      <c r="AE681" s="13">
        <v>38.0663</v>
      </c>
      <c r="AF681" s="13">
        <v>6.3781</v>
      </c>
      <c r="AG681" s="13">
        <v>0.9979</v>
      </c>
      <c r="AH681" s="13">
        <v>0.6686</v>
      </c>
      <c r="AI681" s="13">
        <v>1.3282</v>
      </c>
      <c r="AJ681" s="11">
        <v>0.96</v>
      </c>
      <c r="AK681" s="23"/>
      <c r="AL681" s="14">
        <f>IFERROR(__xludf.DUMMYFUNCTION("IFERROR(GOOGLEFINANCE(B681,""price""),"""")"),110.09)</f>
        <v>110.09</v>
      </c>
    </row>
    <row r="682">
      <c r="A682" s="15">
        <v>46121.670625638406</v>
      </c>
      <c r="B682" s="16" t="s">
        <v>231</v>
      </c>
      <c r="C682" s="16" t="s">
        <v>232</v>
      </c>
      <c r="D682" s="17">
        <v>46124.0</v>
      </c>
      <c r="E682" s="16" t="s">
        <v>233</v>
      </c>
      <c r="F682" s="18">
        <v>2.01</v>
      </c>
      <c r="G682" s="19">
        <v>12.9213</v>
      </c>
      <c r="H682" s="16" t="s">
        <v>117</v>
      </c>
      <c r="I682" s="20">
        <v>1.1359195E7</v>
      </c>
      <c r="J682" s="19">
        <v>27.0367</v>
      </c>
      <c r="K682" s="21">
        <v>0.1533</v>
      </c>
      <c r="L682" s="21">
        <v>0.3477</v>
      </c>
      <c r="M682" s="16">
        <v>3655301.0</v>
      </c>
      <c r="N682" s="21">
        <v>4.2108</v>
      </c>
      <c r="O682" s="20">
        <v>2.36511218E8</v>
      </c>
      <c r="P682" s="21">
        <v>87.0852</v>
      </c>
      <c r="Q682" s="21">
        <v>77.0405</v>
      </c>
      <c r="R682" s="19">
        <v>67.704</v>
      </c>
      <c r="S682" s="21">
        <v>1.5942</v>
      </c>
      <c r="T682" s="21">
        <v>1.5174</v>
      </c>
      <c r="U682" s="21">
        <v>1.5652</v>
      </c>
      <c r="V682" s="21">
        <v>1.6346</v>
      </c>
      <c r="W682" s="21">
        <v>1.6541</v>
      </c>
      <c r="X682" s="21">
        <v>1.747</v>
      </c>
      <c r="Y682" s="21">
        <v>1.8148</v>
      </c>
      <c r="Z682" s="21">
        <v>1.881</v>
      </c>
      <c r="AA682" s="21">
        <v>3.06</v>
      </c>
      <c r="AB682" s="21">
        <v>0.0</v>
      </c>
      <c r="AC682" s="21">
        <v>-0.796</v>
      </c>
      <c r="AD682" s="21">
        <v>-229.6526</v>
      </c>
      <c r="AE682" s="21">
        <v>-4041.7206</v>
      </c>
      <c r="AF682" s="21">
        <v>0.0</v>
      </c>
      <c r="AG682" s="21">
        <v>1.3976</v>
      </c>
      <c r="AH682" s="21">
        <v>8.0064</v>
      </c>
      <c r="AI682" s="21">
        <v>1.4413</v>
      </c>
      <c r="AJ682" s="19">
        <v>0.88</v>
      </c>
      <c r="AK682" s="16" t="s">
        <v>2573</v>
      </c>
      <c r="AL682" s="22">
        <f>IFERROR(__xludf.DUMMYFUNCTION("IFERROR(GOOGLEFINANCE(B682,""price""),"""")"),2.02)</f>
        <v>2.02</v>
      </c>
    </row>
    <row r="683">
      <c r="A683" s="7">
        <v>46121.670625638406</v>
      </c>
      <c r="B683" s="8" t="s">
        <v>1467</v>
      </c>
      <c r="C683" s="8" t="s">
        <v>1468</v>
      </c>
      <c r="D683" s="9">
        <v>46124.0</v>
      </c>
      <c r="E683" s="8" t="s">
        <v>1469</v>
      </c>
      <c r="F683" s="10">
        <v>141.85</v>
      </c>
      <c r="G683" s="11">
        <v>2.0504</v>
      </c>
      <c r="H683" s="8" t="s">
        <v>102</v>
      </c>
      <c r="I683" s="12">
        <v>3878432.0</v>
      </c>
      <c r="J683" s="11">
        <v>26.4813</v>
      </c>
      <c r="K683" s="13">
        <v>4.1952</v>
      </c>
      <c r="L683" s="13">
        <v>7.7372</v>
      </c>
      <c r="M683" s="8">
        <v>3211521.0</v>
      </c>
      <c r="N683" s="13">
        <v>1.2709</v>
      </c>
      <c r="O683" s="12">
        <v>8.6821585095E10</v>
      </c>
      <c r="P683" s="13">
        <v>81.2767</v>
      </c>
      <c r="Q683" s="13">
        <v>70.1329</v>
      </c>
      <c r="R683" s="11">
        <v>61.5178</v>
      </c>
      <c r="S683" s="13">
        <v>135.8935</v>
      </c>
      <c r="T683" s="13">
        <v>134.5656</v>
      </c>
      <c r="U683" s="13">
        <v>133.8445</v>
      </c>
      <c r="V683" s="13">
        <v>132.3226</v>
      </c>
      <c r="W683" s="13">
        <v>131.7843</v>
      </c>
      <c r="X683" s="13">
        <v>128.0692</v>
      </c>
      <c r="Y683" s="13">
        <v>117.6314</v>
      </c>
      <c r="Z683" s="13">
        <v>117.0167</v>
      </c>
      <c r="AA683" s="13">
        <v>146.49</v>
      </c>
      <c r="AB683" s="13">
        <v>26.6846</v>
      </c>
      <c r="AC683" s="13">
        <v>5.3158</v>
      </c>
      <c r="AD683" s="13">
        <v>13.146</v>
      </c>
      <c r="AE683" s="13">
        <v>13.0805</v>
      </c>
      <c r="AF683" s="13">
        <v>-6.3935</v>
      </c>
      <c r="AG683" s="13">
        <v>0.735</v>
      </c>
      <c r="AH683" s="13">
        <v>0.9638</v>
      </c>
      <c r="AI683" s="13">
        <v>1.4445</v>
      </c>
      <c r="AJ683" s="11">
        <v>1.08</v>
      </c>
      <c r="AK683" s="23"/>
      <c r="AL683" s="14">
        <f>IFERROR(__xludf.DUMMYFUNCTION("IFERROR(GOOGLEFINANCE(B683,""price""),"""")"),142.53)</f>
        <v>142.53</v>
      </c>
    </row>
    <row r="684">
      <c r="A684" s="15">
        <v>46121.670625638406</v>
      </c>
      <c r="B684" s="16" t="s">
        <v>1284</v>
      </c>
      <c r="C684" s="16" t="s">
        <v>1285</v>
      </c>
      <c r="D684" s="17">
        <v>46124.0</v>
      </c>
      <c r="E684" s="16" t="s">
        <v>1286</v>
      </c>
      <c r="F684" s="18">
        <v>84.03</v>
      </c>
      <c r="G684" s="19">
        <v>0.9612</v>
      </c>
      <c r="H684" s="16" t="s">
        <v>88</v>
      </c>
      <c r="I684" s="20">
        <v>4917769.0</v>
      </c>
      <c r="J684" s="19">
        <v>23.0934</v>
      </c>
      <c r="K684" s="21">
        <v>2.8092</v>
      </c>
      <c r="L684" s="21">
        <v>6.3374</v>
      </c>
      <c r="M684" s="16">
        <v>3702974.0</v>
      </c>
      <c r="N684" s="21">
        <v>1.3701</v>
      </c>
      <c r="O684" s="20">
        <v>2.4760859607E10</v>
      </c>
      <c r="P684" s="21">
        <v>80.2125</v>
      </c>
      <c r="Q684" s="21">
        <v>86.7149</v>
      </c>
      <c r="R684" s="19">
        <v>60.9846</v>
      </c>
      <c r="S684" s="21">
        <v>82.1413</v>
      </c>
      <c r="T684" s="21">
        <v>80.4834</v>
      </c>
      <c r="U684" s="21">
        <v>80.8349</v>
      </c>
      <c r="V684" s="21">
        <v>81.6045</v>
      </c>
      <c r="W684" s="21">
        <v>81.8068</v>
      </c>
      <c r="X684" s="21">
        <v>82.561</v>
      </c>
      <c r="Y684" s="21">
        <v>81.8907</v>
      </c>
      <c r="Z684" s="21">
        <v>81.8627</v>
      </c>
      <c r="AA684" s="21">
        <v>97.58</v>
      </c>
      <c r="AB684" s="21">
        <v>13.5299</v>
      </c>
      <c r="AC684" s="21">
        <v>6.2107</v>
      </c>
      <c r="AD684" s="21">
        <v>20.2754</v>
      </c>
      <c r="AE684" s="21">
        <v>23.0784</v>
      </c>
      <c r="AF684" s="21">
        <v>4.3584</v>
      </c>
      <c r="AG684" s="21">
        <v>0.006</v>
      </c>
      <c r="AH684" s="21">
        <v>4.2763</v>
      </c>
      <c r="AI684" s="21">
        <v>1.5547</v>
      </c>
      <c r="AJ684" s="19">
        <v>0.89</v>
      </c>
      <c r="AK684" s="24"/>
      <c r="AL684" s="22">
        <f>IFERROR(__xludf.DUMMYFUNCTION("IFERROR(GOOGLEFINANCE(B684,""price""),"""")"),79.24)</f>
        <v>79.24</v>
      </c>
    </row>
    <row r="685">
      <c r="A685" s="7">
        <v>46121.670625638406</v>
      </c>
      <c r="B685" s="8" t="s">
        <v>2496</v>
      </c>
      <c r="C685" s="8" t="s">
        <v>2497</v>
      </c>
      <c r="D685" s="9">
        <v>46124.0</v>
      </c>
      <c r="E685" s="8" t="s">
        <v>2498</v>
      </c>
      <c r="F685" s="10">
        <v>22.46</v>
      </c>
      <c r="G685" s="11">
        <v>1.8132</v>
      </c>
      <c r="H685" s="8" t="s">
        <v>93</v>
      </c>
      <c r="I685" s="12">
        <v>1379664.0</v>
      </c>
      <c r="J685" s="11">
        <v>22.4724</v>
      </c>
      <c r="K685" s="13">
        <v>0.5636</v>
      </c>
      <c r="L685" s="13">
        <v>1.2501</v>
      </c>
      <c r="M685" s="13">
        <v>892248.5</v>
      </c>
      <c r="N685" s="13">
        <v>1.659</v>
      </c>
      <c r="O685" s="12">
        <v>2.935438581E9</v>
      </c>
      <c r="P685" s="13">
        <v>90.1924</v>
      </c>
      <c r="Q685" s="13">
        <v>91.2787</v>
      </c>
      <c r="R685" s="11">
        <v>71.0523</v>
      </c>
      <c r="S685" s="13">
        <v>21.6379</v>
      </c>
      <c r="T685" s="13">
        <v>21.2827</v>
      </c>
      <c r="U685" s="13">
        <v>21.2641</v>
      </c>
      <c r="V685" s="13">
        <v>21.2185</v>
      </c>
      <c r="W685" s="13">
        <v>21.1916</v>
      </c>
      <c r="X685" s="13">
        <v>20.9278</v>
      </c>
      <c r="Y685" s="13">
        <v>20.0681</v>
      </c>
      <c r="Z685" s="13">
        <v>19.8858</v>
      </c>
      <c r="AA685" s="13">
        <v>23.9789</v>
      </c>
      <c r="AB685" s="13">
        <v>10.0677</v>
      </c>
      <c r="AC685" s="13">
        <v>2.2309</v>
      </c>
      <c r="AD685" s="13">
        <v>10.7154</v>
      </c>
      <c r="AE685" s="13">
        <v>46.8833</v>
      </c>
      <c r="AF685" s="13">
        <v>21.3199</v>
      </c>
      <c r="AG685" s="13">
        <v>0.9105</v>
      </c>
      <c r="AH685" s="13">
        <v>0.0181</v>
      </c>
      <c r="AI685" s="13">
        <v>1.6642</v>
      </c>
      <c r="AJ685" s="11">
        <v>0.9</v>
      </c>
      <c r="AK685" s="23"/>
      <c r="AL685" s="14">
        <f>IFERROR(__xludf.DUMMYFUNCTION("IFERROR(GOOGLEFINANCE(B685,""price""),"""")"),22.05)</f>
        <v>22.05</v>
      </c>
    </row>
    <row r="686">
      <c r="A686" s="15">
        <v>46121.670625638406</v>
      </c>
      <c r="B686" s="16" t="s">
        <v>2479</v>
      </c>
      <c r="C686" s="16" t="s">
        <v>2480</v>
      </c>
      <c r="D686" s="17">
        <v>46124.0</v>
      </c>
      <c r="E686" s="16" t="s">
        <v>2481</v>
      </c>
      <c r="F686" s="18">
        <v>83.25</v>
      </c>
      <c r="G686" s="19">
        <v>2.0721</v>
      </c>
      <c r="H686" s="16" t="s">
        <v>93</v>
      </c>
      <c r="I686" s="20">
        <v>752819.0</v>
      </c>
      <c r="J686" s="19">
        <v>20.4855</v>
      </c>
      <c r="K686" s="21">
        <v>3.2205</v>
      </c>
      <c r="L686" s="21">
        <v>6.4623</v>
      </c>
      <c r="M686" s="21">
        <v>622455.5</v>
      </c>
      <c r="N686" s="21">
        <v>1.2135</v>
      </c>
      <c r="O686" s="20">
        <v>5.934870804E9</v>
      </c>
      <c r="P686" s="21">
        <v>83.0064</v>
      </c>
      <c r="Q686" s="21">
        <v>78.3552</v>
      </c>
      <c r="R686" s="19">
        <v>68.0167</v>
      </c>
      <c r="S686" s="21">
        <v>78.9534</v>
      </c>
      <c r="T686" s="21">
        <v>77.0193</v>
      </c>
      <c r="U686" s="21">
        <v>77.4799</v>
      </c>
      <c r="V686" s="21">
        <v>78.5882</v>
      </c>
      <c r="W686" s="21">
        <v>78.9087</v>
      </c>
      <c r="X686" s="21">
        <v>80.323</v>
      </c>
      <c r="Y686" s="21">
        <v>79.7241</v>
      </c>
      <c r="Z686" s="21">
        <v>82.259</v>
      </c>
      <c r="AA686" s="21">
        <v>95.065</v>
      </c>
      <c r="AB686" s="21">
        <v>21.061</v>
      </c>
      <c r="AC686" s="21">
        <v>3.9528</v>
      </c>
      <c r="AD686" s="21">
        <v>21.6505</v>
      </c>
      <c r="AE686" s="21">
        <v>20.1907</v>
      </c>
      <c r="AF686" s="21">
        <v>24.6388</v>
      </c>
      <c r="AG686" s="21">
        <v>0.0849</v>
      </c>
      <c r="AH686" s="21">
        <v>1.0462</v>
      </c>
      <c r="AI686" s="21">
        <v>1.77</v>
      </c>
      <c r="AJ686" s="19">
        <v>1.0</v>
      </c>
      <c r="AK686" s="24"/>
      <c r="AL686" s="22">
        <f>IFERROR(__xludf.DUMMYFUNCTION("IFERROR(GOOGLEFINANCE(B686,""price""),"""")"),83.47)</f>
        <v>83.47</v>
      </c>
    </row>
    <row r="687">
      <c r="A687" s="7">
        <v>46121.670625638406</v>
      </c>
      <c r="B687" s="8" t="s">
        <v>2574</v>
      </c>
      <c r="C687" s="8" t="s">
        <v>2575</v>
      </c>
      <c r="D687" s="9">
        <v>46124.0</v>
      </c>
      <c r="E687" s="8" t="s">
        <v>2576</v>
      </c>
      <c r="F687" s="10">
        <v>83.56</v>
      </c>
      <c r="G687" s="11">
        <v>1.6545</v>
      </c>
      <c r="H687" s="8" t="s">
        <v>93</v>
      </c>
      <c r="I687" s="12">
        <v>603964.0</v>
      </c>
      <c r="J687" s="11">
        <v>21.2444</v>
      </c>
      <c r="K687" s="13">
        <v>2.0186</v>
      </c>
      <c r="L687" s="13">
        <v>4.504</v>
      </c>
      <c r="M687" s="13">
        <v>511581.5</v>
      </c>
      <c r="N687" s="13">
        <v>1.2244</v>
      </c>
      <c r="O687" s="12">
        <v>5.672077222E9</v>
      </c>
      <c r="P687" s="13">
        <v>94.8698</v>
      </c>
      <c r="Q687" s="13">
        <v>93.7692</v>
      </c>
      <c r="R687" s="11">
        <v>71.3708</v>
      </c>
      <c r="S687" s="13">
        <v>80.0444</v>
      </c>
      <c r="T687" s="13">
        <v>78.5305</v>
      </c>
      <c r="U687" s="13">
        <v>78.4786</v>
      </c>
      <c r="V687" s="13">
        <v>78.4869</v>
      </c>
      <c r="W687" s="13">
        <v>78.4529</v>
      </c>
      <c r="X687" s="13">
        <v>77.8316</v>
      </c>
      <c r="Y687" s="13">
        <v>74.3632</v>
      </c>
      <c r="Z687" s="13">
        <v>74.5577</v>
      </c>
      <c r="AA687" s="13">
        <v>87.98</v>
      </c>
      <c r="AB687" s="13">
        <v>13.926</v>
      </c>
      <c r="AC687" s="13">
        <v>6.0003</v>
      </c>
      <c r="AD687" s="13">
        <v>10.5309</v>
      </c>
      <c r="AE687" s="13">
        <v>44.0305</v>
      </c>
      <c r="AF687" s="13">
        <v>1.2578</v>
      </c>
      <c r="AG687" s="13">
        <v>0.1823</v>
      </c>
      <c r="AH687" s="13">
        <v>0.0513</v>
      </c>
      <c r="AI687" s="13">
        <v>1.8738</v>
      </c>
      <c r="AJ687" s="11">
        <v>0.9</v>
      </c>
      <c r="AK687" s="23"/>
      <c r="AL687" s="14">
        <f>IFERROR(__xludf.DUMMYFUNCTION("IFERROR(GOOGLEFINANCE(B687,""price""),"""")"),82.86)</f>
        <v>82.86</v>
      </c>
    </row>
    <row r="688">
      <c r="A688" s="15">
        <v>46121.670625638406</v>
      </c>
      <c r="B688" s="16" t="s">
        <v>2577</v>
      </c>
      <c r="C688" s="16" t="s">
        <v>2578</v>
      </c>
      <c r="D688" s="17">
        <v>46124.0</v>
      </c>
      <c r="E688" s="16" t="s">
        <v>2579</v>
      </c>
      <c r="F688" s="18">
        <v>3.82</v>
      </c>
      <c r="G688" s="19">
        <v>8.2153</v>
      </c>
      <c r="H688" s="16" t="s">
        <v>88</v>
      </c>
      <c r="I688" s="20">
        <v>2.3208914E7</v>
      </c>
      <c r="J688" s="19">
        <v>26.2994</v>
      </c>
      <c r="K688" s="21">
        <v>0.157</v>
      </c>
      <c r="L688" s="21">
        <v>0.3293</v>
      </c>
      <c r="M688" s="16">
        <v>9773165.0</v>
      </c>
      <c r="N688" s="21">
        <v>2.6834</v>
      </c>
      <c r="O688" s="20">
        <v>2.254363705E9</v>
      </c>
      <c r="P688" s="21">
        <v>76.682</v>
      </c>
      <c r="Q688" s="21">
        <v>82.0</v>
      </c>
      <c r="R688" s="19">
        <v>68.7957</v>
      </c>
      <c r="S688" s="21">
        <v>3.5084</v>
      </c>
      <c r="T688" s="21">
        <v>3.4182</v>
      </c>
      <c r="U688" s="21">
        <v>3.4335</v>
      </c>
      <c r="V688" s="21">
        <v>3.4901</v>
      </c>
      <c r="W688" s="21">
        <v>3.5104</v>
      </c>
      <c r="X688" s="21">
        <v>3.6374</v>
      </c>
      <c r="Y688" s="21">
        <v>3.7983</v>
      </c>
      <c r="Z688" s="21">
        <v>3.975</v>
      </c>
      <c r="AA688" s="21">
        <v>5.32</v>
      </c>
      <c r="AB688" s="21">
        <v>216.3019</v>
      </c>
      <c r="AC688" s="21">
        <v>0.0177</v>
      </c>
      <c r="AD688" s="21">
        <v>2.8198</v>
      </c>
      <c r="AE688" s="21">
        <v>9.3381</v>
      </c>
      <c r="AF688" s="21">
        <v>-8.8641</v>
      </c>
      <c r="AG688" s="21">
        <v>0.3082</v>
      </c>
      <c r="AH688" s="21">
        <v>2.1445</v>
      </c>
      <c r="AI688" s="21">
        <v>1.9597</v>
      </c>
      <c r="AJ688" s="19">
        <v>0.95</v>
      </c>
      <c r="AK688" s="16" t="s">
        <v>2248</v>
      </c>
      <c r="AL688" s="22">
        <f>IFERROR(__xludf.DUMMYFUNCTION("IFERROR(GOOGLEFINANCE(B688,""price""),"""")"),3.84)</f>
        <v>3.84</v>
      </c>
    </row>
    <row r="689">
      <c r="A689" s="7">
        <v>46122.6677294078</v>
      </c>
      <c r="B689" s="8" t="s">
        <v>2580</v>
      </c>
      <c r="C689" s="8" t="s">
        <v>2581</v>
      </c>
      <c r="D689" s="9">
        <v>46124.0</v>
      </c>
      <c r="E689" s="8" t="s">
        <v>2582</v>
      </c>
      <c r="F689" s="10">
        <v>297.26</v>
      </c>
      <c r="G689" s="11">
        <v>-1.9688</v>
      </c>
      <c r="H689" s="8" t="s">
        <v>93</v>
      </c>
      <c r="I689" s="12">
        <v>1407889.0</v>
      </c>
      <c r="J689" s="11">
        <v>20.0438</v>
      </c>
      <c r="K689" s="13">
        <v>6.3526</v>
      </c>
      <c r="L689" s="13">
        <v>12.262</v>
      </c>
      <c r="M689" s="8">
        <v>1163061.0</v>
      </c>
      <c r="N689" s="13">
        <v>1.237</v>
      </c>
      <c r="O689" s="12">
        <v>6.4278880418E10</v>
      </c>
      <c r="P689" s="13">
        <v>81.0749</v>
      </c>
      <c r="Q689" s="13">
        <v>74.3543</v>
      </c>
      <c r="R689" s="11">
        <v>50.4234</v>
      </c>
      <c r="S689" s="13">
        <v>297.1477</v>
      </c>
      <c r="T689" s="13">
        <v>296.8479</v>
      </c>
      <c r="U689" s="13">
        <v>296.829</v>
      </c>
      <c r="V689" s="13">
        <v>295.87</v>
      </c>
      <c r="W689" s="13">
        <v>295.4682</v>
      </c>
      <c r="X689" s="13">
        <v>292.3697</v>
      </c>
      <c r="Y689" s="13">
        <v>282.3248</v>
      </c>
      <c r="Z689" s="13">
        <v>280.761</v>
      </c>
      <c r="AA689" s="13">
        <v>313.12</v>
      </c>
      <c r="AB689" s="13">
        <v>10.7961</v>
      </c>
      <c r="AC689" s="13">
        <v>27.5341</v>
      </c>
      <c r="AD689" s="13">
        <v>20.6985</v>
      </c>
      <c r="AE689" s="13">
        <v>16.8367</v>
      </c>
      <c r="AF689" s="13">
        <v>5.1806</v>
      </c>
      <c r="AG689" s="13">
        <v>0.2892</v>
      </c>
      <c r="AH689" s="13">
        <v>0.4416</v>
      </c>
      <c r="AI689" s="13">
        <v>0.1072</v>
      </c>
      <c r="AJ689" s="11">
        <v>1.04</v>
      </c>
      <c r="AK689" s="8" t="s">
        <v>1267</v>
      </c>
      <c r="AL689" s="14">
        <f>IFERROR(__xludf.DUMMYFUNCTION("IFERROR(GOOGLEFINANCE(B689,""price""),"""")"),297.26)</f>
        <v>297.26</v>
      </c>
    </row>
    <row r="690">
      <c r="A690" s="15">
        <v>46122.6677294078</v>
      </c>
      <c r="B690" s="16" t="s">
        <v>1526</v>
      </c>
      <c r="C690" s="16" t="s">
        <v>1527</v>
      </c>
      <c r="D690" s="17">
        <v>46124.0</v>
      </c>
      <c r="E690" s="16" t="s">
        <v>1528</v>
      </c>
      <c r="F690" s="18">
        <v>10.515</v>
      </c>
      <c r="G690" s="19">
        <v>0.0476</v>
      </c>
      <c r="H690" s="16" t="s">
        <v>93</v>
      </c>
      <c r="I690" s="20">
        <v>425092.0</v>
      </c>
      <c r="J690" s="19">
        <v>23.2841</v>
      </c>
      <c r="K690" s="21">
        <v>0.0209</v>
      </c>
      <c r="L690" s="21">
        <v>0.036</v>
      </c>
      <c r="M690" s="21">
        <v>86267.7</v>
      </c>
      <c r="N690" s="21">
        <v>9.5487</v>
      </c>
      <c r="O690" s="20">
        <v>3.52432773E8</v>
      </c>
      <c r="P690" s="21">
        <v>85.2381</v>
      </c>
      <c r="Q690" s="21">
        <v>86.0954</v>
      </c>
      <c r="R690" s="19">
        <v>58.7063</v>
      </c>
      <c r="S690" s="21">
        <v>10.5049</v>
      </c>
      <c r="T690" s="21">
        <v>10.4894</v>
      </c>
      <c r="U690" s="21">
        <v>10.4742</v>
      </c>
      <c r="V690" s="21">
        <v>10.4563</v>
      </c>
      <c r="W690" s="21">
        <v>10.4509</v>
      </c>
      <c r="X690" s="21">
        <v>10.4161</v>
      </c>
      <c r="Y690" s="21">
        <v>10.3108</v>
      </c>
      <c r="Z690" s="21">
        <v>10.3172</v>
      </c>
      <c r="AA690" s="21">
        <v>10.52</v>
      </c>
      <c r="AB690" s="21">
        <v>62.4036</v>
      </c>
      <c r="AC690" s="21">
        <v>0.1685</v>
      </c>
      <c r="AD690" s="21">
        <v>4.8957</v>
      </c>
      <c r="AE690" s="21">
        <v>0.0</v>
      </c>
      <c r="AF690" s="21">
        <v>0.0</v>
      </c>
      <c r="AG690" s="21">
        <v>0.0</v>
      </c>
      <c r="AH690" s="21">
        <v>0.0618</v>
      </c>
      <c r="AI690" s="21">
        <v>0.2914</v>
      </c>
      <c r="AJ690" s="19">
        <v>1.16</v>
      </c>
      <c r="AK690" s="16" t="s">
        <v>2452</v>
      </c>
      <c r="AL690" s="22">
        <f>IFERROR(__xludf.DUMMYFUNCTION("IFERROR(GOOGLEFINANCE(B690,""price""),"""")"),10.52)</f>
        <v>10.52</v>
      </c>
    </row>
    <row r="691">
      <c r="A691" s="7">
        <v>46122.6677294078</v>
      </c>
      <c r="B691" s="8" t="s">
        <v>1330</v>
      </c>
      <c r="C691" s="8" t="s">
        <v>1331</v>
      </c>
      <c r="D691" s="9">
        <v>46124.0</v>
      </c>
      <c r="E691" s="8" t="s">
        <v>1332</v>
      </c>
      <c r="F691" s="10">
        <v>10.74</v>
      </c>
      <c r="G691" s="11">
        <v>-0.093</v>
      </c>
      <c r="H691" s="8" t="s">
        <v>93</v>
      </c>
      <c r="I691" s="12">
        <v>304486.0</v>
      </c>
      <c r="J691" s="11">
        <v>43.7925</v>
      </c>
      <c r="K691" s="13">
        <v>0.0477</v>
      </c>
      <c r="L691" s="13">
        <v>0.1167</v>
      </c>
      <c r="M691" s="13">
        <v>43965.3</v>
      </c>
      <c r="N691" s="13">
        <v>22.2915</v>
      </c>
      <c r="O691" s="12">
        <v>2.7338669E8</v>
      </c>
      <c r="P691" s="13">
        <v>53.2738</v>
      </c>
      <c r="Q691" s="13">
        <v>39.0542</v>
      </c>
      <c r="R691" s="11">
        <v>60.7644</v>
      </c>
      <c r="S691" s="13">
        <v>10.7167</v>
      </c>
      <c r="T691" s="13">
        <v>10.6975</v>
      </c>
      <c r="U691" s="13">
        <v>10.6838</v>
      </c>
      <c r="V691" s="13">
        <v>10.6681</v>
      </c>
      <c r="W691" s="13">
        <v>10.6635</v>
      </c>
      <c r="X691" s="13">
        <v>10.6364</v>
      </c>
      <c r="Y691" s="13">
        <v>10.5399</v>
      </c>
      <c r="Z691" s="13">
        <v>10.6072</v>
      </c>
      <c r="AA691" s="13">
        <v>11.64</v>
      </c>
      <c r="AB691" s="13">
        <v>47.8183</v>
      </c>
      <c r="AC691" s="13">
        <v>0.2246</v>
      </c>
      <c r="AD691" s="13">
        <v>2.8922</v>
      </c>
      <c r="AE691" s="13">
        <v>0.0</v>
      </c>
      <c r="AF691" s="13">
        <v>0.0</v>
      </c>
      <c r="AG691" s="13">
        <v>0.0</v>
      </c>
      <c r="AH691" s="13">
        <v>0.4984</v>
      </c>
      <c r="AI691" s="13">
        <v>0.3059</v>
      </c>
      <c r="AJ691" s="11">
        <v>0.82</v>
      </c>
      <c r="AK691" s="8" t="s">
        <v>2583</v>
      </c>
      <c r="AL691" s="14">
        <f>IFERROR(__xludf.DUMMYFUNCTION("IFERROR(GOOGLEFINANCE(B691,""price""),"""")"),10.73)</f>
        <v>10.73</v>
      </c>
    </row>
    <row r="692">
      <c r="A692" s="15">
        <v>46122.6677294078</v>
      </c>
      <c r="B692" s="16" t="s">
        <v>1576</v>
      </c>
      <c r="C692" s="16" t="s">
        <v>1577</v>
      </c>
      <c r="D692" s="17">
        <v>46124.0</v>
      </c>
      <c r="E692" s="16" t="s">
        <v>1578</v>
      </c>
      <c r="F692" s="18">
        <v>11.94</v>
      </c>
      <c r="G692" s="19">
        <v>-0.1672</v>
      </c>
      <c r="H692" s="16" t="s">
        <v>88</v>
      </c>
      <c r="I692" s="20">
        <v>1560033.0</v>
      </c>
      <c r="J692" s="19">
        <v>44.3643</v>
      </c>
      <c r="K692" s="21">
        <v>0.0208</v>
      </c>
      <c r="L692" s="21">
        <v>0.3123</v>
      </c>
      <c r="M692" s="21">
        <v>787110.9</v>
      </c>
      <c r="N692" s="21">
        <v>2.306</v>
      </c>
      <c r="O692" s="20">
        <v>1.802452901E9</v>
      </c>
      <c r="P692" s="21">
        <v>48.7912</v>
      </c>
      <c r="Q692" s="21">
        <v>63.3211</v>
      </c>
      <c r="R692" s="19">
        <v>57.2034</v>
      </c>
      <c r="S692" s="21">
        <v>11.947</v>
      </c>
      <c r="T692" s="21">
        <v>11.9331</v>
      </c>
      <c r="U692" s="21">
        <v>11.9054</v>
      </c>
      <c r="V692" s="21">
        <v>11.8178</v>
      </c>
      <c r="W692" s="21">
        <v>11.7777</v>
      </c>
      <c r="X692" s="21">
        <v>11.4403</v>
      </c>
      <c r="Y692" s="21">
        <v>10.849</v>
      </c>
      <c r="Z692" s="21">
        <v>9.8291</v>
      </c>
      <c r="AA692" s="21">
        <v>11.98</v>
      </c>
      <c r="AB692" s="21">
        <v>0.0</v>
      </c>
      <c r="AC692" s="21">
        <v>-0.1272</v>
      </c>
      <c r="AD692" s="21">
        <v>-6.9547</v>
      </c>
      <c r="AE692" s="21">
        <v>-5.0392</v>
      </c>
      <c r="AF692" s="21">
        <v>17.7352</v>
      </c>
      <c r="AG692" s="21">
        <v>0.0435</v>
      </c>
      <c r="AH692" s="21">
        <v>2.0225</v>
      </c>
      <c r="AI692" s="21">
        <v>0.3488</v>
      </c>
      <c r="AJ692" s="19">
        <v>0.13</v>
      </c>
      <c r="AK692" s="16" t="s">
        <v>2584</v>
      </c>
      <c r="AL692" s="22">
        <f>IFERROR(__xludf.DUMMYFUNCTION("IFERROR(GOOGLEFINANCE(B692,""price""),"""")"),11.94)</f>
        <v>11.94</v>
      </c>
    </row>
    <row r="693">
      <c r="A693" s="7">
        <v>46122.6677294078</v>
      </c>
      <c r="B693" s="8" t="s">
        <v>2585</v>
      </c>
      <c r="C693" s="8" t="s">
        <v>2586</v>
      </c>
      <c r="D693" s="9">
        <v>46124.0</v>
      </c>
      <c r="E693" s="8" t="s">
        <v>2587</v>
      </c>
      <c r="F693" s="10">
        <v>117.89</v>
      </c>
      <c r="G693" s="11">
        <v>2.0693</v>
      </c>
      <c r="H693" s="8" t="s">
        <v>335</v>
      </c>
      <c r="I693" s="12">
        <v>6357893.0</v>
      </c>
      <c r="J693" s="11">
        <v>23.4778</v>
      </c>
      <c r="K693" s="13">
        <v>3.8249</v>
      </c>
      <c r="L693" s="13">
        <v>7.9505</v>
      </c>
      <c r="M693" s="8">
        <v>4896058.0</v>
      </c>
      <c r="N693" s="13">
        <v>1.3402</v>
      </c>
      <c r="O693" s="12">
        <v>7.878008604E10</v>
      </c>
      <c r="P693" s="13">
        <v>93.4627</v>
      </c>
      <c r="Q693" s="13">
        <v>86.8903</v>
      </c>
      <c r="R693" s="11">
        <v>65.4738</v>
      </c>
      <c r="S693" s="13">
        <v>110.869</v>
      </c>
      <c r="T693" s="13">
        <v>108.6276</v>
      </c>
      <c r="U693" s="13">
        <v>109.9812</v>
      </c>
      <c r="V693" s="13">
        <v>111.8736</v>
      </c>
      <c r="W693" s="13">
        <v>112.3494</v>
      </c>
      <c r="X693" s="13">
        <v>114.0788</v>
      </c>
      <c r="Y693" s="13">
        <v>111.9035</v>
      </c>
      <c r="Z693" s="13">
        <v>113.3932</v>
      </c>
      <c r="AA693" s="13">
        <v>131.55</v>
      </c>
      <c r="AB693" s="13">
        <v>21.3522</v>
      </c>
      <c r="AC693" s="13">
        <v>5.5212</v>
      </c>
      <c r="AD693" s="13">
        <v>16.3557</v>
      </c>
      <c r="AE693" s="13">
        <v>14.2148</v>
      </c>
      <c r="AF693" s="13">
        <v>5.271</v>
      </c>
      <c r="AG693" s="13">
        <v>0.8209</v>
      </c>
      <c r="AH693" s="13">
        <v>1.7425</v>
      </c>
      <c r="AI693" s="13">
        <v>0.7531</v>
      </c>
      <c r="AJ693" s="11">
        <v>0.96</v>
      </c>
      <c r="AK693" s="8" t="s">
        <v>1283</v>
      </c>
      <c r="AL693" s="14">
        <f>IFERROR(__xludf.DUMMYFUNCTION("IFERROR(GOOGLEFINANCE(B693,""price""),"""")"),117.89)</f>
        <v>117.89</v>
      </c>
    </row>
    <row r="694">
      <c r="A694" s="15">
        <v>46122.6677294078</v>
      </c>
      <c r="B694" s="16" t="s">
        <v>2588</v>
      </c>
      <c r="C694" s="16" t="s">
        <v>2589</v>
      </c>
      <c r="D694" s="17">
        <v>46124.0</v>
      </c>
      <c r="E694" s="16" t="s">
        <v>2590</v>
      </c>
      <c r="F694" s="18">
        <v>23.49</v>
      </c>
      <c r="G694" s="19">
        <v>-0.6345</v>
      </c>
      <c r="H694" s="16" t="s">
        <v>93</v>
      </c>
      <c r="I694" s="20">
        <v>3900920.0</v>
      </c>
      <c r="J694" s="19">
        <v>24.9061</v>
      </c>
      <c r="K694" s="21">
        <v>0.6162</v>
      </c>
      <c r="L694" s="21">
        <v>1.4095</v>
      </c>
      <c r="M694" s="16">
        <v>2949748.0</v>
      </c>
      <c r="N694" s="21">
        <v>1.3797</v>
      </c>
      <c r="O694" s="20">
        <v>9.153418631E9</v>
      </c>
      <c r="P694" s="21">
        <v>90.3165</v>
      </c>
      <c r="Q694" s="21">
        <v>91.8638</v>
      </c>
      <c r="R694" s="19">
        <v>63.8893</v>
      </c>
      <c r="S694" s="21">
        <v>22.8467</v>
      </c>
      <c r="T694" s="21">
        <v>22.4952</v>
      </c>
      <c r="U694" s="21">
        <v>22.6159</v>
      </c>
      <c r="V694" s="21">
        <v>22.7429</v>
      </c>
      <c r="W694" s="21">
        <v>22.7632</v>
      </c>
      <c r="X694" s="21">
        <v>22.7553</v>
      </c>
      <c r="Y694" s="21">
        <v>22.3321</v>
      </c>
      <c r="Z694" s="21">
        <v>22.3219</v>
      </c>
      <c r="AA694" s="21">
        <v>26.17</v>
      </c>
      <c r="AB694" s="21">
        <v>13.2204</v>
      </c>
      <c r="AC694" s="21">
        <v>1.7768</v>
      </c>
      <c r="AD694" s="21">
        <v>9.0226</v>
      </c>
      <c r="AE694" s="21">
        <v>38.879</v>
      </c>
      <c r="AF694" s="21">
        <v>26.4334</v>
      </c>
      <c r="AG694" s="21">
        <v>0.9038</v>
      </c>
      <c r="AH694" s="21">
        <v>0.037</v>
      </c>
      <c r="AI694" s="21">
        <v>0.9825</v>
      </c>
      <c r="AJ694" s="19">
        <v>0.87</v>
      </c>
      <c r="AK694" s="16" t="s">
        <v>1283</v>
      </c>
      <c r="AL694" s="22">
        <f>IFERROR(__xludf.DUMMYFUNCTION("IFERROR(GOOGLEFINANCE(B694,""price""),"""")"),23.49)</f>
        <v>23.49</v>
      </c>
    </row>
    <row r="695">
      <c r="A695" s="7">
        <v>46122.6677294078</v>
      </c>
      <c r="B695" s="8" t="s">
        <v>2591</v>
      </c>
      <c r="C695" s="8" t="s">
        <v>2592</v>
      </c>
      <c r="D695" s="9">
        <v>46124.0</v>
      </c>
      <c r="E695" s="8" t="s">
        <v>2593</v>
      </c>
      <c r="F695" s="10">
        <v>393.0</v>
      </c>
      <c r="G695" s="11">
        <v>0.3524</v>
      </c>
      <c r="H695" s="8" t="s">
        <v>270</v>
      </c>
      <c r="I695" s="12">
        <v>454967.0</v>
      </c>
      <c r="J695" s="11">
        <v>30.8738</v>
      </c>
      <c r="K695" s="13">
        <v>16.7997</v>
      </c>
      <c r="L695" s="13">
        <v>31.9295</v>
      </c>
      <c r="M695" s="13">
        <v>388743.8</v>
      </c>
      <c r="N695" s="13">
        <v>1.2369</v>
      </c>
      <c r="O695" s="12">
        <v>1.1778235819E10</v>
      </c>
      <c r="P695" s="13">
        <v>95.0117</v>
      </c>
      <c r="Q695" s="13">
        <v>87.5919</v>
      </c>
      <c r="R695" s="11">
        <v>62.3267</v>
      </c>
      <c r="S695" s="13">
        <v>369.8673</v>
      </c>
      <c r="T695" s="13">
        <v>363.259</v>
      </c>
      <c r="U695" s="13">
        <v>365.884</v>
      </c>
      <c r="V695" s="13">
        <v>366.5653</v>
      </c>
      <c r="W695" s="13">
        <v>366.114</v>
      </c>
      <c r="X695" s="13">
        <v>358.1973</v>
      </c>
      <c r="Y695" s="13">
        <v>320.4105</v>
      </c>
      <c r="Z695" s="13">
        <v>317.1054</v>
      </c>
      <c r="AA695" s="13">
        <v>445.525</v>
      </c>
      <c r="AB695" s="13">
        <v>40.9695</v>
      </c>
      <c r="AC695" s="13">
        <v>9.5925</v>
      </c>
      <c r="AD695" s="13">
        <v>18.1516</v>
      </c>
      <c r="AE695" s="13">
        <v>8.0035</v>
      </c>
      <c r="AF695" s="13">
        <v>17.9476</v>
      </c>
      <c r="AG695" s="13">
        <v>1.6094</v>
      </c>
      <c r="AH695" s="13">
        <v>2.738</v>
      </c>
      <c r="AI695" s="13">
        <v>1.0136</v>
      </c>
      <c r="AJ695" s="11">
        <v>1.05</v>
      </c>
      <c r="AK695" s="23"/>
      <c r="AL695" s="14">
        <f>IFERROR(__xludf.DUMMYFUNCTION("IFERROR(GOOGLEFINANCE(B695,""price""),"""")"),393.0)</f>
        <v>393</v>
      </c>
    </row>
    <row r="696">
      <c r="A696" s="15">
        <v>46122.6677294078</v>
      </c>
      <c r="B696" s="16" t="s">
        <v>2594</v>
      </c>
      <c r="C696" s="16" t="s">
        <v>2595</v>
      </c>
      <c r="D696" s="17">
        <v>46124.0</v>
      </c>
      <c r="E696" s="16" t="s">
        <v>2596</v>
      </c>
      <c r="F696" s="18">
        <v>8.83</v>
      </c>
      <c r="G696" s="19">
        <v>27.7858</v>
      </c>
      <c r="H696" s="16" t="s">
        <v>117</v>
      </c>
      <c r="I696" s="20">
        <v>3.9288102E7</v>
      </c>
      <c r="J696" s="19">
        <v>35.7616</v>
      </c>
      <c r="K696" s="21">
        <v>0.4865</v>
      </c>
      <c r="L696" s="21">
        <v>1.0363</v>
      </c>
      <c r="M696" s="16">
        <v>7734253.0</v>
      </c>
      <c r="N696" s="21">
        <v>9.683</v>
      </c>
      <c r="O696" s="20">
        <v>2.29858708E9</v>
      </c>
      <c r="P696" s="21">
        <v>72.3067</v>
      </c>
      <c r="Q696" s="21">
        <v>58.3172</v>
      </c>
      <c r="R696" s="19">
        <v>75.081</v>
      </c>
      <c r="S696" s="21">
        <v>6.8142</v>
      </c>
      <c r="T696" s="21">
        <v>6.546</v>
      </c>
      <c r="U696" s="21">
        <v>6.6824</v>
      </c>
      <c r="V696" s="21">
        <v>6.8837</v>
      </c>
      <c r="W696" s="21">
        <v>6.9424</v>
      </c>
      <c r="X696" s="21">
        <v>7.3096</v>
      </c>
      <c r="Y696" s="21">
        <v>8.6129</v>
      </c>
      <c r="Z696" s="21">
        <v>8.3925</v>
      </c>
      <c r="AA696" s="21">
        <v>13.245</v>
      </c>
      <c r="AB696" s="21">
        <v>12.3221</v>
      </c>
      <c r="AC696" s="21">
        <v>0.7166</v>
      </c>
      <c r="AD696" s="21">
        <v>30.5556</v>
      </c>
      <c r="AE696" s="21">
        <v>20.0129</v>
      </c>
      <c r="AF696" s="21">
        <v>-2.9205</v>
      </c>
      <c r="AG696" s="21">
        <v>11.7021</v>
      </c>
      <c r="AH696" s="21">
        <v>1.8209</v>
      </c>
      <c r="AI696" s="21">
        <v>1.4927</v>
      </c>
      <c r="AJ696" s="19">
        <v>0.94</v>
      </c>
      <c r="AK696" s="16" t="s">
        <v>2597</v>
      </c>
      <c r="AL696" s="22">
        <f>IFERROR(__xludf.DUMMYFUNCTION("IFERROR(GOOGLEFINANCE(B696,""price""),"""")"),8.83)</f>
        <v>8.83</v>
      </c>
    </row>
    <row r="697">
      <c r="A697" s="7">
        <v>46122.6677294078</v>
      </c>
      <c r="B697" s="8" t="s">
        <v>2493</v>
      </c>
      <c r="C697" s="8" t="s">
        <v>2494</v>
      </c>
      <c r="D697" s="9">
        <v>46124.0</v>
      </c>
      <c r="E697" s="8" t="s">
        <v>2495</v>
      </c>
      <c r="F697" s="10">
        <v>78.36</v>
      </c>
      <c r="G697" s="11">
        <v>-2.2211</v>
      </c>
      <c r="H697" s="8" t="s">
        <v>117</v>
      </c>
      <c r="I697" s="12">
        <v>581370.0</v>
      </c>
      <c r="J697" s="11">
        <v>21.2321</v>
      </c>
      <c r="K697" s="13">
        <v>2.8144</v>
      </c>
      <c r="L697" s="13">
        <v>5.9138</v>
      </c>
      <c r="M697" s="13">
        <v>397589.1</v>
      </c>
      <c r="N697" s="13">
        <v>1.6191</v>
      </c>
      <c r="O697" s="12">
        <v>1.757220515E9</v>
      </c>
      <c r="P697" s="13">
        <v>69.3038</v>
      </c>
      <c r="Q697" s="13">
        <v>74.2302</v>
      </c>
      <c r="R697" s="11">
        <v>55.8563</v>
      </c>
      <c r="S697" s="13">
        <v>77.7216</v>
      </c>
      <c r="T697" s="13">
        <v>76.3427</v>
      </c>
      <c r="U697" s="13">
        <v>76.4127</v>
      </c>
      <c r="V697" s="13">
        <v>77.0392</v>
      </c>
      <c r="W697" s="13">
        <v>77.2662</v>
      </c>
      <c r="X697" s="13">
        <v>78.5391</v>
      </c>
      <c r="Y697" s="13">
        <v>78.1167</v>
      </c>
      <c r="Z697" s="13">
        <v>81.6398</v>
      </c>
      <c r="AA697" s="13">
        <v>99.5</v>
      </c>
      <c r="AB697" s="13">
        <v>23.3792</v>
      </c>
      <c r="AC697" s="13">
        <v>3.3517</v>
      </c>
      <c r="AD697" s="13">
        <v>15.1139</v>
      </c>
      <c r="AE697" s="13">
        <v>9.1955</v>
      </c>
      <c r="AF697" s="13">
        <v>43.7826</v>
      </c>
      <c r="AG697" s="13">
        <v>1.1619</v>
      </c>
      <c r="AH697" s="13">
        <v>2.7072</v>
      </c>
      <c r="AI697" s="13">
        <v>1.6704</v>
      </c>
      <c r="AJ697" s="11">
        <v>0.95</v>
      </c>
      <c r="AK697" s="23"/>
      <c r="AL697" s="14">
        <f>IFERROR(__xludf.DUMMYFUNCTION("IFERROR(GOOGLEFINANCE(B697,""price""),"""")"),78.36)</f>
        <v>78.36</v>
      </c>
    </row>
    <row r="698">
      <c r="A698" s="15">
        <v>46122.6677294078</v>
      </c>
      <c r="B698" s="16" t="s">
        <v>2524</v>
      </c>
      <c r="C698" s="16" t="s">
        <v>2525</v>
      </c>
      <c r="D698" s="17">
        <v>46124.0</v>
      </c>
      <c r="E698" s="16" t="s">
        <v>2526</v>
      </c>
      <c r="F698" s="18">
        <v>44.18</v>
      </c>
      <c r="G698" s="19">
        <v>-0.1808</v>
      </c>
      <c r="H698" s="16" t="s">
        <v>149</v>
      </c>
      <c r="I698" s="20">
        <v>576248.0</v>
      </c>
      <c r="J698" s="19">
        <v>21.2937</v>
      </c>
      <c r="K698" s="21">
        <v>0.9187</v>
      </c>
      <c r="L698" s="21">
        <v>1.8452</v>
      </c>
      <c r="M698" s="21">
        <v>338220.2</v>
      </c>
      <c r="N698" s="21">
        <v>1.8623</v>
      </c>
      <c r="O698" s="20">
        <v>2.830206563E9</v>
      </c>
      <c r="P698" s="21">
        <v>86.142</v>
      </c>
      <c r="Q698" s="21">
        <v>85.7366</v>
      </c>
      <c r="R698" s="19">
        <v>61.7162</v>
      </c>
      <c r="S698" s="21">
        <v>43.7046</v>
      </c>
      <c r="T698" s="21">
        <v>43.1886</v>
      </c>
      <c r="U698" s="21">
        <v>42.8663</v>
      </c>
      <c r="V698" s="21">
        <v>42.4856</v>
      </c>
      <c r="W698" s="21">
        <v>42.3814</v>
      </c>
      <c r="X698" s="21">
        <v>41.8964</v>
      </c>
      <c r="Y698" s="21">
        <v>41.4178</v>
      </c>
      <c r="Z698" s="21">
        <v>41.9116</v>
      </c>
      <c r="AA698" s="21">
        <v>47.18</v>
      </c>
      <c r="AB698" s="21">
        <v>0.0</v>
      </c>
      <c r="AC698" s="21">
        <v>-0.3776</v>
      </c>
      <c r="AD698" s="21">
        <v>-4.4501</v>
      </c>
      <c r="AE698" s="21">
        <v>2.2668</v>
      </c>
      <c r="AF698" s="21">
        <v>10.5235</v>
      </c>
      <c r="AG698" s="21">
        <v>1.5979</v>
      </c>
      <c r="AH698" s="21">
        <v>0.4209</v>
      </c>
      <c r="AI698" s="21">
        <v>1.8975</v>
      </c>
      <c r="AJ698" s="19">
        <v>1.0</v>
      </c>
      <c r="AK698" s="24"/>
      <c r="AL698" s="22">
        <f>IFERROR(__xludf.DUMMYFUNCTION("IFERROR(GOOGLEFINANCE(B698,""price""),"""")"),44.18)</f>
        <v>44.18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6.38"/>
    <col customWidth="1" min="3" max="3" width="29.13"/>
    <col customWidth="1" min="4" max="4" width="10.0"/>
    <col customWidth="1" min="5" max="5" width="6.88"/>
    <col customWidth="1" min="6" max="6" width="18.63"/>
    <col customWidth="1" min="7" max="7" width="9.13"/>
    <col customWidth="1" min="8" max="8" width="11.0"/>
    <col customWidth="1" min="9" max="9" width="8.38"/>
    <col customWidth="1" min="10" max="10" width="10.25"/>
    <col customWidth="1" min="11" max="11" width="7.25"/>
    <col customWidth="1" min="12" max="12" width="38.88"/>
    <col customWidth="1" min="13" max="13" width="11.38"/>
    <col customWidth="1" min="14" max="14" width="6.25"/>
    <col customWidth="1" min="15" max="15" width="12.38"/>
    <col customWidth="1" min="16" max="16" width="6.25"/>
    <col customWidth="1" min="17" max="17" width="8.88"/>
    <col customWidth="1" min="18" max="18" width="14.13"/>
    <col customWidth="1" min="19" max="19" width="6.88"/>
    <col customWidth="1" min="20" max="20" width="10.13"/>
    <col customWidth="1" min="21" max="21" width="10.25"/>
  </cols>
  <sheetData>
    <row r="1">
      <c r="A1" s="6" t="s">
        <v>0</v>
      </c>
      <c r="B1" s="6" t="s">
        <v>57</v>
      </c>
      <c r="C1" s="6" t="s">
        <v>58</v>
      </c>
      <c r="D1" s="6" t="s">
        <v>59</v>
      </c>
      <c r="E1" s="6" t="s">
        <v>61</v>
      </c>
      <c r="F1" s="6" t="s">
        <v>63</v>
      </c>
      <c r="G1" s="6" t="s">
        <v>2598</v>
      </c>
      <c r="H1" s="6" t="s">
        <v>2599</v>
      </c>
      <c r="I1" s="6" t="s">
        <v>2600</v>
      </c>
      <c r="J1" s="6" t="s">
        <v>2601</v>
      </c>
      <c r="K1" s="6" t="s">
        <v>2602</v>
      </c>
      <c r="L1" s="6" t="s">
        <v>2603</v>
      </c>
      <c r="M1" s="6" t="s">
        <v>2604</v>
      </c>
      <c r="N1" s="6" t="s">
        <v>68</v>
      </c>
      <c r="O1" s="6" t="s">
        <v>60</v>
      </c>
      <c r="P1" s="6" t="s">
        <v>62</v>
      </c>
      <c r="Q1" s="6" t="s">
        <v>64</v>
      </c>
      <c r="R1" s="6" t="s">
        <v>73</v>
      </c>
      <c r="S1" s="6" t="s">
        <v>69</v>
      </c>
      <c r="T1" s="6" t="s">
        <v>2605</v>
      </c>
      <c r="U1" s="6" t="s">
        <v>7</v>
      </c>
    </row>
    <row r="2">
      <c r="A2" s="7">
        <v>46048.69790018431</v>
      </c>
      <c r="B2" s="8" t="s">
        <v>2606</v>
      </c>
      <c r="C2" s="8" t="s">
        <v>2607</v>
      </c>
      <c r="D2" s="9">
        <v>46054.0</v>
      </c>
      <c r="E2" s="10">
        <v>50.49</v>
      </c>
      <c r="F2" s="8" t="s">
        <v>93</v>
      </c>
      <c r="G2" s="9">
        <v>46073.0</v>
      </c>
      <c r="H2" s="10">
        <v>50.0</v>
      </c>
      <c r="I2" s="8">
        <v>28783.0</v>
      </c>
      <c r="J2" s="8" t="s">
        <v>2608</v>
      </c>
      <c r="K2" s="11">
        <v>0.97</v>
      </c>
      <c r="L2" s="8" t="s">
        <v>2609</v>
      </c>
      <c r="M2" s="8">
        <v>30359.0</v>
      </c>
      <c r="N2" s="11">
        <v>40.7028</v>
      </c>
      <c r="O2" s="8" t="s">
        <v>2610</v>
      </c>
      <c r="P2" s="11">
        <v>-0.4927</v>
      </c>
      <c r="Q2" s="12">
        <v>9551290.0</v>
      </c>
      <c r="R2" s="12">
        <v>3.3376149965E10</v>
      </c>
      <c r="S2" s="13">
        <v>1.2441</v>
      </c>
      <c r="T2" s="8" t="s">
        <v>2611</v>
      </c>
      <c r="U2" s="14">
        <f>IFERROR(__xludf.DUMMYFUNCTION("IFERROR(GOOGLEFINANCE(B2,""price""),"""")"),49.31)</f>
        <v>49.31</v>
      </c>
    </row>
    <row r="3">
      <c r="A3" s="15">
        <v>46048.69790018431</v>
      </c>
      <c r="B3" s="16" t="s">
        <v>2612</v>
      </c>
      <c r="C3" s="16" t="s">
        <v>2613</v>
      </c>
      <c r="D3" s="17">
        <v>46054.0</v>
      </c>
      <c r="E3" s="18">
        <v>251.31</v>
      </c>
      <c r="F3" s="16" t="s">
        <v>308</v>
      </c>
      <c r="G3" s="17">
        <v>46052.0</v>
      </c>
      <c r="H3" s="18">
        <v>250.0</v>
      </c>
      <c r="I3" s="16">
        <v>5456.0</v>
      </c>
      <c r="J3" s="16" t="s">
        <v>2608</v>
      </c>
      <c r="K3" s="19">
        <v>0.52</v>
      </c>
      <c r="L3" s="16" t="s">
        <v>2614</v>
      </c>
      <c r="M3" s="16">
        <v>21440.0</v>
      </c>
      <c r="N3" s="19">
        <v>23.4628</v>
      </c>
      <c r="O3" s="16" t="s">
        <v>2615</v>
      </c>
      <c r="P3" s="19">
        <v>-3.2232</v>
      </c>
      <c r="Q3" s="20">
        <v>3.0561578E7</v>
      </c>
      <c r="R3" s="20">
        <v>4.09143098807E11</v>
      </c>
      <c r="S3" s="21">
        <v>10.4922</v>
      </c>
      <c r="T3" s="16" t="s">
        <v>2611</v>
      </c>
      <c r="U3" s="22">
        <f>IFERROR(__xludf.DUMMYFUNCTION("IFERROR(GOOGLEFINANCE(B3,""price""),"""")"),245.04)</f>
        <v>245.04</v>
      </c>
    </row>
    <row r="4">
      <c r="A4" s="7">
        <v>46048.69790018431</v>
      </c>
      <c r="B4" s="8" t="s">
        <v>2616</v>
      </c>
      <c r="C4" s="8" t="s">
        <v>2617</v>
      </c>
      <c r="D4" s="9">
        <v>46054.0</v>
      </c>
      <c r="E4" s="10">
        <v>72.56</v>
      </c>
      <c r="F4" s="8" t="s">
        <v>286</v>
      </c>
      <c r="G4" s="9">
        <v>46052.0</v>
      </c>
      <c r="H4" s="10">
        <v>73.0</v>
      </c>
      <c r="I4" s="8">
        <v>7867.0</v>
      </c>
      <c r="J4" s="8" t="s">
        <v>2608</v>
      </c>
      <c r="K4" s="11">
        <v>0.61</v>
      </c>
      <c r="L4" s="8" t="s">
        <v>2618</v>
      </c>
      <c r="M4" s="8">
        <v>18455.0</v>
      </c>
      <c r="N4" s="11">
        <v>23.35</v>
      </c>
      <c r="O4" s="8" t="s">
        <v>2619</v>
      </c>
      <c r="P4" s="11">
        <v>-0.4391</v>
      </c>
      <c r="Q4" s="12">
        <v>1.4005439E7</v>
      </c>
      <c r="R4" s="12">
        <v>3.12124729057E11</v>
      </c>
      <c r="S4" s="13">
        <v>1.0015</v>
      </c>
      <c r="T4" s="8" t="s">
        <v>2620</v>
      </c>
      <c r="U4" s="14">
        <f>IFERROR(__xludf.DUMMYFUNCTION("IFERROR(GOOGLEFINANCE(B4,""price""),"""")"),77.47)</f>
        <v>77.47</v>
      </c>
    </row>
    <row r="5">
      <c r="A5" s="15">
        <v>46048.69790018431</v>
      </c>
      <c r="B5" s="16" t="s">
        <v>2621</v>
      </c>
      <c r="C5" s="16" t="s">
        <v>2622</v>
      </c>
      <c r="D5" s="17">
        <v>46054.0</v>
      </c>
      <c r="E5" s="18">
        <v>61.17</v>
      </c>
      <c r="F5" s="16" t="s">
        <v>335</v>
      </c>
      <c r="G5" s="17">
        <v>46052.0</v>
      </c>
      <c r="H5" s="18">
        <v>60.0</v>
      </c>
      <c r="I5" s="16">
        <v>5123.0</v>
      </c>
      <c r="J5" s="16" t="s">
        <v>2608</v>
      </c>
      <c r="K5" s="19">
        <v>1.91</v>
      </c>
      <c r="L5" s="16" t="s">
        <v>2623</v>
      </c>
      <c r="M5" s="16">
        <v>12919.0</v>
      </c>
      <c r="N5" s="19">
        <v>42.4339</v>
      </c>
      <c r="O5" s="16" t="s">
        <v>2624</v>
      </c>
      <c r="P5" s="19">
        <v>1.2581</v>
      </c>
      <c r="Q5" s="20">
        <v>3.1577393E7</v>
      </c>
      <c r="R5" s="20">
        <v>8.7835878499E10</v>
      </c>
      <c r="S5" s="21">
        <v>2.0944</v>
      </c>
      <c r="T5" s="16" t="s">
        <v>2611</v>
      </c>
      <c r="U5" s="22">
        <f>IFERROR(__xludf.DUMMYFUNCTION("IFERROR(GOOGLEFINANCE(B5,""price""),"""")"),67.8)</f>
        <v>67.8</v>
      </c>
    </row>
    <row r="6">
      <c r="A6" s="7">
        <v>46048.69790018431</v>
      </c>
      <c r="B6" s="8" t="s">
        <v>2625</v>
      </c>
      <c r="C6" s="8" t="s">
        <v>2626</v>
      </c>
      <c r="D6" s="9">
        <v>46054.0</v>
      </c>
      <c r="E6" s="10">
        <v>117.64</v>
      </c>
      <c r="F6" s="8" t="s">
        <v>137</v>
      </c>
      <c r="G6" s="9">
        <v>46052.0</v>
      </c>
      <c r="H6" s="10">
        <v>117.0</v>
      </c>
      <c r="I6" s="8">
        <v>3681.0</v>
      </c>
      <c r="J6" s="8" t="s">
        <v>2627</v>
      </c>
      <c r="K6" s="11">
        <v>0.54</v>
      </c>
      <c r="L6" s="8" t="s">
        <v>2628</v>
      </c>
      <c r="M6" s="8">
        <v>11432.0</v>
      </c>
      <c r="N6" s="11">
        <v>22.174</v>
      </c>
      <c r="O6" s="8" t="s">
        <v>2629</v>
      </c>
      <c r="P6" s="11">
        <v>-0.0764</v>
      </c>
      <c r="Q6" s="12">
        <v>1.953244E7</v>
      </c>
      <c r="R6" s="12">
        <v>9.37610471696E11</v>
      </c>
      <c r="S6" s="13">
        <v>2.3399</v>
      </c>
      <c r="T6" s="8" t="s">
        <v>2611</v>
      </c>
      <c r="U6" s="14">
        <f>IFERROR(__xludf.DUMMYFUNCTION("IFERROR(GOOGLEFINANCE(B6,""price""),"""")"),126.79)</f>
        <v>126.79</v>
      </c>
    </row>
    <row r="7">
      <c r="A7" s="15">
        <v>46048.69790018431</v>
      </c>
      <c r="B7" s="16" t="s">
        <v>2630</v>
      </c>
      <c r="C7" s="16" t="s">
        <v>2631</v>
      </c>
      <c r="D7" s="17">
        <v>46054.0</v>
      </c>
      <c r="E7" s="18">
        <v>389.09</v>
      </c>
      <c r="F7" s="16" t="s">
        <v>308</v>
      </c>
      <c r="G7" s="17">
        <v>46052.0</v>
      </c>
      <c r="H7" s="18">
        <v>390.0</v>
      </c>
      <c r="I7" s="16">
        <v>2405.0</v>
      </c>
      <c r="J7" s="16" t="s">
        <v>2627</v>
      </c>
      <c r="K7" s="19">
        <v>0.23</v>
      </c>
      <c r="L7" s="16" t="s">
        <v>2632</v>
      </c>
      <c r="M7" s="16">
        <v>9612.0</v>
      </c>
      <c r="N7" s="19">
        <v>35.9322</v>
      </c>
      <c r="O7" s="16" t="s">
        <v>2633</v>
      </c>
      <c r="P7" s="19">
        <v>-2.6423</v>
      </c>
      <c r="Q7" s="20">
        <v>2.9032527E7</v>
      </c>
      <c r="R7" s="20">
        <v>4.37924398034E11</v>
      </c>
      <c r="S7" s="21">
        <v>17.9063</v>
      </c>
      <c r="T7" s="16" t="s">
        <v>2620</v>
      </c>
      <c r="U7" s="22">
        <f>IFERROR(__xludf.DUMMYFUNCTION("IFERROR(GOOGLEFINANCE(B7,""price""),"""")"),420.59)</f>
        <v>420.59</v>
      </c>
    </row>
    <row r="8">
      <c r="A8" s="7">
        <v>46048.69790018431</v>
      </c>
      <c r="B8" s="8" t="s">
        <v>2634</v>
      </c>
      <c r="C8" s="8" t="s">
        <v>2635</v>
      </c>
      <c r="D8" s="9">
        <v>46054.0</v>
      </c>
      <c r="E8" s="10">
        <v>167.5</v>
      </c>
      <c r="F8" s="8" t="s">
        <v>245</v>
      </c>
      <c r="G8" s="9">
        <v>46052.0</v>
      </c>
      <c r="H8" s="10">
        <v>170.0</v>
      </c>
      <c r="I8" s="8">
        <v>4898.0</v>
      </c>
      <c r="J8" s="8" t="s">
        <v>2608</v>
      </c>
      <c r="K8" s="11">
        <v>1.49</v>
      </c>
      <c r="L8" s="8" t="s">
        <v>2636</v>
      </c>
      <c r="M8" s="8">
        <v>9460.0</v>
      </c>
      <c r="N8" s="11">
        <v>38.0996</v>
      </c>
      <c r="O8" s="8" t="s">
        <v>2637</v>
      </c>
      <c r="P8" s="11">
        <v>0.4679</v>
      </c>
      <c r="Q8" s="12">
        <v>8908282.0</v>
      </c>
      <c r="R8" s="12">
        <v>3.37264871549E11</v>
      </c>
      <c r="S8" s="13">
        <v>2.958</v>
      </c>
      <c r="T8" s="8" t="s">
        <v>2620</v>
      </c>
      <c r="U8" s="14">
        <f>IFERROR(__xludf.DUMMYFUNCTION("IFERROR(GOOGLEFINANCE(B8,""price""),"""")"),188.55)</f>
        <v>188.55</v>
      </c>
    </row>
    <row r="9">
      <c r="A9" s="15">
        <v>46048.69790018431</v>
      </c>
      <c r="B9" s="16" t="s">
        <v>2638</v>
      </c>
      <c r="C9" s="16" t="s">
        <v>2639</v>
      </c>
      <c r="D9" s="17">
        <v>46054.0</v>
      </c>
      <c r="E9" s="18">
        <v>134.84</v>
      </c>
      <c r="F9" s="16" t="s">
        <v>245</v>
      </c>
      <c r="G9" s="17">
        <v>46052.0</v>
      </c>
      <c r="H9" s="18">
        <v>135.0</v>
      </c>
      <c r="I9" s="16">
        <v>5071.0</v>
      </c>
      <c r="J9" s="16" t="s">
        <v>2608</v>
      </c>
      <c r="K9" s="19">
        <v>0.12</v>
      </c>
      <c r="L9" s="16" t="s">
        <v>2640</v>
      </c>
      <c r="M9" s="16">
        <v>8829.0</v>
      </c>
      <c r="N9" s="19">
        <v>37.6122</v>
      </c>
      <c r="O9" s="16" t="s">
        <v>2641</v>
      </c>
      <c r="P9" s="19">
        <v>-0.0963</v>
      </c>
      <c r="Q9" s="20">
        <v>1.604949E7</v>
      </c>
      <c r="R9" s="20">
        <v>5.68642604849E11</v>
      </c>
      <c r="S9" s="21">
        <v>2.5489</v>
      </c>
      <c r="T9" s="16" t="s">
        <v>2620</v>
      </c>
      <c r="U9" s="22">
        <f>IFERROR(__xludf.DUMMYFUNCTION("IFERROR(GOOGLEFINANCE(B9,""price""),"""")"),152.51)</f>
        <v>152.51</v>
      </c>
    </row>
    <row r="10">
      <c r="A10" s="7">
        <v>46048.69790018431</v>
      </c>
      <c r="B10" s="8" t="s">
        <v>2642</v>
      </c>
      <c r="C10" s="8" t="s">
        <v>2643</v>
      </c>
      <c r="D10" s="9">
        <v>46054.0</v>
      </c>
      <c r="E10" s="10">
        <v>173.32</v>
      </c>
      <c r="F10" s="8" t="s">
        <v>335</v>
      </c>
      <c r="G10" s="9">
        <v>46073.0</v>
      </c>
      <c r="H10" s="10">
        <v>175.0</v>
      </c>
      <c r="I10" s="8">
        <v>6519.0</v>
      </c>
      <c r="J10" s="8" t="s">
        <v>2608</v>
      </c>
      <c r="K10" s="11">
        <v>0.97</v>
      </c>
      <c r="L10" s="8" t="s">
        <v>2644</v>
      </c>
      <c r="M10" s="8">
        <v>7596.0</v>
      </c>
      <c r="N10" s="11">
        <v>24.5206</v>
      </c>
      <c r="O10" s="8" t="s">
        <v>2645</v>
      </c>
      <c r="P10" s="11">
        <v>-4.4121</v>
      </c>
      <c r="Q10" s="12">
        <v>2190648.0</v>
      </c>
      <c r="R10" s="12">
        <v>2.5310764055E10</v>
      </c>
      <c r="S10" s="13">
        <v>5.1924</v>
      </c>
      <c r="T10" s="8" t="s">
        <v>2620</v>
      </c>
      <c r="U10" s="14">
        <f>IFERROR(__xludf.DUMMYFUNCTION("IFERROR(GOOGLEFINANCE(B10,""price""),"""")"),190.57)</f>
        <v>190.57</v>
      </c>
    </row>
    <row r="11">
      <c r="A11" s="15">
        <v>46048.69790018431</v>
      </c>
      <c r="B11" s="16" t="s">
        <v>2646</v>
      </c>
      <c r="C11" s="16" t="s">
        <v>2647</v>
      </c>
      <c r="D11" s="17">
        <v>46054.0</v>
      </c>
      <c r="E11" s="18">
        <v>33.05</v>
      </c>
      <c r="F11" s="16" t="s">
        <v>270</v>
      </c>
      <c r="G11" s="17">
        <v>46052.0</v>
      </c>
      <c r="H11" s="18">
        <v>33.5</v>
      </c>
      <c r="I11" s="16">
        <v>3814.0</v>
      </c>
      <c r="J11" s="16" t="s">
        <v>2608</v>
      </c>
      <c r="K11" s="19">
        <v>1.36</v>
      </c>
      <c r="L11" s="16" t="s">
        <v>2648</v>
      </c>
      <c r="M11" s="16">
        <v>5388.0</v>
      </c>
      <c r="N11" s="19">
        <v>24.9064</v>
      </c>
      <c r="O11" s="16" t="s">
        <v>2649</v>
      </c>
      <c r="P11" s="19">
        <v>0.0303</v>
      </c>
      <c r="Q11" s="20">
        <v>4163838.0</v>
      </c>
      <c r="R11" s="20">
        <v>7.1497762516E10</v>
      </c>
      <c r="S11" s="21">
        <v>0.4332</v>
      </c>
      <c r="T11" s="16" t="s">
        <v>2620</v>
      </c>
      <c r="U11" s="22">
        <f>IFERROR(__xludf.DUMMYFUNCTION("IFERROR(GOOGLEFINANCE(B11,""price""),"""")"),37.35)</f>
        <v>37.35</v>
      </c>
    </row>
    <row r="12">
      <c r="A12" s="7">
        <v>46048.69790018431</v>
      </c>
      <c r="B12" s="8" t="s">
        <v>2650</v>
      </c>
      <c r="C12" s="8" t="s">
        <v>2651</v>
      </c>
      <c r="D12" s="9">
        <v>46054.0</v>
      </c>
      <c r="E12" s="10">
        <v>197.76</v>
      </c>
      <c r="F12" s="8" t="s">
        <v>308</v>
      </c>
      <c r="G12" s="9">
        <v>46052.0</v>
      </c>
      <c r="H12" s="10">
        <v>200.0</v>
      </c>
      <c r="I12" s="8">
        <v>2864.0</v>
      </c>
      <c r="J12" s="8" t="s">
        <v>2608</v>
      </c>
      <c r="K12" s="11">
        <v>1.13</v>
      </c>
      <c r="L12" s="8" t="s">
        <v>2652</v>
      </c>
      <c r="M12" s="8">
        <v>4770.0</v>
      </c>
      <c r="N12" s="11">
        <v>19.906</v>
      </c>
      <c r="O12" s="8" t="s">
        <v>2653</v>
      </c>
      <c r="P12" s="11">
        <v>0.4164</v>
      </c>
      <c r="Q12" s="12">
        <v>3096913.0</v>
      </c>
      <c r="R12" s="12">
        <v>3.1078698344E10</v>
      </c>
      <c r="S12" s="13">
        <v>13.1641</v>
      </c>
      <c r="T12" s="8" t="s">
        <v>2620</v>
      </c>
      <c r="U12" s="14">
        <f>IFERROR(__xludf.DUMMYFUNCTION("IFERROR(GOOGLEFINANCE(B12,""price""),"""")"),307.5)</f>
        <v>307.5</v>
      </c>
    </row>
    <row r="13">
      <c r="A13" s="15">
        <v>46048.69790018431</v>
      </c>
      <c r="B13" s="16" t="s">
        <v>2654</v>
      </c>
      <c r="C13" s="16" t="s">
        <v>2655</v>
      </c>
      <c r="D13" s="17">
        <v>46054.0</v>
      </c>
      <c r="E13" s="18">
        <v>39.42</v>
      </c>
      <c r="F13" s="16" t="s">
        <v>917</v>
      </c>
      <c r="G13" s="17">
        <v>46073.0</v>
      </c>
      <c r="H13" s="18">
        <v>40.0</v>
      </c>
      <c r="I13" s="16">
        <v>4472.0</v>
      </c>
      <c r="J13" s="16" t="s">
        <v>2608</v>
      </c>
      <c r="K13" s="19">
        <v>1.47</v>
      </c>
      <c r="L13" s="16" t="s">
        <v>2656</v>
      </c>
      <c r="M13" s="16">
        <v>4472.0</v>
      </c>
      <c r="N13" s="19">
        <v>19.4562</v>
      </c>
      <c r="O13" s="16" t="s">
        <v>2657</v>
      </c>
      <c r="P13" s="19">
        <v>1.6503</v>
      </c>
      <c r="Q13" s="20">
        <v>5605619.0</v>
      </c>
      <c r="R13" s="20">
        <v>2.5736064623E10</v>
      </c>
      <c r="S13" s="21">
        <v>0.6097</v>
      </c>
      <c r="T13" s="16" t="s">
        <v>2620</v>
      </c>
      <c r="U13" s="22">
        <f>IFERROR(__xludf.DUMMYFUNCTION("IFERROR(GOOGLEFINANCE(B13,""price""),"""")"),43.39)</f>
        <v>43.39</v>
      </c>
    </row>
    <row r="14">
      <c r="A14" s="7">
        <v>46048.69790018431</v>
      </c>
      <c r="B14" s="8" t="s">
        <v>2658</v>
      </c>
      <c r="C14" s="8" t="s">
        <v>2659</v>
      </c>
      <c r="D14" s="9">
        <v>46054.0</v>
      </c>
      <c r="E14" s="10">
        <v>85.47</v>
      </c>
      <c r="F14" s="8" t="s">
        <v>917</v>
      </c>
      <c r="G14" s="9">
        <v>46052.0</v>
      </c>
      <c r="H14" s="10">
        <v>85.0</v>
      </c>
      <c r="I14" s="8">
        <v>1265.0</v>
      </c>
      <c r="J14" s="8" t="s">
        <v>2608</v>
      </c>
      <c r="K14" s="11">
        <v>0.55</v>
      </c>
      <c r="L14" s="8" t="s">
        <v>2660</v>
      </c>
      <c r="M14" s="8">
        <v>3664.0</v>
      </c>
      <c r="N14" s="11">
        <v>22.6156</v>
      </c>
      <c r="O14" s="8" t="s">
        <v>2661</v>
      </c>
      <c r="P14" s="11">
        <v>0.7782</v>
      </c>
      <c r="Q14" s="12">
        <v>1.0986549E7</v>
      </c>
      <c r="R14" s="12">
        <v>1.78000639024E11</v>
      </c>
      <c r="S14" s="13">
        <v>1.4626</v>
      </c>
      <c r="T14" s="8" t="s">
        <v>2611</v>
      </c>
      <c r="U14" s="14">
        <f>IFERROR(__xludf.DUMMYFUNCTION("IFERROR(GOOGLEFINANCE(B14,""price""),"""")"),94.08)</f>
        <v>94.08</v>
      </c>
    </row>
    <row r="15">
      <c r="A15" s="15">
        <v>46048.69790018431</v>
      </c>
      <c r="B15" s="16" t="s">
        <v>1570</v>
      </c>
      <c r="C15" s="16" t="s">
        <v>1571</v>
      </c>
      <c r="D15" s="17">
        <v>46054.0</v>
      </c>
      <c r="E15" s="18">
        <v>46.77</v>
      </c>
      <c r="F15" s="16" t="s">
        <v>917</v>
      </c>
      <c r="G15" s="17">
        <v>46073.0</v>
      </c>
      <c r="H15" s="18">
        <v>46.0</v>
      </c>
      <c r="I15" s="16">
        <v>2232.0</v>
      </c>
      <c r="J15" s="16" t="s">
        <v>2608</v>
      </c>
      <c r="K15" s="19">
        <v>1.65</v>
      </c>
      <c r="L15" s="16" t="s">
        <v>2662</v>
      </c>
      <c r="M15" s="16">
        <v>3258.0</v>
      </c>
      <c r="N15" s="19">
        <v>28.1812</v>
      </c>
      <c r="O15" s="16" t="s">
        <v>1572</v>
      </c>
      <c r="P15" s="19">
        <v>0.451</v>
      </c>
      <c r="Q15" s="20">
        <v>4067346.0</v>
      </c>
      <c r="R15" s="20">
        <v>2.7017420365E10</v>
      </c>
      <c r="S15" s="21">
        <v>0.7084</v>
      </c>
      <c r="T15" s="16" t="s">
        <v>2611</v>
      </c>
      <c r="U15" s="22">
        <f>IFERROR(__xludf.DUMMYFUNCTION("IFERROR(GOOGLEFINANCE(B15,""price""),"""")"),51.43)</f>
        <v>51.43</v>
      </c>
    </row>
    <row r="16">
      <c r="A16" s="7">
        <v>46048.69790018431</v>
      </c>
      <c r="B16" s="8" t="s">
        <v>2663</v>
      </c>
      <c r="C16" s="8" t="s">
        <v>2664</v>
      </c>
      <c r="D16" s="9">
        <v>46054.0</v>
      </c>
      <c r="E16" s="10">
        <v>125.92</v>
      </c>
      <c r="F16" s="8" t="s">
        <v>335</v>
      </c>
      <c r="G16" s="9">
        <v>46052.0</v>
      </c>
      <c r="H16" s="10">
        <v>124.0</v>
      </c>
      <c r="I16" s="8">
        <v>2972.0</v>
      </c>
      <c r="J16" s="8" t="s">
        <v>2608</v>
      </c>
      <c r="K16" s="11">
        <v>1.52</v>
      </c>
      <c r="L16" s="8" t="s">
        <v>2665</v>
      </c>
      <c r="M16" s="8">
        <v>2972.0</v>
      </c>
      <c r="N16" s="11">
        <v>39.551</v>
      </c>
      <c r="O16" s="8" t="s">
        <v>2666</v>
      </c>
      <c r="P16" s="11">
        <v>1.2951</v>
      </c>
      <c r="Q16" s="12">
        <v>1.3175897E7</v>
      </c>
      <c r="R16" s="12">
        <v>1.37411826637E11</v>
      </c>
      <c r="S16" s="13">
        <v>3.7855</v>
      </c>
      <c r="T16" s="8" t="s">
        <v>2611</v>
      </c>
      <c r="U16" s="14">
        <f>IFERROR(__xludf.DUMMYFUNCTION("IFERROR(GOOGLEFINANCE(B16,""price""),"""")"),120.9)</f>
        <v>120.9</v>
      </c>
    </row>
    <row r="17">
      <c r="A17" s="15">
        <v>46048.69790018431</v>
      </c>
      <c r="B17" s="16" t="s">
        <v>2521</v>
      </c>
      <c r="C17" s="16" t="s">
        <v>2522</v>
      </c>
      <c r="D17" s="17">
        <v>46054.0</v>
      </c>
      <c r="E17" s="18">
        <v>304.01</v>
      </c>
      <c r="F17" s="16" t="s">
        <v>308</v>
      </c>
      <c r="G17" s="17">
        <v>46052.0</v>
      </c>
      <c r="H17" s="18">
        <v>302.5</v>
      </c>
      <c r="I17" s="16">
        <v>1507.0</v>
      </c>
      <c r="J17" s="16" t="s">
        <v>2627</v>
      </c>
      <c r="K17" s="19">
        <v>0.5</v>
      </c>
      <c r="L17" s="16" t="s">
        <v>2667</v>
      </c>
      <c r="M17" s="16">
        <v>2890.0</v>
      </c>
      <c r="N17" s="19">
        <v>35.1689</v>
      </c>
      <c r="O17" s="16" t="s">
        <v>2523</v>
      </c>
      <c r="P17" s="19">
        <v>-0.5203</v>
      </c>
      <c r="Q17" s="20">
        <v>2757650.0</v>
      </c>
      <c r="R17" s="20">
        <v>1.48859740822E11</v>
      </c>
      <c r="S17" s="21">
        <v>7.3692</v>
      </c>
      <c r="T17" s="16" t="s">
        <v>2611</v>
      </c>
      <c r="U17" s="22">
        <f>IFERROR(__xludf.DUMMYFUNCTION("IFERROR(GOOGLEFINANCE(B17,""price""),"""")"),350.14)</f>
        <v>350.14</v>
      </c>
    </row>
    <row r="18">
      <c r="A18" s="7">
        <v>46048.69790018431</v>
      </c>
      <c r="B18" s="8" t="s">
        <v>2668</v>
      </c>
      <c r="C18" s="8" t="s">
        <v>2669</v>
      </c>
      <c r="D18" s="9">
        <v>46054.0</v>
      </c>
      <c r="E18" s="10">
        <v>50.39</v>
      </c>
      <c r="F18" s="8" t="s">
        <v>308</v>
      </c>
      <c r="G18" s="9">
        <v>46073.0</v>
      </c>
      <c r="H18" s="10">
        <v>50.0</v>
      </c>
      <c r="I18" s="8">
        <v>2783.0</v>
      </c>
      <c r="J18" s="8" t="s">
        <v>2627</v>
      </c>
      <c r="K18" s="11">
        <v>0.77</v>
      </c>
      <c r="L18" s="8" t="s">
        <v>2670</v>
      </c>
      <c r="M18" s="8">
        <v>2783.0</v>
      </c>
      <c r="N18" s="11">
        <v>31.0722</v>
      </c>
      <c r="O18" s="8" t="s">
        <v>2671</v>
      </c>
      <c r="P18" s="11">
        <v>1.3679</v>
      </c>
      <c r="Q18" s="12">
        <v>2330179.0</v>
      </c>
      <c r="R18" s="12">
        <v>1.2456076994E10</v>
      </c>
      <c r="S18" s="13">
        <v>3.0014</v>
      </c>
      <c r="T18" s="8" t="s">
        <v>2611</v>
      </c>
      <c r="U18" s="14">
        <f>IFERROR(__xludf.DUMMYFUNCTION("IFERROR(GOOGLEFINANCE(B18,""price""),"""")"),57.96)</f>
        <v>57.96</v>
      </c>
    </row>
    <row r="19">
      <c r="A19" s="15">
        <v>46048.69790018431</v>
      </c>
      <c r="B19" s="16" t="s">
        <v>2672</v>
      </c>
      <c r="C19" s="16" t="s">
        <v>2673</v>
      </c>
      <c r="D19" s="17">
        <v>46054.0</v>
      </c>
      <c r="E19" s="18">
        <v>44.2</v>
      </c>
      <c r="F19" s="16" t="s">
        <v>107</v>
      </c>
      <c r="G19" s="17">
        <v>46073.0</v>
      </c>
      <c r="H19" s="18">
        <v>45.0</v>
      </c>
      <c r="I19" s="16">
        <v>2344.0</v>
      </c>
      <c r="J19" s="16" t="s">
        <v>2608</v>
      </c>
      <c r="K19" s="19">
        <v>1.81</v>
      </c>
      <c r="L19" s="16" t="s">
        <v>2674</v>
      </c>
      <c r="M19" s="16">
        <v>2344.0</v>
      </c>
      <c r="N19" s="19">
        <v>32.0298</v>
      </c>
      <c r="O19" s="16" t="s">
        <v>2675</v>
      </c>
      <c r="P19" s="19">
        <v>0.1359</v>
      </c>
      <c r="Q19" s="20">
        <v>3172698.0</v>
      </c>
      <c r="R19" s="20">
        <v>1.8518708502E10</v>
      </c>
      <c r="S19" s="21">
        <v>0.9693</v>
      </c>
      <c r="T19" s="16" t="s">
        <v>2620</v>
      </c>
      <c r="U19" s="22">
        <f>IFERROR(__xludf.DUMMYFUNCTION("IFERROR(GOOGLEFINANCE(B19,""price""),"""")"),47.25)</f>
        <v>47.25</v>
      </c>
    </row>
    <row r="20">
      <c r="A20" s="7">
        <v>46048.69790018431</v>
      </c>
      <c r="B20" s="8" t="s">
        <v>2676</v>
      </c>
      <c r="C20" s="8" t="s">
        <v>2677</v>
      </c>
      <c r="D20" s="9">
        <v>46054.0</v>
      </c>
      <c r="E20" s="10">
        <v>27.74</v>
      </c>
      <c r="F20" s="8" t="s">
        <v>93</v>
      </c>
      <c r="G20" s="9">
        <v>46073.0</v>
      </c>
      <c r="H20" s="10">
        <v>28.0</v>
      </c>
      <c r="I20" s="8">
        <v>2216.0</v>
      </c>
      <c r="J20" s="8" t="s">
        <v>2608</v>
      </c>
      <c r="K20" s="11">
        <v>0.94</v>
      </c>
      <c r="L20" s="8" t="s">
        <v>2678</v>
      </c>
      <c r="M20" s="8">
        <v>2216.0</v>
      </c>
      <c r="N20" s="11">
        <v>21.567</v>
      </c>
      <c r="O20" s="8" t="s">
        <v>2679</v>
      </c>
      <c r="P20" s="11">
        <v>0.9461</v>
      </c>
      <c r="Q20" s="12">
        <v>1.3484325E7</v>
      </c>
      <c r="R20" s="12">
        <v>2.4324554423E10</v>
      </c>
      <c r="S20" s="13">
        <v>0.6858</v>
      </c>
      <c r="T20" s="8" t="s">
        <v>2620</v>
      </c>
      <c r="U20" s="14">
        <f>IFERROR(__xludf.DUMMYFUNCTION("IFERROR(GOOGLEFINANCE(B20,""price""),"""")"),27.5)</f>
        <v>27.5</v>
      </c>
    </row>
    <row r="21">
      <c r="A21" s="15">
        <v>46048.69790018431</v>
      </c>
      <c r="B21" s="16" t="s">
        <v>2680</v>
      </c>
      <c r="C21" s="16" t="s">
        <v>2681</v>
      </c>
      <c r="D21" s="17">
        <v>46054.0</v>
      </c>
      <c r="E21" s="18">
        <v>183.28</v>
      </c>
      <c r="F21" s="16" t="s">
        <v>245</v>
      </c>
      <c r="G21" s="17">
        <v>46052.0</v>
      </c>
      <c r="H21" s="18">
        <v>185.0</v>
      </c>
      <c r="I21" s="16">
        <v>1077.0</v>
      </c>
      <c r="J21" s="16" t="s">
        <v>2608</v>
      </c>
      <c r="K21" s="19">
        <v>0.94</v>
      </c>
      <c r="L21" s="16" t="s">
        <v>2682</v>
      </c>
      <c r="M21" s="16">
        <v>2106.0</v>
      </c>
      <c r="N21" s="19">
        <v>34.7686</v>
      </c>
      <c r="O21" s="16" t="s">
        <v>2683</v>
      </c>
      <c r="P21" s="19">
        <v>-2.0365</v>
      </c>
      <c r="Q21" s="20">
        <v>3369979.0</v>
      </c>
      <c r="R21" s="20">
        <v>5.5902144004E10</v>
      </c>
      <c r="S21" s="21">
        <v>6.1656</v>
      </c>
      <c r="T21" s="16" t="s">
        <v>2620</v>
      </c>
      <c r="U21" s="22">
        <f>IFERROR(__xludf.DUMMYFUNCTION("IFERROR(GOOGLEFINANCE(B21,""price""),"""")"),238.82)</f>
        <v>238.82</v>
      </c>
    </row>
    <row r="22">
      <c r="A22" s="7">
        <v>46048.69790018431</v>
      </c>
      <c r="B22" s="8" t="s">
        <v>2684</v>
      </c>
      <c r="C22" s="8" t="s">
        <v>2685</v>
      </c>
      <c r="D22" s="9">
        <v>46054.0</v>
      </c>
      <c r="E22" s="10">
        <v>319.46</v>
      </c>
      <c r="F22" s="8" t="s">
        <v>102</v>
      </c>
      <c r="G22" s="9">
        <v>46052.0</v>
      </c>
      <c r="H22" s="10">
        <v>315.0</v>
      </c>
      <c r="I22" s="8">
        <v>1868.0</v>
      </c>
      <c r="J22" s="8" t="s">
        <v>2627</v>
      </c>
      <c r="K22" s="11">
        <v>1.4</v>
      </c>
      <c r="L22" s="8" t="s">
        <v>2686</v>
      </c>
      <c r="M22" s="8">
        <v>1868.0</v>
      </c>
      <c r="N22" s="11">
        <v>33.572</v>
      </c>
      <c r="O22" s="8" t="s">
        <v>2687</v>
      </c>
      <c r="P22" s="11">
        <v>-0.9058</v>
      </c>
      <c r="Q22" s="12">
        <v>4776230.0</v>
      </c>
      <c r="R22" s="12">
        <v>2.53313689423E11</v>
      </c>
      <c r="S22" s="13">
        <v>11.0813</v>
      </c>
      <c r="T22" s="8" t="s">
        <v>2611</v>
      </c>
      <c r="U22" s="14">
        <f>IFERROR(__xludf.DUMMYFUNCTION("IFERROR(GOOGLEFINANCE(B22,""price""),"""")"),399.5)</f>
        <v>399.5</v>
      </c>
    </row>
    <row r="23">
      <c r="A23" s="15">
        <v>46048.69790018431</v>
      </c>
      <c r="B23" s="16" t="s">
        <v>2688</v>
      </c>
      <c r="C23" s="16" t="s">
        <v>2689</v>
      </c>
      <c r="D23" s="17">
        <v>46054.0</v>
      </c>
      <c r="E23" s="18">
        <v>219.8</v>
      </c>
      <c r="F23" s="16" t="s">
        <v>102</v>
      </c>
      <c r="G23" s="17">
        <v>46073.0</v>
      </c>
      <c r="H23" s="18">
        <v>220.0</v>
      </c>
      <c r="I23" s="16">
        <v>1802.0</v>
      </c>
      <c r="J23" s="16" t="s">
        <v>2608</v>
      </c>
      <c r="K23" s="19">
        <v>0.09</v>
      </c>
      <c r="L23" s="16" t="s">
        <v>2690</v>
      </c>
      <c r="M23" s="16">
        <v>1802.0</v>
      </c>
      <c r="N23" s="19">
        <v>38.8195</v>
      </c>
      <c r="O23" s="16" t="s">
        <v>2691</v>
      </c>
      <c r="P23" s="19">
        <v>-0.4258</v>
      </c>
      <c r="Q23" s="20">
        <v>1103544.0</v>
      </c>
      <c r="R23" s="20">
        <v>5.0598812474E10</v>
      </c>
      <c r="S23" s="21">
        <v>3.6967</v>
      </c>
      <c r="T23" s="16" t="s">
        <v>2620</v>
      </c>
      <c r="U23" s="22">
        <f>IFERROR(__xludf.DUMMYFUNCTION("IFERROR(GOOGLEFINANCE(B23,""price""),"""")"),234.91)</f>
        <v>234.91</v>
      </c>
    </row>
    <row r="24">
      <c r="A24" s="7">
        <v>46048.69790018431</v>
      </c>
      <c r="B24" s="8" t="s">
        <v>2692</v>
      </c>
      <c r="C24" s="8" t="s">
        <v>2693</v>
      </c>
      <c r="D24" s="9">
        <v>46054.0</v>
      </c>
      <c r="E24" s="10">
        <v>221.49</v>
      </c>
      <c r="F24" s="8" t="s">
        <v>117</v>
      </c>
      <c r="G24" s="9">
        <v>46052.0</v>
      </c>
      <c r="H24" s="10">
        <v>217.5</v>
      </c>
      <c r="I24" s="8">
        <v>1703.0</v>
      </c>
      <c r="J24" s="8" t="s">
        <v>2627</v>
      </c>
      <c r="K24" s="11">
        <v>1.8</v>
      </c>
      <c r="L24" s="8" t="s">
        <v>2694</v>
      </c>
      <c r="M24" s="8">
        <v>1703.0</v>
      </c>
      <c r="N24" s="11">
        <v>23.0874</v>
      </c>
      <c r="O24" s="8" t="s">
        <v>2695</v>
      </c>
      <c r="P24" s="11">
        <v>0.6132</v>
      </c>
      <c r="Q24" s="12">
        <v>6856323.0</v>
      </c>
      <c r="R24" s="12">
        <v>5.33634730767E11</v>
      </c>
      <c r="S24" s="13">
        <v>3.8015</v>
      </c>
      <c r="T24" s="8" t="s">
        <v>2611</v>
      </c>
      <c r="U24" s="14">
        <f>IFERROR(__xludf.DUMMYFUNCTION("IFERROR(GOOGLEFINANCE(B24,""price""),"""")"),238.46)</f>
        <v>238.46</v>
      </c>
    </row>
    <row r="25">
      <c r="A25" s="15">
        <v>46048.69790018431</v>
      </c>
      <c r="B25" s="16" t="s">
        <v>2696</v>
      </c>
      <c r="C25" s="16" t="s">
        <v>2697</v>
      </c>
      <c r="D25" s="17">
        <v>46054.0</v>
      </c>
      <c r="E25" s="18">
        <v>178.11</v>
      </c>
      <c r="F25" s="16" t="s">
        <v>162</v>
      </c>
      <c r="G25" s="17">
        <v>46073.0</v>
      </c>
      <c r="H25" s="18">
        <v>175.0</v>
      </c>
      <c r="I25" s="16">
        <v>1696.0</v>
      </c>
      <c r="J25" s="16" t="s">
        <v>2608</v>
      </c>
      <c r="K25" s="19">
        <v>1.75</v>
      </c>
      <c r="L25" s="16" t="s">
        <v>2698</v>
      </c>
      <c r="M25" s="16">
        <v>1696.0</v>
      </c>
      <c r="N25" s="19">
        <v>37.6548</v>
      </c>
      <c r="O25" s="16" t="s">
        <v>2699</v>
      </c>
      <c r="P25" s="19">
        <v>0.8208</v>
      </c>
      <c r="Q25" s="20">
        <v>1444515.0</v>
      </c>
      <c r="R25" s="20">
        <v>2.1041412945E10</v>
      </c>
      <c r="S25" s="21">
        <v>3.5551</v>
      </c>
      <c r="T25" s="16" t="s">
        <v>2611</v>
      </c>
      <c r="U25" s="22">
        <f>IFERROR(__xludf.DUMMYFUNCTION("IFERROR(GOOGLEFINANCE(B25,""price""),"""")"),163.49)</f>
        <v>163.49</v>
      </c>
    </row>
    <row r="26">
      <c r="A26" s="7">
        <v>46048.69790018431</v>
      </c>
      <c r="B26" s="8" t="s">
        <v>2700</v>
      </c>
      <c r="C26" s="8" t="s">
        <v>2701</v>
      </c>
      <c r="D26" s="9">
        <v>46054.0</v>
      </c>
      <c r="E26" s="10">
        <v>222.87</v>
      </c>
      <c r="F26" s="8" t="s">
        <v>102</v>
      </c>
      <c r="G26" s="9">
        <v>46052.0</v>
      </c>
      <c r="H26" s="10">
        <v>220.0</v>
      </c>
      <c r="I26" s="8">
        <v>1641.0</v>
      </c>
      <c r="J26" s="8" t="s">
        <v>2608</v>
      </c>
      <c r="K26" s="11">
        <v>1.29</v>
      </c>
      <c r="L26" s="8" t="s">
        <v>2702</v>
      </c>
      <c r="M26" s="8">
        <v>1641.0</v>
      </c>
      <c r="N26" s="11">
        <v>37.7631</v>
      </c>
      <c r="O26" s="8" t="s">
        <v>2703</v>
      </c>
      <c r="P26" s="11">
        <v>2.2621</v>
      </c>
      <c r="Q26" s="12">
        <v>1.0620868E7</v>
      </c>
      <c r="R26" s="12">
        <v>2.79931415765E11</v>
      </c>
      <c r="S26" s="13">
        <v>9.7111</v>
      </c>
      <c r="T26" s="8" t="s">
        <v>2611</v>
      </c>
      <c r="U26" s="14">
        <f>IFERROR(__xludf.DUMMYFUNCTION("IFERROR(GOOGLEFINANCE(B26,""price""),"""")"),263.66)</f>
        <v>263.66</v>
      </c>
    </row>
    <row r="27">
      <c r="A27" s="15">
        <v>46048.69790018431</v>
      </c>
      <c r="B27" s="16" t="s">
        <v>2704</v>
      </c>
      <c r="C27" s="16" t="s">
        <v>2705</v>
      </c>
      <c r="D27" s="17">
        <v>46054.0</v>
      </c>
      <c r="E27" s="18">
        <v>36.18</v>
      </c>
      <c r="F27" s="16" t="s">
        <v>88</v>
      </c>
      <c r="G27" s="17">
        <v>46052.0</v>
      </c>
      <c r="H27" s="18">
        <v>36.0</v>
      </c>
      <c r="I27" s="16">
        <v>1624.0</v>
      </c>
      <c r="J27" s="16" t="s">
        <v>2608</v>
      </c>
      <c r="K27" s="19">
        <v>0.5</v>
      </c>
      <c r="L27" s="16" t="s">
        <v>2706</v>
      </c>
      <c r="M27" s="16">
        <v>1624.0</v>
      </c>
      <c r="N27" s="19">
        <v>25.8608</v>
      </c>
      <c r="O27" s="16" t="s">
        <v>2707</v>
      </c>
      <c r="P27" s="19">
        <v>-4.0064</v>
      </c>
      <c r="Q27" s="20">
        <v>4.7890131E7</v>
      </c>
      <c r="R27" s="20">
        <v>1.0115414434E10</v>
      </c>
      <c r="S27" s="21">
        <v>3.452</v>
      </c>
      <c r="T27" s="16" t="s">
        <v>2611</v>
      </c>
      <c r="U27" s="22">
        <f>IFERROR(__xludf.DUMMYFUNCTION("IFERROR(GOOGLEFINANCE(B27,""price""),"""")"),26.24)</f>
        <v>26.24</v>
      </c>
    </row>
    <row r="28">
      <c r="A28" s="7">
        <v>46048.69790018431</v>
      </c>
      <c r="B28" s="8" t="s">
        <v>1492</v>
      </c>
      <c r="C28" s="8" t="s">
        <v>1493</v>
      </c>
      <c r="D28" s="9">
        <v>46054.0</v>
      </c>
      <c r="E28" s="10">
        <v>24.23</v>
      </c>
      <c r="F28" s="8" t="s">
        <v>93</v>
      </c>
      <c r="G28" s="9">
        <v>46052.0</v>
      </c>
      <c r="H28" s="10">
        <v>24.0</v>
      </c>
      <c r="I28" s="8">
        <v>1327.0</v>
      </c>
      <c r="J28" s="8" t="s">
        <v>2627</v>
      </c>
      <c r="K28" s="11">
        <v>0.95</v>
      </c>
      <c r="L28" s="8" t="s">
        <v>2708</v>
      </c>
      <c r="M28" s="8">
        <v>1327.0</v>
      </c>
      <c r="N28" s="11">
        <v>25.1685</v>
      </c>
      <c r="O28" s="8" t="s">
        <v>1494</v>
      </c>
      <c r="P28" s="11">
        <v>1.296</v>
      </c>
      <c r="Q28" s="12">
        <v>5088001.0</v>
      </c>
      <c r="R28" s="12">
        <v>1.1751550037E10</v>
      </c>
      <c r="S28" s="13">
        <v>0.5672</v>
      </c>
      <c r="T28" s="8" t="s">
        <v>2611</v>
      </c>
      <c r="U28" s="14">
        <f>IFERROR(__xludf.DUMMYFUNCTION("IFERROR(GOOGLEFINANCE(B28,""price""),"""")"),24.05)</f>
        <v>24.05</v>
      </c>
    </row>
    <row r="29">
      <c r="A29" s="15">
        <v>46048.69790018431</v>
      </c>
      <c r="B29" s="16" t="s">
        <v>2505</v>
      </c>
      <c r="C29" s="16" t="s">
        <v>2506</v>
      </c>
      <c r="D29" s="17">
        <v>46054.0</v>
      </c>
      <c r="E29" s="18">
        <v>177.66</v>
      </c>
      <c r="F29" s="16" t="s">
        <v>335</v>
      </c>
      <c r="G29" s="17">
        <v>46073.0</v>
      </c>
      <c r="H29" s="18">
        <v>175.0</v>
      </c>
      <c r="I29" s="16">
        <v>1305.0</v>
      </c>
      <c r="J29" s="16" t="s">
        <v>2608</v>
      </c>
      <c r="K29" s="19">
        <v>1.5</v>
      </c>
      <c r="L29" s="16" t="s">
        <v>2709</v>
      </c>
      <c r="M29" s="16">
        <v>1305.0</v>
      </c>
      <c r="N29" s="19">
        <v>29.8935</v>
      </c>
      <c r="O29" s="16" t="s">
        <v>2507</v>
      </c>
      <c r="P29" s="19">
        <v>-2.1965</v>
      </c>
      <c r="Q29" s="20">
        <v>2549664.0</v>
      </c>
      <c r="R29" s="20">
        <v>4.0659027785E10</v>
      </c>
      <c r="S29" s="21">
        <v>4.4448</v>
      </c>
      <c r="T29" s="16" t="s">
        <v>2611</v>
      </c>
      <c r="U29" s="22">
        <f>IFERROR(__xludf.DUMMYFUNCTION("IFERROR(GOOGLEFINANCE(B29,""price""),"""")"),186.12)</f>
        <v>186.12</v>
      </c>
    </row>
    <row r="30">
      <c r="A30" s="7">
        <v>46048.69790018431</v>
      </c>
      <c r="B30" s="8" t="s">
        <v>2710</v>
      </c>
      <c r="C30" s="8" t="s">
        <v>2711</v>
      </c>
      <c r="D30" s="9">
        <v>46054.0</v>
      </c>
      <c r="E30" s="10">
        <v>118.02</v>
      </c>
      <c r="F30" s="8" t="s">
        <v>917</v>
      </c>
      <c r="G30" s="9">
        <v>46073.0</v>
      </c>
      <c r="H30" s="10">
        <v>120.0</v>
      </c>
      <c r="I30" s="8">
        <v>1280.0</v>
      </c>
      <c r="J30" s="8" t="s">
        <v>2608</v>
      </c>
      <c r="K30" s="11">
        <v>1.68</v>
      </c>
      <c r="L30" s="8" t="s">
        <v>2712</v>
      </c>
      <c r="M30" s="8">
        <v>1280.0</v>
      </c>
      <c r="N30" s="11">
        <v>18.618</v>
      </c>
      <c r="O30" s="8" t="s">
        <v>2713</v>
      </c>
      <c r="P30" s="11">
        <v>1.1918</v>
      </c>
      <c r="Q30" s="12">
        <v>3991680.0</v>
      </c>
      <c r="R30" s="12">
        <v>6.3033829331E10</v>
      </c>
      <c r="S30" s="13">
        <v>1.9228</v>
      </c>
      <c r="T30" s="8" t="s">
        <v>2620</v>
      </c>
      <c r="U30" s="14">
        <f>IFERROR(__xludf.DUMMYFUNCTION("IFERROR(GOOGLEFINANCE(B30,""price""),"""")"),136.3)</f>
        <v>136.3</v>
      </c>
    </row>
    <row r="31">
      <c r="A31" s="15">
        <v>46048.69790018431</v>
      </c>
      <c r="B31" s="16" t="s">
        <v>2714</v>
      </c>
      <c r="C31" s="16" t="s">
        <v>2715</v>
      </c>
      <c r="D31" s="17">
        <v>46054.0</v>
      </c>
      <c r="E31" s="18">
        <v>18.35</v>
      </c>
      <c r="F31" s="16" t="s">
        <v>335</v>
      </c>
      <c r="G31" s="17">
        <v>46052.0</v>
      </c>
      <c r="H31" s="18">
        <v>18.0</v>
      </c>
      <c r="I31" s="16">
        <v>1267.0</v>
      </c>
      <c r="J31" s="16" t="s">
        <v>2608</v>
      </c>
      <c r="K31" s="19">
        <v>1.91</v>
      </c>
      <c r="L31" s="16" t="s">
        <v>2716</v>
      </c>
      <c r="M31" s="16">
        <v>1267.0</v>
      </c>
      <c r="N31" s="19">
        <v>42.8188</v>
      </c>
      <c r="O31" s="16" t="s">
        <v>2717</v>
      </c>
      <c r="P31" s="19">
        <v>-1.4501</v>
      </c>
      <c r="Q31" s="20">
        <v>1.2323656E7</v>
      </c>
      <c r="R31" s="20">
        <v>8.869975889E9</v>
      </c>
      <c r="S31" s="21">
        <v>1.1948</v>
      </c>
      <c r="T31" s="16" t="s">
        <v>2611</v>
      </c>
      <c r="U31" s="22">
        <f>IFERROR(__xludf.DUMMYFUNCTION("IFERROR(GOOGLEFINANCE(B31,""price""),"""")"),13.53)</f>
        <v>13.53</v>
      </c>
    </row>
    <row r="32">
      <c r="A32" s="7">
        <v>46048.69790018431</v>
      </c>
      <c r="B32" s="8" t="s">
        <v>2718</v>
      </c>
      <c r="C32" s="8" t="s">
        <v>2719</v>
      </c>
      <c r="D32" s="9">
        <v>46054.0</v>
      </c>
      <c r="E32" s="10">
        <v>155.56</v>
      </c>
      <c r="F32" s="8" t="s">
        <v>308</v>
      </c>
      <c r="G32" s="9">
        <v>46073.0</v>
      </c>
      <c r="H32" s="10">
        <v>155.0</v>
      </c>
      <c r="I32" s="8">
        <v>1255.0</v>
      </c>
      <c r="J32" s="8" t="s">
        <v>2608</v>
      </c>
      <c r="K32" s="11">
        <v>0.36</v>
      </c>
      <c r="L32" s="8" t="s">
        <v>2720</v>
      </c>
      <c r="M32" s="8">
        <v>1255.0</v>
      </c>
      <c r="N32" s="11">
        <v>19.1493</v>
      </c>
      <c r="O32" s="8" t="s">
        <v>2721</v>
      </c>
      <c r="P32" s="11">
        <v>3.0267</v>
      </c>
      <c r="Q32" s="12">
        <v>1.0561653E7</v>
      </c>
      <c r="R32" s="12">
        <v>1.90414087039E11</v>
      </c>
      <c r="S32" s="13">
        <v>5.1532</v>
      </c>
      <c r="T32" s="8" t="s">
        <v>2611</v>
      </c>
      <c r="U32" s="14">
        <f>IFERROR(__xludf.DUMMYFUNCTION("IFERROR(GOOGLEFINANCE(B32,""price""),"""")"),140.75)</f>
        <v>140.75</v>
      </c>
    </row>
    <row r="33">
      <c r="A33" s="15">
        <v>46048.69790018431</v>
      </c>
      <c r="B33" s="16" t="s">
        <v>2722</v>
      </c>
      <c r="C33" s="16" t="s">
        <v>2723</v>
      </c>
      <c r="D33" s="17">
        <v>46054.0</v>
      </c>
      <c r="E33" s="18">
        <v>83.48</v>
      </c>
      <c r="F33" s="16" t="s">
        <v>308</v>
      </c>
      <c r="G33" s="17">
        <v>46073.0</v>
      </c>
      <c r="H33" s="18">
        <v>85.0</v>
      </c>
      <c r="I33" s="16">
        <v>1253.0</v>
      </c>
      <c r="J33" s="16" t="s">
        <v>2608</v>
      </c>
      <c r="K33" s="19">
        <v>1.82</v>
      </c>
      <c r="L33" s="16" t="s">
        <v>2724</v>
      </c>
      <c r="M33" s="16">
        <v>1253.0</v>
      </c>
      <c r="N33" s="19">
        <v>30.4418</v>
      </c>
      <c r="O33" s="16" t="s">
        <v>2725</v>
      </c>
      <c r="P33" s="19">
        <v>-1.0079</v>
      </c>
      <c r="Q33" s="20">
        <v>1761362.0</v>
      </c>
      <c r="R33" s="20">
        <v>1.141892827E10</v>
      </c>
      <c r="S33" s="21">
        <v>3.4343</v>
      </c>
      <c r="T33" s="16" t="s">
        <v>2620</v>
      </c>
      <c r="U33" s="22">
        <f>IFERROR(__xludf.DUMMYFUNCTION("IFERROR(GOOGLEFINANCE(B33,""price""),"""")"),106.1)</f>
        <v>106.1</v>
      </c>
    </row>
    <row r="34">
      <c r="A34" s="7">
        <v>46048.69790018431</v>
      </c>
      <c r="B34" s="8" t="s">
        <v>2726</v>
      </c>
      <c r="C34" s="8" t="s">
        <v>2727</v>
      </c>
      <c r="D34" s="9">
        <v>46054.0</v>
      </c>
      <c r="E34" s="10">
        <v>81.16</v>
      </c>
      <c r="F34" s="8" t="s">
        <v>286</v>
      </c>
      <c r="G34" s="9">
        <v>46073.0</v>
      </c>
      <c r="H34" s="10">
        <v>82.5</v>
      </c>
      <c r="I34" s="8">
        <v>1144.0</v>
      </c>
      <c r="J34" s="8" t="s">
        <v>2608</v>
      </c>
      <c r="K34" s="11">
        <v>1.65</v>
      </c>
      <c r="L34" s="8" t="s">
        <v>2728</v>
      </c>
      <c r="M34" s="8">
        <v>1144.0</v>
      </c>
      <c r="N34" s="11">
        <v>33.9911</v>
      </c>
      <c r="O34" s="8" t="s">
        <v>2729</v>
      </c>
      <c r="P34" s="11">
        <v>-1.0244</v>
      </c>
      <c r="Q34" s="12">
        <v>5943377.0</v>
      </c>
      <c r="R34" s="12">
        <v>7.9295038903E10</v>
      </c>
      <c r="S34" s="13">
        <v>1.5905</v>
      </c>
      <c r="T34" s="8" t="s">
        <v>2620</v>
      </c>
      <c r="U34" s="14">
        <f>IFERROR(__xludf.DUMMYFUNCTION("IFERROR(GOOGLEFINANCE(B34,""price""),"""")"),75.72)</f>
        <v>75.72</v>
      </c>
    </row>
    <row r="35">
      <c r="A35" s="15">
        <v>46048.69790018431</v>
      </c>
      <c r="B35" s="16" t="s">
        <v>2730</v>
      </c>
      <c r="C35" s="16" t="s">
        <v>2731</v>
      </c>
      <c r="D35" s="17">
        <v>46054.0</v>
      </c>
      <c r="E35" s="18">
        <v>181.88</v>
      </c>
      <c r="F35" s="16" t="s">
        <v>93</v>
      </c>
      <c r="G35" s="17">
        <v>46052.0</v>
      </c>
      <c r="H35" s="18">
        <v>182.5</v>
      </c>
      <c r="I35" s="16">
        <v>1124.0</v>
      </c>
      <c r="J35" s="16" t="s">
        <v>2608</v>
      </c>
      <c r="K35" s="19">
        <v>0.34</v>
      </c>
      <c r="L35" s="16" t="s">
        <v>2732</v>
      </c>
      <c r="M35" s="16">
        <v>1124.0</v>
      </c>
      <c r="N35" s="19">
        <v>19.7429</v>
      </c>
      <c r="O35" s="16" t="s">
        <v>2733</v>
      </c>
      <c r="P35" s="19">
        <v>1.6089</v>
      </c>
      <c r="Q35" s="20">
        <v>6388223.0</v>
      </c>
      <c r="R35" s="20">
        <v>2.89063558042E11</v>
      </c>
      <c r="S35" s="21">
        <v>4.2565</v>
      </c>
      <c r="T35" s="16" t="s">
        <v>2620</v>
      </c>
      <c r="U35" s="22">
        <f>IFERROR(__xludf.DUMMYFUNCTION("IFERROR(GOOGLEFINANCE(B35,""price""),"""")"),177.64)</f>
        <v>177.64</v>
      </c>
    </row>
    <row r="36">
      <c r="A36" s="7">
        <v>46048.69790018431</v>
      </c>
      <c r="B36" s="8" t="s">
        <v>1512</v>
      </c>
      <c r="C36" s="8" t="s">
        <v>1513</v>
      </c>
      <c r="D36" s="9">
        <v>46054.0</v>
      </c>
      <c r="E36" s="10">
        <v>76.59</v>
      </c>
      <c r="F36" s="8" t="s">
        <v>917</v>
      </c>
      <c r="G36" s="9">
        <v>46073.0</v>
      </c>
      <c r="H36" s="10">
        <v>77.5</v>
      </c>
      <c r="I36" s="8">
        <v>1106.0</v>
      </c>
      <c r="J36" s="8" t="s">
        <v>2608</v>
      </c>
      <c r="K36" s="11">
        <v>1.19</v>
      </c>
      <c r="L36" s="8" t="s">
        <v>2734</v>
      </c>
      <c r="M36" s="8">
        <v>1106.0</v>
      </c>
      <c r="N36" s="11">
        <v>24.1465</v>
      </c>
      <c r="O36" s="8" t="s">
        <v>1514</v>
      </c>
      <c r="P36" s="11">
        <v>1.1891</v>
      </c>
      <c r="Q36" s="12">
        <v>1383053.0</v>
      </c>
      <c r="R36" s="12">
        <v>1.7632101692E10</v>
      </c>
      <c r="S36" s="13">
        <v>1.1237</v>
      </c>
      <c r="T36" s="8" t="s">
        <v>2620</v>
      </c>
      <c r="U36" s="14">
        <f>IFERROR(__xludf.DUMMYFUNCTION("IFERROR(GOOGLEFINANCE(B36,""price""),"""")"),83.58)</f>
        <v>83.58</v>
      </c>
    </row>
    <row r="37">
      <c r="A37" s="15">
        <v>46048.69790018431</v>
      </c>
      <c r="B37" s="16" t="s">
        <v>2735</v>
      </c>
      <c r="C37" s="16" t="s">
        <v>2736</v>
      </c>
      <c r="D37" s="17">
        <v>46054.0</v>
      </c>
      <c r="E37" s="18">
        <v>29.97</v>
      </c>
      <c r="F37" s="16" t="s">
        <v>335</v>
      </c>
      <c r="G37" s="17">
        <v>46052.0</v>
      </c>
      <c r="H37" s="18">
        <v>30.5</v>
      </c>
      <c r="I37" s="16">
        <v>1081.0</v>
      </c>
      <c r="J37" s="16" t="s">
        <v>2627</v>
      </c>
      <c r="K37" s="19">
        <v>1.77</v>
      </c>
      <c r="L37" s="16" t="s">
        <v>2737</v>
      </c>
      <c r="M37" s="16">
        <v>1081.0</v>
      </c>
      <c r="N37" s="19">
        <v>47.5159</v>
      </c>
      <c r="O37" s="16" t="s">
        <v>2738</v>
      </c>
      <c r="P37" s="19">
        <v>-5.7843</v>
      </c>
      <c r="Q37" s="20">
        <v>5.3494483E7</v>
      </c>
      <c r="R37" s="20">
        <v>2.0082857517E10</v>
      </c>
      <c r="S37" s="21">
        <v>1.874</v>
      </c>
      <c r="T37" s="16" t="s">
        <v>2620</v>
      </c>
      <c r="U37" s="22">
        <f>IFERROR(__xludf.DUMMYFUNCTION("IFERROR(GOOGLEFINANCE(B37,""price""),"""")"),19.46)</f>
        <v>19.46</v>
      </c>
    </row>
    <row r="38">
      <c r="A38" s="7">
        <v>46048.69790018431</v>
      </c>
      <c r="B38" s="8" t="s">
        <v>2344</v>
      </c>
      <c r="C38" s="8" t="s">
        <v>2345</v>
      </c>
      <c r="D38" s="9">
        <v>46054.0</v>
      </c>
      <c r="E38" s="10">
        <v>64.29</v>
      </c>
      <c r="F38" s="8" t="s">
        <v>270</v>
      </c>
      <c r="G38" s="9">
        <v>46052.0</v>
      </c>
      <c r="H38" s="10">
        <v>64.0</v>
      </c>
      <c r="I38" s="8">
        <v>1080.0</v>
      </c>
      <c r="J38" s="8" t="s">
        <v>2627</v>
      </c>
      <c r="K38" s="11">
        <v>0.45</v>
      </c>
      <c r="L38" s="8" t="s">
        <v>2739</v>
      </c>
      <c r="M38" s="8">
        <v>1080.0</v>
      </c>
      <c r="N38" s="11">
        <v>17.8468</v>
      </c>
      <c r="O38" s="8" t="s">
        <v>2346</v>
      </c>
      <c r="P38" s="11">
        <v>-1.0314</v>
      </c>
      <c r="Q38" s="12">
        <v>7559704.0</v>
      </c>
      <c r="R38" s="12">
        <v>7.8512160179E10</v>
      </c>
      <c r="S38" s="13">
        <v>1.3966</v>
      </c>
      <c r="T38" s="8" t="s">
        <v>2611</v>
      </c>
      <c r="U38" s="14">
        <f>IFERROR(__xludf.DUMMYFUNCTION("IFERROR(GOOGLEFINANCE(B38,""price""),"""")"),72.74)</f>
        <v>72.74</v>
      </c>
    </row>
    <row r="39">
      <c r="A39" s="15">
        <v>46048.69790018431</v>
      </c>
      <c r="B39" s="16" t="s">
        <v>1396</v>
      </c>
      <c r="C39" s="16" t="s">
        <v>1397</v>
      </c>
      <c r="D39" s="17">
        <v>46054.0</v>
      </c>
      <c r="E39" s="18">
        <v>98.89</v>
      </c>
      <c r="F39" s="16" t="s">
        <v>93</v>
      </c>
      <c r="G39" s="17">
        <v>46073.0</v>
      </c>
      <c r="H39" s="18">
        <v>100.0</v>
      </c>
      <c r="I39" s="16">
        <v>1049.0</v>
      </c>
      <c r="J39" s="16" t="s">
        <v>2608</v>
      </c>
      <c r="K39" s="19">
        <v>1.12</v>
      </c>
      <c r="L39" s="16" t="s">
        <v>2740</v>
      </c>
      <c r="M39" s="16">
        <v>1049.0</v>
      </c>
      <c r="N39" s="19">
        <v>24.5818</v>
      </c>
      <c r="O39" s="16" t="s">
        <v>1398</v>
      </c>
      <c r="P39" s="19">
        <v>0.8567</v>
      </c>
      <c r="Q39" s="20">
        <v>2723851.0</v>
      </c>
      <c r="R39" s="20">
        <v>5.6465739075E10</v>
      </c>
      <c r="S39" s="21">
        <v>1.7482</v>
      </c>
      <c r="T39" s="16" t="s">
        <v>2620</v>
      </c>
      <c r="U39" s="22">
        <f>IFERROR(__xludf.DUMMYFUNCTION("IFERROR(GOOGLEFINANCE(B39,""price""),"""")"),83.16)</f>
        <v>83.16</v>
      </c>
    </row>
    <row r="40">
      <c r="A40" s="7">
        <v>46048.69790018431</v>
      </c>
      <c r="B40" s="8" t="s">
        <v>2453</v>
      </c>
      <c r="C40" s="8" t="s">
        <v>2454</v>
      </c>
      <c r="D40" s="9">
        <v>46054.0</v>
      </c>
      <c r="E40" s="10">
        <v>254.5</v>
      </c>
      <c r="F40" s="8" t="s">
        <v>129</v>
      </c>
      <c r="G40" s="9">
        <v>46073.0</v>
      </c>
      <c r="H40" s="10">
        <v>250.0</v>
      </c>
      <c r="I40" s="8">
        <v>1039.0</v>
      </c>
      <c r="J40" s="8" t="s">
        <v>2608</v>
      </c>
      <c r="K40" s="11">
        <v>1.77</v>
      </c>
      <c r="L40" s="8" t="s">
        <v>2741</v>
      </c>
      <c r="M40" s="8">
        <v>1039.0</v>
      </c>
      <c r="N40" s="11">
        <v>27.8364</v>
      </c>
      <c r="O40" s="8" t="s">
        <v>2455</v>
      </c>
      <c r="P40" s="11">
        <v>0.189</v>
      </c>
      <c r="Q40" s="12">
        <v>1461116.0</v>
      </c>
      <c r="R40" s="12">
        <v>4.9766447523E10</v>
      </c>
      <c r="S40" s="13">
        <v>5.3879</v>
      </c>
      <c r="T40" s="8" t="s">
        <v>2611</v>
      </c>
      <c r="U40" s="14">
        <f>IFERROR(__xludf.DUMMYFUNCTION("IFERROR(GOOGLEFINANCE(B40,""price""),"""")"),256.61)</f>
        <v>256.61</v>
      </c>
    </row>
    <row r="41">
      <c r="A41" s="15">
        <v>46048.69790018431</v>
      </c>
      <c r="B41" s="16" t="s">
        <v>2742</v>
      </c>
      <c r="C41" s="16" t="s">
        <v>2743</v>
      </c>
      <c r="D41" s="17">
        <v>46054.0</v>
      </c>
      <c r="E41" s="18">
        <v>157.4</v>
      </c>
      <c r="F41" s="16" t="s">
        <v>149</v>
      </c>
      <c r="G41" s="17">
        <v>46073.0</v>
      </c>
      <c r="H41" s="18">
        <v>160.0</v>
      </c>
      <c r="I41" s="16">
        <v>1012.0</v>
      </c>
      <c r="J41" s="16" t="s">
        <v>2608</v>
      </c>
      <c r="K41" s="19">
        <v>1.65</v>
      </c>
      <c r="L41" s="16" t="s">
        <v>2744</v>
      </c>
      <c r="M41" s="16">
        <v>1012.0</v>
      </c>
      <c r="N41" s="19">
        <v>25.8905</v>
      </c>
      <c r="O41" s="16" t="s">
        <v>2745</v>
      </c>
      <c r="P41" s="19">
        <v>-3.2991</v>
      </c>
      <c r="Q41" s="20">
        <v>1318455.0</v>
      </c>
      <c r="R41" s="20">
        <v>6.99347317E9</v>
      </c>
      <c r="S41" s="21">
        <v>6.2349</v>
      </c>
      <c r="T41" s="16" t="s">
        <v>2620</v>
      </c>
      <c r="U41" s="22">
        <f>IFERROR(__xludf.DUMMYFUNCTION("IFERROR(GOOGLEFINANCE(B41,""price""),"""")"),155.13)</f>
        <v>155.13</v>
      </c>
    </row>
    <row r="42">
      <c r="A42" s="7">
        <v>46049.62845085532</v>
      </c>
      <c r="B42" s="8" t="s">
        <v>2606</v>
      </c>
      <c r="C42" s="8" t="s">
        <v>2607</v>
      </c>
      <c r="D42" s="9">
        <v>46054.0</v>
      </c>
      <c r="E42" s="10">
        <v>50.795</v>
      </c>
      <c r="F42" s="8" t="s">
        <v>93</v>
      </c>
      <c r="G42" s="9">
        <v>46073.0</v>
      </c>
      <c r="H42" s="10">
        <v>50.0</v>
      </c>
      <c r="I42" s="8">
        <v>28768.0</v>
      </c>
      <c r="J42" s="8" t="s">
        <v>2608</v>
      </c>
      <c r="K42" s="11">
        <v>1.57</v>
      </c>
      <c r="L42" s="8" t="s">
        <v>2746</v>
      </c>
      <c r="M42" s="8">
        <v>30419.0</v>
      </c>
      <c r="N42" s="11">
        <v>41.2384</v>
      </c>
      <c r="O42" s="8" t="s">
        <v>2610</v>
      </c>
      <c r="P42" s="11">
        <v>0.6041</v>
      </c>
      <c r="Q42" s="12">
        <v>4852682.0</v>
      </c>
      <c r="R42" s="12">
        <v>3.3577768622E10</v>
      </c>
      <c r="S42" s="13">
        <v>1.2109</v>
      </c>
      <c r="T42" s="8" t="s">
        <v>2611</v>
      </c>
      <c r="U42" s="14">
        <f>IFERROR(__xludf.DUMMYFUNCTION("IFERROR(GOOGLEFINANCE(B42,""price""),"""")"),49.31)</f>
        <v>49.31</v>
      </c>
    </row>
    <row r="43">
      <c r="A43" s="15">
        <v>46049.62845085532</v>
      </c>
      <c r="B43" s="16" t="s">
        <v>2612</v>
      </c>
      <c r="C43" s="16" t="s">
        <v>2613</v>
      </c>
      <c r="D43" s="17">
        <v>46054.0</v>
      </c>
      <c r="E43" s="18">
        <v>251.57</v>
      </c>
      <c r="F43" s="16" t="s">
        <v>308</v>
      </c>
      <c r="G43" s="17">
        <v>46052.0</v>
      </c>
      <c r="H43" s="18">
        <v>250.0</v>
      </c>
      <c r="I43" s="16">
        <v>6337.0</v>
      </c>
      <c r="J43" s="16" t="s">
        <v>2608</v>
      </c>
      <c r="K43" s="19">
        <v>0.62</v>
      </c>
      <c r="L43" s="16" t="s">
        <v>2747</v>
      </c>
      <c r="M43" s="16">
        <v>28259.0</v>
      </c>
      <c r="N43" s="19">
        <v>24.5026</v>
      </c>
      <c r="O43" s="16" t="s">
        <v>2615</v>
      </c>
      <c r="P43" s="19">
        <v>0.1035</v>
      </c>
      <c r="Q43" s="20">
        <v>2.2342364E7</v>
      </c>
      <c r="R43" s="20">
        <v>4.09566397159E11</v>
      </c>
      <c r="S43" s="21">
        <v>10.2849</v>
      </c>
      <c r="T43" s="16" t="s">
        <v>2611</v>
      </c>
      <c r="U43" s="22">
        <f>IFERROR(__xludf.DUMMYFUNCTION("IFERROR(GOOGLEFINANCE(B43,""price""),"""")"),245.04)</f>
        <v>245.04</v>
      </c>
    </row>
    <row r="44">
      <c r="A44" s="7">
        <v>46049.62845085532</v>
      </c>
      <c r="B44" s="8" t="s">
        <v>2616</v>
      </c>
      <c r="C44" s="8" t="s">
        <v>2617</v>
      </c>
      <c r="D44" s="9">
        <v>46054.0</v>
      </c>
      <c r="E44" s="10">
        <v>73.345</v>
      </c>
      <c r="F44" s="8" t="s">
        <v>286</v>
      </c>
      <c r="G44" s="9">
        <v>46052.0</v>
      </c>
      <c r="H44" s="10">
        <v>73.0</v>
      </c>
      <c r="I44" s="8">
        <v>8523.0</v>
      </c>
      <c r="J44" s="8" t="s">
        <v>2608</v>
      </c>
      <c r="K44" s="11">
        <v>0.47</v>
      </c>
      <c r="L44" s="8" t="s">
        <v>2748</v>
      </c>
      <c r="M44" s="8">
        <v>20055.0</v>
      </c>
      <c r="N44" s="11">
        <v>23.9541</v>
      </c>
      <c r="O44" s="8" t="s">
        <v>2619</v>
      </c>
      <c r="P44" s="11">
        <v>1.0819</v>
      </c>
      <c r="Q44" s="12">
        <v>8484941.0</v>
      </c>
      <c r="R44" s="12">
        <v>3.1550149318E11</v>
      </c>
      <c r="S44" s="13">
        <v>1.0151</v>
      </c>
      <c r="T44" s="8" t="s">
        <v>2611</v>
      </c>
      <c r="U44" s="14">
        <f>IFERROR(__xludf.DUMMYFUNCTION("IFERROR(GOOGLEFINANCE(B44,""price""),"""")"),77.47)</f>
        <v>77.47</v>
      </c>
    </row>
    <row r="45">
      <c r="A45" s="15">
        <v>46049.62845085532</v>
      </c>
      <c r="B45" s="16" t="s">
        <v>2625</v>
      </c>
      <c r="C45" s="16" t="s">
        <v>2626</v>
      </c>
      <c r="D45" s="17">
        <v>46054.0</v>
      </c>
      <c r="E45" s="18">
        <v>116.985</v>
      </c>
      <c r="F45" s="16" t="s">
        <v>137</v>
      </c>
      <c r="G45" s="17">
        <v>46052.0</v>
      </c>
      <c r="H45" s="18">
        <v>117.0</v>
      </c>
      <c r="I45" s="16">
        <v>4547.0</v>
      </c>
      <c r="J45" s="16" t="s">
        <v>2627</v>
      </c>
      <c r="K45" s="19">
        <v>0.01</v>
      </c>
      <c r="L45" s="16" t="s">
        <v>2749</v>
      </c>
      <c r="M45" s="16">
        <v>18608.0</v>
      </c>
      <c r="N45" s="19">
        <v>20.9853</v>
      </c>
      <c r="O45" s="16" t="s">
        <v>2629</v>
      </c>
      <c r="P45" s="19">
        <v>-0.5568</v>
      </c>
      <c r="Q45" s="20">
        <v>1.4814552E7</v>
      </c>
      <c r="R45" s="20">
        <v>9.32389980743E11</v>
      </c>
      <c r="S45" s="21">
        <v>2.3271</v>
      </c>
      <c r="T45" s="16" t="s">
        <v>2620</v>
      </c>
      <c r="U45" s="22">
        <f>IFERROR(__xludf.DUMMYFUNCTION("IFERROR(GOOGLEFINANCE(B45,""price""),"""")"),126.79)</f>
        <v>126.79</v>
      </c>
    </row>
    <row r="46">
      <c r="A46" s="7">
        <v>46049.62845085532</v>
      </c>
      <c r="B46" s="8" t="s">
        <v>2621</v>
      </c>
      <c r="C46" s="8" t="s">
        <v>2622</v>
      </c>
      <c r="D46" s="9">
        <v>46054.0</v>
      </c>
      <c r="E46" s="10">
        <v>62.435</v>
      </c>
      <c r="F46" s="8" t="s">
        <v>335</v>
      </c>
      <c r="G46" s="9">
        <v>46052.0</v>
      </c>
      <c r="H46" s="10">
        <v>63.0</v>
      </c>
      <c r="I46" s="8">
        <v>5041.0</v>
      </c>
      <c r="J46" s="8" t="s">
        <v>2608</v>
      </c>
      <c r="K46" s="11">
        <v>0.9</v>
      </c>
      <c r="L46" s="8" t="s">
        <v>2750</v>
      </c>
      <c r="M46" s="8">
        <v>11706.0</v>
      </c>
      <c r="N46" s="11">
        <v>42.9156</v>
      </c>
      <c r="O46" s="8" t="s">
        <v>2624</v>
      </c>
      <c r="P46" s="11">
        <v>2.068</v>
      </c>
      <c r="Q46" s="12">
        <v>1.6487051E7</v>
      </c>
      <c r="R46" s="12">
        <v>8.9652328327E10</v>
      </c>
      <c r="S46" s="13">
        <v>2.0884</v>
      </c>
      <c r="T46" s="8" t="s">
        <v>2620</v>
      </c>
      <c r="U46" s="14">
        <f>IFERROR(__xludf.DUMMYFUNCTION("IFERROR(GOOGLEFINANCE(B46,""price""),"""")"),67.8)</f>
        <v>67.8</v>
      </c>
    </row>
    <row r="47">
      <c r="A47" s="15">
        <v>46049.62845085532</v>
      </c>
      <c r="B47" s="16" t="s">
        <v>2638</v>
      </c>
      <c r="C47" s="16" t="s">
        <v>2639</v>
      </c>
      <c r="D47" s="17">
        <v>46054.0</v>
      </c>
      <c r="E47" s="18">
        <v>136.655</v>
      </c>
      <c r="F47" s="16" t="s">
        <v>245</v>
      </c>
      <c r="G47" s="17">
        <v>46052.0</v>
      </c>
      <c r="H47" s="18">
        <v>135.0</v>
      </c>
      <c r="I47" s="16">
        <v>5058.0</v>
      </c>
      <c r="J47" s="16" t="s">
        <v>2608</v>
      </c>
      <c r="K47" s="19">
        <v>1.21</v>
      </c>
      <c r="L47" s="16" t="s">
        <v>2751</v>
      </c>
      <c r="M47" s="16">
        <v>10960.0</v>
      </c>
      <c r="N47" s="19">
        <v>39.5257</v>
      </c>
      <c r="O47" s="16" t="s">
        <v>2641</v>
      </c>
      <c r="P47" s="19">
        <v>1.346</v>
      </c>
      <c r="Q47" s="20">
        <v>9875480.0</v>
      </c>
      <c r="R47" s="20">
        <v>5.76296739487E11</v>
      </c>
      <c r="S47" s="21">
        <v>2.5232</v>
      </c>
      <c r="T47" s="16" t="s">
        <v>2611</v>
      </c>
      <c r="U47" s="22">
        <f>IFERROR(__xludf.DUMMYFUNCTION("IFERROR(GOOGLEFINANCE(B47,""price""),"""")"),152.51)</f>
        <v>152.51</v>
      </c>
    </row>
    <row r="48">
      <c r="A48" s="7">
        <v>46049.62845085532</v>
      </c>
      <c r="B48" s="8" t="s">
        <v>2646</v>
      </c>
      <c r="C48" s="8" t="s">
        <v>2647</v>
      </c>
      <c r="D48" s="9">
        <v>46054.0</v>
      </c>
      <c r="E48" s="10">
        <v>33.14</v>
      </c>
      <c r="F48" s="8" t="s">
        <v>270</v>
      </c>
      <c r="G48" s="9">
        <v>46052.0</v>
      </c>
      <c r="H48" s="10">
        <v>33.5</v>
      </c>
      <c r="I48" s="8">
        <v>4217.0</v>
      </c>
      <c r="J48" s="8" t="s">
        <v>2608</v>
      </c>
      <c r="K48" s="11">
        <v>1.09</v>
      </c>
      <c r="L48" s="8" t="s">
        <v>2752</v>
      </c>
      <c r="M48" s="8">
        <v>8800.0</v>
      </c>
      <c r="N48" s="11">
        <v>25.99</v>
      </c>
      <c r="O48" s="8" t="s">
        <v>2649</v>
      </c>
      <c r="P48" s="11">
        <v>0.2723</v>
      </c>
      <c r="Q48" s="12">
        <v>3825316.0</v>
      </c>
      <c r="R48" s="12">
        <v>7.1692457774E10</v>
      </c>
      <c r="S48" s="13">
        <v>0.4269</v>
      </c>
      <c r="T48" s="8" t="s">
        <v>2620</v>
      </c>
      <c r="U48" s="14">
        <f>IFERROR(__xludf.DUMMYFUNCTION("IFERROR(GOOGLEFINANCE(B48,""price""),"""")"),37.35)</f>
        <v>37.35</v>
      </c>
    </row>
    <row r="49">
      <c r="A49" s="15">
        <v>46049.62845085532</v>
      </c>
      <c r="B49" s="16" t="s">
        <v>2634</v>
      </c>
      <c r="C49" s="16" t="s">
        <v>2635</v>
      </c>
      <c r="D49" s="17">
        <v>46054.0</v>
      </c>
      <c r="E49" s="18">
        <v>168.93</v>
      </c>
      <c r="F49" s="16" t="s">
        <v>245</v>
      </c>
      <c r="G49" s="17">
        <v>46052.0</v>
      </c>
      <c r="H49" s="18">
        <v>170.0</v>
      </c>
      <c r="I49" s="16">
        <v>6320.0</v>
      </c>
      <c r="J49" s="16" t="s">
        <v>2608</v>
      </c>
      <c r="K49" s="19">
        <v>0.63</v>
      </c>
      <c r="L49" s="16" t="s">
        <v>2753</v>
      </c>
      <c r="M49" s="16">
        <v>8436.0</v>
      </c>
      <c r="N49" s="19">
        <v>39.3919</v>
      </c>
      <c r="O49" s="16" t="s">
        <v>2637</v>
      </c>
      <c r="P49" s="19">
        <v>0.8537</v>
      </c>
      <c r="Q49" s="20">
        <v>6663508.0</v>
      </c>
      <c r="R49" s="20">
        <v>3.40144204977E11</v>
      </c>
      <c r="S49" s="21">
        <v>2.9396</v>
      </c>
      <c r="T49" s="16" t="s">
        <v>2620</v>
      </c>
      <c r="U49" s="22">
        <f>IFERROR(__xludf.DUMMYFUNCTION("IFERROR(GOOGLEFINANCE(B49,""price""),"""")"),188.55)</f>
        <v>188.55</v>
      </c>
    </row>
    <row r="50">
      <c r="A50" s="7">
        <v>46049.62845085532</v>
      </c>
      <c r="B50" s="8" t="s">
        <v>2630</v>
      </c>
      <c r="C50" s="8" t="s">
        <v>2631</v>
      </c>
      <c r="D50" s="9">
        <v>46054.0</v>
      </c>
      <c r="E50" s="10">
        <v>410.99</v>
      </c>
      <c r="F50" s="8" t="s">
        <v>308</v>
      </c>
      <c r="G50" s="9">
        <v>46052.0</v>
      </c>
      <c r="H50" s="10">
        <v>410.0</v>
      </c>
      <c r="I50" s="8">
        <v>3153.0</v>
      </c>
      <c r="J50" s="8" t="s">
        <v>2608</v>
      </c>
      <c r="K50" s="11">
        <v>0.24</v>
      </c>
      <c r="L50" s="8" t="s">
        <v>2754</v>
      </c>
      <c r="M50" s="8">
        <v>7572.0</v>
      </c>
      <c r="N50" s="11">
        <v>37.4335</v>
      </c>
      <c r="O50" s="8" t="s">
        <v>2633</v>
      </c>
      <c r="P50" s="11">
        <v>5.6285</v>
      </c>
      <c r="Q50" s="12">
        <v>2.8927269E7</v>
      </c>
      <c r="R50" s="12">
        <v>4.62573053542E11</v>
      </c>
      <c r="S50" s="13">
        <v>18.5816</v>
      </c>
      <c r="T50" s="8" t="s">
        <v>2611</v>
      </c>
      <c r="U50" s="14">
        <f>IFERROR(__xludf.DUMMYFUNCTION("IFERROR(GOOGLEFINANCE(B50,""price""),"""")"),420.59)</f>
        <v>420.59</v>
      </c>
    </row>
    <row r="51">
      <c r="A51" s="15">
        <v>46049.62845085532</v>
      </c>
      <c r="B51" s="16" t="s">
        <v>2642</v>
      </c>
      <c r="C51" s="16" t="s">
        <v>2643</v>
      </c>
      <c r="D51" s="17">
        <v>46054.0</v>
      </c>
      <c r="E51" s="18">
        <v>176.55</v>
      </c>
      <c r="F51" s="16" t="s">
        <v>335</v>
      </c>
      <c r="G51" s="17">
        <v>46073.0</v>
      </c>
      <c r="H51" s="18">
        <v>175.0</v>
      </c>
      <c r="I51" s="16">
        <v>6451.0</v>
      </c>
      <c r="J51" s="16" t="s">
        <v>2608</v>
      </c>
      <c r="K51" s="19">
        <v>0.88</v>
      </c>
      <c r="L51" s="16" t="s">
        <v>2755</v>
      </c>
      <c r="M51" s="16">
        <v>7532.0</v>
      </c>
      <c r="N51" s="19">
        <v>23.1437</v>
      </c>
      <c r="O51" s="16" t="s">
        <v>2645</v>
      </c>
      <c r="P51" s="19">
        <v>1.8636</v>
      </c>
      <c r="Q51" s="20">
        <v>1294846.0</v>
      </c>
      <c r="R51" s="20">
        <v>2.578245674E10</v>
      </c>
      <c r="S51" s="21">
        <v>5.3451</v>
      </c>
      <c r="T51" s="16" t="s">
        <v>2611</v>
      </c>
      <c r="U51" s="22">
        <f>IFERROR(__xludf.DUMMYFUNCTION("IFERROR(GOOGLEFINANCE(B51,""price""),"""")"),190.57)</f>
        <v>190.57</v>
      </c>
    </row>
    <row r="52">
      <c r="A52" s="7">
        <v>46049.62845085532</v>
      </c>
      <c r="B52" s="8" t="s">
        <v>2704</v>
      </c>
      <c r="C52" s="8" t="s">
        <v>2705</v>
      </c>
      <c r="D52" s="9">
        <v>46054.0</v>
      </c>
      <c r="E52" s="10">
        <v>40.98</v>
      </c>
      <c r="F52" s="8" t="s">
        <v>88</v>
      </c>
      <c r="G52" s="9">
        <v>46052.0</v>
      </c>
      <c r="H52" s="10">
        <v>41.0</v>
      </c>
      <c r="I52" s="8">
        <v>3792.0</v>
      </c>
      <c r="J52" s="8" t="s">
        <v>2608</v>
      </c>
      <c r="K52" s="11">
        <v>0.05</v>
      </c>
      <c r="L52" s="8" t="s">
        <v>2756</v>
      </c>
      <c r="M52" s="8">
        <v>4864.0</v>
      </c>
      <c r="N52" s="11">
        <v>27.0063</v>
      </c>
      <c r="O52" s="8" t="s">
        <v>2707</v>
      </c>
      <c r="P52" s="11">
        <v>13.267</v>
      </c>
      <c r="Q52" s="12">
        <v>4.3025046E7</v>
      </c>
      <c r="R52" s="12">
        <v>1.1457426813E10</v>
      </c>
      <c r="S52" s="13">
        <v>3.6283</v>
      </c>
      <c r="T52" s="8" t="s">
        <v>2620</v>
      </c>
      <c r="U52" s="14">
        <f>IFERROR(__xludf.DUMMYFUNCTION("IFERROR(GOOGLEFINANCE(B52,""price""),"""")"),26.24)</f>
        <v>26.24</v>
      </c>
    </row>
    <row r="53">
      <c r="A53" s="15">
        <v>46049.62845085532</v>
      </c>
      <c r="B53" s="16" t="s">
        <v>2654</v>
      </c>
      <c r="C53" s="16" t="s">
        <v>2655</v>
      </c>
      <c r="D53" s="17">
        <v>46054.0</v>
      </c>
      <c r="E53" s="18">
        <v>39.63</v>
      </c>
      <c r="F53" s="16" t="s">
        <v>917</v>
      </c>
      <c r="G53" s="17">
        <v>46073.0</v>
      </c>
      <c r="H53" s="18">
        <v>40.0</v>
      </c>
      <c r="I53" s="16">
        <v>4474.0</v>
      </c>
      <c r="J53" s="16" t="s">
        <v>2608</v>
      </c>
      <c r="K53" s="19">
        <v>0.93</v>
      </c>
      <c r="L53" s="16" t="s">
        <v>2757</v>
      </c>
      <c r="M53" s="16">
        <v>4474.0</v>
      </c>
      <c r="N53" s="19">
        <v>18.9758</v>
      </c>
      <c r="O53" s="16" t="s">
        <v>2657</v>
      </c>
      <c r="P53" s="19">
        <v>0.5327</v>
      </c>
      <c r="Q53" s="20">
        <v>2968384.0</v>
      </c>
      <c r="R53" s="20">
        <v>2.5873166559E10</v>
      </c>
      <c r="S53" s="21">
        <v>0.6047</v>
      </c>
      <c r="T53" s="16" t="s">
        <v>2620</v>
      </c>
      <c r="U53" s="22">
        <f>IFERROR(__xludf.DUMMYFUNCTION("IFERROR(GOOGLEFINANCE(B53,""price""),"""")"),43.39)</f>
        <v>43.39</v>
      </c>
    </row>
    <row r="54">
      <c r="A54" s="7">
        <v>46049.62845085532</v>
      </c>
      <c r="B54" s="8" t="s">
        <v>2700</v>
      </c>
      <c r="C54" s="8" t="s">
        <v>2701</v>
      </c>
      <c r="D54" s="9">
        <v>46054.0</v>
      </c>
      <c r="E54" s="10">
        <v>238.39</v>
      </c>
      <c r="F54" s="8" t="s">
        <v>102</v>
      </c>
      <c r="G54" s="9">
        <v>46052.0</v>
      </c>
      <c r="H54" s="10">
        <v>237.5</v>
      </c>
      <c r="I54" s="8">
        <v>1350.0</v>
      </c>
      <c r="J54" s="8" t="s">
        <v>2608</v>
      </c>
      <c r="K54" s="11">
        <v>0.37</v>
      </c>
      <c r="L54" s="8" t="s">
        <v>2758</v>
      </c>
      <c r="M54" s="8">
        <v>3646.0</v>
      </c>
      <c r="N54" s="11">
        <v>38.9567</v>
      </c>
      <c r="O54" s="8" t="s">
        <v>2703</v>
      </c>
      <c r="P54" s="11">
        <v>6.9637</v>
      </c>
      <c r="Q54" s="12">
        <v>8576938.0</v>
      </c>
      <c r="R54" s="12">
        <v>2.99424992124E11</v>
      </c>
      <c r="S54" s="13">
        <v>10.2053</v>
      </c>
      <c r="T54" s="8" t="s">
        <v>2611</v>
      </c>
      <c r="U54" s="14">
        <f>IFERROR(__xludf.DUMMYFUNCTION("IFERROR(GOOGLEFINANCE(B54,""price""),"""")"),263.66)</f>
        <v>263.66</v>
      </c>
    </row>
    <row r="55">
      <c r="A55" s="15">
        <v>46049.62845085532</v>
      </c>
      <c r="B55" s="16" t="s">
        <v>2759</v>
      </c>
      <c r="C55" s="16" t="s">
        <v>2760</v>
      </c>
      <c r="D55" s="17">
        <v>46054.0</v>
      </c>
      <c r="E55" s="18">
        <v>349.525</v>
      </c>
      <c r="F55" s="16" t="s">
        <v>117</v>
      </c>
      <c r="G55" s="17">
        <v>46052.0</v>
      </c>
      <c r="H55" s="18">
        <v>350.0</v>
      </c>
      <c r="I55" s="16">
        <v>1819.0</v>
      </c>
      <c r="J55" s="16" t="s">
        <v>2608</v>
      </c>
      <c r="K55" s="19">
        <v>0.14</v>
      </c>
      <c r="L55" s="16" t="s">
        <v>2761</v>
      </c>
      <c r="M55" s="16">
        <v>3496.0</v>
      </c>
      <c r="N55" s="19">
        <v>15.369</v>
      </c>
      <c r="O55" s="16" t="s">
        <v>2762</v>
      </c>
      <c r="P55" s="19">
        <v>-0.0472</v>
      </c>
      <c r="Q55" s="20">
        <v>2033562.0</v>
      </c>
      <c r="R55" s="20">
        <v>1.88212472487E11</v>
      </c>
      <c r="S55" s="21">
        <v>7.6416</v>
      </c>
      <c r="T55" s="16" t="s">
        <v>2620</v>
      </c>
      <c r="U55" s="22">
        <f>IFERROR(__xludf.DUMMYFUNCTION("IFERROR(GOOGLEFINANCE(B55,""price""),"""")"),351.0)</f>
        <v>351</v>
      </c>
    </row>
    <row r="56">
      <c r="A56" s="7">
        <v>46049.62845085532</v>
      </c>
      <c r="B56" s="8" t="s">
        <v>2521</v>
      </c>
      <c r="C56" s="8" t="s">
        <v>2522</v>
      </c>
      <c r="D56" s="9">
        <v>46054.0</v>
      </c>
      <c r="E56" s="10">
        <v>305.2</v>
      </c>
      <c r="F56" s="8" t="s">
        <v>308</v>
      </c>
      <c r="G56" s="9">
        <v>46052.0</v>
      </c>
      <c r="H56" s="10">
        <v>302.5</v>
      </c>
      <c r="I56" s="8">
        <v>1575.0</v>
      </c>
      <c r="J56" s="8" t="s">
        <v>2627</v>
      </c>
      <c r="K56" s="11">
        <v>0.88</v>
      </c>
      <c r="L56" s="8" t="s">
        <v>2763</v>
      </c>
      <c r="M56" s="8">
        <v>2963.0</v>
      </c>
      <c r="N56" s="11">
        <v>34.6756</v>
      </c>
      <c r="O56" s="8" t="s">
        <v>2523</v>
      </c>
      <c r="P56" s="11">
        <v>0.3914</v>
      </c>
      <c r="Q56" s="12">
        <v>2226913.0</v>
      </c>
      <c r="R56" s="12">
        <v>1.49442431009E11</v>
      </c>
      <c r="S56" s="13">
        <v>7.2875</v>
      </c>
      <c r="T56" s="8" t="s">
        <v>2611</v>
      </c>
      <c r="U56" s="14">
        <f>IFERROR(__xludf.DUMMYFUNCTION("IFERROR(GOOGLEFINANCE(B56,""price""),"""")"),350.14)</f>
        <v>350.14</v>
      </c>
    </row>
    <row r="57">
      <c r="A57" s="15">
        <v>46049.62845085532</v>
      </c>
      <c r="B57" s="16" t="s">
        <v>1570</v>
      </c>
      <c r="C57" s="16" t="s">
        <v>1571</v>
      </c>
      <c r="D57" s="17">
        <v>46054.0</v>
      </c>
      <c r="E57" s="18">
        <v>47.395</v>
      </c>
      <c r="F57" s="16" t="s">
        <v>917</v>
      </c>
      <c r="G57" s="17">
        <v>46073.0</v>
      </c>
      <c r="H57" s="18">
        <v>48.0</v>
      </c>
      <c r="I57" s="16">
        <v>1868.0</v>
      </c>
      <c r="J57" s="16" t="s">
        <v>2608</v>
      </c>
      <c r="K57" s="19">
        <v>1.28</v>
      </c>
      <c r="L57" s="16" t="s">
        <v>2764</v>
      </c>
      <c r="M57" s="16">
        <v>2901.0</v>
      </c>
      <c r="N57" s="19">
        <v>28.5721</v>
      </c>
      <c r="O57" s="16" t="s">
        <v>1572</v>
      </c>
      <c r="P57" s="19">
        <v>1.3363</v>
      </c>
      <c r="Q57" s="20">
        <v>3329973.0</v>
      </c>
      <c r="R57" s="20">
        <v>2.7378460829E10</v>
      </c>
      <c r="S57" s="21">
        <v>0.7264</v>
      </c>
      <c r="T57" s="16" t="s">
        <v>2620</v>
      </c>
      <c r="U57" s="22">
        <f>IFERROR(__xludf.DUMMYFUNCTION("IFERROR(GOOGLEFINANCE(B57,""price""),"""")"),51.43)</f>
        <v>51.43</v>
      </c>
    </row>
    <row r="58">
      <c r="A58" s="7">
        <v>46049.62845085532</v>
      </c>
      <c r="B58" s="8" t="s">
        <v>2668</v>
      </c>
      <c r="C58" s="8" t="s">
        <v>2669</v>
      </c>
      <c r="D58" s="9">
        <v>46054.0</v>
      </c>
      <c r="E58" s="10">
        <v>50.739</v>
      </c>
      <c r="F58" s="8" t="s">
        <v>308</v>
      </c>
      <c r="G58" s="9">
        <v>46073.0</v>
      </c>
      <c r="H58" s="10">
        <v>50.0</v>
      </c>
      <c r="I58" s="8">
        <v>2786.0</v>
      </c>
      <c r="J58" s="8" t="s">
        <v>2627</v>
      </c>
      <c r="K58" s="11">
        <v>1.46</v>
      </c>
      <c r="L58" s="8" t="s">
        <v>2765</v>
      </c>
      <c r="M58" s="8">
        <v>2786.0</v>
      </c>
      <c r="N58" s="11">
        <v>30.3277</v>
      </c>
      <c r="O58" s="8" t="s">
        <v>2671</v>
      </c>
      <c r="P58" s="11">
        <v>0.6926</v>
      </c>
      <c r="Q58" s="12">
        <v>1948639.0</v>
      </c>
      <c r="R58" s="12">
        <v>1.254234758E10</v>
      </c>
      <c r="S58" s="13">
        <v>2.872</v>
      </c>
      <c r="T58" s="8" t="s">
        <v>2611</v>
      </c>
      <c r="U58" s="14">
        <f>IFERROR(__xludf.DUMMYFUNCTION("IFERROR(GOOGLEFINANCE(B58,""price""),"""")"),57.96)</f>
        <v>57.96</v>
      </c>
    </row>
    <row r="59">
      <c r="A59" s="15">
        <v>46049.62845085532</v>
      </c>
      <c r="B59" s="16" t="s">
        <v>2684</v>
      </c>
      <c r="C59" s="16" t="s">
        <v>2685</v>
      </c>
      <c r="D59" s="17">
        <v>46054.0</v>
      </c>
      <c r="E59" s="18">
        <v>333.185</v>
      </c>
      <c r="F59" s="16" t="s">
        <v>102</v>
      </c>
      <c r="G59" s="17">
        <v>46052.0</v>
      </c>
      <c r="H59" s="18">
        <v>330.0</v>
      </c>
      <c r="I59" s="16">
        <v>1779.0</v>
      </c>
      <c r="J59" s="16" t="s">
        <v>2608</v>
      </c>
      <c r="K59" s="19">
        <v>0.96</v>
      </c>
      <c r="L59" s="16" t="s">
        <v>2766</v>
      </c>
      <c r="M59" s="16">
        <v>2780.0</v>
      </c>
      <c r="N59" s="19">
        <v>34.6941</v>
      </c>
      <c r="O59" s="16" t="s">
        <v>2687</v>
      </c>
      <c r="P59" s="19">
        <v>4.2963</v>
      </c>
      <c r="Q59" s="20">
        <v>4793929.0</v>
      </c>
      <c r="R59" s="20">
        <v>2.64196826126E11</v>
      </c>
      <c r="S59" s="21">
        <v>11.5047</v>
      </c>
      <c r="T59" s="16" t="s">
        <v>2611</v>
      </c>
      <c r="U59" s="22">
        <f>IFERROR(__xludf.DUMMYFUNCTION("IFERROR(GOOGLEFINANCE(B59,""price""),"""")"),399.5)</f>
        <v>399.5</v>
      </c>
    </row>
    <row r="60">
      <c r="A60" s="7">
        <v>46049.62845085532</v>
      </c>
      <c r="B60" s="8" t="s">
        <v>2658</v>
      </c>
      <c r="C60" s="8" t="s">
        <v>2659</v>
      </c>
      <c r="D60" s="9">
        <v>46054.0</v>
      </c>
      <c r="E60" s="10">
        <v>87.065</v>
      </c>
      <c r="F60" s="8" t="s">
        <v>917</v>
      </c>
      <c r="G60" s="9">
        <v>46052.0</v>
      </c>
      <c r="H60" s="10">
        <v>86.0</v>
      </c>
      <c r="I60" s="8">
        <v>1404.0</v>
      </c>
      <c r="J60" s="8" t="s">
        <v>2608</v>
      </c>
      <c r="K60" s="11">
        <v>1.22</v>
      </c>
      <c r="L60" s="8" t="s">
        <v>2767</v>
      </c>
      <c r="M60" s="8">
        <v>2673.0</v>
      </c>
      <c r="N60" s="11">
        <v>24.6826</v>
      </c>
      <c r="O60" s="8" t="s">
        <v>2661</v>
      </c>
      <c r="P60" s="11">
        <v>1.8662</v>
      </c>
      <c r="Q60" s="12">
        <v>1.1830018E7</v>
      </c>
      <c r="R60" s="12">
        <v>1.8132240908E11</v>
      </c>
      <c r="S60" s="13">
        <v>1.7271</v>
      </c>
      <c r="T60" s="8" t="s">
        <v>2611</v>
      </c>
      <c r="U60" s="14">
        <f>IFERROR(__xludf.DUMMYFUNCTION("IFERROR(GOOGLEFINANCE(B60,""price""),"""")"),94.08)</f>
        <v>94.08</v>
      </c>
    </row>
    <row r="61">
      <c r="A61" s="15">
        <v>46049.62845085532</v>
      </c>
      <c r="B61" s="16" t="s">
        <v>2768</v>
      </c>
      <c r="C61" s="16" t="s">
        <v>2769</v>
      </c>
      <c r="D61" s="17">
        <v>46054.0</v>
      </c>
      <c r="E61" s="18">
        <v>252.31</v>
      </c>
      <c r="F61" s="16" t="s">
        <v>308</v>
      </c>
      <c r="G61" s="17">
        <v>46052.0</v>
      </c>
      <c r="H61" s="18">
        <v>252.5</v>
      </c>
      <c r="I61" s="16">
        <v>1283.0</v>
      </c>
      <c r="J61" s="16" t="s">
        <v>2608</v>
      </c>
      <c r="K61" s="19">
        <v>0.08</v>
      </c>
      <c r="L61" s="16" t="s">
        <v>2770</v>
      </c>
      <c r="M61" s="16">
        <v>2494.0</v>
      </c>
      <c r="N61" s="19">
        <v>45.166</v>
      </c>
      <c r="O61" s="16" t="s">
        <v>2771</v>
      </c>
      <c r="P61" s="19">
        <v>4.7581</v>
      </c>
      <c r="Q61" s="20">
        <v>5802913.0</v>
      </c>
      <c r="R61" s="20">
        <v>8.6264612549E10</v>
      </c>
      <c r="S61" s="21">
        <v>14.103</v>
      </c>
      <c r="T61" s="16" t="s">
        <v>2620</v>
      </c>
      <c r="U61" s="22">
        <f>IFERROR(__xludf.DUMMYFUNCTION("IFERROR(GOOGLEFINANCE(B61,""price""),"""")"),343.43)</f>
        <v>343.43</v>
      </c>
    </row>
    <row r="62">
      <c r="A62" s="7">
        <v>46049.62845085532</v>
      </c>
      <c r="B62" s="8" t="s">
        <v>2672</v>
      </c>
      <c r="C62" s="8" t="s">
        <v>2673</v>
      </c>
      <c r="D62" s="9">
        <v>46054.0</v>
      </c>
      <c r="E62" s="10">
        <v>44.685</v>
      </c>
      <c r="F62" s="8" t="s">
        <v>107</v>
      </c>
      <c r="G62" s="9">
        <v>46073.0</v>
      </c>
      <c r="H62" s="10">
        <v>45.0</v>
      </c>
      <c r="I62" s="8">
        <v>2337.0</v>
      </c>
      <c r="J62" s="8" t="s">
        <v>2608</v>
      </c>
      <c r="K62" s="11">
        <v>0.7</v>
      </c>
      <c r="L62" s="8" t="s">
        <v>2772</v>
      </c>
      <c r="M62" s="8">
        <v>2337.0</v>
      </c>
      <c r="N62" s="11">
        <v>32.3201</v>
      </c>
      <c r="O62" s="8" t="s">
        <v>2675</v>
      </c>
      <c r="P62" s="11">
        <v>1.0973</v>
      </c>
      <c r="Q62" s="12">
        <v>1700779.0</v>
      </c>
      <c r="R62" s="12">
        <v>1.8721912107E10</v>
      </c>
      <c r="S62" s="13">
        <v>0.9537</v>
      </c>
      <c r="T62" s="8" t="s">
        <v>2620</v>
      </c>
      <c r="U62" s="14">
        <f>IFERROR(__xludf.DUMMYFUNCTION("IFERROR(GOOGLEFINANCE(B62,""price""),"""")"),47.25)</f>
        <v>47.25</v>
      </c>
    </row>
    <row r="63">
      <c r="A63" s="15">
        <v>46049.62845085532</v>
      </c>
      <c r="B63" s="16" t="s">
        <v>2676</v>
      </c>
      <c r="C63" s="16" t="s">
        <v>2677</v>
      </c>
      <c r="D63" s="17">
        <v>46054.0</v>
      </c>
      <c r="E63" s="18">
        <v>27.865</v>
      </c>
      <c r="F63" s="16" t="s">
        <v>93</v>
      </c>
      <c r="G63" s="17">
        <v>46073.0</v>
      </c>
      <c r="H63" s="18">
        <v>28.0</v>
      </c>
      <c r="I63" s="16">
        <v>2293.0</v>
      </c>
      <c r="J63" s="16" t="s">
        <v>2608</v>
      </c>
      <c r="K63" s="19">
        <v>0.48</v>
      </c>
      <c r="L63" s="16" t="s">
        <v>2773</v>
      </c>
      <c r="M63" s="16">
        <v>2293.0</v>
      </c>
      <c r="N63" s="19">
        <v>20.4882</v>
      </c>
      <c r="O63" s="16" t="s">
        <v>2679</v>
      </c>
      <c r="P63" s="19">
        <v>0.4506</v>
      </c>
      <c r="Q63" s="20">
        <v>9869545.0</v>
      </c>
      <c r="R63" s="20">
        <v>2.4434164192E10</v>
      </c>
      <c r="S63" s="21">
        <v>0.6582</v>
      </c>
      <c r="T63" s="16" t="s">
        <v>2620</v>
      </c>
      <c r="U63" s="22">
        <f>IFERROR(__xludf.DUMMYFUNCTION("IFERROR(GOOGLEFINANCE(B63,""price""),"""")"),27.5)</f>
        <v>27.5</v>
      </c>
    </row>
    <row r="64">
      <c r="A64" s="7">
        <v>46049.62845085532</v>
      </c>
      <c r="B64" s="8" t="s">
        <v>1077</v>
      </c>
      <c r="C64" s="8" t="s">
        <v>1078</v>
      </c>
      <c r="D64" s="9">
        <v>46054.0</v>
      </c>
      <c r="E64" s="10">
        <v>9.855</v>
      </c>
      <c r="F64" s="8" t="s">
        <v>335</v>
      </c>
      <c r="G64" s="9">
        <v>46052.0</v>
      </c>
      <c r="H64" s="10">
        <v>10.0</v>
      </c>
      <c r="I64" s="8">
        <v>2051.0</v>
      </c>
      <c r="J64" s="8" t="s">
        <v>2608</v>
      </c>
      <c r="K64" s="11">
        <v>1.47</v>
      </c>
      <c r="L64" s="8" t="s">
        <v>2774</v>
      </c>
      <c r="M64" s="8">
        <v>2051.0</v>
      </c>
      <c r="N64" s="11">
        <v>30.7796</v>
      </c>
      <c r="O64" s="8" t="s">
        <v>1079</v>
      </c>
      <c r="P64" s="11">
        <v>3.7368</v>
      </c>
      <c r="Q64" s="12">
        <v>1.4491302E7</v>
      </c>
      <c r="R64" s="12">
        <v>1.380050976E9</v>
      </c>
      <c r="S64" s="13">
        <v>1.1377</v>
      </c>
      <c r="T64" s="8" t="s">
        <v>2620</v>
      </c>
      <c r="U64" s="14">
        <f>IFERROR(__xludf.DUMMYFUNCTION("IFERROR(GOOGLEFINANCE(B64,""price""),"""")"),8.36)</f>
        <v>8.36</v>
      </c>
    </row>
    <row r="65">
      <c r="A65" s="15">
        <v>46049.62845085532</v>
      </c>
      <c r="B65" s="16" t="s">
        <v>2775</v>
      </c>
      <c r="C65" s="16" t="s">
        <v>2776</v>
      </c>
      <c r="D65" s="17">
        <v>46054.0</v>
      </c>
      <c r="E65" s="18">
        <v>56.44</v>
      </c>
      <c r="F65" s="16" t="s">
        <v>93</v>
      </c>
      <c r="G65" s="17">
        <v>46052.0</v>
      </c>
      <c r="H65" s="18">
        <v>57.0</v>
      </c>
      <c r="I65" s="16">
        <v>1890.0</v>
      </c>
      <c r="J65" s="16" t="s">
        <v>2608</v>
      </c>
      <c r="K65" s="19">
        <v>0.99</v>
      </c>
      <c r="L65" s="16" t="s">
        <v>2777</v>
      </c>
      <c r="M65" s="16">
        <v>1890.0</v>
      </c>
      <c r="N65" s="19">
        <v>28.7329</v>
      </c>
      <c r="O65" s="16" t="s">
        <v>2778</v>
      </c>
      <c r="P65" s="19">
        <v>1.0926</v>
      </c>
      <c r="Q65" s="20">
        <v>1.0109783E7</v>
      </c>
      <c r="R65" s="20">
        <v>8.7732262467E10</v>
      </c>
      <c r="S65" s="21">
        <v>1.0367</v>
      </c>
      <c r="T65" s="16" t="s">
        <v>2620</v>
      </c>
      <c r="U65" s="22">
        <f>IFERROR(__xludf.DUMMYFUNCTION("IFERROR(GOOGLEFINANCE(B65,""price""),"""")"),55.66)</f>
        <v>55.66</v>
      </c>
    </row>
    <row r="66">
      <c r="A66" s="7">
        <v>46049.62845085532</v>
      </c>
      <c r="B66" s="8" t="s">
        <v>1492</v>
      </c>
      <c r="C66" s="8" t="s">
        <v>1493</v>
      </c>
      <c r="D66" s="9">
        <v>46054.0</v>
      </c>
      <c r="E66" s="10">
        <v>24.235</v>
      </c>
      <c r="F66" s="8" t="s">
        <v>93</v>
      </c>
      <c r="G66" s="9">
        <v>46052.0</v>
      </c>
      <c r="H66" s="10">
        <v>24.0</v>
      </c>
      <c r="I66" s="8">
        <v>1327.0</v>
      </c>
      <c r="J66" s="8" t="s">
        <v>2627</v>
      </c>
      <c r="K66" s="11">
        <v>0.97</v>
      </c>
      <c r="L66" s="8" t="s">
        <v>2708</v>
      </c>
      <c r="M66" s="8">
        <v>1327.0</v>
      </c>
      <c r="N66" s="11">
        <v>23.8972</v>
      </c>
      <c r="O66" s="8" t="s">
        <v>1494</v>
      </c>
      <c r="P66" s="11">
        <v>0.0206</v>
      </c>
      <c r="Q66" s="12">
        <v>3115068.0</v>
      </c>
      <c r="R66" s="12">
        <v>1.1753974778E10</v>
      </c>
      <c r="S66" s="13">
        <v>0.5506</v>
      </c>
      <c r="T66" s="8" t="s">
        <v>2611</v>
      </c>
      <c r="U66" s="14">
        <f>IFERROR(__xludf.DUMMYFUNCTION("IFERROR(GOOGLEFINANCE(B66,""price""),"""")"),24.05)</f>
        <v>24.05</v>
      </c>
    </row>
    <row r="67">
      <c r="A67" s="15">
        <v>46049.62845085532</v>
      </c>
      <c r="B67" s="16" t="s">
        <v>2505</v>
      </c>
      <c r="C67" s="16" t="s">
        <v>2506</v>
      </c>
      <c r="D67" s="17">
        <v>46054.0</v>
      </c>
      <c r="E67" s="18">
        <v>173.51</v>
      </c>
      <c r="F67" s="16" t="s">
        <v>335</v>
      </c>
      <c r="G67" s="17">
        <v>46073.0</v>
      </c>
      <c r="H67" s="18">
        <v>175.0</v>
      </c>
      <c r="I67" s="16">
        <v>1299.0</v>
      </c>
      <c r="J67" s="16" t="s">
        <v>2608</v>
      </c>
      <c r="K67" s="19">
        <v>0.86</v>
      </c>
      <c r="L67" s="16" t="s">
        <v>2779</v>
      </c>
      <c r="M67" s="16">
        <v>1299.0</v>
      </c>
      <c r="N67" s="19">
        <v>28.3245</v>
      </c>
      <c r="O67" s="16" t="s">
        <v>2507</v>
      </c>
      <c r="P67" s="19">
        <v>-2.3359</v>
      </c>
      <c r="Q67" s="20">
        <v>2235320.0</v>
      </c>
      <c r="R67" s="20">
        <v>3.9709266539E10</v>
      </c>
      <c r="S67" s="21">
        <v>4.983</v>
      </c>
      <c r="T67" s="16" t="s">
        <v>2620</v>
      </c>
      <c r="U67" s="22">
        <f>IFERROR(__xludf.DUMMYFUNCTION("IFERROR(GOOGLEFINANCE(B67,""price""),"""")"),186.12)</f>
        <v>186.12</v>
      </c>
    </row>
    <row r="68">
      <c r="A68" s="7">
        <v>46049.62845085532</v>
      </c>
      <c r="B68" s="8" t="s">
        <v>2722</v>
      </c>
      <c r="C68" s="8" t="s">
        <v>2723</v>
      </c>
      <c r="D68" s="9">
        <v>46054.0</v>
      </c>
      <c r="E68" s="10">
        <v>85.27</v>
      </c>
      <c r="F68" s="8" t="s">
        <v>308</v>
      </c>
      <c r="G68" s="9">
        <v>46073.0</v>
      </c>
      <c r="H68" s="10">
        <v>85.0</v>
      </c>
      <c r="I68" s="8">
        <v>1272.0</v>
      </c>
      <c r="J68" s="8" t="s">
        <v>2608</v>
      </c>
      <c r="K68" s="11">
        <v>0.32</v>
      </c>
      <c r="L68" s="8" t="s">
        <v>2780</v>
      </c>
      <c r="M68" s="8">
        <v>1272.0</v>
      </c>
      <c r="N68" s="11">
        <v>30.3048</v>
      </c>
      <c r="O68" s="8" t="s">
        <v>2725</v>
      </c>
      <c r="P68" s="11">
        <v>2.1442</v>
      </c>
      <c r="Q68" s="12">
        <v>1196341.0</v>
      </c>
      <c r="R68" s="12">
        <v>1.1663776133E10</v>
      </c>
      <c r="S68" s="13">
        <v>3.365</v>
      </c>
      <c r="T68" s="8" t="s">
        <v>2611</v>
      </c>
      <c r="U68" s="14">
        <f>IFERROR(__xludf.DUMMYFUNCTION("IFERROR(GOOGLEFINANCE(B68,""price""),"""")"),106.1)</f>
        <v>106.1</v>
      </c>
    </row>
    <row r="69">
      <c r="A69" s="15">
        <v>46049.62845085532</v>
      </c>
      <c r="B69" s="16" t="s">
        <v>2710</v>
      </c>
      <c r="C69" s="16" t="s">
        <v>2711</v>
      </c>
      <c r="D69" s="17">
        <v>46054.0</v>
      </c>
      <c r="E69" s="18">
        <v>119.265</v>
      </c>
      <c r="F69" s="16" t="s">
        <v>917</v>
      </c>
      <c r="G69" s="17">
        <v>46073.0</v>
      </c>
      <c r="H69" s="18">
        <v>120.0</v>
      </c>
      <c r="I69" s="16">
        <v>1271.0</v>
      </c>
      <c r="J69" s="16" t="s">
        <v>2608</v>
      </c>
      <c r="K69" s="19">
        <v>0.62</v>
      </c>
      <c r="L69" s="16" t="s">
        <v>2781</v>
      </c>
      <c r="M69" s="16">
        <v>1271.0</v>
      </c>
      <c r="N69" s="19">
        <v>18.119</v>
      </c>
      <c r="O69" s="16" t="s">
        <v>2713</v>
      </c>
      <c r="P69" s="19">
        <v>1.0549</v>
      </c>
      <c r="Q69" s="20">
        <v>1261428.0</v>
      </c>
      <c r="R69" s="20">
        <v>6.3698776635E10</v>
      </c>
      <c r="S69" s="21">
        <v>1.9483</v>
      </c>
      <c r="T69" s="16" t="s">
        <v>2620</v>
      </c>
      <c r="U69" s="22">
        <f>IFERROR(__xludf.DUMMYFUNCTION("IFERROR(GOOGLEFINANCE(B69,""price""),"""")"),136.3)</f>
        <v>136.3</v>
      </c>
    </row>
    <row r="70">
      <c r="A70" s="7">
        <v>46049.62845085532</v>
      </c>
      <c r="B70" s="8" t="s">
        <v>2730</v>
      </c>
      <c r="C70" s="8" t="s">
        <v>2731</v>
      </c>
      <c r="D70" s="9">
        <v>46054.0</v>
      </c>
      <c r="E70" s="10">
        <v>182.94</v>
      </c>
      <c r="F70" s="8" t="s">
        <v>93</v>
      </c>
      <c r="G70" s="9">
        <v>46052.0</v>
      </c>
      <c r="H70" s="10">
        <v>182.5</v>
      </c>
      <c r="I70" s="8">
        <v>1232.0</v>
      </c>
      <c r="J70" s="8" t="s">
        <v>2608</v>
      </c>
      <c r="K70" s="11">
        <v>0.24</v>
      </c>
      <c r="L70" s="8" t="s">
        <v>2782</v>
      </c>
      <c r="M70" s="8">
        <v>1232.0</v>
      </c>
      <c r="N70" s="11">
        <v>18.5667</v>
      </c>
      <c r="O70" s="8" t="s">
        <v>2733</v>
      </c>
      <c r="P70" s="11">
        <v>0.5828</v>
      </c>
      <c r="Q70" s="12">
        <v>3779312.0</v>
      </c>
      <c r="R70" s="12">
        <v>2.90748233604E11</v>
      </c>
      <c r="S70" s="13">
        <v>4.1539</v>
      </c>
      <c r="T70" s="8" t="s">
        <v>2611</v>
      </c>
      <c r="U70" s="14">
        <f>IFERROR(__xludf.DUMMYFUNCTION("IFERROR(GOOGLEFINANCE(B70,""price""),"""")"),177.64)</f>
        <v>177.64</v>
      </c>
    </row>
    <row r="71">
      <c r="A71" s="15">
        <v>46049.62845085532</v>
      </c>
      <c r="B71" s="16" t="s">
        <v>1396</v>
      </c>
      <c r="C71" s="16" t="s">
        <v>1397</v>
      </c>
      <c r="D71" s="17">
        <v>46054.0</v>
      </c>
      <c r="E71" s="18">
        <v>98.76</v>
      </c>
      <c r="F71" s="16" t="s">
        <v>93</v>
      </c>
      <c r="G71" s="17">
        <v>46073.0</v>
      </c>
      <c r="H71" s="18">
        <v>100.0</v>
      </c>
      <c r="I71" s="16">
        <v>1187.0</v>
      </c>
      <c r="J71" s="16" t="s">
        <v>2608</v>
      </c>
      <c r="K71" s="19">
        <v>1.26</v>
      </c>
      <c r="L71" s="16" t="s">
        <v>2783</v>
      </c>
      <c r="M71" s="16">
        <v>1187.0</v>
      </c>
      <c r="N71" s="19">
        <v>23.0068</v>
      </c>
      <c r="O71" s="16" t="s">
        <v>1398</v>
      </c>
      <c r="P71" s="19">
        <v>-0.1315</v>
      </c>
      <c r="Q71" s="20">
        <v>1786021.0</v>
      </c>
      <c r="R71" s="20">
        <v>5.6391507565E10</v>
      </c>
      <c r="S71" s="21">
        <v>1.7216</v>
      </c>
      <c r="T71" s="16" t="s">
        <v>2620</v>
      </c>
      <c r="U71" s="22">
        <f>IFERROR(__xludf.DUMMYFUNCTION("IFERROR(GOOGLEFINANCE(B71,""price""),"""")"),83.16)</f>
        <v>83.16</v>
      </c>
    </row>
    <row r="72">
      <c r="A72" s="7">
        <v>46049.62845085532</v>
      </c>
      <c r="B72" s="8" t="s">
        <v>2726</v>
      </c>
      <c r="C72" s="8" t="s">
        <v>2727</v>
      </c>
      <c r="D72" s="9">
        <v>46054.0</v>
      </c>
      <c r="E72" s="10">
        <v>81.435</v>
      </c>
      <c r="F72" s="8" t="s">
        <v>286</v>
      </c>
      <c r="G72" s="9">
        <v>46073.0</v>
      </c>
      <c r="H72" s="10">
        <v>82.5</v>
      </c>
      <c r="I72" s="8">
        <v>1173.0</v>
      </c>
      <c r="J72" s="8" t="s">
        <v>2608</v>
      </c>
      <c r="K72" s="11">
        <v>1.31</v>
      </c>
      <c r="L72" s="8" t="s">
        <v>2784</v>
      </c>
      <c r="M72" s="8">
        <v>1173.0</v>
      </c>
      <c r="N72" s="11">
        <v>35.4457</v>
      </c>
      <c r="O72" s="8" t="s">
        <v>2729</v>
      </c>
      <c r="P72" s="11">
        <v>0.3388</v>
      </c>
      <c r="Q72" s="12">
        <v>2868631.0</v>
      </c>
      <c r="R72" s="12">
        <v>7.9563723318E10</v>
      </c>
      <c r="S72" s="13">
        <v>1.5379</v>
      </c>
      <c r="T72" s="8" t="s">
        <v>2620</v>
      </c>
      <c r="U72" s="14">
        <f>IFERROR(__xludf.DUMMYFUNCTION("IFERROR(GOOGLEFINANCE(B72,""price""),"""")"),75.72)</f>
        <v>75.72</v>
      </c>
    </row>
    <row r="73">
      <c r="A73" s="15">
        <v>46049.62845085532</v>
      </c>
      <c r="B73" s="16" t="s">
        <v>2680</v>
      </c>
      <c r="C73" s="16" t="s">
        <v>2681</v>
      </c>
      <c r="D73" s="17">
        <v>46054.0</v>
      </c>
      <c r="E73" s="18">
        <v>183.11</v>
      </c>
      <c r="F73" s="16" t="s">
        <v>245</v>
      </c>
      <c r="G73" s="17">
        <v>46052.0</v>
      </c>
      <c r="H73" s="18">
        <v>185.0</v>
      </c>
      <c r="I73" s="16">
        <v>1148.0</v>
      </c>
      <c r="J73" s="16" t="s">
        <v>2608</v>
      </c>
      <c r="K73" s="19">
        <v>1.03</v>
      </c>
      <c r="L73" s="16" t="s">
        <v>2785</v>
      </c>
      <c r="M73" s="16">
        <v>1148.0</v>
      </c>
      <c r="N73" s="19">
        <v>34.3775</v>
      </c>
      <c r="O73" s="16" t="s">
        <v>2683</v>
      </c>
      <c r="P73" s="19">
        <v>-0.0928</v>
      </c>
      <c r="Q73" s="20">
        <v>1755666.0</v>
      </c>
      <c r="R73" s="20">
        <v>5.5850293107E10</v>
      </c>
      <c r="S73" s="21">
        <v>6.0581</v>
      </c>
      <c r="T73" s="16" t="s">
        <v>2620</v>
      </c>
      <c r="U73" s="22">
        <f>IFERROR(__xludf.DUMMYFUNCTION("IFERROR(GOOGLEFINANCE(B73,""price""),"""")"),238.82)</f>
        <v>238.82</v>
      </c>
    </row>
    <row r="74">
      <c r="A74" s="7">
        <v>46049.62845085532</v>
      </c>
      <c r="B74" s="8" t="s">
        <v>1512</v>
      </c>
      <c r="C74" s="8" t="s">
        <v>1513</v>
      </c>
      <c r="D74" s="9">
        <v>46054.0</v>
      </c>
      <c r="E74" s="10">
        <v>77.07</v>
      </c>
      <c r="F74" s="8" t="s">
        <v>917</v>
      </c>
      <c r="G74" s="9">
        <v>46073.0</v>
      </c>
      <c r="H74" s="10">
        <v>77.5</v>
      </c>
      <c r="I74" s="8">
        <v>1106.0</v>
      </c>
      <c r="J74" s="8" t="s">
        <v>2608</v>
      </c>
      <c r="K74" s="11">
        <v>0.56</v>
      </c>
      <c r="L74" s="8" t="s">
        <v>2734</v>
      </c>
      <c r="M74" s="8">
        <v>1106.0</v>
      </c>
      <c r="N74" s="11">
        <v>23.9432</v>
      </c>
      <c r="O74" s="8" t="s">
        <v>1514</v>
      </c>
      <c r="P74" s="11">
        <v>0.6267</v>
      </c>
      <c r="Q74" s="12">
        <v>1128333.0</v>
      </c>
      <c r="R74" s="12">
        <v>1.7742603064E10</v>
      </c>
      <c r="S74" s="13">
        <v>1.1206</v>
      </c>
      <c r="T74" s="8" t="s">
        <v>2620</v>
      </c>
      <c r="U74" s="14">
        <f>IFERROR(__xludf.DUMMYFUNCTION("IFERROR(GOOGLEFINANCE(B74,""price""),"""")"),83.58)</f>
        <v>83.58</v>
      </c>
    </row>
    <row r="75">
      <c r="A75" s="15">
        <v>46049.62845085532</v>
      </c>
      <c r="B75" s="16" t="s">
        <v>1626</v>
      </c>
      <c r="C75" s="16" t="s">
        <v>1627</v>
      </c>
      <c r="D75" s="17">
        <v>46054.0</v>
      </c>
      <c r="E75" s="18">
        <v>44.485</v>
      </c>
      <c r="F75" s="16" t="s">
        <v>917</v>
      </c>
      <c r="G75" s="17">
        <v>46073.0</v>
      </c>
      <c r="H75" s="18">
        <v>45.0</v>
      </c>
      <c r="I75" s="16">
        <v>1095.0</v>
      </c>
      <c r="J75" s="16" t="s">
        <v>2608</v>
      </c>
      <c r="K75" s="19">
        <v>1.16</v>
      </c>
      <c r="L75" s="16" t="s">
        <v>2786</v>
      </c>
      <c r="M75" s="16">
        <v>1095.0</v>
      </c>
      <c r="N75" s="19">
        <v>24.0101</v>
      </c>
      <c r="O75" s="16" t="s">
        <v>1628</v>
      </c>
      <c r="P75" s="19">
        <v>1.3095</v>
      </c>
      <c r="Q75" s="20">
        <v>1849633.0</v>
      </c>
      <c r="R75" s="20">
        <v>2.1228042906E10</v>
      </c>
      <c r="S75" s="21">
        <v>0.7321</v>
      </c>
      <c r="T75" s="16" t="s">
        <v>2620</v>
      </c>
      <c r="U75" s="22">
        <f>IFERROR(__xludf.DUMMYFUNCTION("IFERROR(GOOGLEFINANCE(B75,""price""),"""")"),48.05)</f>
        <v>48.05</v>
      </c>
    </row>
    <row r="76">
      <c r="A76" s="7">
        <v>46049.62845085532</v>
      </c>
      <c r="B76" s="8" t="s">
        <v>2787</v>
      </c>
      <c r="C76" s="8" t="s">
        <v>2788</v>
      </c>
      <c r="D76" s="9">
        <v>46054.0</v>
      </c>
      <c r="E76" s="10">
        <v>178.9578</v>
      </c>
      <c r="F76" s="8" t="s">
        <v>286</v>
      </c>
      <c r="G76" s="9">
        <v>46052.0</v>
      </c>
      <c r="H76" s="10">
        <v>180.0</v>
      </c>
      <c r="I76" s="8">
        <v>1055.0</v>
      </c>
      <c r="J76" s="8" t="s">
        <v>2608</v>
      </c>
      <c r="K76" s="11">
        <v>0.58</v>
      </c>
      <c r="L76" s="8" t="s">
        <v>2789</v>
      </c>
      <c r="M76" s="8">
        <v>1055.0</v>
      </c>
      <c r="N76" s="11">
        <v>23.0296</v>
      </c>
      <c r="O76" s="8" t="s">
        <v>2790</v>
      </c>
      <c r="P76" s="11">
        <v>1.8194</v>
      </c>
      <c r="Q76" s="12">
        <v>2160613.0</v>
      </c>
      <c r="R76" s="12">
        <v>2.78572645253E11</v>
      </c>
      <c r="S76" s="13">
        <v>3.8354</v>
      </c>
      <c r="T76" s="8" t="s">
        <v>2620</v>
      </c>
      <c r="U76" s="14">
        <f>IFERROR(__xludf.DUMMYFUNCTION("IFERROR(GOOGLEFINANCE(B76,""price""),"""")"),160.45)</f>
        <v>160.45</v>
      </c>
    </row>
    <row r="77">
      <c r="A77" s="15">
        <v>46049.62845085532</v>
      </c>
      <c r="B77" s="16" t="s">
        <v>2742</v>
      </c>
      <c r="C77" s="16" t="s">
        <v>2743</v>
      </c>
      <c r="D77" s="17">
        <v>46054.0</v>
      </c>
      <c r="E77" s="18">
        <v>158.12</v>
      </c>
      <c r="F77" s="16" t="s">
        <v>149</v>
      </c>
      <c r="G77" s="17">
        <v>46073.0</v>
      </c>
      <c r="H77" s="18">
        <v>160.0</v>
      </c>
      <c r="I77" s="16">
        <v>1013.0</v>
      </c>
      <c r="J77" s="16" t="s">
        <v>2608</v>
      </c>
      <c r="K77" s="19">
        <v>1.19</v>
      </c>
      <c r="L77" s="16" t="s">
        <v>2791</v>
      </c>
      <c r="M77" s="16">
        <v>1013.0</v>
      </c>
      <c r="N77" s="19">
        <v>24.4489</v>
      </c>
      <c r="O77" s="16" t="s">
        <v>2745</v>
      </c>
      <c r="P77" s="19">
        <v>0.4574</v>
      </c>
      <c r="Q77" s="20">
        <v>1163769.0</v>
      </c>
      <c r="R77" s="20">
        <v>7.025463187E9</v>
      </c>
      <c r="S77" s="21">
        <v>6.0935</v>
      </c>
      <c r="T77" s="16" t="s">
        <v>2620</v>
      </c>
      <c r="U77" s="22">
        <f>IFERROR(__xludf.DUMMYFUNCTION("IFERROR(GOOGLEFINANCE(B77,""price""),"""")"),155.13)</f>
        <v>155.13</v>
      </c>
    </row>
    <row r="78">
      <c r="A78" s="7">
        <v>46050.626992522324</v>
      </c>
      <c r="B78" s="8" t="s">
        <v>2612</v>
      </c>
      <c r="C78" s="8" t="s">
        <v>2613</v>
      </c>
      <c r="D78" s="9">
        <v>46054.0</v>
      </c>
      <c r="E78" s="10">
        <v>252.8</v>
      </c>
      <c r="F78" s="8" t="s">
        <v>308</v>
      </c>
      <c r="G78" s="9">
        <v>46052.0</v>
      </c>
      <c r="H78" s="10">
        <v>250.0</v>
      </c>
      <c r="I78" s="8">
        <v>7176.0</v>
      </c>
      <c r="J78" s="8" t="s">
        <v>2627</v>
      </c>
      <c r="K78" s="11">
        <v>1.11</v>
      </c>
      <c r="L78" s="8" t="s">
        <v>2792</v>
      </c>
      <c r="M78" s="8">
        <v>35615.0</v>
      </c>
      <c r="N78" s="11">
        <v>25.5808</v>
      </c>
      <c r="O78" s="8" t="s">
        <v>2615</v>
      </c>
      <c r="P78" s="11">
        <v>0.3055</v>
      </c>
      <c r="Q78" s="12">
        <v>2.2825858E7</v>
      </c>
      <c r="R78" s="12">
        <v>4.11568890194E11</v>
      </c>
      <c r="S78" s="13">
        <v>10.0638</v>
      </c>
      <c r="T78" s="8" t="s">
        <v>2611</v>
      </c>
      <c r="U78" s="14">
        <f>IFERROR(__xludf.DUMMYFUNCTION("IFERROR(GOOGLEFINANCE(B78,""price""),"""")"),245.04)</f>
        <v>245.04</v>
      </c>
    </row>
    <row r="79">
      <c r="A79" s="15">
        <v>46050.626992522324</v>
      </c>
      <c r="B79" s="16" t="s">
        <v>2606</v>
      </c>
      <c r="C79" s="16" t="s">
        <v>2607</v>
      </c>
      <c r="D79" s="17">
        <v>46054.0</v>
      </c>
      <c r="E79" s="18">
        <v>49.425</v>
      </c>
      <c r="F79" s="16" t="s">
        <v>93</v>
      </c>
      <c r="G79" s="17">
        <v>46073.0</v>
      </c>
      <c r="H79" s="18">
        <v>50.0</v>
      </c>
      <c r="I79" s="16">
        <v>28727.0</v>
      </c>
      <c r="J79" s="16" t="s">
        <v>2608</v>
      </c>
      <c r="K79" s="19">
        <v>1.16</v>
      </c>
      <c r="L79" s="16" t="s">
        <v>2793</v>
      </c>
      <c r="M79" s="16">
        <v>33290.0</v>
      </c>
      <c r="N79" s="19">
        <v>39.9865</v>
      </c>
      <c r="O79" s="16" t="s">
        <v>2610</v>
      </c>
      <c r="P79" s="19">
        <v>-2.7832</v>
      </c>
      <c r="Q79" s="20">
        <v>1.0281168E7</v>
      </c>
      <c r="R79" s="20">
        <v>3.2672136312E10</v>
      </c>
      <c r="S79" s="21">
        <v>1.2501</v>
      </c>
      <c r="T79" s="16" t="s">
        <v>2620</v>
      </c>
      <c r="U79" s="22">
        <f>IFERROR(__xludf.DUMMYFUNCTION("IFERROR(GOOGLEFINANCE(B79,""price""),"""")"),49.31)</f>
        <v>49.31</v>
      </c>
    </row>
    <row r="80">
      <c r="A80" s="7">
        <v>46050.626992522324</v>
      </c>
      <c r="B80" s="8" t="s">
        <v>2616</v>
      </c>
      <c r="C80" s="8" t="s">
        <v>2617</v>
      </c>
      <c r="D80" s="9">
        <v>46054.0</v>
      </c>
      <c r="E80" s="10">
        <v>72.945</v>
      </c>
      <c r="F80" s="8" t="s">
        <v>286</v>
      </c>
      <c r="G80" s="9">
        <v>46052.0</v>
      </c>
      <c r="H80" s="10">
        <v>73.0</v>
      </c>
      <c r="I80" s="8">
        <v>8158.0</v>
      </c>
      <c r="J80" s="8" t="s">
        <v>2608</v>
      </c>
      <c r="K80" s="11">
        <v>0.08</v>
      </c>
      <c r="L80" s="8" t="s">
        <v>2794</v>
      </c>
      <c r="M80" s="8">
        <v>21667.0</v>
      </c>
      <c r="N80" s="11">
        <v>24.5678</v>
      </c>
      <c r="O80" s="8" t="s">
        <v>2619</v>
      </c>
      <c r="P80" s="11">
        <v>-0.8226</v>
      </c>
      <c r="Q80" s="12">
        <v>1.0393593E7</v>
      </c>
      <c r="R80" s="12">
        <v>3.13780873262E11</v>
      </c>
      <c r="S80" s="13">
        <v>1.0243</v>
      </c>
      <c r="T80" s="8" t="s">
        <v>2620</v>
      </c>
      <c r="U80" s="14">
        <f>IFERROR(__xludf.DUMMYFUNCTION("IFERROR(GOOGLEFINANCE(B80,""price""),"""")"),77.47)</f>
        <v>77.47</v>
      </c>
    </row>
    <row r="81">
      <c r="A81" s="15">
        <v>46050.626992522324</v>
      </c>
      <c r="B81" s="16" t="s">
        <v>2625</v>
      </c>
      <c r="C81" s="16" t="s">
        <v>2626</v>
      </c>
      <c r="D81" s="17">
        <v>46054.0</v>
      </c>
      <c r="E81" s="18">
        <v>116.415</v>
      </c>
      <c r="F81" s="16" t="s">
        <v>137</v>
      </c>
      <c r="G81" s="17">
        <v>46052.0</v>
      </c>
      <c r="H81" s="18">
        <v>115.0</v>
      </c>
      <c r="I81" s="16">
        <v>4016.0</v>
      </c>
      <c r="J81" s="16" t="s">
        <v>2627</v>
      </c>
      <c r="K81" s="19">
        <v>1.22</v>
      </c>
      <c r="L81" s="16" t="s">
        <v>2795</v>
      </c>
      <c r="M81" s="16">
        <v>18650.0</v>
      </c>
      <c r="N81" s="19">
        <v>19.8814</v>
      </c>
      <c r="O81" s="16" t="s">
        <v>2629</v>
      </c>
      <c r="P81" s="19">
        <v>-0.4489</v>
      </c>
      <c r="Q81" s="20">
        <v>1.088427E7</v>
      </c>
      <c r="R81" s="20">
        <v>9.27847009767E11</v>
      </c>
      <c r="S81" s="21">
        <v>2.2746</v>
      </c>
      <c r="T81" s="16" t="s">
        <v>2611</v>
      </c>
      <c r="U81" s="22">
        <f>IFERROR(__xludf.DUMMYFUNCTION("IFERROR(GOOGLEFINANCE(B81,""price""),"""")"),126.79)</f>
        <v>126.79</v>
      </c>
    </row>
    <row r="82">
      <c r="A82" s="7">
        <v>46050.626992522324</v>
      </c>
      <c r="B82" s="8" t="s">
        <v>2704</v>
      </c>
      <c r="C82" s="8" t="s">
        <v>2705</v>
      </c>
      <c r="D82" s="9">
        <v>46054.0</v>
      </c>
      <c r="E82" s="10">
        <v>40.32</v>
      </c>
      <c r="F82" s="8" t="s">
        <v>88</v>
      </c>
      <c r="G82" s="9">
        <v>46052.0</v>
      </c>
      <c r="H82" s="10">
        <v>40.0</v>
      </c>
      <c r="I82" s="8">
        <v>6711.0</v>
      </c>
      <c r="J82" s="8" t="s">
        <v>2608</v>
      </c>
      <c r="K82" s="11">
        <v>0.79</v>
      </c>
      <c r="L82" s="8" t="s">
        <v>2796</v>
      </c>
      <c r="M82" s="8">
        <v>14290.0</v>
      </c>
      <c r="N82" s="11">
        <v>28.1091</v>
      </c>
      <c r="O82" s="8" t="s">
        <v>2707</v>
      </c>
      <c r="P82" s="11">
        <v>-2.4909</v>
      </c>
      <c r="Q82" s="12">
        <v>2.7784632E7</v>
      </c>
      <c r="R82" s="12">
        <v>1.1272899662E10</v>
      </c>
      <c r="S82" s="13">
        <v>3.6133</v>
      </c>
      <c r="T82" s="8" t="s">
        <v>2611</v>
      </c>
      <c r="U82" s="14">
        <f>IFERROR(__xludf.DUMMYFUNCTION("IFERROR(GOOGLEFINANCE(B82,""price""),"""")"),26.24)</f>
        <v>26.24</v>
      </c>
    </row>
    <row r="83">
      <c r="A83" s="15">
        <v>46050.626992522324</v>
      </c>
      <c r="B83" s="16" t="s">
        <v>2646</v>
      </c>
      <c r="C83" s="16" t="s">
        <v>2647</v>
      </c>
      <c r="D83" s="17">
        <v>46054.0</v>
      </c>
      <c r="E83" s="18">
        <v>33.435</v>
      </c>
      <c r="F83" s="16" t="s">
        <v>270</v>
      </c>
      <c r="G83" s="17">
        <v>46052.0</v>
      </c>
      <c r="H83" s="18">
        <v>34.0</v>
      </c>
      <c r="I83" s="16">
        <v>4785.0</v>
      </c>
      <c r="J83" s="16" t="s">
        <v>2608</v>
      </c>
      <c r="K83" s="19">
        <v>1.69</v>
      </c>
      <c r="L83" s="16" t="s">
        <v>2797</v>
      </c>
      <c r="M83" s="16">
        <v>12318.0</v>
      </c>
      <c r="N83" s="19">
        <v>27.4171</v>
      </c>
      <c r="O83" s="16" t="s">
        <v>2649</v>
      </c>
      <c r="P83" s="19">
        <v>0.7989</v>
      </c>
      <c r="Q83" s="20">
        <v>4209403.0</v>
      </c>
      <c r="R83" s="20">
        <v>7.2330635144E10</v>
      </c>
      <c r="S83" s="21">
        <v>0.4218</v>
      </c>
      <c r="T83" s="16" t="s">
        <v>2620</v>
      </c>
      <c r="U83" s="22">
        <f>IFERROR(__xludf.DUMMYFUNCTION("IFERROR(GOOGLEFINANCE(B83,""price""),"""")"),37.35)</f>
        <v>37.35</v>
      </c>
    </row>
    <row r="84">
      <c r="A84" s="7">
        <v>46050.626992522324</v>
      </c>
      <c r="B84" s="8" t="s">
        <v>2638</v>
      </c>
      <c r="C84" s="8" t="s">
        <v>2639</v>
      </c>
      <c r="D84" s="9">
        <v>46054.0</v>
      </c>
      <c r="E84" s="10">
        <v>137.395</v>
      </c>
      <c r="F84" s="8" t="s">
        <v>245</v>
      </c>
      <c r="G84" s="9">
        <v>46052.0</v>
      </c>
      <c r="H84" s="10">
        <v>135.0</v>
      </c>
      <c r="I84" s="8">
        <v>5085.0</v>
      </c>
      <c r="J84" s="8" t="s">
        <v>2608</v>
      </c>
      <c r="K84" s="11">
        <v>1.74</v>
      </c>
      <c r="L84" s="8" t="s">
        <v>2798</v>
      </c>
      <c r="M84" s="8">
        <v>12263.0</v>
      </c>
      <c r="N84" s="11">
        <v>41.4553</v>
      </c>
      <c r="O84" s="8" t="s">
        <v>2641</v>
      </c>
      <c r="P84" s="11">
        <v>0.4129</v>
      </c>
      <c r="Q84" s="12">
        <v>1.0036401E7</v>
      </c>
      <c r="R84" s="12">
        <v>5.79417465383E11</v>
      </c>
      <c r="S84" s="13">
        <v>2.4407</v>
      </c>
      <c r="T84" s="8" t="s">
        <v>2611</v>
      </c>
      <c r="U84" s="14">
        <f>IFERROR(__xludf.DUMMYFUNCTION("IFERROR(GOOGLEFINANCE(B84,""price""),"""")"),152.51)</f>
        <v>152.51</v>
      </c>
    </row>
    <row r="85">
      <c r="A85" s="15">
        <v>46050.626992522324</v>
      </c>
      <c r="B85" s="16" t="s">
        <v>2634</v>
      </c>
      <c r="C85" s="16" t="s">
        <v>2635</v>
      </c>
      <c r="D85" s="17">
        <v>46054.0</v>
      </c>
      <c r="E85" s="18">
        <v>169.705</v>
      </c>
      <c r="F85" s="16" t="s">
        <v>245</v>
      </c>
      <c r="G85" s="17">
        <v>46052.0</v>
      </c>
      <c r="H85" s="18">
        <v>170.0</v>
      </c>
      <c r="I85" s="16">
        <v>6252.0</v>
      </c>
      <c r="J85" s="16" t="s">
        <v>2608</v>
      </c>
      <c r="K85" s="19">
        <v>0.17</v>
      </c>
      <c r="L85" s="16" t="s">
        <v>2799</v>
      </c>
      <c r="M85" s="16">
        <v>9922.0</v>
      </c>
      <c r="N85" s="19">
        <v>40.7832</v>
      </c>
      <c r="O85" s="16" t="s">
        <v>2637</v>
      </c>
      <c r="P85" s="19">
        <v>0.3875</v>
      </c>
      <c r="Q85" s="20">
        <v>7393303.0</v>
      </c>
      <c r="R85" s="20">
        <v>3.4170469039E11</v>
      </c>
      <c r="S85" s="21">
        <v>2.8885</v>
      </c>
      <c r="T85" s="16" t="s">
        <v>2620</v>
      </c>
      <c r="U85" s="22">
        <f>IFERROR(__xludf.DUMMYFUNCTION("IFERROR(GOOGLEFINANCE(B85,""price""),"""")"),188.55)</f>
        <v>188.55</v>
      </c>
    </row>
    <row r="86">
      <c r="A86" s="7">
        <v>46050.626992522324</v>
      </c>
      <c r="B86" s="8" t="s">
        <v>2663</v>
      </c>
      <c r="C86" s="8" t="s">
        <v>2664</v>
      </c>
      <c r="D86" s="9">
        <v>46054.0</v>
      </c>
      <c r="E86" s="10">
        <v>131.89</v>
      </c>
      <c r="F86" s="8" t="s">
        <v>335</v>
      </c>
      <c r="G86" s="9">
        <v>46052.0</v>
      </c>
      <c r="H86" s="10">
        <v>133.0</v>
      </c>
      <c r="I86" s="8">
        <v>5282.0</v>
      </c>
      <c r="J86" s="8" t="s">
        <v>2608</v>
      </c>
      <c r="K86" s="11">
        <v>0.84</v>
      </c>
      <c r="L86" s="8" t="s">
        <v>2800</v>
      </c>
      <c r="M86" s="8">
        <v>8670.0</v>
      </c>
      <c r="N86" s="11">
        <v>40.6159</v>
      </c>
      <c r="O86" s="8" t="s">
        <v>2666</v>
      </c>
      <c r="P86" s="11">
        <v>3.8504</v>
      </c>
      <c r="Q86" s="12">
        <v>8193871.0</v>
      </c>
      <c r="R86" s="12">
        <v>1.43926669085E11</v>
      </c>
      <c r="S86" s="13">
        <v>3.9943</v>
      </c>
      <c r="T86" s="8" t="s">
        <v>2620</v>
      </c>
      <c r="U86" s="14">
        <f>IFERROR(__xludf.DUMMYFUNCTION("IFERROR(GOOGLEFINANCE(B86,""price""),"""")"),120.9)</f>
        <v>120.9</v>
      </c>
    </row>
    <row r="87">
      <c r="A87" s="15">
        <v>46050.626992522324</v>
      </c>
      <c r="B87" s="16" t="s">
        <v>1489</v>
      </c>
      <c r="C87" s="16" t="s">
        <v>1490</v>
      </c>
      <c r="D87" s="17">
        <v>46054.0</v>
      </c>
      <c r="E87" s="18">
        <v>78.685</v>
      </c>
      <c r="F87" s="16" t="s">
        <v>308</v>
      </c>
      <c r="G87" s="17">
        <v>46052.0</v>
      </c>
      <c r="H87" s="18">
        <v>78.0</v>
      </c>
      <c r="I87" s="16">
        <v>2974.0</v>
      </c>
      <c r="J87" s="16" t="s">
        <v>2608</v>
      </c>
      <c r="K87" s="19">
        <v>0.87</v>
      </c>
      <c r="L87" s="16" t="s">
        <v>2801</v>
      </c>
      <c r="M87" s="16">
        <v>7988.0</v>
      </c>
      <c r="N87" s="19">
        <v>21.6242</v>
      </c>
      <c r="O87" s="16" t="s">
        <v>1491</v>
      </c>
      <c r="P87" s="19">
        <v>0.0064</v>
      </c>
      <c r="Q87" s="20">
        <v>8518883.0</v>
      </c>
      <c r="R87" s="20">
        <v>3.10891870555E11</v>
      </c>
      <c r="S87" s="21">
        <v>1.4572</v>
      </c>
      <c r="T87" s="16" t="s">
        <v>2611</v>
      </c>
      <c r="U87" s="22">
        <f>IFERROR(__xludf.DUMMYFUNCTION("IFERROR(GOOGLEFINANCE(B87,""price""),"""")"),82.22)</f>
        <v>82.22</v>
      </c>
    </row>
    <row r="88">
      <c r="A88" s="7">
        <v>46050.626992522324</v>
      </c>
      <c r="B88" s="8" t="s">
        <v>2630</v>
      </c>
      <c r="C88" s="8" t="s">
        <v>2631</v>
      </c>
      <c r="D88" s="9">
        <v>46054.0</v>
      </c>
      <c r="E88" s="10">
        <v>434.8844</v>
      </c>
      <c r="F88" s="8" t="s">
        <v>308</v>
      </c>
      <c r="G88" s="9">
        <v>46052.0</v>
      </c>
      <c r="H88" s="10">
        <v>430.0</v>
      </c>
      <c r="I88" s="8">
        <v>2815.0</v>
      </c>
      <c r="J88" s="8" t="s">
        <v>2608</v>
      </c>
      <c r="K88" s="11">
        <v>1.12</v>
      </c>
      <c r="L88" s="8" t="s">
        <v>2802</v>
      </c>
      <c r="M88" s="8">
        <v>7837.0</v>
      </c>
      <c r="N88" s="11">
        <v>39.2903</v>
      </c>
      <c r="O88" s="8" t="s">
        <v>2633</v>
      </c>
      <c r="P88" s="11">
        <v>6.0073</v>
      </c>
      <c r="Q88" s="12">
        <v>3.5863564E7</v>
      </c>
      <c r="R88" s="12">
        <v>4.8946641512E11</v>
      </c>
      <c r="S88" s="13">
        <v>19.3043</v>
      </c>
      <c r="T88" s="8" t="s">
        <v>2611</v>
      </c>
      <c r="U88" s="14">
        <f>IFERROR(__xludf.DUMMYFUNCTION("IFERROR(GOOGLEFINANCE(B88,""price""),"""")"),420.59)</f>
        <v>420.59</v>
      </c>
    </row>
    <row r="89">
      <c r="A89" s="15">
        <v>46050.626992522324</v>
      </c>
      <c r="B89" s="16" t="s">
        <v>2621</v>
      </c>
      <c r="C89" s="16" t="s">
        <v>2622</v>
      </c>
      <c r="D89" s="17">
        <v>46054.0</v>
      </c>
      <c r="E89" s="18">
        <v>63.495</v>
      </c>
      <c r="F89" s="16" t="s">
        <v>335</v>
      </c>
      <c r="G89" s="17">
        <v>46052.0</v>
      </c>
      <c r="H89" s="18">
        <v>63.0</v>
      </c>
      <c r="I89" s="16">
        <v>5266.0</v>
      </c>
      <c r="J89" s="16" t="s">
        <v>2608</v>
      </c>
      <c r="K89" s="19">
        <v>0.78</v>
      </c>
      <c r="L89" s="16" t="s">
        <v>2803</v>
      </c>
      <c r="M89" s="16">
        <v>7685.0</v>
      </c>
      <c r="N89" s="19">
        <v>43.6924</v>
      </c>
      <c r="O89" s="16" t="s">
        <v>2624</v>
      </c>
      <c r="P89" s="19">
        <v>0.9941</v>
      </c>
      <c r="Q89" s="20">
        <v>1.8672844E7</v>
      </c>
      <c r="R89" s="20">
        <v>9.1174415966E10</v>
      </c>
      <c r="S89" s="21">
        <v>2.1285</v>
      </c>
      <c r="T89" s="16" t="s">
        <v>2611</v>
      </c>
      <c r="U89" s="22">
        <f>IFERROR(__xludf.DUMMYFUNCTION("IFERROR(GOOGLEFINANCE(B89,""price""),"""")"),67.8)</f>
        <v>67.8</v>
      </c>
    </row>
    <row r="90">
      <c r="A90" s="7">
        <v>46050.626992522324</v>
      </c>
      <c r="B90" s="8" t="s">
        <v>2804</v>
      </c>
      <c r="C90" s="8" t="s">
        <v>2805</v>
      </c>
      <c r="D90" s="9">
        <v>46054.0</v>
      </c>
      <c r="E90" s="10">
        <v>104.32</v>
      </c>
      <c r="F90" s="8" t="s">
        <v>308</v>
      </c>
      <c r="G90" s="9">
        <v>46052.0</v>
      </c>
      <c r="H90" s="10">
        <v>105.0</v>
      </c>
      <c r="I90" s="8">
        <v>2795.0</v>
      </c>
      <c r="J90" s="8" t="s">
        <v>2608</v>
      </c>
      <c r="K90" s="11">
        <v>0.65</v>
      </c>
      <c r="L90" s="8" t="s">
        <v>2806</v>
      </c>
      <c r="M90" s="8">
        <v>4574.0</v>
      </c>
      <c r="N90" s="11">
        <v>28.6099</v>
      </c>
      <c r="O90" s="8" t="s">
        <v>2807</v>
      </c>
      <c r="P90" s="11">
        <v>-4.9389</v>
      </c>
      <c r="Q90" s="12">
        <v>1.5805312E7</v>
      </c>
      <c r="R90" s="12">
        <v>8.9439830134E10</v>
      </c>
      <c r="S90" s="13">
        <v>4.579</v>
      </c>
      <c r="T90" s="8" t="s">
        <v>2620</v>
      </c>
      <c r="U90" s="14">
        <f>IFERROR(__xludf.DUMMYFUNCTION("IFERROR(GOOGLEFINANCE(B90,""price""),"""")"),171.24)</f>
        <v>171.24</v>
      </c>
    </row>
    <row r="91">
      <c r="A91" s="15">
        <v>46050.626992522324</v>
      </c>
      <c r="B91" s="16" t="s">
        <v>2654</v>
      </c>
      <c r="C91" s="16" t="s">
        <v>2655</v>
      </c>
      <c r="D91" s="17">
        <v>46054.0</v>
      </c>
      <c r="E91" s="18">
        <v>39.735</v>
      </c>
      <c r="F91" s="16" t="s">
        <v>917</v>
      </c>
      <c r="G91" s="17">
        <v>46073.0</v>
      </c>
      <c r="H91" s="18">
        <v>40.0</v>
      </c>
      <c r="I91" s="16">
        <v>4474.0</v>
      </c>
      <c r="J91" s="16" t="s">
        <v>2608</v>
      </c>
      <c r="K91" s="19">
        <v>0.67</v>
      </c>
      <c r="L91" s="16" t="s">
        <v>2757</v>
      </c>
      <c r="M91" s="16">
        <v>4474.0</v>
      </c>
      <c r="N91" s="19">
        <v>19.0785</v>
      </c>
      <c r="O91" s="16" t="s">
        <v>2657</v>
      </c>
      <c r="P91" s="19">
        <v>-0.2385</v>
      </c>
      <c r="Q91" s="20">
        <v>3363823.0</v>
      </c>
      <c r="R91" s="20">
        <v>2.5941720117E10</v>
      </c>
      <c r="S91" s="21">
        <v>0.5963</v>
      </c>
      <c r="T91" s="16" t="s">
        <v>2620</v>
      </c>
      <c r="U91" s="22">
        <f>IFERROR(__xludf.DUMMYFUNCTION("IFERROR(GOOGLEFINANCE(B91,""price""),"""")"),43.39)</f>
        <v>43.39</v>
      </c>
    </row>
    <row r="92">
      <c r="A92" s="7">
        <v>46050.626992522324</v>
      </c>
      <c r="B92" s="8" t="s">
        <v>2700</v>
      </c>
      <c r="C92" s="8" t="s">
        <v>2701</v>
      </c>
      <c r="D92" s="9">
        <v>46054.0</v>
      </c>
      <c r="E92" s="10">
        <v>239.89</v>
      </c>
      <c r="F92" s="8" t="s">
        <v>102</v>
      </c>
      <c r="G92" s="9">
        <v>46052.0</v>
      </c>
      <c r="H92" s="10">
        <v>237.5</v>
      </c>
      <c r="I92" s="8">
        <v>1567.0</v>
      </c>
      <c r="J92" s="8" t="s">
        <v>2608</v>
      </c>
      <c r="K92" s="11">
        <v>1.0</v>
      </c>
      <c r="L92" s="8" t="s">
        <v>2808</v>
      </c>
      <c r="M92" s="8">
        <v>4374.0</v>
      </c>
      <c r="N92" s="11">
        <v>40.255</v>
      </c>
      <c r="O92" s="8" t="s">
        <v>2703</v>
      </c>
      <c r="P92" s="11">
        <v>0.5997</v>
      </c>
      <c r="Q92" s="12">
        <v>1.1189091E7</v>
      </c>
      <c r="R92" s="12">
        <v>3.01309052211E11</v>
      </c>
      <c r="S92" s="13">
        <v>9.9656</v>
      </c>
      <c r="T92" s="8" t="s">
        <v>2611</v>
      </c>
      <c r="U92" s="14">
        <f>IFERROR(__xludf.DUMMYFUNCTION("IFERROR(GOOGLEFINANCE(B92,""price""),"""")"),263.66)</f>
        <v>263.66</v>
      </c>
    </row>
    <row r="93">
      <c r="A93" s="15">
        <v>46050.626992522324</v>
      </c>
      <c r="B93" s="16" t="s">
        <v>2735</v>
      </c>
      <c r="C93" s="16" t="s">
        <v>2736</v>
      </c>
      <c r="D93" s="17">
        <v>46054.0</v>
      </c>
      <c r="E93" s="18">
        <v>27.095</v>
      </c>
      <c r="F93" s="16" t="s">
        <v>335</v>
      </c>
      <c r="G93" s="17">
        <v>46052.0</v>
      </c>
      <c r="H93" s="18">
        <v>27.5</v>
      </c>
      <c r="I93" s="16">
        <v>2435.0</v>
      </c>
      <c r="J93" s="16" t="s">
        <v>2627</v>
      </c>
      <c r="K93" s="19">
        <v>1.49</v>
      </c>
      <c r="L93" s="16" t="s">
        <v>2809</v>
      </c>
      <c r="M93" s="16">
        <v>3480.0</v>
      </c>
      <c r="N93" s="19">
        <v>46.5877</v>
      </c>
      <c r="O93" s="16" t="s">
        <v>2738</v>
      </c>
      <c r="P93" s="19">
        <v>-4.2918</v>
      </c>
      <c r="Q93" s="20">
        <v>3.1702401E7</v>
      </c>
      <c r="R93" s="20">
        <v>1.8156323767E10</v>
      </c>
      <c r="S93" s="21">
        <v>1.9703</v>
      </c>
      <c r="T93" s="16" t="s">
        <v>2620</v>
      </c>
      <c r="U93" s="22">
        <f>IFERROR(__xludf.DUMMYFUNCTION("IFERROR(GOOGLEFINANCE(B93,""price""),"""")"),19.46)</f>
        <v>19.46</v>
      </c>
    </row>
    <row r="94">
      <c r="A94" s="7">
        <v>46050.626992522324</v>
      </c>
      <c r="B94" s="8" t="s">
        <v>1570</v>
      </c>
      <c r="C94" s="8" t="s">
        <v>1571</v>
      </c>
      <c r="D94" s="9">
        <v>46054.0</v>
      </c>
      <c r="E94" s="10">
        <v>47.305</v>
      </c>
      <c r="F94" s="8" t="s">
        <v>917</v>
      </c>
      <c r="G94" s="9">
        <v>46073.0</v>
      </c>
      <c r="H94" s="10">
        <v>48.0</v>
      </c>
      <c r="I94" s="8">
        <v>2064.0</v>
      </c>
      <c r="J94" s="8" t="s">
        <v>2608</v>
      </c>
      <c r="K94" s="11">
        <v>1.47</v>
      </c>
      <c r="L94" s="8" t="s">
        <v>2810</v>
      </c>
      <c r="M94" s="8">
        <v>3096.0</v>
      </c>
      <c r="N94" s="11">
        <v>29.2024</v>
      </c>
      <c r="O94" s="8" t="s">
        <v>1572</v>
      </c>
      <c r="P94" s="11">
        <v>-0.4524</v>
      </c>
      <c r="Q94" s="12">
        <v>2470756.0</v>
      </c>
      <c r="R94" s="12">
        <v>2.7326470921E10</v>
      </c>
      <c r="S94" s="13">
        <v>0.7157</v>
      </c>
      <c r="T94" s="8" t="s">
        <v>2620</v>
      </c>
      <c r="U94" s="14">
        <f>IFERROR(__xludf.DUMMYFUNCTION("IFERROR(GOOGLEFINANCE(B94,""price""),"""")"),51.43)</f>
        <v>51.43</v>
      </c>
    </row>
    <row r="95">
      <c r="A95" s="15">
        <v>46050.626992522324</v>
      </c>
      <c r="B95" s="16" t="s">
        <v>2658</v>
      </c>
      <c r="C95" s="16" t="s">
        <v>2659</v>
      </c>
      <c r="D95" s="17">
        <v>46054.0</v>
      </c>
      <c r="E95" s="18">
        <v>87.46</v>
      </c>
      <c r="F95" s="16" t="s">
        <v>917</v>
      </c>
      <c r="G95" s="17">
        <v>46052.0</v>
      </c>
      <c r="H95" s="18">
        <v>87.0</v>
      </c>
      <c r="I95" s="16">
        <v>1438.0</v>
      </c>
      <c r="J95" s="16" t="s">
        <v>2608</v>
      </c>
      <c r="K95" s="19">
        <v>0.53</v>
      </c>
      <c r="L95" s="16" t="s">
        <v>2811</v>
      </c>
      <c r="M95" s="16">
        <v>2865.0</v>
      </c>
      <c r="N95" s="19">
        <v>26.6021</v>
      </c>
      <c r="O95" s="16" t="s">
        <v>2661</v>
      </c>
      <c r="P95" s="19">
        <v>0.3557</v>
      </c>
      <c r="Q95" s="20">
        <v>5798894.0</v>
      </c>
      <c r="R95" s="20">
        <v>1.82145040479E11</v>
      </c>
      <c r="S95" s="21">
        <v>1.7151</v>
      </c>
      <c r="T95" s="16" t="s">
        <v>2611</v>
      </c>
      <c r="U95" s="22">
        <f>IFERROR(__xludf.DUMMYFUNCTION("IFERROR(GOOGLEFINANCE(B95,""price""),"""")"),94.08)</f>
        <v>94.08</v>
      </c>
    </row>
    <row r="96">
      <c r="A96" s="7">
        <v>46050.626992522324</v>
      </c>
      <c r="B96" s="8" t="s">
        <v>2668</v>
      </c>
      <c r="C96" s="8" t="s">
        <v>2669</v>
      </c>
      <c r="D96" s="9">
        <v>46054.0</v>
      </c>
      <c r="E96" s="10">
        <v>50.89</v>
      </c>
      <c r="F96" s="8" t="s">
        <v>308</v>
      </c>
      <c r="G96" s="9">
        <v>46073.0</v>
      </c>
      <c r="H96" s="10">
        <v>50.0</v>
      </c>
      <c r="I96" s="8">
        <v>2786.0</v>
      </c>
      <c r="J96" s="8" t="s">
        <v>2627</v>
      </c>
      <c r="K96" s="11">
        <v>1.75</v>
      </c>
      <c r="L96" s="8" t="s">
        <v>2765</v>
      </c>
      <c r="M96" s="8">
        <v>2786.0</v>
      </c>
      <c r="N96" s="11">
        <v>29.9531</v>
      </c>
      <c r="O96" s="8" t="s">
        <v>2671</v>
      </c>
      <c r="P96" s="11">
        <v>0.2956</v>
      </c>
      <c r="Q96" s="12">
        <v>2020604.0</v>
      </c>
      <c r="R96" s="12">
        <v>1.2579674358E10</v>
      </c>
      <c r="S96" s="13">
        <v>2.8133</v>
      </c>
      <c r="T96" s="8" t="s">
        <v>2611</v>
      </c>
      <c r="U96" s="14">
        <f>IFERROR(__xludf.DUMMYFUNCTION("IFERROR(GOOGLEFINANCE(B96,""price""),"""")"),57.96)</f>
        <v>57.96</v>
      </c>
    </row>
    <row r="97">
      <c r="A97" s="15">
        <v>46050.626992522324</v>
      </c>
      <c r="B97" s="16" t="s">
        <v>2812</v>
      </c>
      <c r="C97" s="16" t="s">
        <v>2813</v>
      </c>
      <c r="D97" s="17">
        <v>46054.0</v>
      </c>
      <c r="E97" s="18">
        <v>447.97</v>
      </c>
      <c r="F97" s="16" t="s">
        <v>308</v>
      </c>
      <c r="G97" s="17">
        <v>46052.0</v>
      </c>
      <c r="H97" s="18">
        <v>450.0</v>
      </c>
      <c r="I97" s="16">
        <v>1365.0</v>
      </c>
      <c r="J97" s="16" t="s">
        <v>2608</v>
      </c>
      <c r="K97" s="19">
        <v>0.45</v>
      </c>
      <c r="L97" s="16" t="s">
        <v>2814</v>
      </c>
      <c r="M97" s="16">
        <v>2419.0</v>
      </c>
      <c r="N97" s="19">
        <v>31.5847</v>
      </c>
      <c r="O97" s="16" t="s">
        <v>2815</v>
      </c>
      <c r="P97" s="19">
        <v>20.4998</v>
      </c>
      <c r="Q97" s="20">
        <v>1.346212E7</v>
      </c>
      <c r="R97" s="20">
        <v>9.566762702E10</v>
      </c>
      <c r="S97" s="21">
        <v>23.2655</v>
      </c>
      <c r="T97" s="16" t="s">
        <v>2620</v>
      </c>
      <c r="U97" s="22">
        <f>IFERROR(__xludf.DUMMYFUNCTION("IFERROR(GOOGLEFINANCE(B97,""price""),"""")"),503.13)</f>
        <v>503.13</v>
      </c>
    </row>
    <row r="98">
      <c r="A98" s="7">
        <v>46050.626992522324</v>
      </c>
      <c r="B98" s="8" t="s">
        <v>2672</v>
      </c>
      <c r="C98" s="8" t="s">
        <v>2673</v>
      </c>
      <c r="D98" s="9">
        <v>46054.0</v>
      </c>
      <c r="E98" s="10">
        <v>44.585</v>
      </c>
      <c r="F98" s="8" t="s">
        <v>107</v>
      </c>
      <c r="G98" s="9">
        <v>46073.0</v>
      </c>
      <c r="H98" s="10">
        <v>45.0</v>
      </c>
      <c r="I98" s="8">
        <v>2349.0</v>
      </c>
      <c r="J98" s="8" t="s">
        <v>2608</v>
      </c>
      <c r="K98" s="11">
        <v>0.93</v>
      </c>
      <c r="L98" s="8" t="s">
        <v>2816</v>
      </c>
      <c r="M98" s="8">
        <v>2349.0</v>
      </c>
      <c r="N98" s="11">
        <v>32.7309</v>
      </c>
      <c r="O98" s="8" t="s">
        <v>2675</v>
      </c>
      <c r="P98" s="11">
        <v>-0.056</v>
      </c>
      <c r="Q98" s="12">
        <v>1976826.0</v>
      </c>
      <c r="R98" s="12">
        <v>1.8680014509E10</v>
      </c>
      <c r="S98" s="13">
        <v>0.9463</v>
      </c>
      <c r="T98" s="8" t="s">
        <v>2620</v>
      </c>
      <c r="U98" s="14">
        <f>IFERROR(__xludf.DUMMYFUNCTION("IFERROR(GOOGLEFINANCE(B98,""price""),"""")"),47.25)</f>
        <v>47.25</v>
      </c>
    </row>
    <row r="99">
      <c r="A99" s="15">
        <v>46050.626992522324</v>
      </c>
      <c r="B99" s="16" t="s">
        <v>2676</v>
      </c>
      <c r="C99" s="16" t="s">
        <v>2677</v>
      </c>
      <c r="D99" s="17">
        <v>46054.0</v>
      </c>
      <c r="E99" s="18">
        <v>27.765</v>
      </c>
      <c r="F99" s="16" t="s">
        <v>93</v>
      </c>
      <c r="G99" s="17">
        <v>46073.0</v>
      </c>
      <c r="H99" s="18">
        <v>28.0</v>
      </c>
      <c r="I99" s="16">
        <v>2300.0</v>
      </c>
      <c r="J99" s="16" t="s">
        <v>2608</v>
      </c>
      <c r="K99" s="19">
        <v>0.85</v>
      </c>
      <c r="L99" s="16" t="s">
        <v>2817</v>
      </c>
      <c r="M99" s="16">
        <v>2300.0</v>
      </c>
      <c r="N99" s="19">
        <v>19.5862</v>
      </c>
      <c r="O99" s="16" t="s">
        <v>2679</v>
      </c>
      <c r="P99" s="19">
        <v>-0.3767</v>
      </c>
      <c r="Q99" s="20">
        <v>1.0598934E7</v>
      </c>
      <c r="R99" s="20">
        <v>2.4346477474E10</v>
      </c>
      <c r="S99" s="21">
        <v>0.6398</v>
      </c>
      <c r="T99" s="16" t="s">
        <v>2620</v>
      </c>
      <c r="U99" s="22">
        <f>IFERROR(__xludf.DUMMYFUNCTION("IFERROR(GOOGLEFINANCE(B99,""price""),"""")"),27.5)</f>
        <v>27.5</v>
      </c>
    </row>
    <row r="100">
      <c r="A100" s="7">
        <v>46050.626992522324</v>
      </c>
      <c r="B100" s="8" t="s">
        <v>2818</v>
      </c>
      <c r="C100" s="8" t="s">
        <v>2819</v>
      </c>
      <c r="D100" s="9">
        <v>46054.0</v>
      </c>
      <c r="E100" s="10">
        <v>83.375</v>
      </c>
      <c r="F100" s="8" t="s">
        <v>88</v>
      </c>
      <c r="G100" s="9">
        <v>46073.0</v>
      </c>
      <c r="H100" s="10">
        <v>82.5</v>
      </c>
      <c r="I100" s="8">
        <v>1993.0</v>
      </c>
      <c r="J100" s="8" t="s">
        <v>2627</v>
      </c>
      <c r="K100" s="11">
        <v>1.05</v>
      </c>
      <c r="L100" s="8" t="s">
        <v>2820</v>
      </c>
      <c r="M100" s="8">
        <v>1993.0</v>
      </c>
      <c r="N100" s="11">
        <v>18.825</v>
      </c>
      <c r="O100" s="8" t="s">
        <v>2821</v>
      </c>
      <c r="P100" s="11">
        <v>-1.5062</v>
      </c>
      <c r="Q100" s="12">
        <v>2302999.0</v>
      </c>
      <c r="R100" s="12">
        <v>4.0240648815E10</v>
      </c>
      <c r="S100" s="13">
        <v>1.8863</v>
      </c>
      <c r="T100" s="8" t="s">
        <v>2611</v>
      </c>
      <c r="U100" s="14">
        <f>IFERROR(__xludf.DUMMYFUNCTION("IFERROR(GOOGLEFINANCE(B100,""price""),"""")"),57.92)</f>
        <v>57.92</v>
      </c>
    </row>
    <row r="101">
      <c r="A101" s="15">
        <v>46050.626992522324</v>
      </c>
      <c r="B101" s="16" t="s">
        <v>2521</v>
      </c>
      <c r="C101" s="16" t="s">
        <v>2522</v>
      </c>
      <c r="D101" s="17">
        <v>46054.0</v>
      </c>
      <c r="E101" s="18">
        <v>316.25</v>
      </c>
      <c r="F101" s="16" t="s">
        <v>308</v>
      </c>
      <c r="G101" s="17">
        <v>46052.0</v>
      </c>
      <c r="H101" s="18">
        <v>315.0</v>
      </c>
      <c r="I101" s="16">
        <v>1781.0</v>
      </c>
      <c r="J101" s="16" t="s">
        <v>2608</v>
      </c>
      <c r="K101" s="19">
        <v>0.4</v>
      </c>
      <c r="L101" s="16" t="s">
        <v>2822</v>
      </c>
      <c r="M101" s="16">
        <v>1781.0</v>
      </c>
      <c r="N101" s="19">
        <v>35.2166</v>
      </c>
      <c r="O101" s="16" t="s">
        <v>2523</v>
      </c>
      <c r="P101" s="19">
        <v>4.0878</v>
      </c>
      <c r="Q101" s="20">
        <v>2911891.0</v>
      </c>
      <c r="R101" s="20">
        <v>1.54853096984E11</v>
      </c>
      <c r="S101" s="21">
        <v>7.7913</v>
      </c>
      <c r="T101" s="16" t="s">
        <v>2611</v>
      </c>
      <c r="U101" s="22">
        <f>IFERROR(__xludf.DUMMYFUNCTION("IFERROR(GOOGLEFINANCE(B101,""price""),"""")"),350.14)</f>
        <v>350.14</v>
      </c>
    </row>
    <row r="102">
      <c r="A102" s="7">
        <v>46050.626992522324</v>
      </c>
      <c r="B102" s="8" t="s">
        <v>1077</v>
      </c>
      <c r="C102" s="8" t="s">
        <v>1078</v>
      </c>
      <c r="D102" s="9">
        <v>46054.0</v>
      </c>
      <c r="E102" s="10">
        <v>9.685</v>
      </c>
      <c r="F102" s="8" t="s">
        <v>335</v>
      </c>
      <c r="G102" s="9">
        <v>46052.0</v>
      </c>
      <c r="H102" s="10">
        <v>9.5</v>
      </c>
      <c r="I102" s="8">
        <v>1775.0</v>
      </c>
      <c r="J102" s="8" t="s">
        <v>2608</v>
      </c>
      <c r="K102" s="11">
        <v>1.91</v>
      </c>
      <c r="L102" s="8" t="s">
        <v>2823</v>
      </c>
      <c r="M102" s="8">
        <v>1775.0</v>
      </c>
      <c r="N102" s="11">
        <v>31.0925</v>
      </c>
      <c r="O102" s="8" t="s">
        <v>1079</v>
      </c>
      <c r="P102" s="11">
        <v>-2.2704</v>
      </c>
      <c r="Q102" s="12">
        <v>1.4933118E7</v>
      </c>
      <c r="R102" s="12">
        <v>1.356244901E9</v>
      </c>
      <c r="S102" s="13">
        <v>1.1336</v>
      </c>
      <c r="T102" s="8" t="s">
        <v>2611</v>
      </c>
      <c r="U102" s="14">
        <f>IFERROR(__xludf.DUMMYFUNCTION("IFERROR(GOOGLEFINANCE(B102,""price""),"""")"),8.36)</f>
        <v>8.36</v>
      </c>
    </row>
    <row r="103">
      <c r="A103" s="15">
        <v>46050.626992522324</v>
      </c>
      <c r="B103" s="16" t="s">
        <v>2824</v>
      </c>
      <c r="C103" s="16" t="s">
        <v>2825</v>
      </c>
      <c r="D103" s="17">
        <v>46054.0</v>
      </c>
      <c r="E103" s="18">
        <v>123.9</v>
      </c>
      <c r="F103" s="16" t="s">
        <v>308</v>
      </c>
      <c r="G103" s="17">
        <v>46073.0</v>
      </c>
      <c r="H103" s="18">
        <v>125.0</v>
      </c>
      <c r="I103" s="16">
        <v>1572.0</v>
      </c>
      <c r="J103" s="16" t="s">
        <v>2608</v>
      </c>
      <c r="K103" s="19">
        <v>0.89</v>
      </c>
      <c r="L103" s="16" t="s">
        <v>2826</v>
      </c>
      <c r="M103" s="16">
        <v>1572.0</v>
      </c>
      <c r="N103" s="19">
        <v>27.6719</v>
      </c>
      <c r="O103" s="16" t="s">
        <v>2827</v>
      </c>
      <c r="P103" s="19">
        <v>7.078</v>
      </c>
      <c r="Q103" s="20">
        <v>1986679.0</v>
      </c>
      <c r="R103" s="20">
        <v>1.3337851154E10</v>
      </c>
      <c r="S103" s="21">
        <v>7.1172</v>
      </c>
      <c r="T103" s="16" t="s">
        <v>2620</v>
      </c>
      <c r="U103" s="22">
        <f>IFERROR(__xludf.DUMMYFUNCTION("IFERROR(GOOGLEFINANCE(B103,""price""),"""")"),110.44)</f>
        <v>110.44</v>
      </c>
    </row>
    <row r="104">
      <c r="A104" s="7">
        <v>46050.626992522324</v>
      </c>
      <c r="B104" s="8" t="s">
        <v>2684</v>
      </c>
      <c r="C104" s="8" t="s">
        <v>2685</v>
      </c>
      <c r="D104" s="9">
        <v>46054.0</v>
      </c>
      <c r="E104" s="10">
        <v>336.985</v>
      </c>
      <c r="F104" s="8" t="s">
        <v>102</v>
      </c>
      <c r="G104" s="9">
        <v>46052.0</v>
      </c>
      <c r="H104" s="10">
        <v>340.0</v>
      </c>
      <c r="I104" s="8">
        <v>1569.0</v>
      </c>
      <c r="J104" s="8" t="s">
        <v>2608</v>
      </c>
      <c r="K104" s="11">
        <v>0.89</v>
      </c>
      <c r="L104" s="8" t="s">
        <v>2828</v>
      </c>
      <c r="M104" s="8">
        <v>1569.0</v>
      </c>
      <c r="N104" s="11">
        <v>36.0463</v>
      </c>
      <c r="O104" s="8" t="s">
        <v>2687</v>
      </c>
      <c r="P104" s="11">
        <v>1.2849</v>
      </c>
      <c r="Q104" s="12">
        <v>5310311.0</v>
      </c>
      <c r="R104" s="12">
        <v>2.67210011096E11</v>
      </c>
      <c r="S104" s="13">
        <v>11.4923</v>
      </c>
      <c r="T104" s="8" t="s">
        <v>2620</v>
      </c>
      <c r="U104" s="14">
        <f>IFERROR(__xludf.DUMMYFUNCTION("IFERROR(GOOGLEFINANCE(B104,""price""),"""")"),399.5)</f>
        <v>399.5</v>
      </c>
    </row>
    <row r="105">
      <c r="A105" s="15">
        <v>46050.626992522324</v>
      </c>
      <c r="B105" s="16" t="s">
        <v>2528</v>
      </c>
      <c r="C105" s="16" t="s">
        <v>2529</v>
      </c>
      <c r="D105" s="17">
        <v>46054.0</v>
      </c>
      <c r="E105" s="18">
        <v>58.335</v>
      </c>
      <c r="F105" s="16" t="s">
        <v>93</v>
      </c>
      <c r="G105" s="17">
        <v>46073.0</v>
      </c>
      <c r="H105" s="18">
        <v>57.5</v>
      </c>
      <c r="I105" s="16">
        <v>1485.0</v>
      </c>
      <c r="J105" s="16" t="s">
        <v>2627</v>
      </c>
      <c r="K105" s="19">
        <v>1.43</v>
      </c>
      <c r="L105" s="16" t="s">
        <v>2829</v>
      </c>
      <c r="M105" s="16">
        <v>1485.0</v>
      </c>
      <c r="N105" s="19">
        <v>22.3851</v>
      </c>
      <c r="O105" s="16" t="s">
        <v>2530</v>
      </c>
      <c r="P105" s="19">
        <v>-1.3445</v>
      </c>
      <c r="Q105" s="20">
        <v>1597292.0</v>
      </c>
      <c r="R105" s="20">
        <v>8.612640048E9</v>
      </c>
      <c r="S105" s="21">
        <v>1.3984</v>
      </c>
      <c r="T105" s="16" t="s">
        <v>2611</v>
      </c>
      <c r="U105" s="22">
        <f>IFERROR(__xludf.DUMMYFUNCTION("IFERROR(GOOGLEFINANCE(B105,""price""),"""")"),61.05)</f>
        <v>61.05</v>
      </c>
    </row>
    <row r="106">
      <c r="A106" s="7">
        <v>46050.626992522324</v>
      </c>
      <c r="B106" s="8" t="s">
        <v>2730</v>
      </c>
      <c r="C106" s="8" t="s">
        <v>2731</v>
      </c>
      <c r="D106" s="9">
        <v>46054.0</v>
      </c>
      <c r="E106" s="10">
        <v>181.805</v>
      </c>
      <c r="F106" s="8" t="s">
        <v>93</v>
      </c>
      <c r="G106" s="9">
        <v>46052.0</v>
      </c>
      <c r="H106" s="10">
        <v>182.5</v>
      </c>
      <c r="I106" s="8">
        <v>1370.0</v>
      </c>
      <c r="J106" s="8" t="s">
        <v>2608</v>
      </c>
      <c r="K106" s="11">
        <v>0.38</v>
      </c>
      <c r="L106" s="8" t="s">
        <v>2830</v>
      </c>
      <c r="M106" s="8">
        <v>1370.0</v>
      </c>
      <c r="N106" s="11">
        <v>17.6585</v>
      </c>
      <c r="O106" s="8" t="s">
        <v>2733</v>
      </c>
      <c r="P106" s="11">
        <v>-0.4681</v>
      </c>
      <c r="Q106" s="12">
        <v>3288073.0</v>
      </c>
      <c r="R106" s="12">
        <v>2.88944365644E11</v>
      </c>
      <c r="S106" s="13">
        <v>4.0447</v>
      </c>
      <c r="T106" s="8" t="s">
        <v>2620</v>
      </c>
      <c r="U106" s="14">
        <f>IFERROR(__xludf.DUMMYFUNCTION("IFERROR(GOOGLEFINANCE(B106,""price""),"""")"),177.64)</f>
        <v>177.64</v>
      </c>
    </row>
    <row r="107">
      <c r="A107" s="15">
        <v>46050.626992522324</v>
      </c>
      <c r="B107" s="16" t="s">
        <v>1492</v>
      </c>
      <c r="C107" s="16" t="s">
        <v>1493</v>
      </c>
      <c r="D107" s="17">
        <v>46054.0</v>
      </c>
      <c r="E107" s="18">
        <v>24.275</v>
      </c>
      <c r="F107" s="16" t="s">
        <v>93</v>
      </c>
      <c r="G107" s="17">
        <v>46052.0</v>
      </c>
      <c r="H107" s="18">
        <v>24.0</v>
      </c>
      <c r="I107" s="16">
        <v>1323.0</v>
      </c>
      <c r="J107" s="16" t="s">
        <v>2627</v>
      </c>
      <c r="K107" s="19">
        <v>1.13</v>
      </c>
      <c r="L107" s="16" t="s">
        <v>2831</v>
      </c>
      <c r="M107" s="16">
        <v>1323.0</v>
      </c>
      <c r="N107" s="19">
        <v>22.6098</v>
      </c>
      <c r="O107" s="16" t="s">
        <v>1494</v>
      </c>
      <c r="P107" s="19">
        <v>-0.0206</v>
      </c>
      <c r="Q107" s="20">
        <v>4162362.0</v>
      </c>
      <c r="R107" s="20">
        <v>1.1773375333E10</v>
      </c>
      <c r="S107" s="21">
        <v>0.5356</v>
      </c>
      <c r="T107" s="16" t="s">
        <v>2611</v>
      </c>
      <c r="U107" s="22">
        <f>IFERROR(__xludf.DUMMYFUNCTION("IFERROR(GOOGLEFINANCE(B107,""price""),"""")"),24.05)</f>
        <v>24.05</v>
      </c>
    </row>
    <row r="108">
      <c r="A108" s="7">
        <v>46050.626992522324</v>
      </c>
      <c r="B108" s="8" t="s">
        <v>2505</v>
      </c>
      <c r="C108" s="8" t="s">
        <v>2506</v>
      </c>
      <c r="D108" s="9">
        <v>46054.0</v>
      </c>
      <c r="E108" s="10">
        <v>172.85</v>
      </c>
      <c r="F108" s="8" t="s">
        <v>335</v>
      </c>
      <c r="G108" s="9">
        <v>46073.0</v>
      </c>
      <c r="H108" s="10">
        <v>175.0</v>
      </c>
      <c r="I108" s="8">
        <v>1301.0</v>
      </c>
      <c r="J108" s="8" t="s">
        <v>2608</v>
      </c>
      <c r="K108" s="11">
        <v>1.24</v>
      </c>
      <c r="L108" s="8" t="s">
        <v>2832</v>
      </c>
      <c r="M108" s="8">
        <v>1301.0</v>
      </c>
      <c r="N108" s="11">
        <v>26.8676</v>
      </c>
      <c r="O108" s="8" t="s">
        <v>2507</v>
      </c>
      <c r="P108" s="11">
        <v>-0.4206</v>
      </c>
      <c r="Q108" s="12">
        <v>1269849.0</v>
      </c>
      <c r="R108" s="12">
        <v>3.9558219424E10</v>
      </c>
      <c r="S108" s="13">
        <v>4.9042</v>
      </c>
      <c r="T108" s="8" t="s">
        <v>2620</v>
      </c>
      <c r="U108" s="14">
        <f>IFERROR(__xludf.DUMMYFUNCTION("IFERROR(GOOGLEFINANCE(B108,""price""),"""")"),186.12)</f>
        <v>186.12</v>
      </c>
    </row>
    <row r="109">
      <c r="A109" s="15">
        <v>46050.626992522324</v>
      </c>
      <c r="B109" s="16" t="s">
        <v>2650</v>
      </c>
      <c r="C109" s="16" t="s">
        <v>2651</v>
      </c>
      <c r="D109" s="17">
        <v>46054.0</v>
      </c>
      <c r="E109" s="18">
        <v>220.16</v>
      </c>
      <c r="F109" s="16" t="s">
        <v>308</v>
      </c>
      <c r="G109" s="17">
        <v>46052.0</v>
      </c>
      <c r="H109" s="18">
        <v>220.0</v>
      </c>
      <c r="I109" s="16">
        <v>1294.0</v>
      </c>
      <c r="J109" s="16" t="s">
        <v>2608</v>
      </c>
      <c r="K109" s="19">
        <v>0.07</v>
      </c>
      <c r="L109" s="16" t="s">
        <v>2833</v>
      </c>
      <c r="M109" s="16">
        <v>1294.0</v>
      </c>
      <c r="N109" s="19">
        <v>21.388</v>
      </c>
      <c r="O109" s="16" t="s">
        <v>2653</v>
      </c>
      <c r="P109" s="19">
        <v>2.8785</v>
      </c>
      <c r="Q109" s="20">
        <v>3335570.0</v>
      </c>
      <c r="R109" s="20">
        <v>3.4598938828E10</v>
      </c>
      <c r="S109" s="21">
        <v>13.4502</v>
      </c>
      <c r="T109" s="16" t="s">
        <v>2611</v>
      </c>
      <c r="U109" s="22">
        <f>IFERROR(__xludf.DUMMYFUNCTION("IFERROR(GOOGLEFINANCE(B109,""price""),"""")"),307.5)</f>
        <v>307.5</v>
      </c>
    </row>
    <row r="110">
      <c r="A110" s="7">
        <v>46050.626992522324</v>
      </c>
      <c r="B110" s="8" t="s">
        <v>2722</v>
      </c>
      <c r="C110" s="8" t="s">
        <v>2723</v>
      </c>
      <c r="D110" s="9">
        <v>46054.0</v>
      </c>
      <c r="E110" s="10">
        <v>84.55</v>
      </c>
      <c r="F110" s="8" t="s">
        <v>308</v>
      </c>
      <c r="G110" s="9">
        <v>46073.0</v>
      </c>
      <c r="H110" s="10">
        <v>85.0</v>
      </c>
      <c r="I110" s="8">
        <v>1290.0</v>
      </c>
      <c r="J110" s="8" t="s">
        <v>2608</v>
      </c>
      <c r="K110" s="11">
        <v>0.53</v>
      </c>
      <c r="L110" s="8" t="s">
        <v>2834</v>
      </c>
      <c r="M110" s="8">
        <v>1290.0</v>
      </c>
      <c r="N110" s="11">
        <v>30.7591</v>
      </c>
      <c r="O110" s="8" t="s">
        <v>2725</v>
      </c>
      <c r="P110" s="11">
        <v>-0.4826</v>
      </c>
      <c r="Q110" s="12">
        <v>1528018.0</v>
      </c>
      <c r="R110" s="12">
        <v>1.1565289337E10</v>
      </c>
      <c r="S110" s="13">
        <v>3.4215</v>
      </c>
      <c r="T110" s="8" t="s">
        <v>2620</v>
      </c>
      <c r="U110" s="14">
        <f>IFERROR(__xludf.DUMMYFUNCTION("IFERROR(GOOGLEFINANCE(B110,""price""),"""")"),106.1)</f>
        <v>106.1</v>
      </c>
    </row>
    <row r="111">
      <c r="A111" s="15">
        <v>46050.626992522324</v>
      </c>
      <c r="B111" s="16" t="s">
        <v>2710</v>
      </c>
      <c r="C111" s="16" t="s">
        <v>2711</v>
      </c>
      <c r="D111" s="17">
        <v>46054.0</v>
      </c>
      <c r="E111" s="18">
        <v>119.17</v>
      </c>
      <c r="F111" s="16" t="s">
        <v>917</v>
      </c>
      <c r="G111" s="17">
        <v>46073.0</v>
      </c>
      <c r="H111" s="18">
        <v>120.0</v>
      </c>
      <c r="I111" s="16">
        <v>1255.0</v>
      </c>
      <c r="J111" s="16" t="s">
        <v>2608</v>
      </c>
      <c r="K111" s="19">
        <v>0.7</v>
      </c>
      <c r="L111" s="16" t="s">
        <v>2835</v>
      </c>
      <c r="M111" s="16">
        <v>1255.0</v>
      </c>
      <c r="N111" s="19">
        <v>17.9102</v>
      </c>
      <c r="O111" s="16" t="s">
        <v>2713</v>
      </c>
      <c r="P111" s="19">
        <v>-0.2177</v>
      </c>
      <c r="Q111" s="20">
        <v>1038681.0</v>
      </c>
      <c r="R111" s="20">
        <v>6.3648039633E10</v>
      </c>
      <c r="S111" s="21">
        <v>1.9285</v>
      </c>
      <c r="T111" s="16" t="s">
        <v>2620</v>
      </c>
      <c r="U111" s="22">
        <f>IFERROR(__xludf.DUMMYFUNCTION("IFERROR(GOOGLEFINANCE(B111,""price""),"""")"),136.3)</f>
        <v>136.3</v>
      </c>
    </row>
    <row r="112">
      <c r="A112" s="7">
        <v>46050.626992522324</v>
      </c>
      <c r="B112" s="8" t="s">
        <v>2836</v>
      </c>
      <c r="C112" s="8" t="s">
        <v>2837</v>
      </c>
      <c r="D112" s="9">
        <v>46054.0</v>
      </c>
      <c r="E112" s="10">
        <v>218.51</v>
      </c>
      <c r="F112" s="8" t="s">
        <v>107</v>
      </c>
      <c r="G112" s="9">
        <v>46073.0</v>
      </c>
      <c r="H112" s="10">
        <v>220.0</v>
      </c>
      <c r="I112" s="8">
        <v>1246.0</v>
      </c>
      <c r="J112" s="8" t="s">
        <v>2627</v>
      </c>
      <c r="K112" s="11">
        <v>0.68</v>
      </c>
      <c r="L112" s="8" t="s">
        <v>2838</v>
      </c>
      <c r="M112" s="8">
        <v>1246.0</v>
      </c>
      <c r="N112" s="11">
        <v>22.2828</v>
      </c>
      <c r="O112" s="8" t="s">
        <v>2839</v>
      </c>
      <c r="P112" s="11">
        <v>-2.2851</v>
      </c>
      <c r="Q112" s="12">
        <v>1807997.0</v>
      </c>
      <c r="R112" s="12">
        <v>1.9660889939E10</v>
      </c>
      <c r="S112" s="13">
        <v>5.9969</v>
      </c>
      <c r="T112" s="8" t="s">
        <v>2620</v>
      </c>
      <c r="U112" s="14">
        <f>IFERROR(__xludf.DUMMYFUNCTION("IFERROR(GOOGLEFINANCE(B112,""price""),"""")"),206.38)</f>
        <v>206.38</v>
      </c>
    </row>
    <row r="113">
      <c r="A113" s="15">
        <v>46050.626992522324</v>
      </c>
      <c r="B113" s="16" t="s">
        <v>1396</v>
      </c>
      <c r="C113" s="16" t="s">
        <v>1397</v>
      </c>
      <c r="D113" s="17">
        <v>46054.0</v>
      </c>
      <c r="E113" s="18">
        <v>98.805</v>
      </c>
      <c r="F113" s="16" t="s">
        <v>93</v>
      </c>
      <c r="G113" s="17">
        <v>46073.0</v>
      </c>
      <c r="H113" s="18">
        <v>100.0</v>
      </c>
      <c r="I113" s="16">
        <v>1246.0</v>
      </c>
      <c r="J113" s="16" t="s">
        <v>2608</v>
      </c>
      <c r="K113" s="19">
        <v>1.21</v>
      </c>
      <c r="L113" s="16" t="s">
        <v>2840</v>
      </c>
      <c r="M113" s="16">
        <v>1246.0</v>
      </c>
      <c r="N113" s="19">
        <v>21.5851</v>
      </c>
      <c r="O113" s="16" t="s">
        <v>1398</v>
      </c>
      <c r="P113" s="19">
        <v>0.3096</v>
      </c>
      <c r="Q113" s="20">
        <v>2356110.0</v>
      </c>
      <c r="R113" s="20">
        <v>5.6417202707E10</v>
      </c>
      <c r="S113" s="21">
        <v>1.7025</v>
      </c>
      <c r="T113" s="16" t="s">
        <v>2620</v>
      </c>
      <c r="U113" s="22">
        <f>IFERROR(__xludf.DUMMYFUNCTION("IFERROR(GOOGLEFINANCE(B113,""price""),"""")"),83.16)</f>
        <v>83.16</v>
      </c>
    </row>
    <row r="114">
      <c r="A114" s="7">
        <v>46050.626992522324</v>
      </c>
      <c r="B114" s="8" t="s">
        <v>2680</v>
      </c>
      <c r="C114" s="8" t="s">
        <v>2681</v>
      </c>
      <c r="D114" s="9">
        <v>46054.0</v>
      </c>
      <c r="E114" s="10">
        <v>183.685</v>
      </c>
      <c r="F114" s="8" t="s">
        <v>245</v>
      </c>
      <c r="G114" s="9">
        <v>46052.0</v>
      </c>
      <c r="H114" s="10">
        <v>185.0</v>
      </c>
      <c r="I114" s="8">
        <v>1148.0</v>
      </c>
      <c r="J114" s="8" t="s">
        <v>2608</v>
      </c>
      <c r="K114" s="11">
        <v>0.72</v>
      </c>
      <c r="L114" s="8" t="s">
        <v>2785</v>
      </c>
      <c r="M114" s="8">
        <v>1148.0</v>
      </c>
      <c r="N114" s="11">
        <v>34.151</v>
      </c>
      <c r="O114" s="8" t="s">
        <v>2683</v>
      </c>
      <c r="P114" s="11">
        <v>0.4237</v>
      </c>
      <c r="Q114" s="12">
        <v>2081041.0</v>
      </c>
      <c r="R114" s="12">
        <v>5.6025675076E10</v>
      </c>
      <c r="S114" s="13">
        <v>5.9268</v>
      </c>
      <c r="T114" s="8" t="s">
        <v>2620</v>
      </c>
      <c r="U114" s="14">
        <f>IFERROR(__xludf.DUMMYFUNCTION("IFERROR(GOOGLEFINANCE(B114,""price""),"""")"),238.82)</f>
        <v>238.82</v>
      </c>
    </row>
    <row r="115">
      <c r="A115" s="15">
        <v>46050.626992522324</v>
      </c>
      <c r="B115" s="16" t="s">
        <v>1626</v>
      </c>
      <c r="C115" s="16" t="s">
        <v>1627</v>
      </c>
      <c r="D115" s="17">
        <v>46054.0</v>
      </c>
      <c r="E115" s="18">
        <v>44.4</v>
      </c>
      <c r="F115" s="16" t="s">
        <v>917</v>
      </c>
      <c r="G115" s="17">
        <v>46073.0</v>
      </c>
      <c r="H115" s="18">
        <v>45.0</v>
      </c>
      <c r="I115" s="16">
        <v>1104.0</v>
      </c>
      <c r="J115" s="16" t="s">
        <v>2608</v>
      </c>
      <c r="K115" s="19">
        <v>1.35</v>
      </c>
      <c r="L115" s="16" t="s">
        <v>2841</v>
      </c>
      <c r="M115" s="16">
        <v>1104.0</v>
      </c>
      <c r="N115" s="19">
        <v>25.2905</v>
      </c>
      <c r="O115" s="16" t="s">
        <v>1628</v>
      </c>
      <c r="P115" s="19">
        <v>0.0225</v>
      </c>
      <c r="Q115" s="20">
        <v>3385216.0</v>
      </c>
      <c r="R115" s="20">
        <v>2.1187481068E10</v>
      </c>
      <c r="S115" s="21">
        <v>0.7123</v>
      </c>
      <c r="T115" s="16" t="s">
        <v>2620</v>
      </c>
      <c r="U115" s="22">
        <f>IFERROR(__xludf.DUMMYFUNCTION("IFERROR(GOOGLEFINANCE(B115,""price""),"""")"),48.05)</f>
        <v>48.05</v>
      </c>
    </row>
    <row r="116">
      <c r="A116" s="7">
        <v>46050.626992522324</v>
      </c>
      <c r="B116" s="8" t="s">
        <v>2787</v>
      </c>
      <c r="C116" s="8" t="s">
        <v>2788</v>
      </c>
      <c r="D116" s="9">
        <v>46054.0</v>
      </c>
      <c r="E116" s="10">
        <v>178.805</v>
      </c>
      <c r="F116" s="8" t="s">
        <v>286</v>
      </c>
      <c r="G116" s="9">
        <v>46052.0</v>
      </c>
      <c r="H116" s="10">
        <v>180.0</v>
      </c>
      <c r="I116" s="8">
        <v>1049.0</v>
      </c>
      <c r="J116" s="8" t="s">
        <v>2608</v>
      </c>
      <c r="K116" s="11">
        <v>0.67</v>
      </c>
      <c r="L116" s="8" t="s">
        <v>2842</v>
      </c>
      <c r="M116" s="8">
        <v>1049.0</v>
      </c>
      <c r="N116" s="11">
        <v>24.3009</v>
      </c>
      <c r="O116" s="8" t="s">
        <v>2790</v>
      </c>
      <c r="P116" s="11">
        <v>-0.0419</v>
      </c>
      <c r="Q116" s="12">
        <v>3108387.0</v>
      </c>
      <c r="R116" s="12">
        <v>2.78334807149E11</v>
      </c>
      <c r="S116" s="13">
        <v>3.8391</v>
      </c>
      <c r="T116" s="8" t="s">
        <v>2620</v>
      </c>
      <c r="U116" s="14">
        <f>IFERROR(__xludf.DUMMYFUNCTION("IFERROR(GOOGLEFINANCE(B116,""price""),"""")"),160.45)</f>
        <v>160.45</v>
      </c>
    </row>
    <row r="117">
      <c r="A117" s="15">
        <v>46050.626992522324</v>
      </c>
      <c r="B117" s="16" t="s">
        <v>2843</v>
      </c>
      <c r="C117" s="16" t="s">
        <v>2844</v>
      </c>
      <c r="D117" s="17">
        <v>46054.0</v>
      </c>
      <c r="E117" s="18">
        <v>199.17</v>
      </c>
      <c r="F117" s="16" t="s">
        <v>308</v>
      </c>
      <c r="G117" s="17">
        <v>46052.0</v>
      </c>
      <c r="H117" s="18">
        <v>200.0</v>
      </c>
      <c r="I117" s="16">
        <v>1023.0</v>
      </c>
      <c r="J117" s="16" t="s">
        <v>2608</v>
      </c>
      <c r="K117" s="19">
        <v>0.42</v>
      </c>
      <c r="L117" s="16" t="s">
        <v>2845</v>
      </c>
      <c r="M117" s="16">
        <v>1023.0</v>
      </c>
      <c r="N117" s="19">
        <v>46.5665</v>
      </c>
      <c r="O117" s="16" t="s">
        <v>2846</v>
      </c>
      <c r="P117" s="19">
        <v>-1.0483</v>
      </c>
      <c r="Q117" s="20">
        <v>4937867.0</v>
      </c>
      <c r="R117" s="20">
        <v>2.67041552175E11</v>
      </c>
      <c r="S117" s="21">
        <v>4.451</v>
      </c>
      <c r="T117" s="16" t="s">
        <v>2620</v>
      </c>
      <c r="U117" s="22">
        <f>IFERROR(__xludf.DUMMYFUNCTION("IFERROR(GOOGLEFINANCE(B117,""price""),"""")"),201.56)</f>
        <v>201.56</v>
      </c>
    </row>
    <row r="118">
      <c r="A118" s="7">
        <v>46050.626992522324</v>
      </c>
      <c r="B118" s="8" t="s">
        <v>2742</v>
      </c>
      <c r="C118" s="8" t="s">
        <v>2743</v>
      </c>
      <c r="D118" s="9">
        <v>46054.0</v>
      </c>
      <c r="E118" s="10">
        <v>158.37</v>
      </c>
      <c r="F118" s="8" t="s">
        <v>149</v>
      </c>
      <c r="G118" s="9">
        <v>46073.0</v>
      </c>
      <c r="H118" s="10">
        <v>160.0</v>
      </c>
      <c r="I118" s="8">
        <v>1013.0</v>
      </c>
      <c r="J118" s="8" t="s">
        <v>2608</v>
      </c>
      <c r="K118" s="11">
        <v>1.03</v>
      </c>
      <c r="L118" s="8" t="s">
        <v>2791</v>
      </c>
      <c r="M118" s="8">
        <v>1013.0</v>
      </c>
      <c r="N118" s="11">
        <v>24.6302</v>
      </c>
      <c r="O118" s="8" t="s">
        <v>2745</v>
      </c>
      <c r="P118" s="11">
        <v>0.6866</v>
      </c>
      <c r="Q118" s="12">
        <v>2786257.0</v>
      </c>
      <c r="R118" s="12">
        <v>7.036570962E9</v>
      </c>
      <c r="S118" s="13">
        <v>6.8168</v>
      </c>
      <c r="T118" s="8" t="s">
        <v>2620</v>
      </c>
      <c r="U118" s="14">
        <f>IFERROR(__xludf.DUMMYFUNCTION("IFERROR(GOOGLEFINANCE(B118,""price""),"""")"),155.13)</f>
        <v>155.13</v>
      </c>
    </row>
    <row r="119">
      <c r="A119" s="7">
        <v>46050.650707055334</v>
      </c>
      <c r="B119" s="8" t="s">
        <v>2612</v>
      </c>
      <c r="C119" s="8" t="s">
        <v>2613</v>
      </c>
      <c r="D119" s="9">
        <v>46054.0</v>
      </c>
      <c r="E119" s="10">
        <v>252.74</v>
      </c>
      <c r="F119" s="8" t="s">
        <v>308</v>
      </c>
      <c r="G119" s="9">
        <v>46052.0</v>
      </c>
      <c r="H119" s="10">
        <v>250.0</v>
      </c>
      <c r="I119" s="8">
        <v>7176.0</v>
      </c>
      <c r="J119" s="8" t="s">
        <v>2627</v>
      </c>
      <c r="K119" s="11">
        <v>1.08</v>
      </c>
      <c r="L119" s="8" t="s">
        <v>2792</v>
      </c>
      <c r="M119" s="8">
        <v>35615.0</v>
      </c>
      <c r="N119" s="11">
        <v>25.5808</v>
      </c>
      <c r="O119" s="8" t="s">
        <v>2615</v>
      </c>
      <c r="P119" s="11">
        <v>0.2817</v>
      </c>
      <c r="Q119" s="12">
        <v>2.6434803E7</v>
      </c>
      <c r="R119" s="12">
        <v>4.11471207704E11</v>
      </c>
      <c r="S119" s="13">
        <v>10.0638</v>
      </c>
      <c r="T119" s="8" t="s">
        <v>2611</v>
      </c>
      <c r="U119" s="14">
        <f>IFERROR(__xludf.DUMMYFUNCTION("IFERROR(GOOGLEFINANCE(B119,""price""),"""")"),245.04)</f>
        <v>245.04</v>
      </c>
    </row>
    <row r="120">
      <c r="A120" s="15">
        <v>46050.650707055334</v>
      </c>
      <c r="B120" s="16" t="s">
        <v>2606</v>
      </c>
      <c r="C120" s="16" t="s">
        <v>2607</v>
      </c>
      <c r="D120" s="17">
        <v>46054.0</v>
      </c>
      <c r="E120" s="18">
        <v>49.69</v>
      </c>
      <c r="F120" s="16" t="s">
        <v>93</v>
      </c>
      <c r="G120" s="17">
        <v>46073.0</v>
      </c>
      <c r="H120" s="18">
        <v>50.0</v>
      </c>
      <c r="I120" s="16">
        <v>28727.0</v>
      </c>
      <c r="J120" s="16" t="s">
        <v>2608</v>
      </c>
      <c r="K120" s="19">
        <v>0.62</v>
      </c>
      <c r="L120" s="16" t="s">
        <v>2793</v>
      </c>
      <c r="M120" s="16">
        <v>33290.0</v>
      </c>
      <c r="N120" s="19">
        <v>39.9865</v>
      </c>
      <c r="O120" s="16" t="s">
        <v>2610</v>
      </c>
      <c r="P120" s="19">
        <v>-2.262</v>
      </c>
      <c r="Q120" s="20">
        <v>1.2971997E7</v>
      </c>
      <c r="R120" s="20">
        <v>3.2847313168E10</v>
      </c>
      <c r="S120" s="21">
        <v>1.2501</v>
      </c>
      <c r="T120" s="16" t="s">
        <v>2620</v>
      </c>
      <c r="U120" s="22">
        <f>IFERROR(__xludf.DUMMYFUNCTION("IFERROR(GOOGLEFINANCE(B120,""price""),"""")"),49.31)</f>
        <v>49.31</v>
      </c>
    </row>
    <row r="121">
      <c r="A121" s="7">
        <v>46050.650707055334</v>
      </c>
      <c r="B121" s="8" t="s">
        <v>2616</v>
      </c>
      <c r="C121" s="8" t="s">
        <v>2617</v>
      </c>
      <c r="D121" s="9">
        <v>46054.0</v>
      </c>
      <c r="E121" s="10">
        <v>73.06</v>
      </c>
      <c r="F121" s="8" t="s">
        <v>286</v>
      </c>
      <c r="G121" s="9">
        <v>46052.0</v>
      </c>
      <c r="H121" s="10">
        <v>73.0</v>
      </c>
      <c r="I121" s="8">
        <v>8158.0</v>
      </c>
      <c r="J121" s="8" t="s">
        <v>2608</v>
      </c>
      <c r="K121" s="11">
        <v>0.08</v>
      </c>
      <c r="L121" s="8" t="s">
        <v>2847</v>
      </c>
      <c r="M121" s="8">
        <v>21667.0</v>
      </c>
      <c r="N121" s="11">
        <v>24.5678</v>
      </c>
      <c r="O121" s="8" t="s">
        <v>2619</v>
      </c>
      <c r="P121" s="11">
        <v>-0.6662</v>
      </c>
      <c r="Q121" s="12">
        <v>1.4154659E7</v>
      </c>
      <c r="R121" s="12">
        <v>3.14275558304E11</v>
      </c>
      <c r="S121" s="13">
        <v>1.0243</v>
      </c>
      <c r="T121" s="8" t="s">
        <v>2611</v>
      </c>
      <c r="U121" s="14">
        <f>IFERROR(__xludf.DUMMYFUNCTION("IFERROR(GOOGLEFINANCE(B121,""price""),"""")"),77.47)</f>
        <v>77.47</v>
      </c>
    </row>
    <row r="122">
      <c r="A122" s="15">
        <v>46050.650707055334</v>
      </c>
      <c r="B122" s="16" t="s">
        <v>2625</v>
      </c>
      <c r="C122" s="16" t="s">
        <v>2626</v>
      </c>
      <c r="D122" s="17">
        <v>46054.0</v>
      </c>
      <c r="E122" s="18">
        <v>116.57</v>
      </c>
      <c r="F122" s="16" t="s">
        <v>137</v>
      </c>
      <c r="G122" s="17">
        <v>46052.0</v>
      </c>
      <c r="H122" s="18">
        <v>115.0</v>
      </c>
      <c r="I122" s="16">
        <v>4016.0</v>
      </c>
      <c r="J122" s="16" t="s">
        <v>2627</v>
      </c>
      <c r="K122" s="19">
        <v>1.35</v>
      </c>
      <c r="L122" s="16" t="s">
        <v>2795</v>
      </c>
      <c r="M122" s="16">
        <v>18650.0</v>
      </c>
      <c r="N122" s="19">
        <v>19.8814</v>
      </c>
      <c r="O122" s="16" t="s">
        <v>2629</v>
      </c>
      <c r="P122" s="19">
        <v>-0.3164</v>
      </c>
      <c r="Q122" s="20">
        <v>1.6285133E7</v>
      </c>
      <c r="R122" s="20">
        <v>9.29082385676E11</v>
      </c>
      <c r="S122" s="21">
        <v>2.2746</v>
      </c>
      <c r="T122" s="16" t="s">
        <v>2611</v>
      </c>
      <c r="U122" s="22">
        <f>IFERROR(__xludf.DUMMYFUNCTION("IFERROR(GOOGLEFINANCE(B122,""price""),"""")"),126.79)</f>
        <v>126.79</v>
      </c>
    </row>
    <row r="123">
      <c r="A123" s="7">
        <v>46050.650707055334</v>
      </c>
      <c r="B123" s="8" t="s">
        <v>2704</v>
      </c>
      <c r="C123" s="8" t="s">
        <v>2705</v>
      </c>
      <c r="D123" s="9">
        <v>46054.0</v>
      </c>
      <c r="E123" s="10">
        <v>40.22</v>
      </c>
      <c r="F123" s="8" t="s">
        <v>88</v>
      </c>
      <c r="G123" s="9">
        <v>46052.0</v>
      </c>
      <c r="H123" s="10">
        <v>40.0</v>
      </c>
      <c r="I123" s="8">
        <v>6711.0</v>
      </c>
      <c r="J123" s="8" t="s">
        <v>2608</v>
      </c>
      <c r="K123" s="11">
        <v>0.55</v>
      </c>
      <c r="L123" s="8" t="s">
        <v>2796</v>
      </c>
      <c r="M123" s="8">
        <v>14290.0</v>
      </c>
      <c r="N123" s="11">
        <v>28.1091</v>
      </c>
      <c r="O123" s="8" t="s">
        <v>2707</v>
      </c>
      <c r="P123" s="11">
        <v>-2.7328</v>
      </c>
      <c r="Q123" s="12">
        <v>3.0099804E7</v>
      </c>
      <c r="R123" s="12">
        <v>1.1244941081E10</v>
      </c>
      <c r="S123" s="13">
        <v>3.6133</v>
      </c>
      <c r="T123" s="8" t="s">
        <v>2611</v>
      </c>
      <c r="U123" s="14">
        <f>IFERROR(__xludf.DUMMYFUNCTION("IFERROR(GOOGLEFINANCE(B123,""price""),"""")"),26.24)</f>
        <v>26.24</v>
      </c>
    </row>
    <row r="124">
      <c r="A124" s="15">
        <v>46050.650707055334</v>
      </c>
      <c r="B124" s="16" t="s">
        <v>2646</v>
      </c>
      <c r="C124" s="16" t="s">
        <v>2647</v>
      </c>
      <c r="D124" s="17">
        <v>46054.0</v>
      </c>
      <c r="E124" s="18">
        <v>33.46</v>
      </c>
      <c r="F124" s="16" t="s">
        <v>270</v>
      </c>
      <c r="G124" s="17">
        <v>46052.0</v>
      </c>
      <c r="H124" s="18">
        <v>34.0</v>
      </c>
      <c r="I124" s="16">
        <v>4785.0</v>
      </c>
      <c r="J124" s="16" t="s">
        <v>2608</v>
      </c>
      <c r="K124" s="19">
        <v>1.61</v>
      </c>
      <c r="L124" s="16" t="s">
        <v>2797</v>
      </c>
      <c r="M124" s="16">
        <v>12318.0</v>
      </c>
      <c r="N124" s="19">
        <v>27.5278</v>
      </c>
      <c r="O124" s="16" t="s">
        <v>2649</v>
      </c>
      <c r="P124" s="19">
        <v>0.8743</v>
      </c>
      <c r="Q124" s="20">
        <v>4841609.0</v>
      </c>
      <c r="R124" s="20">
        <v>7.2384718167E10</v>
      </c>
      <c r="S124" s="21">
        <v>0.426</v>
      </c>
      <c r="T124" s="16" t="s">
        <v>2620</v>
      </c>
      <c r="U124" s="22">
        <f>IFERROR(__xludf.DUMMYFUNCTION("IFERROR(GOOGLEFINANCE(B124,""price""),"""")"),37.35)</f>
        <v>37.35</v>
      </c>
    </row>
    <row r="125">
      <c r="A125" s="7">
        <v>46050.650707055334</v>
      </c>
      <c r="B125" s="8" t="s">
        <v>2638</v>
      </c>
      <c r="C125" s="8" t="s">
        <v>2639</v>
      </c>
      <c r="D125" s="9">
        <v>46054.0</v>
      </c>
      <c r="E125" s="10">
        <v>137.58</v>
      </c>
      <c r="F125" s="8" t="s">
        <v>245</v>
      </c>
      <c r="G125" s="9">
        <v>46052.0</v>
      </c>
      <c r="H125" s="10">
        <v>135.0</v>
      </c>
      <c r="I125" s="8">
        <v>5085.0</v>
      </c>
      <c r="J125" s="8" t="s">
        <v>2608</v>
      </c>
      <c r="K125" s="11">
        <v>1.88</v>
      </c>
      <c r="L125" s="8" t="s">
        <v>2798</v>
      </c>
      <c r="M125" s="8">
        <v>12263.0</v>
      </c>
      <c r="N125" s="11">
        <v>41.4553</v>
      </c>
      <c r="O125" s="8" t="s">
        <v>2641</v>
      </c>
      <c r="P125" s="11">
        <v>0.5481</v>
      </c>
      <c r="Q125" s="12">
        <v>1.539216E7</v>
      </c>
      <c r="R125" s="12">
        <v>5.80197641016E11</v>
      </c>
      <c r="S125" s="13">
        <v>2.4407</v>
      </c>
      <c r="T125" s="8" t="s">
        <v>2611</v>
      </c>
      <c r="U125" s="14">
        <f>IFERROR(__xludf.DUMMYFUNCTION("IFERROR(GOOGLEFINANCE(B125,""price""),"""")"),152.51)</f>
        <v>152.51</v>
      </c>
    </row>
    <row r="126">
      <c r="A126" s="15">
        <v>46050.650707055334</v>
      </c>
      <c r="B126" s="16" t="s">
        <v>2634</v>
      </c>
      <c r="C126" s="16" t="s">
        <v>2635</v>
      </c>
      <c r="D126" s="17">
        <v>46054.0</v>
      </c>
      <c r="E126" s="18">
        <v>169.93</v>
      </c>
      <c r="F126" s="16" t="s">
        <v>245</v>
      </c>
      <c r="G126" s="17">
        <v>46052.0</v>
      </c>
      <c r="H126" s="18">
        <v>170.0</v>
      </c>
      <c r="I126" s="16">
        <v>6252.0</v>
      </c>
      <c r="J126" s="16" t="s">
        <v>2608</v>
      </c>
      <c r="K126" s="19">
        <v>0.04</v>
      </c>
      <c r="L126" s="16" t="s">
        <v>2799</v>
      </c>
      <c r="M126" s="16">
        <v>9922.0</v>
      </c>
      <c r="N126" s="19">
        <v>40.7832</v>
      </c>
      <c r="O126" s="16" t="s">
        <v>2637</v>
      </c>
      <c r="P126" s="19">
        <v>0.5206</v>
      </c>
      <c r="Q126" s="20">
        <v>9176304.0</v>
      </c>
      <c r="R126" s="20">
        <v>3.4215773276E11</v>
      </c>
      <c r="S126" s="21">
        <v>2.8885</v>
      </c>
      <c r="T126" s="16" t="s">
        <v>2620</v>
      </c>
      <c r="U126" s="22">
        <f>IFERROR(__xludf.DUMMYFUNCTION("IFERROR(GOOGLEFINANCE(B126,""price""),"""")"),188.55)</f>
        <v>188.55</v>
      </c>
    </row>
    <row r="127">
      <c r="A127" s="7">
        <v>46050.650707055334</v>
      </c>
      <c r="B127" s="8" t="s">
        <v>2663</v>
      </c>
      <c r="C127" s="8" t="s">
        <v>2664</v>
      </c>
      <c r="D127" s="9">
        <v>46054.0</v>
      </c>
      <c r="E127" s="10">
        <v>131.95</v>
      </c>
      <c r="F127" s="8" t="s">
        <v>335</v>
      </c>
      <c r="G127" s="9">
        <v>46052.0</v>
      </c>
      <c r="H127" s="10">
        <v>133.0</v>
      </c>
      <c r="I127" s="8">
        <v>5282.0</v>
      </c>
      <c r="J127" s="8" t="s">
        <v>2608</v>
      </c>
      <c r="K127" s="11">
        <v>0.8</v>
      </c>
      <c r="L127" s="8" t="s">
        <v>2800</v>
      </c>
      <c r="M127" s="8">
        <v>8670.0</v>
      </c>
      <c r="N127" s="11">
        <v>40.6489</v>
      </c>
      <c r="O127" s="8" t="s">
        <v>2666</v>
      </c>
      <c r="P127" s="11">
        <v>3.8976</v>
      </c>
      <c r="Q127" s="12">
        <v>1.0354061E7</v>
      </c>
      <c r="R127" s="12">
        <v>1.43992144861E11</v>
      </c>
      <c r="S127" s="13">
        <v>4.0172</v>
      </c>
      <c r="T127" s="8" t="s">
        <v>2620</v>
      </c>
      <c r="U127" s="14">
        <f>IFERROR(__xludf.DUMMYFUNCTION("IFERROR(GOOGLEFINANCE(B127,""price""),"""")"),120.9)</f>
        <v>120.9</v>
      </c>
    </row>
    <row r="128">
      <c r="A128" s="15">
        <v>46050.650707055334</v>
      </c>
      <c r="B128" s="16" t="s">
        <v>1489</v>
      </c>
      <c r="C128" s="16" t="s">
        <v>1490</v>
      </c>
      <c r="D128" s="17">
        <v>46054.0</v>
      </c>
      <c r="E128" s="18">
        <v>78.96</v>
      </c>
      <c r="F128" s="16" t="s">
        <v>308</v>
      </c>
      <c r="G128" s="17">
        <v>46052.0</v>
      </c>
      <c r="H128" s="18">
        <v>78.0</v>
      </c>
      <c r="I128" s="16">
        <v>2974.0</v>
      </c>
      <c r="J128" s="16" t="s">
        <v>2608</v>
      </c>
      <c r="K128" s="19">
        <v>1.22</v>
      </c>
      <c r="L128" s="16" t="s">
        <v>2801</v>
      </c>
      <c r="M128" s="16">
        <v>7988.0</v>
      </c>
      <c r="N128" s="19">
        <v>21.6349</v>
      </c>
      <c r="O128" s="16" t="s">
        <v>1491</v>
      </c>
      <c r="P128" s="19">
        <v>0.3559</v>
      </c>
      <c r="Q128" s="20">
        <v>1.3927509E7</v>
      </c>
      <c r="R128" s="20">
        <v>3.11978421542E11</v>
      </c>
      <c r="S128" s="21">
        <v>1.4587</v>
      </c>
      <c r="T128" s="16" t="s">
        <v>2611</v>
      </c>
      <c r="U128" s="22">
        <f>IFERROR(__xludf.DUMMYFUNCTION("IFERROR(GOOGLEFINANCE(B128,""price""),"""")"),82.22)</f>
        <v>82.22</v>
      </c>
    </row>
    <row r="129">
      <c r="A129" s="7">
        <v>46050.650707055334</v>
      </c>
      <c r="B129" s="8" t="s">
        <v>2630</v>
      </c>
      <c r="C129" s="8" t="s">
        <v>2631</v>
      </c>
      <c r="D129" s="9">
        <v>46054.0</v>
      </c>
      <c r="E129" s="10">
        <v>435.28</v>
      </c>
      <c r="F129" s="8" t="s">
        <v>308</v>
      </c>
      <c r="G129" s="9">
        <v>46052.0</v>
      </c>
      <c r="H129" s="10">
        <v>430.0</v>
      </c>
      <c r="I129" s="8">
        <v>2815.0</v>
      </c>
      <c r="J129" s="8" t="s">
        <v>2608</v>
      </c>
      <c r="K129" s="11">
        <v>1.21</v>
      </c>
      <c r="L129" s="8" t="s">
        <v>2848</v>
      </c>
      <c r="M129" s="8">
        <v>7837.0</v>
      </c>
      <c r="N129" s="11">
        <v>39.2903</v>
      </c>
      <c r="O129" s="8" t="s">
        <v>2633</v>
      </c>
      <c r="P129" s="11">
        <v>6.1037</v>
      </c>
      <c r="Q129" s="12">
        <v>4.1043807E7</v>
      </c>
      <c r="R129" s="12">
        <v>4.8991166658E11</v>
      </c>
      <c r="S129" s="13">
        <v>19.3043</v>
      </c>
      <c r="T129" s="8" t="s">
        <v>2611</v>
      </c>
      <c r="U129" s="14">
        <f>IFERROR(__xludf.DUMMYFUNCTION("IFERROR(GOOGLEFINANCE(B129,""price""),"""")"),420.59)</f>
        <v>420.59</v>
      </c>
    </row>
    <row r="130">
      <c r="A130" s="15">
        <v>46050.650707055334</v>
      </c>
      <c r="B130" s="16" t="s">
        <v>2621</v>
      </c>
      <c r="C130" s="16" t="s">
        <v>2622</v>
      </c>
      <c r="D130" s="17">
        <v>46054.0</v>
      </c>
      <c r="E130" s="18">
        <v>63.63</v>
      </c>
      <c r="F130" s="16" t="s">
        <v>335</v>
      </c>
      <c r="G130" s="17">
        <v>46052.0</v>
      </c>
      <c r="H130" s="18">
        <v>63.0</v>
      </c>
      <c r="I130" s="16">
        <v>5266.0</v>
      </c>
      <c r="J130" s="16" t="s">
        <v>2608</v>
      </c>
      <c r="K130" s="19">
        <v>0.99</v>
      </c>
      <c r="L130" s="16" t="s">
        <v>2803</v>
      </c>
      <c r="M130" s="16">
        <v>7685.0</v>
      </c>
      <c r="N130" s="19">
        <v>43.6924</v>
      </c>
      <c r="O130" s="16" t="s">
        <v>2624</v>
      </c>
      <c r="P130" s="19">
        <v>1.2088</v>
      </c>
      <c r="Q130" s="20">
        <v>2.2525361E7</v>
      </c>
      <c r="R130" s="20">
        <v>9.1368266602E10</v>
      </c>
      <c r="S130" s="21">
        <v>2.1285</v>
      </c>
      <c r="T130" s="16" t="s">
        <v>2611</v>
      </c>
      <c r="U130" s="22">
        <f>IFERROR(__xludf.DUMMYFUNCTION("IFERROR(GOOGLEFINANCE(B130,""price""),"""")"),67.8)</f>
        <v>67.8</v>
      </c>
    </row>
    <row r="131">
      <c r="A131" s="7">
        <v>46050.650707055334</v>
      </c>
      <c r="B131" s="8" t="s">
        <v>2642</v>
      </c>
      <c r="C131" s="8" t="s">
        <v>2643</v>
      </c>
      <c r="D131" s="9">
        <v>46054.0</v>
      </c>
      <c r="E131" s="10">
        <v>174.38</v>
      </c>
      <c r="F131" s="8" t="s">
        <v>335</v>
      </c>
      <c r="G131" s="9">
        <v>46073.0</v>
      </c>
      <c r="H131" s="10">
        <v>175.0</v>
      </c>
      <c r="I131" s="8">
        <v>6449.0</v>
      </c>
      <c r="J131" s="8" t="s">
        <v>2608</v>
      </c>
      <c r="K131" s="11">
        <v>0.36</v>
      </c>
      <c r="L131" s="8" t="s">
        <v>2849</v>
      </c>
      <c r="M131" s="8">
        <v>7525.0</v>
      </c>
      <c r="N131" s="11">
        <v>21.8652</v>
      </c>
      <c r="O131" s="8" t="s">
        <v>2645</v>
      </c>
      <c r="P131" s="11">
        <v>-0.723</v>
      </c>
      <c r="Q131" s="12">
        <v>1286041.0</v>
      </c>
      <c r="R131" s="12">
        <v>2.5465559106E10</v>
      </c>
      <c r="S131" s="13">
        <v>5.2065</v>
      </c>
      <c r="T131" s="8" t="s">
        <v>2620</v>
      </c>
      <c r="U131" s="14">
        <f>IFERROR(__xludf.DUMMYFUNCTION("IFERROR(GOOGLEFINANCE(B131,""price""),"""")"),190.57)</f>
        <v>190.57</v>
      </c>
    </row>
    <row r="132">
      <c r="A132" s="15">
        <v>46050.650707055334</v>
      </c>
      <c r="B132" s="16" t="s">
        <v>2700</v>
      </c>
      <c r="C132" s="16" t="s">
        <v>2701</v>
      </c>
      <c r="D132" s="17">
        <v>46054.0</v>
      </c>
      <c r="E132" s="18">
        <v>239.58</v>
      </c>
      <c r="F132" s="16" t="s">
        <v>102</v>
      </c>
      <c r="G132" s="17">
        <v>46052.0</v>
      </c>
      <c r="H132" s="18">
        <v>237.5</v>
      </c>
      <c r="I132" s="16">
        <v>1567.0</v>
      </c>
      <c r="J132" s="16" t="s">
        <v>2608</v>
      </c>
      <c r="K132" s="19">
        <v>0.87</v>
      </c>
      <c r="L132" s="16" t="s">
        <v>2808</v>
      </c>
      <c r="M132" s="16">
        <v>5449.0</v>
      </c>
      <c r="N132" s="19">
        <v>40.255</v>
      </c>
      <c r="O132" s="16" t="s">
        <v>2703</v>
      </c>
      <c r="P132" s="19">
        <v>0.4697</v>
      </c>
      <c r="Q132" s="20">
        <v>1.4991156E7</v>
      </c>
      <c r="R132" s="20">
        <v>3.00919682891E11</v>
      </c>
      <c r="S132" s="21">
        <v>9.9656</v>
      </c>
      <c r="T132" s="16" t="s">
        <v>2611</v>
      </c>
      <c r="U132" s="22">
        <f>IFERROR(__xludf.DUMMYFUNCTION("IFERROR(GOOGLEFINANCE(B132,""price""),"""")"),263.66)</f>
        <v>263.66</v>
      </c>
    </row>
    <row r="133">
      <c r="A133" s="7">
        <v>46050.650707055334</v>
      </c>
      <c r="B133" s="8" t="s">
        <v>2804</v>
      </c>
      <c r="C133" s="8" t="s">
        <v>2805</v>
      </c>
      <c r="D133" s="9">
        <v>46054.0</v>
      </c>
      <c r="E133" s="10">
        <v>104.28</v>
      </c>
      <c r="F133" s="8" t="s">
        <v>308</v>
      </c>
      <c r="G133" s="9">
        <v>46052.0</v>
      </c>
      <c r="H133" s="10">
        <v>105.0</v>
      </c>
      <c r="I133" s="8">
        <v>2795.0</v>
      </c>
      <c r="J133" s="8" t="s">
        <v>2608</v>
      </c>
      <c r="K133" s="11">
        <v>0.69</v>
      </c>
      <c r="L133" s="8" t="s">
        <v>2806</v>
      </c>
      <c r="M133" s="8">
        <v>4574.0</v>
      </c>
      <c r="N133" s="11">
        <v>28.6099</v>
      </c>
      <c r="O133" s="8" t="s">
        <v>2807</v>
      </c>
      <c r="P133" s="11">
        <v>-4.9754</v>
      </c>
      <c r="Q133" s="12">
        <v>1.8442108E7</v>
      </c>
      <c r="R133" s="12">
        <v>8.9405535721E10</v>
      </c>
      <c r="S133" s="13">
        <v>4.579</v>
      </c>
      <c r="T133" s="8" t="s">
        <v>2620</v>
      </c>
      <c r="U133" s="14">
        <f>IFERROR(__xludf.DUMMYFUNCTION("IFERROR(GOOGLEFINANCE(B133,""price""),"""")"),171.24)</f>
        <v>171.24</v>
      </c>
    </row>
    <row r="134">
      <c r="A134" s="15">
        <v>46050.650707055334</v>
      </c>
      <c r="B134" s="16" t="s">
        <v>2654</v>
      </c>
      <c r="C134" s="16" t="s">
        <v>2655</v>
      </c>
      <c r="D134" s="17">
        <v>46054.0</v>
      </c>
      <c r="E134" s="18">
        <v>39.79</v>
      </c>
      <c r="F134" s="16" t="s">
        <v>917</v>
      </c>
      <c r="G134" s="17">
        <v>46073.0</v>
      </c>
      <c r="H134" s="18">
        <v>40.0</v>
      </c>
      <c r="I134" s="16">
        <v>4474.0</v>
      </c>
      <c r="J134" s="16" t="s">
        <v>2608</v>
      </c>
      <c r="K134" s="19">
        <v>0.53</v>
      </c>
      <c r="L134" s="16" t="s">
        <v>2757</v>
      </c>
      <c r="M134" s="16">
        <v>4474.0</v>
      </c>
      <c r="N134" s="19">
        <v>19.0785</v>
      </c>
      <c r="O134" s="16" t="s">
        <v>2657</v>
      </c>
      <c r="P134" s="19">
        <v>-0.1004</v>
      </c>
      <c r="Q134" s="20">
        <v>4850989.0</v>
      </c>
      <c r="R134" s="20">
        <v>2.5977627871E10</v>
      </c>
      <c r="S134" s="21">
        <v>0.5963</v>
      </c>
      <c r="T134" s="16" t="s">
        <v>2620</v>
      </c>
      <c r="U134" s="22">
        <f>IFERROR(__xludf.DUMMYFUNCTION("IFERROR(GOOGLEFINANCE(B134,""price""),"""")"),43.39)</f>
        <v>43.39</v>
      </c>
    </row>
    <row r="135">
      <c r="A135" s="7">
        <v>46050.650707055334</v>
      </c>
      <c r="B135" s="8" t="s">
        <v>2735</v>
      </c>
      <c r="C135" s="8" t="s">
        <v>2736</v>
      </c>
      <c r="D135" s="9">
        <v>46054.0</v>
      </c>
      <c r="E135" s="10">
        <v>27.19</v>
      </c>
      <c r="F135" s="8" t="s">
        <v>335</v>
      </c>
      <c r="G135" s="9">
        <v>46052.0</v>
      </c>
      <c r="H135" s="10">
        <v>27.5</v>
      </c>
      <c r="I135" s="8">
        <v>2435.0</v>
      </c>
      <c r="J135" s="8" t="s">
        <v>2627</v>
      </c>
      <c r="K135" s="11">
        <v>1.14</v>
      </c>
      <c r="L135" s="8" t="s">
        <v>2809</v>
      </c>
      <c r="M135" s="8">
        <v>3480.0</v>
      </c>
      <c r="N135" s="11">
        <v>46.5877</v>
      </c>
      <c r="O135" s="8" t="s">
        <v>2738</v>
      </c>
      <c r="P135" s="11">
        <v>-3.9562</v>
      </c>
      <c r="Q135" s="12">
        <v>3.7303283E7</v>
      </c>
      <c r="R135" s="12">
        <v>1.8219983142E10</v>
      </c>
      <c r="S135" s="13">
        <v>1.9703</v>
      </c>
      <c r="T135" s="8" t="s">
        <v>2620</v>
      </c>
      <c r="U135" s="14">
        <f>IFERROR(__xludf.DUMMYFUNCTION("IFERROR(GOOGLEFINANCE(B135,""price""),"""")"),19.46)</f>
        <v>19.46</v>
      </c>
    </row>
    <row r="136">
      <c r="A136" s="15">
        <v>46050.650707055334</v>
      </c>
      <c r="B136" s="16" t="s">
        <v>1570</v>
      </c>
      <c r="C136" s="16" t="s">
        <v>1571</v>
      </c>
      <c r="D136" s="17">
        <v>46054.0</v>
      </c>
      <c r="E136" s="18">
        <v>47.41</v>
      </c>
      <c r="F136" s="16" t="s">
        <v>917</v>
      </c>
      <c r="G136" s="17">
        <v>46073.0</v>
      </c>
      <c r="H136" s="18">
        <v>48.0</v>
      </c>
      <c r="I136" s="16">
        <v>2064.0</v>
      </c>
      <c r="J136" s="16" t="s">
        <v>2608</v>
      </c>
      <c r="K136" s="19">
        <v>1.24</v>
      </c>
      <c r="L136" s="16" t="s">
        <v>2810</v>
      </c>
      <c r="M136" s="16">
        <v>3096.0</v>
      </c>
      <c r="N136" s="19">
        <v>29.2024</v>
      </c>
      <c r="O136" s="16" t="s">
        <v>1572</v>
      </c>
      <c r="P136" s="19">
        <v>-0.2315</v>
      </c>
      <c r="Q136" s="20">
        <v>3724541.0</v>
      </c>
      <c r="R136" s="20">
        <v>2.7387125809E10</v>
      </c>
      <c r="S136" s="21">
        <v>0.7157</v>
      </c>
      <c r="T136" s="16" t="s">
        <v>2620</v>
      </c>
      <c r="U136" s="22">
        <f>IFERROR(__xludf.DUMMYFUNCTION("IFERROR(GOOGLEFINANCE(B136,""price""),"""")"),51.43)</f>
        <v>51.43</v>
      </c>
    </row>
    <row r="137">
      <c r="A137" s="7">
        <v>46050.650707055334</v>
      </c>
      <c r="B137" s="8" t="s">
        <v>2658</v>
      </c>
      <c r="C137" s="8" t="s">
        <v>2659</v>
      </c>
      <c r="D137" s="9">
        <v>46054.0</v>
      </c>
      <c r="E137" s="10">
        <v>87.57</v>
      </c>
      <c r="F137" s="8" t="s">
        <v>917</v>
      </c>
      <c r="G137" s="9">
        <v>46052.0</v>
      </c>
      <c r="H137" s="10">
        <v>87.0</v>
      </c>
      <c r="I137" s="8">
        <v>1438.0</v>
      </c>
      <c r="J137" s="8" t="s">
        <v>2608</v>
      </c>
      <c r="K137" s="11">
        <v>0.65</v>
      </c>
      <c r="L137" s="8" t="s">
        <v>2811</v>
      </c>
      <c r="M137" s="8">
        <v>2865.0</v>
      </c>
      <c r="N137" s="11">
        <v>26.6021</v>
      </c>
      <c r="O137" s="8" t="s">
        <v>2661</v>
      </c>
      <c r="P137" s="11">
        <v>0.4819</v>
      </c>
      <c r="Q137" s="12">
        <v>8176817.0</v>
      </c>
      <c r="R137" s="12">
        <v>1.82374127541E11</v>
      </c>
      <c r="S137" s="13">
        <v>1.7151</v>
      </c>
      <c r="T137" s="8" t="s">
        <v>2611</v>
      </c>
      <c r="U137" s="14">
        <f>IFERROR(__xludf.DUMMYFUNCTION("IFERROR(GOOGLEFINANCE(B137,""price""),"""")"),94.08)</f>
        <v>94.08</v>
      </c>
    </row>
    <row r="138">
      <c r="A138" s="15">
        <v>46050.650707055334</v>
      </c>
      <c r="B138" s="16" t="s">
        <v>2668</v>
      </c>
      <c r="C138" s="16" t="s">
        <v>2669</v>
      </c>
      <c r="D138" s="17">
        <v>46054.0</v>
      </c>
      <c r="E138" s="18">
        <v>50.96</v>
      </c>
      <c r="F138" s="16" t="s">
        <v>308</v>
      </c>
      <c r="G138" s="17">
        <v>46073.0</v>
      </c>
      <c r="H138" s="18">
        <v>50.0</v>
      </c>
      <c r="I138" s="16">
        <v>2786.0</v>
      </c>
      <c r="J138" s="16" t="s">
        <v>2627</v>
      </c>
      <c r="K138" s="19">
        <v>1.88</v>
      </c>
      <c r="L138" s="16" t="s">
        <v>2765</v>
      </c>
      <c r="M138" s="16">
        <v>2786.0</v>
      </c>
      <c r="N138" s="19">
        <v>29.9531</v>
      </c>
      <c r="O138" s="16" t="s">
        <v>2671</v>
      </c>
      <c r="P138" s="19">
        <v>0.4336</v>
      </c>
      <c r="Q138" s="20">
        <v>2908010.0</v>
      </c>
      <c r="R138" s="20">
        <v>1.2596977899E10</v>
      </c>
      <c r="S138" s="21">
        <v>2.8133</v>
      </c>
      <c r="T138" s="16" t="s">
        <v>2611</v>
      </c>
      <c r="U138" s="22">
        <f>IFERROR(__xludf.DUMMYFUNCTION("IFERROR(GOOGLEFINANCE(B138,""price""),"""")"),57.96)</f>
        <v>57.96</v>
      </c>
    </row>
    <row r="139">
      <c r="A139" s="7">
        <v>46050.650707055334</v>
      </c>
      <c r="B139" s="8" t="s">
        <v>2812</v>
      </c>
      <c r="C139" s="8" t="s">
        <v>2813</v>
      </c>
      <c r="D139" s="9">
        <v>46054.0</v>
      </c>
      <c r="E139" s="10">
        <v>442.93</v>
      </c>
      <c r="F139" s="8" t="s">
        <v>308</v>
      </c>
      <c r="G139" s="9">
        <v>46052.0</v>
      </c>
      <c r="H139" s="10">
        <v>450.0</v>
      </c>
      <c r="I139" s="8">
        <v>1365.0</v>
      </c>
      <c r="J139" s="8" t="s">
        <v>2608</v>
      </c>
      <c r="K139" s="11">
        <v>1.6</v>
      </c>
      <c r="L139" s="8" t="s">
        <v>2814</v>
      </c>
      <c r="M139" s="8">
        <v>2419.0</v>
      </c>
      <c r="N139" s="11">
        <v>31.5847</v>
      </c>
      <c r="O139" s="8" t="s">
        <v>2815</v>
      </c>
      <c r="P139" s="11">
        <v>19.1441</v>
      </c>
      <c r="Q139" s="12">
        <v>1.4596195E7</v>
      </c>
      <c r="R139" s="12">
        <v>9.4591294141E10</v>
      </c>
      <c r="S139" s="13">
        <v>23.2655</v>
      </c>
      <c r="T139" s="8" t="s">
        <v>2620</v>
      </c>
      <c r="U139" s="14">
        <f>IFERROR(__xludf.DUMMYFUNCTION("IFERROR(GOOGLEFINANCE(B139,""price""),"""")"),503.13)</f>
        <v>503.13</v>
      </c>
    </row>
    <row r="140">
      <c r="A140" s="15">
        <v>46050.650707055334</v>
      </c>
      <c r="B140" s="16" t="s">
        <v>2672</v>
      </c>
      <c r="C140" s="16" t="s">
        <v>2673</v>
      </c>
      <c r="D140" s="17">
        <v>46054.0</v>
      </c>
      <c r="E140" s="18">
        <v>44.63</v>
      </c>
      <c r="F140" s="16" t="s">
        <v>107</v>
      </c>
      <c r="G140" s="17">
        <v>46073.0</v>
      </c>
      <c r="H140" s="18">
        <v>45.0</v>
      </c>
      <c r="I140" s="16">
        <v>2349.0</v>
      </c>
      <c r="J140" s="16" t="s">
        <v>2608</v>
      </c>
      <c r="K140" s="19">
        <v>0.83</v>
      </c>
      <c r="L140" s="16" t="s">
        <v>2816</v>
      </c>
      <c r="M140" s="16">
        <v>2349.0</v>
      </c>
      <c r="N140" s="19">
        <v>32.7309</v>
      </c>
      <c r="O140" s="16" t="s">
        <v>2675</v>
      </c>
      <c r="P140" s="19">
        <v>0.0448</v>
      </c>
      <c r="Q140" s="20">
        <v>3380469.0</v>
      </c>
      <c r="R140" s="20">
        <v>1.8698868398E10</v>
      </c>
      <c r="S140" s="21">
        <v>0.9463</v>
      </c>
      <c r="T140" s="16" t="s">
        <v>2620</v>
      </c>
      <c r="U140" s="22">
        <f>IFERROR(__xludf.DUMMYFUNCTION("IFERROR(GOOGLEFINANCE(B140,""price""),"""")"),47.25)</f>
        <v>47.25</v>
      </c>
    </row>
    <row r="141">
      <c r="A141" s="7">
        <v>46050.650707055334</v>
      </c>
      <c r="B141" s="8" t="s">
        <v>2676</v>
      </c>
      <c r="C141" s="8" t="s">
        <v>2677</v>
      </c>
      <c r="D141" s="9">
        <v>46054.0</v>
      </c>
      <c r="E141" s="10">
        <v>27.86</v>
      </c>
      <c r="F141" s="8" t="s">
        <v>93</v>
      </c>
      <c r="G141" s="9">
        <v>46073.0</v>
      </c>
      <c r="H141" s="10">
        <v>28.0</v>
      </c>
      <c r="I141" s="8">
        <v>2300.0</v>
      </c>
      <c r="J141" s="8" t="s">
        <v>2608</v>
      </c>
      <c r="K141" s="11">
        <v>0.5</v>
      </c>
      <c r="L141" s="8" t="s">
        <v>2817</v>
      </c>
      <c r="M141" s="8">
        <v>2300.0</v>
      </c>
      <c r="N141" s="11">
        <v>19.5862</v>
      </c>
      <c r="O141" s="8" t="s">
        <v>2679</v>
      </c>
      <c r="P141" s="11">
        <v>-0.0359</v>
      </c>
      <c r="Q141" s="12">
        <v>1.3510978E7</v>
      </c>
      <c r="R141" s="12">
        <v>2.4429780746E10</v>
      </c>
      <c r="S141" s="13">
        <v>0.6398</v>
      </c>
      <c r="T141" s="8" t="s">
        <v>2620</v>
      </c>
      <c r="U141" s="14">
        <f>IFERROR(__xludf.DUMMYFUNCTION("IFERROR(GOOGLEFINANCE(B141,""price""),"""")"),27.5)</f>
        <v>27.5</v>
      </c>
    </row>
    <row r="142">
      <c r="A142" s="15">
        <v>46050.650707055334</v>
      </c>
      <c r="B142" s="16" t="s">
        <v>2818</v>
      </c>
      <c r="C142" s="16" t="s">
        <v>2819</v>
      </c>
      <c r="D142" s="17">
        <v>46054.0</v>
      </c>
      <c r="E142" s="18">
        <v>83.3</v>
      </c>
      <c r="F142" s="16" t="s">
        <v>88</v>
      </c>
      <c r="G142" s="17">
        <v>46073.0</v>
      </c>
      <c r="H142" s="18">
        <v>82.5</v>
      </c>
      <c r="I142" s="16">
        <v>1993.0</v>
      </c>
      <c r="J142" s="16" t="s">
        <v>2627</v>
      </c>
      <c r="K142" s="19">
        <v>0.96</v>
      </c>
      <c r="L142" s="16" t="s">
        <v>2820</v>
      </c>
      <c r="M142" s="16">
        <v>1993.0</v>
      </c>
      <c r="N142" s="19">
        <v>18.88</v>
      </c>
      <c r="O142" s="16" t="s">
        <v>2821</v>
      </c>
      <c r="P142" s="19">
        <v>-1.5948</v>
      </c>
      <c r="Q142" s="20">
        <v>4028047.0</v>
      </c>
      <c r="R142" s="20">
        <v>4.0204450331E10</v>
      </c>
      <c r="S142" s="21">
        <v>1.892</v>
      </c>
      <c r="T142" s="16" t="s">
        <v>2611</v>
      </c>
      <c r="U142" s="22">
        <f>IFERROR(__xludf.DUMMYFUNCTION("IFERROR(GOOGLEFINANCE(B142,""price""),"""")"),57.92)</f>
        <v>57.92</v>
      </c>
    </row>
    <row r="143">
      <c r="A143" s="7">
        <v>46050.650707055334</v>
      </c>
      <c r="B143" s="8" t="s">
        <v>2688</v>
      </c>
      <c r="C143" s="8" t="s">
        <v>2689</v>
      </c>
      <c r="D143" s="9">
        <v>46054.0</v>
      </c>
      <c r="E143" s="10">
        <v>222.49</v>
      </c>
      <c r="F143" s="8" t="s">
        <v>102</v>
      </c>
      <c r="G143" s="9">
        <v>46073.0</v>
      </c>
      <c r="H143" s="10">
        <v>220.0</v>
      </c>
      <c r="I143" s="8">
        <v>1801.0</v>
      </c>
      <c r="J143" s="8" t="s">
        <v>2608</v>
      </c>
      <c r="K143" s="11">
        <v>1.12</v>
      </c>
      <c r="L143" s="8" t="s">
        <v>2850</v>
      </c>
      <c r="M143" s="8">
        <v>1801.0</v>
      </c>
      <c r="N143" s="11">
        <v>38.687</v>
      </c>
      <c r="O143" s="8" t="s">
        <v>2691</v>
      </c>
      <c r="P143" s="11">
        <v>0.875</v>
      </c>
      <c r="Q143" s="12">
        <v>1259787.0</v>
      </c>
      <c r="R143" s="12">
        <v>5.1218059065E10</v>
      </c>
      <c r="S143" s="13">
        <v>3.7832</v>
      </c>
      <c r="T143" s="8" t="s">
        <v>2611</v>
      </c>
      <c r="U143" s="14">
        <f>IFERROR(__xludf.DUMMYFUNCTION("IFERROR(GOOGLEFINANCE(B143,""price""),"""")"),234.91)</f>
        <v>234.91</v>
      </c>
    </row>
    <row r="144">
      <c r="A144" s="15">
        <v>46050.650707055334</v>
      </c>
      <c r="B144" s="16" t="s">
        <v>2521</v>
      </c>
      <c r="C144" s="16" t="s">
        <v>2522</v>
      </c>
      <c r="D144" s="17">
        <v>46054.0</v>
      </c>
      <c r="E144" s="18">
        <v>317.625</v>
      </c>
      <c r="F144" s="16" t="s">
        <v>308</v>
      </c>
      <c r="G144" s="17">
        <v>46052.0</v>
      </c>
      <c r="H144" s="18">
        <v>315.0</v>
      </c>
      <c r="I144" s="16">
        <v>1781.0</v>
      </c>
      <c r="J144" s="16" t="s">
        <v>2608</v>
      </c>
      <c r="K144" s="19">
        <v>0.83</v>
      </c>
      <c r="L144" s="16" t="s">
        <v>2822</v>
      </c>
      <c r="M144" s="16">
        <v>1781.0</v>
      </c>
      <c r="N144" s="19">
        <v>35.2166</v>
      </c>
      <c r="O144" s="16" t="s">
        <v>2523</v>
      </c>
      <c r="P144" s="19">
        <v>4.5404</v>
      </c>
      <c r="Q144" s="20">
        <v>3881898.0</v>
      </c>
      <c r="R144" s="20">
        <v>1.55526371319E11</v>
      </c>
      <c r="S144" s="21">
        <v>7.7913</v>
      </c>
      <c r="T144" s="16" t="s">
        <v>2611</v>
      </c>
      <c r="U144" s="22">
        <f>IFERROR(__xludf.DUMMYFUNCTION("IFERROR(GOOGLEFINANCE(B144,""price""),"""")"),350.14)</f>
        <v>350.14</v>
      </c>
    </row>
    <row r="145">
      <c r="A145" s="7">
        <v>46050.650707055334</v>
      </c>
      <c r="B145" s="8" t="s">
        <v>2824</v>
      </c>
      <c r="C145" s="8" t="s">
        <v>2825</v>
      </c>
      <c r="D145" s="9">
        <v>46054.0</v>
      </c>
      <c r="E145" s="10">
        <v>124.44</v>
      </c>
      <c r="F145" s="8" t="s">
        <v>308</v>
      </c>
      <c r="G145" s="9">
        <v>46073.0</v>
      </c>
      <c r="H145" s="10">
        <v>125.0</v>
      </c>
      <c r="I145" s="8">
        <v>1572.0</v>
      </c>
      <c r="J145" s="8" t="s">
        <v>2608</v>
      </c>
      <c r="K145" s="11">
        <v>0.45</v>
      </c>
      <c r="L145" s="8" t="s">
        <v>2826</v>
      </c>
      <c r="M145" s="8">
        <v>1572.0</v>
      </c>
      <c r="N145" s="11">
        <v>27.6719</v>
      </c>
      <c r="O145" s="8" t="s">
        <v>2827</v>
      </c>
      <c r="P145" s="11">
        <v>7.5447</v>
      </c>
      <c r="Q145" s="12">
        <v>2788209.0</v>
      </c>
      <c r="R145" s="12">
        <v>1.3395982224E10</v>
      </c>
      <c r="S145" s="13">
        <v>7.1172</v>
      </c>
      <c r="T145" s="8" t="s">
        <v>2620</v>
      </c>
      <c r="U145" s="14">
        <f>IFERROR(__xludf.DUMMYFUNCTION("IFERROR(GOOGLEFINANCE(B145,""price""),"""")"),110.44)</f>
        <v>110.44</v>
      </c>
    </row>
    <row r="146">
      <c r="A146" s="15">
        <v>46050.650707055334</v>
      </c>
      <c r="B146" s="16" t="s">
        <v>2684</v>
      </c>
      <c r="C146" s="16" t="s">
        <v>2685</v>
      </c>
      <c r="D146" s="17">
        <v>46054.0</v>
      </c>
      <c r="E146" s="18">
        <v>336.75</v>
      </c>
      <c r="F146" s="16" t="s">
        <v>102</v>
      </c>
      <c r="G146" s="17">
        <v>46052.0</v>
      </c>
      <c r="H146" s="18">
        <v>340.0</v>
      </c>
      <c r="I146" s="16">
        <v>1569.0</v>
      </c>
      <c r="J146" s="16" t="s">
        <v>2608</v>
      </c>
      <c r="K146" s="19">
        <v>0.97</v>
      </c>
      <c r="L146" s="16" t="s">
        <v>2828</v>
      </c>
      <c r="M146" s="16">
        <v>1569.0</v>
      </c>
      <c r="N146" s="19">
        <v>36.0463</v>
      </c>
      <c r="O146" s="16" t="s">
        <v>2687</v>
      </c>
      <c r="P146" s="19">
        <v>1.2143</v>
      </c>
      <c r="Q146" s="20">
        <v>8406432.0</v>
      </c>
      <c r="R146" s="20">
        <v>2.67023669412E11</v>
      </c>
      <c r="S146" s="21">
        <v>11.4923</v>
      </c>
      <c r="T146" s="16" t="s">
        <v>2620</v>
      </c>
      <c r="U146" s="22">
        <f>IFERROR(__xludf.DUMMYFUNCTION("IFERROR(GOOGLEFINANCE(B146,""price""),"""")"),399.5)</f>
        <v>399.5</v>
      </c>
    </row>
    <row r="147">
      <c r="A147" s="7">
        <v>46050.650707055334</v>
      </c>
      <c r="B147" s="8" t="s">
        <v>2528</v>
      </c>
      <c r="C147" s="8" t="s">
        <v>2529</v>
      </c>
      <c r="D147" s="9">
        <v>46054.0</v>
      </c>
      <c r="E147" s="10">
        <v>58.33</v>
      </c>
      <c r="F147" s="8" t="s">
        <v>93</v>
      </c>
      <c r="G147" s="9">
        <v>46073.0</v>
      </c>
      <c r="H147" s="10">
        <v>57.5</v>
      </c>
      <c r="I147" s="8">
        <v>1485.0</v>
      </c>
      <c r="J147" s="8" t="s">
        <v>2627</v>
      </c>
      <c r="K147" s="11">
        <v>1.42</v>
      </c>
      <c r="L147" s="8" t="s">
        <v>2829</v>
      </c>
      <c r="M147" s="8">
        <v>1485.0</v>
      </c>
      <c r="N147" s="11">
        <v>22.3851</v>
      </c>
      <c r="O147" s="8" t="s">
        <v>2530</v>
      </c>
      <c r="P147" s="11">
        <v>-1.353</v>
      </c>
      <c r="Q147" s="12">
        <v>2074096.0</v>
      </c>
      <c r="R147" s="12">
        <v>8.611901843E9</v>
      </c>
      <c r="S147" s="13">
        <v>1.3984</v>
      </c>
      <c r="T147" s="8" t="s">
        <v>2611</v>
      </c>
      <c r="U147" s="14">
        <f>IFERROR(__xludf.DUMMYFUNCTION("IFERROR(GOOGLEFINANCE(B147,""price""),"""")"),61.05)</f>
        <v>61.05</v>
      </c>
    </row>
    <row r="148">
      <c r="A148" s="15">
        <v>46050.650707055334</v>
      </c>
      <c r="B148" s="16" t="s">
        <v>2730</v>
      </c>
      <c r="C148" s="16" t="s">
        <v>2731</v>
      </c>
      <c r="D148" s="17">
        <v>46054.0</v>
      </c>
      <c r="E148" s="18">
        <v>182.34</v>
      </c>
      <c r="F148" s="16" t="s">
        <v>93</v>
      </c>
      <c r="G148" s="17">
        <v>46052.0</v>
      </c>
      <c r="H148" s="18">
        <v>182.5</v>
      </c>
      <c r="I148" s="16">
        <v>1370.0</v>
      </c>
      <c r="J148" s="16" t="s">
        <v>2608</v>
      </c>
      <c r="K148" s="19">
        <v>0.09</v>
      </c>
      <c r="L148" s="16" t="s">
        <v>2830</v>
      </c>
      <c r="M148" s="16">
        <v>1370.0</v>
      </c>
      <c r="N148" s="19">
        <v>17.6585</v>
      </c>
      <c r="O148" s="16" t="s">
        <v>2733</v>
      </c>
      <c r="P148" s="19">
        <v>-0.1752</v>
      </c>
      <c r="Q148" s="20">
        <v>5532901.0</v>
      </c>
      <c r="R148" s="20">
        <v>2.89794646085E11</v>
      </c>
      <c r="S148" s="21">
        <v>4.0447</v>
      </c>
      <c r="T148" s="16" t="s">
        <v>2620</v>
      </c>
      <c r="U148" s="22">
        <f>IFERROR(__xludf.DUMMYFUNCTION("IFERROR(GOOGLEFINANCE(B148,""price""),"""")"),177.64)</f>
        <v>177.64</v>
      </c>
    </row>
    <row r="149">
      <c r="A149" s="7">
        <v>46050.650707055334</v>
      </c>
      <c r="B149" s="8" t="s">
        <v>1492</v>
      </c>
      <c r="C149" s="8" t="s">
        <v>1493</v>
      </c>
      <c r="D149" s="9">
        <v>46054.0</v>
      </c>
      <c r="E149" s="10">
        <v>24.2</v>
      </c>
      <c r="F149" s="8" t="s">
        <v>93</v>
      </c>
      <c r="G149" s="9">
        <v>46052.0</v>
      </c>
      <c r="H149" s="10">
        <v>24.0</v>
      </c>
      <c r="I149" s="8">
        <v>1323.0</v>
      </c>
      <c r="J149" s="8" t="s">
        <v>2627</v>
      </c>
      <c r="K149" s="11">
        <v>0.83</v>
      </c>
      <c r="L149" s="8" t="s">
        <v>2831</v>
      </c>
      <c r="M149" s="8">
        <v>1323.0</v>
      </c>
      <c r="N149" s="11">
        <v>22.6098</v>
      </c>
      <c r="O149" s="8" t="s">
        <v>1494</v>
      </c>
      <c r="P149" s="11">
        <v>-0.3295</v>
      </c>
      <c r="Q149" s="12">
        <v>5424200.0</v>
      </c>
      <c r="R149" s="12">
        <v>1.1737000332E10</v>
      </c>
      <c r="S149" s="13">
        <v>0.5356</v>
      </c>
      <c r="T149" s="8" t="s">
        <v>2611</v>
      </c>
      <c r="U149" s="14">
        <f>IFERROR(__xludf.DUMMYFUNCTION("IFERROR(GOOGLEFINANCE(B149,""price""),"""")"),24.05)</f>
        <v>24.05</v>
      </c>
    </row>
    <row r="150">
      <c r="A150" s="15">
        <v>46050.650707055334</v>
      </c>
      <c r="B150" s="16" t="s">
        <v>2505</v>
      </c>
      <c r="C150" s="16" t="s">
        <v>2506</v>
      </c>
      <c r="D150" s="17">
        <v>46054.0</v>
      </c>
      <c r="E150" s="18">
        <v>173.18</v>
      </c>
      <c r="F150" s="16" t="s">
        <v>335</v>
      </c>
      <c r="G150" s="17">
        <v>46073.0</v>
      </c>
      <c r="H150" s="18">
        <v>175.0</v>
      </c>
      <c r="I150" s="16">
        <v>1301.0</v>
      </c>
      <c r="J150" s="16" t="s">
        <v>2608</v>
      </c>
      <c r="K150" s="19">
        <v>1.05</v>
      </c>
      <c r="L150" s="16" t="s">
        <v>2832</v>
      </c>
      <c r="M150" s="16">
        <v>1301.0</v>
      </c>
      <c r="N150" s="19">
        <v>26.8676</v>
      </c>
      <c r="O150" s="16" t="s">
        <v>2507</v>
      </c>
      <c r="P150" s="19">
        <v>-0.2304</v>
      </c>
      <c r="Q150" s="20">
        <v>1818896.0</v>
      </c>
      <c r="R150" s="20">
        <v>3.9633742782E10</v>
      </c>
      <c r="S150" s="21">
        <v>4.9042</v>
      </c>
      <c r="T150" s="16" t="s">
        <v>2620</v>
      </c>
      <c r="U150" s="22">
        <f>IFERROR(__xludf.DUMMYFUNCTION("IFERROR(GOOGLEFINANCE(B150,""price""),"""")"),186.12)</f>
        <v>186.12</v>
      </c>
    </row>
    <row r="151">
      <c r="A151" s="7">
        <v>46050.650707055334</v>
      </c>
      <c r="B151" s="8" t="s">
        <v>2650</v>
      </c>
      <c r="C151" s="8" t="s">
        <v>2651</v>
      </c>
      <c r="D151" s="9">
        <v>46054.0</v>
      </c>
      <c r="E151" s="10">
        <v>221.14</v>
      </c>
      <c r="F151" s="8" t="s">
        <v>308</v>
      </c>
      <c r="G151" s="9">
        <v>46052.0</v>
      </c>
      <c r="H151" s="10">
        <v>220.0</v>
      </c>
      <c r="I151" s="8">
        <v>1294.0</v>
      </c>
      <c r="J151" s="8" t="s">
        <v>2608</v>
      </c>
      <c r="K151" s="11">
        <v>0.52</v>
      </c>
      <c r="L151" s="8" t="s">
        <v>2833</v>
      </c>
      <c r="M151" s="8">
        <v>1294.0</v>
      </c>
      <c r="N151" s="11">
        <v>21.388</v>
      </c>
      <c r="O151" s="8" t="s">
        <v>2653</v>
      </c>
      <c r="P151" s="11">
        <v>3.3364</v>
      </c>
      <c r="Q151" s="12">
        <v>4279252.0</v>
      </c>
      <c r="R151" s="12">
        <v>3.4752949366E10</v>
      </c>
      <c r="S151" s="13">
        <v>13.4502</v>
      </c>
      <c r="T151" s="8" t="s">
        <v>2611</v>
      </c>
      <c r="U151" s="14">
        <f>IFERROR(__xludf.DUMMYFUNCTION("IFERROR(GOOGLEFINANCE(B151,""price""),"""")"),307.5)</f>
        <v>307.5</v>
      </c>
    </row>
    <row r="152">
      <c r="A152" s="15">
        <v>46050.650707055334</v>
      </c>
      <c r="B152" s="16" t="s">
        <v>2722</v>
      </c>
      <c r="C152" s="16" t="s">
        <v>2723</v>
      </c>
      <c r="D152" s="17">
        <v>46054.0</v>
      </c>
      <c r="E152" s="18">
        <v>84.84</v>
      </c>
      <c r="F152" s="16" t="s">
        <v>308</v>
      </c>
      <c r="G152" s="17">
        <v>46073.0</v>
      </c>
      <c r="H152" s="18">
        <v>85.0</v>
      </c>
      <c r="I152" s="16">
        <v>1290.0</v>
      </c>
      <c r="J152" s="16" t="s">
        <v>2608</v>
      </c>
      <c r="K152" s="19">
        <v>0.19</v>
      </c>
      <c r="L152" s="16" t="s">
        <v>2834</v>
      </c>
      <c r="M152" s="16">
        <v>1290.0</v>
      </c>
      <c r="N152" s="19">
        <v>30.7591</v>
      </c>
      <c r="O152" s="16" t="s">
        <v>2725</v>
      </c>
      <c r="P152" s="19">
        <v>-0.1412</v>
      </c>
      <c r="Q152" s="20">
        <v>2226652.0</v>
      </c>
      <c r="R152" s="20">
        <v>1.160495739E10</v>
      </c>
      <c r="S152" s="21">
        <v>3.4268</v>
      </c>
      <c r="T152" s="16" t="s">
        <v>2620</v>
      </c>
      <c r="U152" s="22">
        <f>IFERROR(__xludf.DUMMYFUNCTION("IFERROR(GOOGLEFINANCE(B152,""price""),"""")"),106.1)</f>
        <v>106.1</v>
      </c>
    </row>
    <row r="153">
      <c r="A153" s="7">
        <v>46050.650707055334</v>
      </c>
      <c r="B153" s="8" t="s">
        <v>2710</v>
      </c>
      <c r="C153" s="8" t="s">
        <v>2711</v>
      </c>
      <c r="D153" s="9">
        <v>46054.0</v>
      </c>
      <c r="E153" s="10">
        <v>119.12</v>
      </c>
      <c r="F153" s="8" t="s">
        <v>917</v>
      </c>
      <c r="G153" s="9">
        <v>46073.0</v>
      </c>
      <c r="H153" s="10">
        <v>120.0</v>
      </c>
      <c r="I153" s="8">
        <v>1255.0</v>
      </c>
      <c r="J153" s="8" t="s">
        <v>2608</v>
      </c>
      <c r="K153" s="11">
        <v>0.74</v>
      </c>
      <c r="L153" s="8" t="s">
        <v>2835</v>
      </c>
      <c r="M153" s="8">
        <v>1255.0</v>
      </c>
      <c r="N153" s="11">
        <v>17.9102</v>
      </c>
      <c r="O153" s="8" t="s">
        <v>2713</v>
      </c>
      <c r="P153" s="11">
        <v>-0.2596</v>
      </c>
      <c r="Q153" s="12">
        <v>1886684.0</v>
      </c>
      <c r="R153" s="12">
        <v>6.3621334909E10</v>
      </c>
      <c r="S153" s="13">
        <v>1.9285</v>
      </c>
      <c r="T153" s="8" t="s">
        <v>2620</v>
      </c>
      <c r="U153" s="14">
        <f>IFERROR(__xludf.DUMMYFUNCTION("IFERROR(GOOGLEFINANCE(B153,""price""),"""")"),136.3)</f>
        <v>136.3</v>
      </c>
    </row>
    <row r="154">
      <c r="A154" s="15">
        <v>46050.650707055334</v>
      </c>
      <c r="B154" s="16" t="s">
        <v>2836</v>
      </c>
      <c r="C154" s="16" t="s">
        <v>2837</v>
      </c>
      <c r="D154" s="17">
        <v>46054.0</v>
      </c>
      <c r="E154" s="18">
        <v>217.61</v>
      </c>
      <c r="F154" s="16" t="s">
        <v>107</v>
      </c>
      <c r="G154" s="17">
        <v>46073.0</v>
      </c>
      <c r="H154" s="18">
        <v>220.0</v>
      </c>
      <c r="I154" s="16">
        <v>1246.0</v>
      </c>
      <c r="J154" s="16" t="s">
        <v>2627</v>
      </c>
      <c r="K154" s="19">
        <v>1.1</v>
      </c>
      <c r="L154" s="16" t="s">
        <v>2838</v>
      </c>
      <c r="M154" s="16">
        <v>1246.0</v>
      </c>
      <c r="N154" s="19">
        <v>22.2828</v>
      </c>
      <c r="O154" s="16" t="s">
        <v>2839</v>
      </c>
      <c r="P154" s="19">
        <v>-2.6876</v>
      </c>
      <c r="Q154" s="20">
        <v>2395294.0</v>
      </c>
      <c r="R154" s="20">
        <v>1.9579910574E10</v>
      </c>
      <c r="S154" s="21">
        <v>5.9969</v>
      </c>
      <c r="T154" s="16" t="s">
        <v>2620</v>
      </c>
      <c r="U154" s="22">
        <f>IFERROR(__xludf.DUMMYFUNCTION("IFERROR(GOOGLEFINANCE(B154,""price""),"""")"),206.38)</f>
        <v>206.38</v>
      </c>
    </row>
    <row r="155">
      <c r="A155" s="7">
        <v>46050.650707055334</v>
      </c>
      <c r="B155" s="8" t="s">
        <v>1396</v>
      </c>
      <c r="C155" s="8" t="s">
        <v>1397</v>
      </c>
      <c r="D155" s="9">
        <v>46054.0</v>
      </c>
      <c r="E155" s="10">
        <v>98.71</v>
      </c>
      <c r="F155" s="8" t="s">
        <v>93</v>
      </c>
      <c r="G155" s="9">
        <v>46073.0</v>
      </c>
      <c r="H155" s="10">
        <v>100.0</v>
      </c>
      <c r="I155" s="8">
        <v>1246.0</v>
      </c>
      <c r="J155" s="8" t="s">
        <v>2608</v>
      </c>
      <c r="K155" s="11">
        <v>1.31</v>
      </c>
      <c r="L155" s="8" t="s">
        <v>2840</v>
      </c>
      <c r="M155" s="8">
        <v>1246.0</v>
      </c>
      <c r="N155" s="11">
        <v>21.5851</v>
      </c>
      <c r="O155" s="8" t="s">
        <v>1398</v>
      </c>
      <c r="P155" s="11">
        <v>0.2132</v>
      </c>
      <c r="Q155" s="12">
        <v>3925041.0</v>
      </c>
      <c r="R155" s="12">
        <v>5.6362958142E10</v>
      </c>
      <c r="S155" s="13">
        <v>1.7025</v>
      </c>
      <c r="T155" s="8" t="s">
        <v>2620</v>
      </c>
      <c r="U155" s="14">
        <f>IFERROR(__xludf.DUMMYFUNCTION("IFERROR(GOOGLEFINANCE(B155,""price""),"""")"),83.16)</f>
        <v>83.16</v>
      </c>
    </row>
    <row r="156">
      <c r="A156" s="15">
        <v>46050.650707055334</v>
      </c>
      <c r="B156" s="16" t="s">
        <v>2726</v>
      </c>
      <c r="C156" s="16" t="s">
        <v>2727</v>
      </c>
      <c r="D156" s="17">
        <v>46054.0</v>
      </c>
      <c r="E156" s="18">
        <v>80.92</v>
      </c>
      <c r="F156" s="16" t="s">
        <v>286</v>
      </c>
      <c r="G156" s="17">
        <v>46073.0</v>
      </c>
      <c r="H156" s="18">
        <v>82.5</v>
      </c>
      <c r="I156" s="16">
        <v>1231.0</v>
      </c>
      <c r="J156" s="16" t="s">
        <v>2608</v>
      </c>
      <c r="K156" s="19">
        <v>1.95</v>
      </c>
      <c r="L156" s="16" t="s">
        <v>2851</v>
      </c>
      <c r="M156" s="16">
        <v>1231.0</v>
      </c>
      <c r="N156" s="19">
        <v>36.1305</v>
      </c>
      <c r="O156" s="16" t="s">
        <v>2729</v>
      </c>
      <c r="P156" s="19">
        <v>-0.6019</v>
      </c>
      <c r="Q156" s="20">
        <v>4198603.0</v>
      </c>
      <c r="R156" s="20">
        <v>7.9060557378E10</v>
      </c>
      <c r="S156" s="21">
        <v>1.5266</v>
      </c>
      <c r="T156" s="16" t="s">
        <v>2620</v>
      </c>
      <c r="U156" s="22">
        <f>IFERROR(__xludf.DUMMYFUNCTION("IFERROR(GOOGLEFINANCE(B156,""price""),"""")"),75.72)</f>
        <v>75.72</v>
      </c>
    </row>
    <row r="157">
      <c r="A157" s="7">
        <v>46050.650707055334</v>
      </c>
      <c r="B157" s="8" t="s">
        <v>2852</v>
      </c>
      <c r="C157" s="8" t="s">
        <v>2853</v>
      </c>
      <c r="D157" s="9">
        <v>46054.0</v>
      </c>
      <c r="E157" s="10">
        <v>206.0</v>
      </c>
      <c r="F157" s="8" t="s">
        <v>102</v>
      </c>
      <c r="G157" s="9">
        <v>46073.0</v>
      </c>
      <c r="H157" s="10">
        <v>210.0</v>
      </c>
      <c r="I157" s="8">
        <v>1217.0</v>
      </c>
      <c r="J157" s="8" t="s">
        <v>2608</v>
      </c>
      <c r="K157" s="11">
        <v>1.94</v>
      </c>
      <c r="L157" s="8" t="s">
        <v>2854</v>
      </c>
      <c r="M157" s="8">
        <v>1217.0</v>
      </c>
      <c r="N157" s="11">
        <v>26.9257</v>
      </c>
      <c r="O157" s="8" t="s">
        <v>2855</v>
      </c>
      <c r="P157" s="11">
        <v>-0.6079</v>
      </c>
      <c r="Q157" s="12">
        <v>1366089.0</v>
      </c>
      <c r="R157" s="12">
        <v>2.8253561233E10</v>
      </c>
      <c r="S157" s="13">
        <v>3.644</v>
      </c>
      <c r="T157" s="8" t="s">
        <v>2620</v>
      </c>
      <c r="U157" s="14">
        <f>IFERROR(__xludf.DUMMYFUNCTION("IFERROR(GOOGLEFINANCE(B157,""price""),"""")"),217.12)</f>
        <v>217.12</v>
      </c>
    </row>
    <row r="158">
      <c r="A158" s="15">
        <v>46050.650707055334</v>
      </c>
      <c r="B158" s="16" t="s">
        <v>2680</v>
      </c>
      <c r="C158" s="16" t="s">
        <v>2681</v>
      </c>
      <c r="D158" s="17">
        <v>46054.0</v>
      </c>
      <c r="E158" s="18">
        <v>184.02</v>
      </c>
      <c r="F158" s="16" t="s">
        <v>245</v>
      </c>
      <c r="G158" s="17">
        <v>46052.0</v>
      </c>
      <c r="H158" s="18">
        <v>185.0</v>
      </c>
      <c r="I158" s="16">
        <v>1148.0</v>
      </c>
      <c r="J158" s="16" t="s">
        <v>2608</v>
      </c>
      <c r="K158" s="19">
        <v>0.53</v>
      </c>
      <c r="L158" s="16" t="s">
        <v>2785</v>
      </c>
      <c r="M158" s="16">
        <v>1148.0</v>
      </c>
      <c r="N158" s="19">
        <v>34.151</v>
      </c>
      <c r="O158" s="16" t="s">
        <v>2683</v>
      </c>
      <c r="P158" s="19">
        <v>0.6069</v>
      </c>
      <c r="Q158" s="20">
        <v>2751454.0</v>
      </c>
      <c r="R158" s="20">
        <v>5.6127853268E10</v>
      </c>
      <c r="S158" s="21">
        <v>5.9268</v>
      </c>
      <c r="T158" s="16" t="s">
        <v>2620</v>
      </c>
      <c r="U158" s="22">
        <f>IFERROR(__xludf.DUMMYFUNCTION("IFERROR(GOOGLEFINANCE(B158,""price""),"""")"),238.82)</f>
        <v>238.82</v>
      </c>
    </row>
    <row r="159">
      <c r="A159" s="7">
        <v>46050.650707055334</v>
      </c>
      <c r="B159" s="8" t="s">
        <v>1512</v>
      </c>
      <c r="C159" s="8" t="s">
        <v>1513</v>
      </c>
      <c r="D159" s="9">
        <v>46054.0</v>
      </c>
      <c r="E159" s="10">
        <v>76.65</v>
      </c>
      <c r="F159" s="8" t="s">
        <v>917</v>
      </c>
      <c r="G159" s="9">
        <v>46073.0</v>
      </c>
      <c r="H159" s="10">
        <v>77.5</v>
      </c>
      <c r="I159" s="8">
        <v>1106.0</v>
      </c>
      <c r="J159" s="8" t="s">
        <v>2608</v>
      </c>
      <c r="K159" s="11">
        <v>1.11</v>
      </c>
      <c r="L159" s="8" t="s">
        <v>2734</v>
      </c>
      <c r="M159" s="8">
        <v>1106.0</v>
      </c>
      <c r="N159" s="11">
        <v>23.9333</v>
      </c>
      <c r="O159" s="8" t="s">
        <v>1514</v>
      </c>
      <c r="P159" s="11">
        <v>-0.5708</v>
      </c>
      <c r="Q159" s="12">
        <v>1379877.0</v>
      </c>
      <c r="R159" s="12">
        <v>1.7645913134E10</v>
      </c>
      <c r="S159" s="13">
        <v>1.1145</v>
      </c>
      <c r="T159" s="8" t="s">
        <v>2620</v>
      </c>
      <c r="U159" s="14">
        <f>IFERROR(__xludf.DUMMYFUNCTION("IFERROR(GOOGLEFINANCE(B159,""price""),"""")"),83.58)</f>
        <v>83.58</v>
      </c>
    </row>
    <row r="160">
      <c r="A160" s="15">
        <v>46050.650707055334</v>
      </c>
      <c r="B160" s="16" t="s">
        <v>1626</v>
      </c>
      <c r="C160" s="16" t="s">
        <v>1627</v>
      </c>
      <c r="D160" s="17">
        <v>46054.0</v>
      </c>
      <c r="E160" s="18">
        <v>44.33</v>
      </c>
      <c r="F160" s="16" t="s">
        <v>917</v>
      </c>
      <c r="G160" s="17">
        <v>46073.0</v>
      </c>
      <c r="H160" s="18">
        <v>45.0</v>
      </c>
      <c r="I160" s="16">
        <v>1104.0</v>
      </c>
      <c r="J160" s="16" t="s">
        <v>2608</v>
      </c>
      <c r="K160" s="19">
        <v>1.51</v>
      </c>
      <c r="L160" s="16" t="s">
        <v>2841</v>
      </c>
      <c r="M160" s="16">
        <v>1104.0</v>
      </c>
      <c r="N160" s="19">
        <v>25.2905</v>
      </c>
      <c r="O160" s="16" t="s">
        <v>1628</v>
      </c>
      <c r="P160" s="19">
        <v>-0.1352</v>
      </c>
      <c r="Q160" s="20">
        <v>4948303.0</v>
      </c>
      <c r="R160" s="20">
        <v>2.1154077382E10</v>
      </c>
      <c r="S160" s="21">
        <v>0.7123</v>
      </c>
      <c r="T160" s="16" t="s">
        <v>2620</v>
      </c>
      <c r="U160" s="22">
        <f>IFERROR(__xludf.DUMMYFUNCTION("IFERROR(GOOGLEFINANCE(B160,""price""),"""")"),48.05)</f>
        <v>48.05</v>
      </c>
    </row>
    <row r="161">
      <c r="A161" s="7">
        <v>46050.650707055334</v>
      </c>
      <c r="B161" s="8" t="s">
        <v>2787</v>
      </c>
      <c r="C161" s="8" t="s">
        <v>2788</v>
      </c>
      <c r="D161" s="9">
        <v>46054.0</v>
      </c>
      <c r="E161" s="10">
        <v>178.59</v>
      </c>
      <c r="F161" s="8" t="s">
        <v>286</v>
      </c>
      <c r="G161" s="9">
        <v>46052.0</v>
      </c>
      <c r="H161" s="10">
        <v>180.0</v>
      </c>
      <c r="I161" s="8">
        <v>1049.0</v>
      </c>
      <c r="J161" s="8" t="s">
        <v>2608</v>
      </c>
      <c r="K161" s="11">
        <v>0.79</v>
      </c>
      <c r="L161" s="8" t="s">
        <v>2842</v>
      </c>
      <c r="M161" s="8">
        <v>1049.0</v>
      </c>
      <c r="N161" s="11">
        <v>24.3009</v>
      </c>
      <c r="O161" s="8" t="s">
        <v>2790</v>
      </c>
      <c r="P161" s="11">
        <v>-0.1621</v>
      </c>
      <c r="Q161" s="12">
        <v>4397347.0</v>
      </c>
      <c r="R161" s="12">
        <v>2.78000129799E11</v>
      </c>
      <c r="S161" s="13">
        <v>3.8391</v>
      </c>
      <c r="T161" s="8" t="s">
        <v>2620</v>
      </c>
      <c r="U161" s="14">
        <f>IFERROR(__xludf.DUMMYFUNCTION("IFERROR(GOOGLEFINANCE(B161,""price""),"""")"),160.45)</f>
        <v>160.45</v>
      </c>
    </row>
    <row r="162">
      <c r="A162" s="15">
        <v>46050.650707055334</v>
      </c>
      <c r="B162" s="16" t="s">
        <v>2843</v>
      </c>
      <c r="C162" s="16" t="s">
        <v>2844</v>
      </c>
      <c r="D162" s="17">
        <v>46054.0</v>
      </c>
      <c r="E162" s="18">
        <v>199.46</v>
      </c>
      <c r="F162" s="16" t="s">
        <v>308</v>
      </c>
      <c r="G162" s="17">
        <v>46052.0</v>
      </c>
      <c r="H162" s="18">
        <v>200.0</v>
      </c>
      <c r="I162" s="16">
        <v>1023.0</v>
      </c>
      <c r="J162" s="16" t="s">
        <v>2608</v>
      </c>
      <c r="K162" s="19">
        <v>0.27</v>
      </c>
      <c r="L162" s="16" t="s">
        <v>2845</v>
      </c>
      <c r="M162" s="16">
        <v>1023.0</v>
      </c>
      <c r="N162" s="19">
        <v>46.5665</v>
      </c>
      <c r="O162" s="16" t="s">
        <v>2846</v>
      </c>
      <c r="P162" s="19">
        <v>-0.9042</v>
      </c>
      <c r="Q162" s="20">
        <v>6476261.0</v>
      </c>
      <c r="R162" s="20">
        <v>2.67430376045E11</v>
      </c>
      <c r="S162" s="21">
        <v>4.451</v>
      </c>
      <c r="T162" s="16" t="s">
        <v>2620</v>
      </c>
      <c r="U162" s="22">
        <f>IFERROR(__xludf.DUMMYFUNCTION("IFERROR(GOOGLEFINANCE(B162,""price""),"""")"),201.56)</f>
        <v>201.56</v>
      </c>
    </row>
    <row r="163">
      <c r="A163" s="7">
        <v>46051.62854883441</v>
      </c>
      <c r="B163" s="8" t="s">
        <v>2612</v>
      </c>
      <c r="C163" s="8" t="s">
        <v>2613</v>
      </c>
      <c r="D163" s="9">
        <v>46054.0</v>
      </c>
      <c r="E163" s="10">
        <v>250.25</v>
      </c>
      <c r="F163" s="8" t="s">
        <v>308</v>
      </c>
      <c r="G163" s="9">
        <v>46052.0</v>
      </c>
      <c r="H163" s="10">
        <v>250.0</v>
      </c>
      <c r="I163" s="8">
        <v>7094.0</v>
      </c>
      <c r="J163" s="8" t="s">
        <v>2627</v>
      </c>
      <c r="K163" s="11">
        <v>0.1</v>
      </c>
      <c r="L163" s="8" t="s">
        <v>2856</v>
      </c>
      <c r="M163" s="8">
        <v>34584.0</v>
      </c>
      <c r="N163" s="11">
        <v>25.374</v>
      </c>
      <c r="O163" s="8" t="s">
        <v>2615</v>
      </c>
      <c r="P163" s="11">
        <v>-0.9852</v>
      </c>
      <c r="Q163" s="12">
        <v>2.7077501E7</v>
      </c>
      <c r="R163" s="12">
        <v>4.07417395207E11</v>
      </c>
      <c r="S163" s="13">
        <v>10.7464</v>
      </c>
      <c r="T163" s="8" t="s">
        <v>2611</v>
      </c>
      <c r="U163" s="14">
        <f>IFERROR(__xludf.DUMMYFUNCTION("IFERROR(GOOGLEFINANCE(B163,""price""),"""")"),245.04)</f>
        <v>245.04</v>
      </c>
    </row>
    <row r="164">
      <c r="A164" s="15">
        <v>46051.62854883441</v>
      </c>
      <c r="B164" s="16" t="s">
        <v>2606</v>
      </c>
      <c r="C164" s="16" t="s">
        <v>2607</v>
      </c>
      <c r="D164" s="17">
        <v>46054.0</v>
      </c>
      <c r="E164" s="18">
        <v>49.755</v>
      </c>
      <c r="F164" s="16" t="s">
        <v>93</v>
      </c>
      <c r="G164" s="17">
        <v>46073.0</v>
      </c>
      <c r="H164" s="18">
        <v>50.0</v>
      </c>
      <c r="I164" s="16">
        <v>28732.0</v>
      </c>
      <c r="J164" s="16" t="s">
        <v>2608</v>
      </c>
      <c r="K164" s="19">
        <v>0.49</v>
      </c>
      <c r="L164" s="16" t="s">
        <v>2857</v>
      </c>
      <c r="M164" s="16">
        <v>33126.0</v>
      </c>
      <c r="N164" s="19">
        <v>38.824</v>
      </c>
      <c r="O164" s="16" t="s">
        <v>2610</v>
      </c>
      <c r="P164" s="19">
        <v>0.1308</v>
      </c>
      <c r="Q164" s="20">
        <v>8273016.0</v>
      </c>
      <c r="R164" s="20">
        <v>3.2890280069E10</v>
      </c>
      <c r="S164" s="21">
        <v>1.233</v>
      </c>
      <c r="T164" s="16" t="s">
        <v>2620</v>
      </c>
      <c r="U164" s="22">
        <f>IFERROR(__xludf.DUMMYFUNCTION("IFERROR(GOOGLEFINANCE(B164,""price""),"""")"),49.31)</f>
        <v>49.31</v>
      </c>
    </row>
    <row r="165">
      <c r="A165" s="7">
        <v>46051.62854883441</v>
      </c>
      <c r="B165" s="8" t="s">
        <v>2625</v>
      </c>
      <c r="C165" s="8" t="s">
        <v>2626</v>
      </c>
      <c r="D165" s="9">
        <v>46054.0</v>
      </c>
      <c r="E165" s="10">
        <v>117.2</v>
      </c>
      <c r="F165" s="8" t="s">
        <v>137</v>
      </c>
      <c r="G165" s="9">
        <v>46052.0</v>
      </c>
      <c r="H165" s="10">
        <v>115.0</v>
      </c>
      <c r="I165" s="8">
        <v>4284.0</v>
      </c>
      <c r="J165" s="8" t="s">
        <v>2627</v>
      </c>
      <c r="K165" s="11">
        <v>1.88</v>
      </c>
      <c r="L165" s="8" t="s">
        <v>2858</v>
      </c>
      <c r="M165" s="8">
        <v>20675.0</v>
      </c>
      <c r="N165" s="11">
        <v>18.9699</v>
      </c>
      <c r="O165" s="8" t="s">
        <v>2629</v>
      </c>
      <c r="P165" s="11">
        <v>0.5404</v>
      </c>
      <c r="Q165" s="12">
        <v>9924852.0</v>
      </c>
      <c r="R165" s="12">
        <v>9.34103569039E11</v>
      </c>
      <c r="S165" s="13">
        <v>2.2253</v>
      </c>
      <c r="T165" s="8" t="s">
        <v>2611</v>
      </c>
      <c r="U165" s="14">
        <f>IFERROR(__xludf.DUMMYFUNCTION("IFERROR(GOOGLEFINANCE(B165,""price""),"""")"),126.79)</f>
        <v>126.79</v>
      </c>
    </row>
    <row r="166">
      <c r="A166" s="15">
        <v>46051.62854883441</v>
      </c>
      <c r="B166" s="16" t="s">
        <v>2630</v>
      </c>
      <c r="C166" s="16" t="s">
        <v>2631</v>
      </c>
      <c r="D166" s="17">
        <v>46054.0</v>
      </c>
      <c r="E166" s="18">
        <v>434.3</v>
      </c>
      <c r="F166" s="16" t="s">
        <v>308</v>
      </c>
      <c r="G166" s="17">
        <v>46052.0</v>
      </c>
      <c r="H166" s="18">
        <v>440.0</v>
      </c>
      <c r="I166" s="16">
        <v>3646.0</v>
      </c>
      <c r="J166" s="16" t="s">
        <v>2608</v>
      </c>
      <c r="K166" s="19">
        <v>1.31</v>
      </c>
      <c r="L166" s="16" t="s">
        <v>2859</v>
      </c>
      <c r="M166" s="16">
        <v>19617.0</v>
      </c>
      <c r="N166" s="19">
        <v>41.1187</v>
      </c>
      <c r="O166" s="16" t="s">
        <v>2633</v>
      </c>
      <c r="P166" s="19">
        <v>-0.2251</v>
      </c>
      <c r="Q166" s="20">
        <v>3.5020897E7</v>
      </c>
      <c r="R166" s="20">
        <v>4.88808677779E11</v>
      </c>
      <c r="S166" s="21">
        <v>19.8547</v>
      </c>
      <c r="T166" s="16" t="s">
        <v>2620</v>
      </c>
      <c r="U166" s="22">
        <f>IFERROR(__xludf.DUMMYFUNCTION("IFERROR(GOOGLEFINANCE(B166,""price""),"""")"),420.59)</f>
        <v>420.59</v>
      </c>
    </row>
    <row r="167">
      <c r="A167" s="7">
        <v>46051.62854883441</v>
      </c>
      <c r="B167" s="8" t="s">
        <v>2616</v>
      </c>
      <c r="C167" s="8" t="s">
        <v>2617</v>
      </c>
      <c r="D167" s="9">
        <v>46054.0</v>
      </c>
      <c r="E167" s="10">
        <v>73.515</v>
      </c>
      <c r="F167" s="8" t="s">
        <v>286</v>
      </c>
      <c r="G167" s="9">
        <v>46052.0</v>
      </c>
      <c r="H167" s="10">
        <v>73.0</v>
      </c>
      <c r="I167" s="8">
        <v>8099.0</v>
      </c>
      <c r="J167" s="8" t="s">
        <v>2608</v>
      </c>
      <c r="K167" s="11">
        <v>0.7</v>
      </c>
      <c r="L167" s="8" t="s">
        <v>2860</v>
      </c>
      <c r="M167" s="8">
        <v>16106.0</v>
      </c>
      <c r="N167" s="11">
        <v>25.5099</v>
      </c>
      <c r="O167" s="8" t="s">
        <v>2619</v>
      </c>
      <c r="P167" s="11">
        <v>0.6228</v>
      </c>
      <c r="Q167" s="12">
        <v>1.1085575E7</v>
      </c>
      <c r="R167" s="12">
        <v>3.1623276674E11</v>
      </c>
      <c r="S167" s="13">
        <v>1.0243</v>
      </c>
      <c r="T167" s="8" t="s">
        <v>2611</v>
      </c>
      <c r="U167" s="14">
        <f>IFERROR(__xludf.DUMMYFUNCTION("IFERROR(GOOGLEFINANCE(B167,""price""),"""")"),77.47)</f>
        <v>77.47</v>
      </c>
    </row>
    <row r="168">
      <c r="A168" s="15">
        <v>46051.62854883441</v>
      </c>
      <c r="B168" s="16" t="s">
        <v>1489</v>
      </c>
      <c r="C168" s="16" t="s">
        <v>1490</v>
      </c>
      <c r="D168" s="17">
        <v>46054.0</v>
      </c>
      <c r="E168" s="18">
        <v>78.705</v>
      </c>
      <c r="F168" s="16" t="s">
        <v>308</v>
      </c>
      <c r="G168" s="17">
        <v>46052.0</v>
      </c>
      <c r="H168" s="18">
        <v>80.0</v>
      </c>
      <c r="I168" s="16">
        <v>5172.0</v>
      </c>
      <c r="J168" s="16" t="s">
        <v>2608</v>
      </c>
      <c r="K168" s="19">
        <v>1.65</v>
      </c>
      <c r="L168" s="16" t="s">
        <v>2861</v>
      </c>
      <c r="M168" s="16">
        <v>10480.0</v>
      </c>
      <c r="N168" s="19">
        <v>22.2735</v>
      </c>
      <c r="O168" s="16" t="s">
        <v>1491</v>
      </c>
      <c r="P168" s="19">
        <v>-0.3229</v>
      </c>
      <c r="Q168" s="20">
        <v>1.2847423E7</v>
      </c>
      <c r="R168" s="20">
        <v>3.10970887634E11</v>
      </c>
      <c r="S168" s="21">
        <v>1.4867</v>
      </c>
      <c r="T168" s="16" t="s">
        <v>2620</v>
      </c>
      <c r="U168" s="22">
        <f>IFERROR(__xludf.DUMMYFUNCTION("IFERROR(GOOGLEFINANCE(B168,""price""),"""")"),82.22)</f>
        <v>82.22</v>
      </c>
    </row>
    <row r="169">
      <c r="A169" s="7">
        <v>46051.62854883441</v>
      </c>
      <c r="B169" s="8" t="s">
        <v>2676</v>
      </c>
      <c r="C169" s="8" t="s">
        <v>2677</v>
      </c>
      <c r="D169" s="9">
        <v>46054.0</v>
      </c>
      <c r="E169" s="10">
        <v>28.485</v>
      </c>
      <c r="F169" s="8" t="s">
        <v>93</v>
      </c>
      <c r="G169" s="9">
        <v>46073.0</v>
      </c>
      <c r="H169" s="10">
        <v>29.0</v>
      </c>
      <c r="I169" s="8">
        <v>6499.0</v>
      </c>
      <c r="J169" s="8" t="s">
        <v>2608</v>
      </c>
      <c r="K169" s="11">
        <v>1.81</v>
      </c>
      <c r="L169" s="8" t="s">
        <v>2862</v>
      </c>
      <c r="M169" s="8">
        <v>8900.0</v>
      </c>
      <c r="N169" s="11">
        <v>18.6783</v>
      </c>
      <c r="O169" s="8" t="s">
        <v>2679</v>
      </c>
      <c r="P169" s="11">
        <v>2.2434</v>
      </c>
      <c r="Q169" s="12">
        <v>1.4682643E7</v>
      </c>
      <c r="R169" s="12">
        <v>2.4977828387E10</v>
      </c>
      <c r="S169" s="13">
        <v>0.6455</v>
      </c>
      <c r="T169" s="8" t="s">
        <v>2620</v>
      </c>
      <c r="U169" s="14">
        <f>IFERROR(__xludf.DUMMYFUNCTION("IFERROR(GOOGLEFINANCE(B169,""price""),"""")"),27.5)</f>
        <v>27.5</v>
      </c>
    </row>
    <row r="170">
      <c r="A170" s="15">
        <v>46051.62854883441</v>
      </c>
      <c r="B170" s="16" t="s">
        <v>2646</v>
      </c>
      <c r="C170" s="16" t="s">
        <v>2647</v>
      </c>
      <c r="D170" s="17">
        <v>46054.0</v>
      </c>
      <c r="E170" s="18">
        <v>34.035</v>
      </c>
      <c r="F170" s="16" t="s">
        <v>270</v>
      </c>
      <c r="G170" s="17">
        <v>46052.0</v>
      </c>
      <c r="H170" s="18">
        <v>34.0</v>
      </c>
      <c r="I170" s="16">
        <v>4516.0</v>
      </c>
      <c r="J170" s="16" t="s">
        <v>2608</v>
      </c>
      <c r="K170" s="19">
        <v>0.1</v>
      </c>
      <c r="L170" s="16" t="s">
        <v>2863</v>
      </c>
      <c r="M170" s="16">
        <v>8086.0</v>
      </c>
      <c r="N170" s="19">
        <v>29.8897</v>
      </c>
      <c r="O170" s="16" t="s">
        <v>2649</v>
      </c>
      <c r="P170" s="19">
        <v>1.7185</v>
      </c>
      <c r="Q170" s="20">
        <v>5519222.0</v>
      </c>
      <c r="R170" s="20">
        <v>7.362862975E10</v>
      </c>
      <c r="S170" s="21">
        <v>0.4456</v>
      </c>
      <c r="T170" s="16" t="s">
        <v>2611</v>
      </c>
      <c r="U170" s="22">
        <f>IFERROR(__xludf.DUMMYFUNCTION("IFERROR(GOOGLEFINANCE(B170,""price""),"""")"),37.35)</f>
        <v>37.35</v>
      </c>
    </row>
    <row r="171">
      <c r="A171" s="7">
        <v>46051.62854883441</v>
      </c>
      <c r="B171" s="8" t="s">
        <v>2634</v>
      </c>
      <c r="C171" s="8" t="s">
        <v>2635</v>
      </c>
      <c r="D171" s="9">
        <v>46054.0</v>
      </c>
      <c r="E171" s="10">
        <v>171.41</v>
      </c>
      <c r="F171" s="8" t="s">
        <v>245</v>
      </c>
      <c r="G171" s="9">
        <v>46052.0</v>
      </c>
      <c r="H171" s="10">
        <v>170.0</v>
      </c>
      <c r="I171" s="8">
        <v>6302.0</v>
      </c>
      <c r="J171" s="8" t="s">
        <v>2608</v>
      </c>
      <c r="K171" s="11">
        <v>0.82</v>
      </c>
      <c r="L171" s="8" t="s">
        <v>2864</v>
      </c>
      <c r="M171" s="8">
        <v>7698.0</v>
      </c>
      <c r="N171" s="11">
        <v>42.7121</v>
      </c>
      <c r="O171" s="8" t="s">
        <v>2637</v>
      </c>
      <c r="P171" s="11">
        <v>0.8709</v>
      </c>
      <c r="Q171" s="12">
        <v>1.131651E7</v>
      </c>
      <c r="R171" s="12">
        <v>3.45137723685E11</v>
      </c>
      <c r="S171" s="13">
        <v>3.0386</v>
      </c>
      <c r="T171" s="8" t="s">
        <v>2611</v>
      </c>
      <c r="U171" s="14">
        <f>IFERROR(__xludf.DUMMYFUNCTION("IFERROR(GOOGLEFINANCE(B171,""price""),"""")"),188.55)</f>
        <v>188.55</v>
      </c>
    </row>
    <row r="172">
      <c r="A172" s="15">
        <v>46051.62854883441</v>
      </c>
      <c r="B172" s="16" t="s">
        <v>2638</v>
      </c>
      <c r="C172" s="16" t="s">
        <v>2639</v>
      </c>
      <c r="D172" s="17">
        <v>46054.0</v>
      </c>
      <c r="E172" s="18">
        <v>140.49</v>
      </c>
      <c r="F172" s="16" t="s">
        <v>245</v>
      </c>
      <c r="G172" s="17">
        <v>46052.0</v>
      </c>
      <c r="H172" s="18">
        <v>140.0</v>
      </c>
      <c r="I172" s="16">
        <v>5048.0</v>
      </c>
      <c r="J172" s="16" t="s">
        <v>2608</v>
      </c>
      <c r="K172" s="19">
        <v>0.35</v>
      </c>
      <c r="L172" s="16" t="s">
        <v>2865</v>
      </c>
      <c r="M172" s="16">
        <v>7151.0</v>
      </c>
      <c r="N172" s="19">
        <v>43.7394</v>
      </c>
      <c r="O172" s="16" t="s">
        <v>2641</v>
      </c>
      <c r="P172" s="19">
        <v>2.1151</v>
      </c>
      <c r="Q172" s="20">
        <v>2.5602092E7</v>
      </c>
      <c r="R172" s="20">
        <v>5.92469592822E11</v>
      </c>
      <c r="S172" s="21">
        <v>2.6064</v>
      </c>
      <c r="T172" s="16" t="s">
        <v>2611</v>
      </c>
      <c r="U172" s="22">
        <f>IFERROR(__xludf.DUMMYFUNCTION("IFERROR(GOOGLEFINANCE(B172,""price""),"""")"),152.51)</f>
        <v>152.51</v>
      </c>
    </row>
    <row r="173">
      <c r="A173" s="7">
        <v>46051.62854883441</v>
      </c>
      <c r="B173" s="8" t="s">
        <v>2804</v>
      </c>
      <c r="C173" s="8" t="s">
        <v>2805</v>
      </c>
      <c r="D173" s="9">
        <v>46054.0</v>
      </c>
      <c r="E173" s="10">
        <v>102.485</v>
      </c>
      <c r="F173" s="8" t="s">
        <v>308</v>
      </c>
      <c r="G173" s="9">
        <v>46052.0</v>
      </c>
      <c r="H173" s="10">
        <v>104.0</v>
      </c>
      <c r="I173" s="8">
        <v>5119.0</v>
      </c>
      <c r="J173" s="8" t="s">
        <v>2627</v>
      </c>
      <c r="K173" s="11">
        <v>1.48</v>
      </c>
      <c r="L173" s="8" t="s">
        <v>2866</v>
      </c>
      <c r="M173" s="8">
        <v>5119.0</v>
      </c>
      <c r="N173" s="11">
        <v>29.9093</v>
      </c>
      <c r="O173" s="8" t="s">
        <v>2807</v>
      </c>
      <c r="P173" s="11">
        <v>-1.7213</v>
      </c>
      <c r="Q173" s="12">
        <v>9874397.0</v>
      </c>
      <c r="R173" s="12">
        <v>8.7866574601E10</v>
      </c>
      <c r="S173" s="13">
        <v>4.6791</v>
      </c>
      <c r="T173" s="8" t="s">
        <v>2620</v>
      </c>
      <c r="U173" s="14">
        <f>IFERROR(__xludf.DUMMYFUNCTION("IFERROR(GOOGLEFINANCE(B173,""price""),"""")"),171.24)</f>
        <v>171.24</v>
      </c>
    </row>
    <row r="174">
      <c r="A174" s="15">
        <v>46051.62854883441</v>
      </c>
      <c r="B174" s="16" t="s">
        <v>2704</v>
      </c>
      <c r="C174" s="16" t="s">
        <v>2705</v>
      </c>
      <c r="D174" s="17">
        <v>46054.0</v>
      </c>
      <c r="E174" s="18">
        <v>37.87</v>
      </c>
      <c r="F174" s="16" t="s">
        <v>88</v>
      </c>
      <c r="G174" s="17">
        <v>46052.0</v>
      </c>
      <c r="H174" s="18">
        <v>38.0</v>
      </c>
      <c r="I174" s="16">
        <v>1972.0</v>
      </c>
      <c r="J174" s="16" t="s">
        <v>2627</v>
      </c>
      <c r="K174" s="19">
        <v>0.34</v>
      </c>
      <c r="L174" s="16" t="s">
        <v>2867</v>
      </c>
      <c r="M174" s="16">
        <v>4551.0</v>
      </c>
      <c r="N174" s="19">
        <v>28.1166</v>
      </c>
      <c r="O174" s="16" t="s">
        <v>2707</v>
      </c>
      <c r="P174" s="19">
        <v>-5.8429</v>
      </c>
      <c r="Q174" s="20">
        <v>2.8100973E7</v>
      </c>
      <c r="R174" s="20">
        <v>1.0587915152E10</v>
      </c>
      <c r="S174" s="21">
        <v>3.5859</v>
      </c>
      <c r="T174" s="16" t="s">
        <v>2620</v>
      </c>
      <c r="U174" s="22">
        <f>IFERROR(__xludf.DUMMYFUNCTION("IFERROR(GOOGLEFINANCE(B174,""price""),"""")"),26.24)</f>
        <v>26.24</v>
      </c>
    </row>
    <row r="175">
      <c r="A175" s="7">
        <v>46051.62854883441</v>
      </c>
      <c r="B175" s="8" t="s">
        <v>2654</v>
      </c>
      <c r="C175" s="8" t="s">
        <v>2655</v>
      </c>
      <c r="D175" s="9">
        <v>46054.0</v>
      </c>
      <c r="E175" s="10">
        <v>39.535</v>
      </c>
      <c r="F175" s="8" t="s">
        <v>917</v>
      </c>
      <c r="G175" s="9">
        <v>46073.0</v>
      </c>
      <c r="H175" s="10">
        <v>40.0</v>
      </c>
      <c r="I175" s="8">
        <v>4474.0</v>
      </c>
      <c r="J175" s="8" t="s">
        <v>2608</v>
      </c>
      <c r="K175" s="11">
        <v>1.18</v>
      </c>
      <c r="L175" s="8" t="s">
        <v>2757</v>
      </c>
      <c r="M175" s="8">
        <v>4474.0</v>
      </c>
      <c r="N175" s="11">
        <v>18.446</v>
      </c>
      <c r="O175" s="8" t="s">
        <v>2657</v>
      </c>
      <c r="P175" s="11">
        <v>-0.6409</v>
      </c>
      <c r="Q175" s="12">
        <v>3993466.0</v>
      </c>
      <c r="R175" s="12">
        <v>2.5811145873E10</v>
      </c>
      <c r="S175" s="13">
        <v>0.5987</v>
      </c>
      <c r="T175" s="8" t="s">
        <v>2620</v>
      </c>
      <c r="U175" s="14">
        <f>IFERROR(__xludf.DUMMYFUNCTION("IFERROR(GOOGLEFINANCE(B175,""price""),"""")"),43.39)</f>
        <v>43.39</v>
      </c>
    </row>
    <row r="176">
      <c r="A176" s="15">
        <v>46051.62854883441</v>
      </c>
      <c r="B176" s="16" t="s">
        <v>2621</v>
      </c>
      <c r="C176" s="16" t="s">
        <v>2622</v>
      </c>
      <c r="D176" s="17">
        <v>46054.0</v>
      </c>
      <c r="E176" s="18">
        <v>64.53</v>
      </c>
      <c r="F176" s="16" t="s">
        <v>335</v>
      </c>
      <c r="G176" s="17">
        <v>46052.0</v>
      </c>
      <c r="H176" s="18">
        <v>64.0</v>
      </c>
      <c r="I176" s="16">
        <v>2306.0</v>
      </c>
      <c r="J176" s="16" t="s">
        <v>2608</v>
      </c>
      <c r="K176" s="19">
        <v>0.82</v>
      </c>
      <c r="L176" s="16" t="s">
        <v>2868</v>
      </c>
      <c r="M176" s="16">
        <v>4418.0</v>
      </c>
      <c r="N176" s="19">
        <v>45.2004</v>
      </c>
      <c r="O176" s="16" t="s">
        <v>2624</v>
      </c>
      <c r="P176" s="19">
        <v>1.4144</v>
      </c>
      <c r="Q176" s="20">
        <v>4.0958601E7</v>
      </c>
      <c r="R176" s="20">
        <v>9.2660607307E10</v>
      </c>
      <c r="S176" s="21">
        <v>2.4286</v>
      </c>
      <c r="T176" s="16" t="s">
        <v>2611</v>
      </c>
      <c r="U176" s="22">
        <f>IFERROR(__xludf.DUMMYFUNCTION("IFERROR(GOOGLEFINANCE(B176,""price""),"""")"),67.8)</f>
        <v>67.8</v>
      </c>
    </row>
    <row r="177">
      <c r="A177" s="7">
        <v>46051.62854883441</v>
      </c>
      <c r="B177" s="8" t="s">
        <v>2718</v>
      </c>
      <c r="C177" s="8" t="s">
        <v>2719</v>
      </c>
      <c r="D177" s="9">
        <v>46054.0</v>
      </c>
      <c r="E177" s="10">
        <v>149.04</v>
      </c>
      <c r="F177" s="8" t="s">
        <v>308</v>
      </c>
      <c r="G177" s="9">
        <v>46073.0</v>
      </c>
      <c r="H177" s="10">
        <v>150.0</v>
      </c>
      <c r="I177" s="8">
        <v>1645.0</v>
      </c>
      <c r="J177" s="8" t="s">
        <v>2608</v>
      </c>
      <c r="K177" s="11">
        <v>0.64</v>
      </c>
      <c r="L177" s="8" t="s">
        <v>2869</v>
      </c>
      <c r="M177" s="8">
        <v>3210.0</v>
      </c>
      <c r="N177" s="11">
        <v>19.2126</v>
      </c>
      <c r="O177" s="8" t="s">
        <v>2721</v>
      </c>
      <c r="P177" s="11">
        <v>2.1102</v>
      </c>
      <c r="Q177" s="12">
        <v>1.4099364E7</v>
      </c>
      <c r="R177" s="12">
        <v>1.8243324637E11</v>
      </c>
      <c r="S177" s="13">
        <v>6.9786</v>
      </c>
      <c r="T177" s="8" t="s">
        <v>2620</v>
      </c>
      <c r="U177" s="14">
        <f>IFERROR(__xludf.DUMMYFUNCTION("IFERROR(GOOGLEFINANCE(B177,""price""),"""")"),140.75)</f>
        <v>140.75</v>
      </c>
    </row>
    <row r="178">
      <c r="A178" s="15">
        <v>46051.62854883441</v>
      </c>
      <c r="B178" s="16" t="s">
        <v>1570</v>
      </c>
      <c r="C178" s="16" t="s">
        <v>1571</v>
      </c>
      <c r="D178" s="17">
        <v>46054.0</v>
      </c>
      <c r="E178" s="18">
        <v>47.225</v>
      </c>
      <c r="F178" s="16" t="s">
        <v>917</v>
      </c>
      <c r="G178" s="17">
        <v>46073.0</v>
      </c>
      <c r="H178" s="18">
        <v>48.0</v>
      </c>
      <c r="I178" s="16">
        <v>2066.0</v>
      </c>
      <c r="J178" s="16" t="s">
        <v>2608</v>
      </c>
      <c r="K178" s="19">
        <v>1.64</v>
      </c>
      <c r="L178" s="16" t="s">
        <v>2870</v>
      </c>
      <c r="M178" s="16">
        <v>3098.0</v>
      </c>
      <c r="N178" s="19">
        <v>30.0584</v>
      </c>
      <c r="O178" s="16" t="s">
        <v>1572</v>
      </c>
      <c r="P178" s="19">
        <v>-0.3902</v>
      </c>
      <c r="Q178" s="20">
        <v>2964351.0</v>
      </c>
      <c r="R178" s="20">
        <v>2.7280257323E10</v>
      </c>
      <c r="S178" s="21">
        <v>0.733</v>
      </c>
      <c r="T178" s="16" t="s">
        <v>2620</v>
      </c>
      <c r="U178" s="22">
        <f>IFERROR(__xludf.DUMMYFUNCTION("IFERROR(GOOGLEFINANCE(B178,""price""),"""")"),51.43)</f>
        <v>51.43</v>
      </c>
    </row>
    <row r="179">
      <c r="A179" s="7">
        <v>46051.62854883441</v>
      </c>
      <c r="B179" s="8" t="s">
        <v>2700</v>
      </c>
      <c r="C179" s="8" t="s">
        <v>2701</v>
      </c>
      <c r="D179" s="9">
        <v>46054.0</v>
      </c>
      <c r="E179" s="10">
        <v>247.575</v>
      </c>
      <c r="F179" s="8" t="s">
        <v>102</v>
      </c>
      <c r="G179" s="9">
        <v>46052.0</v>
      </c>
      <c r="H179" s="10">
        <v>250.0</v>
      </c>
      <c r="I179" s="8">
        <v>2667.0</v>
      </c>
      <c r="J179" s="8" t="s">
        <v>2608</v>
      </c>
      <c r="K179" s="11">
        <v>0.98</v>
      </c>
      <c r="L179" s="8" t="s">
        <v>2871</v>
      </c>
      <c r="M179" s="8">
        <v>2667.0</v>
      </c>
      <c r="N179" s="11">
        <v>41.7478</v>
      </c>
      <c r="O179" s="8" t="s">
        <v>2703</v>
      </c>
      <c r="P179" s="11">
        <v>3.3371</v>
      </c>
      <c r="Q179" s="12">
        <v>1.3209899E7</v>
      </c>
      <c r="R179" s="12">
        <v>3.1096163688E11</v>
      </c>
      <c r="S179" s="13">
        <v>10.2942</v>
      </c>
      <c r="T179" s="8" t="s">
        <v>2620</v>
      </c>
      <c r="U179" s="14">
        <f>IFERROR(__xludf.DUMMYFUNCTION("IFERROR(GOOGLEFINANCE(B179,""price""),"""")"),263.66)</f>
        <v>263.66</v>
      </c>
    </row>
    <row r="180">
      <c r="A180" s="15">
        <v>46051.62854883441</v>
      </c>
      <c r="B180" s="16" t="s">
        <v>2684</v>
      </c>
      <c r="C180" s="16" t="s">
        <v>2685</v>
      </c>
      <c r="D180" s="17">
        <v>46054.0</v>
      </c>
      <c r="E180" s="18">
        <v>339.9</v>
      </c>
      <c r="F180" s="16" t="s">
        <v>102</v>
      </c>
      <c r="G180" s="17">
        <v>46052.0</v>
      </c>
      <c r="H180" s="18">
        <v>340.0</v>
      </c>
      <c r="I180" s="16">
        <v>1413.0</v>
      </c>
      <c r="J180" s="16" t="s">
        <v>2608</v>
      </c>
      <c r="K180" s="19">
        <v>0.03</v>
      </c>
      <c r="L180" s="16" t="s">
        <v>2872</v>
      </c>
      <c r="M180" s="16">
        <v>2598.0</v>
      </c>
      <c r="N180" s="19">
        <v>36.7824</v>
      </c>
      <c r="O180" s="16" t="s">
        <v>2687</v>
      </c>
      <c r="P180" s="19">
        <v>0.9354</v>
      </c>
      <c r="Q180" s="20">
        <v>4646105.0</v>
      </c>
      <c r="R180" s="20">
        <v>2.69521447852E11</v>
      </c>
      <c r="S180" s="21">
        <v>11.7942</v>
      </c>
      <c r="T180" s="16" t="s">
        <v>2620</v>
      </c>
      <c r="U180" s="22">
        <f>IFERROR(__xludf.DUMMYFUNCTION("IFERROR(GOOGLEFINANCE(B180,""price""),"""")"),399.5)</f>
        <v>399.5</v>
      </c>
    </row>
    <row r="181">
      <c r="A181" s="7">
        <v>46051.62854883441</v>
      </c>
      <c r="B181" s="8" t="s">
        <v>2658</v>
      </c>
      <c r="C181" s="8" t="s">
        <v>2659</v>
      </c>
      <c r="D181" s="9">
        <v>46054.0</v>
      </c>
      <c r="E181" s="10">
        <v>88.253</v>
      </c>
      <c r="F181" s="8" t="s">
        <v>917</v>
      </c>
      <c r="G181" s="9">
        <v>46052.0</v>
      </c>
      <c r="H181" s="10">
        <v>87.0</v>
      </c>
      <c r="I181" s="8">
        <v>1445.0</v>
      </c>
      <c r="J181" s="8" t="s">
        <v>2608</v>
      </c>
      <c r="K181" s="11">
        <v>1.42</v>
      </c>
      <c r="L181" s="8" t="s">
        <v>2873</v>
      </c>
      <c r="M181" s="8">
        <v>2493.0</v>
      </c>
      <c r="N181" s="11">
        <v>28.5898</v>
      </c>
      <c r="O181" s="8" t="s">
        <v>2661</v>
      </c>
      <c r="P181" s="11">
        <v>0.7799</v>
      </c>
      <c r="Q181" s="12">
        <v>6934138.0</v>
      </c>
      <c r="R181" s="12">
        <v>1.83796546078E11</v>
      </c>
      <c r="S181" s="13">
        <v>1.7083</v>
      </c>
      <c r="T181" s="8" t="s">
        <v>2611</v>
      </c>
      <c r="U181" s="14">
        <f>IFERROR(__xludf.DUMMYFUNCTION("IFERROR(GOOGLEFINANCE(B181,""price""),"""")"),94.08)</f>
        <v>94.08</v>
      </c>
    </row>
    <row r="182">
      <c r="A182" s="15">
        <v>46051.62854883441</v>
      </c>
      <c r="B182" s="16" t="s">
        <v>2672</v>
      </c>
      <c r="C182" s="16" t="s">
        <v>2673</v>
      </c>
      <c r="D182" s="17">
        <v>46054.0</v>
      </c>
      <c r="E182" s="18">
        <v>44.59</v>
      </c>
      <c r="F182" s="16" t="s">
        <v>107</v>
      </c>
      <c r="G182" s="17">
        <v>46073.0</v>
      </c>
      <c r="H182" s="18">
        <v>45.0</v>
      </c>
      <c r="I182" s="16">
        <v>2348.0</v>
      </c>
      <c r="J182" s="16" t="s">
        <v>2608</v>
      </c>
      <c r="K182" s="19">
        <v>0.92</v>
      </c>
      <c r="L182" s="16" t="s">
        <v>2874</v>
      </c>
      <c r="M182" s="16">
        <v>2348.0</v>
      </c>
      <c r="N182" s="19">
        <v>32.5446</v>
      </c>
      <c r="O182" s="16" t="s">
        <v>2675</v>
      </c>
      <c r="P182" s="19">
        <v>-0.0896</v>
      </c>
      <c r="Q182" s="20">
        <v>1691425.0</v>
      </c>
      <c r="R182" s="20">
        <v>1.8682109577E10</v>
      </c>
      <c r="S182" s="21">
        <v>0.9672</v>
      </c>
      <c r="T182" s="16" t="s">
        <v>2620</v>
      </c>
      <c r="U182" s="22">
        <f>IFERROR(__xludf.DUMMYFUNCTION("IFERROR(GOOGLEFINANCE(B182,""price""),"""")"),47.25)</f>
        <v>47.25</v>
      </c>
    </row>
    <row r="183">
      <c r="A183" s="7">
        <v>46051.62854883441</v>
      </c>
      <c r="B183" s="8" t="s">
        <v>2668</v>
      </c>
      <c r="C183" s="8" t="s">
        <v>2669</v>
      </c>
      <c r="D183" s="9">
        <v>46054.0</v>
      </c>
      <c r="E183" s="10">
        <v>49.83</v>
      </c>
      <c r="F183" s="8" t="s">
        <v>308</v>
      </c>
      <c r="G183" s="9">
        <v>46073.0</v>
      </c>
      <c r="H183" s="10">
        <v>50.0</v>
      </c>
      <c r="I183" s="8">
        <v>2062.0</v>
      </c>
      <c r="J183" s="8" t="s">
        <v>2627</v>
      </c>
      <c r="K183" s="11">
        <v>0.34</v>
      </c>
      <c r="L183" s="8" t="s">
        <v>2875</v>
      </c>
      <c r="M183" s="8">
        <v>2062.0</v>
      </c>
      <c r="N183" s="11">
        <v>28.6555</v>
      </c>
      <c r="O183" s="8" t="s">
        <v>2671</v>
      </c>
      <c r="P183" s="11">
        <v>-2.2174</v>
      </c>
      <c r="Q183" s="12">
        <v>2599261.0</v>
      </c>
      <c r="R183" s="12">
        <v>1.2317648678E10</v>
      </c>
      <c r="S183" s="13">
        <v>2.897</v>
      </c>
      <c r="T183" s="8" t="s">
        <v>2620</v>
      </c>
      <c r="U183" s="14">
        <f>IFERROR(__xludf.DUMMYFUNCTION("IFERROR(GOOGLEFINANCE(B183,""price""),"""")"),57.96)</f>
        <v>57.96</v>
      </c>
    </row>
    <row r="184">
      <c r="A184" s="15">
        <v>46051.62854883441</v>
      </c>
      <c r="B184" s="16" t="s">
        <v>1077</v>
      </c>
      <c r="C184" s="16" t="s">
        <v>1078</v>
      </c>
      <c r="D184" s="17">
        <v>46054.0</v>
      </c>
      <c r="E184" s="18">
        <v>8.1402</v>
      </c>
      <c r="F184" s="16" t="s">
        <v>335</v>
      </c>
      <c r="G184" s="17">
        <v>46052.0</v>
      </c>
      <c r="H184" s="18">
        <v>8.0</v>
      </c>
      <c r="I184" s="16">
        <v>2046.0</v>
      </c>
      <c r="J184" s="16" t="s">
        <v>2627</v>
      </c>
      <c r="K184" s="19">
        <v>1.72</v>
      </c>
      <c r="L184" s="16" t="s">
        <v>2876</v>
      </c>
      <c r="M184" s="16">
        <v>2046.0</v>
      </c>
      <c r="N184" s="19">
        <v>29.4626</v>
      </c>
      <c r="O184" s="16" t="s">
        <v>1079</v>
      </c>
      <c r="P184" s="19">
        <v>-16.0804</v>
      </c>
      <c r="Q184" s="20">
        <v>2.2424436E7</v>
      </c>
      <c r="R184" s="20">
        <v>1.139917883E9</v>
      </c>
      <c r="S184" s="21">
        <v>1.1884</v>
      </c>
      <c r="T184" s="16" t="s">
        <v>2611</v>
      </c>
      <c r="U184" s="22">
        <f>IFERROR(__xludf.DUMMYFUNCTION("IFERROR(GOOGLEFINANCE(B184,""price""),"""")"),8.36)</f>
        <v>8.36</v>
      </c>
    </row>
    <row r="185">
      <c r="A185" s="7">
        <v>46051.62854883441</v>
      </c>
      <c r="B185" s="8" t="s">
        <v>2696</v>
      </c>
      <c r="C185" s="8" t="s">
        <v>2697</v>
      </c>
      <c r="D185" s="9">
        <v>46054.0</v>
      </c>
      <c r="E185" s="10">
        <v>193.705</v>
      </c>
      <c r="F185" s="8" t="s">
        <v>162</v>
      </c>
      <c r="G185" s="9">
        <v>46073.0</v>
      </c>
      <c r="H185" s="10">
        <v>190.0</v>
      </c>
      <c r="I185" s="8">
        <v>1961.0</v>
      </c>
      <c r="J185" s="8" t="s">
        <v>2608</v>
      </c>
      <c r="K185" s="11">
        <v>1.91</v>
      </c>
      <c r="L185" s="8" t="s">
        <v>2877</v>
      </c>
      <c r="M185" s="8">
        <v>1961.0</v>
      </c>
      <c r="N185" s="11">
        <v>42.2499</v>
      </c>
      <c r="O185" s="8" t="s">
        <v>2699</v>
      </c>
      <c r="P185" s="11">
        <v>5.1145</v>
      </c>
      <c r="Q185" s="12">
        <v>4045268.0</v>
      </c>
      <c r="R185" s="12">
        <v>2.2883761625E10</v>
      </c>
      <c r="S185" s="13">
        <v>4.6799</v>
      </c>
      <c r="T185" s="8" t="s">
        <v>2611</v>
      </c>
      <c r="U185" s="14">
        <f>IFERROR(__xludf.DUMMYFUNCTION("IFERROR(GOOGLEFINANCE(B185,""price""),"""")"),163.49)</f>
        <v>163.49</v>
      </c>
    </row>
    <row r="186">
      <c r="A186" s="15">
        <v>46051.62854883441</v>
      </c>
      <c r="B186" s="16" t="s">
        <v>2663</v>
      </c>
      <c r="C186" s="16" t="s">
        <v>2664</v>
      </c>
      <c r="D186" s="17">
        <v>46054.0</v>
      </c>
      <c r="E186" s="18">
        <v>125.74</v>
      </c>
      <c r="F186" s="16" t="s">
        <v>335</v>
      </c>
      <c r="G186" s="17">
        <v>46052.0</v>
      </c>
      <c r="H186" s="18">
        <v>124.0</v>
      </c>
      <c r="I186" s="16">
        <v>1821.0</v>
      </c>
      <c r="J186" s="16" t="s">
        <v>2608</v>
      </c>
      <c r="K186" s="19">
        <v>1.38</v>
      </c>
      <c r="L186" s="16" t="s">
        <v>2878</v>
      </c>
      <c r="M186" s="16">
        <v>1821.0</v>
      </c>
      <c r="N186" s="19">
        <v>40.0674</v>
      </c>
      <c r="O186" s="16" t="s">
        <v>2666</v>
      </c>
      <c r="P186" s="19">
        <v>-4.7063</v>
      </c>
      <c r="Q186" s="20">
        <v>1.2219961E7</v>
      </c>
      <c r="R186" s="20">
        <v>1.37215398834E11</v>
      </c>
      <c r="S186" s="21">
        <v>4.5367</v>
      </c>
      <c r="T186" s="16" t="s">
        <v>2611</v>
      </c>
      <c r="U186" s="22">
        <f>IFERROR(__xludf.DUMMYFUNCTION("IFERROR(GOOGLEFINANCE(B186,""price""),"""")"),120.9)</f>
        <v>120.9</v>
      </c>
    </row>
    <row r="187">
      <c r="A187" s="7">
        <v>46051.62854883441</v>
      </c>
      <c r="B187" s="8" t="s">
        <v>2775</v>
      </c>
      <c r="C187" s="8" t="s">
        <v>2776</v>
      </c>
      <c r="D187" s="9">
        <v>46054.0</v>
      </c>
      <c r="E187" s="10">
        <v>56.235</v>
      </c>
      <c r="F187" s="8" t="s">
        <v>93</v>
      </c>
      <c r="G187" s="9">
        <v>46052.0</v>
      </c>
      <c r="H187" s="10">
        <v>57.0</v>
      </c>
      <c r="I187" s="8">
        <v>1777.0</v>
      </c>
      <c r="J187" s="8" t="s">
        <v>2608</v>
      </c>
      <c r="K187" s="11">
        <v>1.36</v>
      </c>
      <c r="L187" s="8" t="s">
        <v>2879</v>
      </c>
      <c r="M187" s="8">
        <v>1777.0</v>
      </c>
      <c r="N187" s="11">
        <v>27.8512</v>
      </c>
      <c r="O187" s="8" t="s">
        <v>2778</v>
      </c>
      <c r="P187" s="11">
        <v>0.8881</v>
      </c>
      <c r="Q187" s="12">
        <v>5049476.0</v>
      </c>
      <c r="R187" s="12">
        <v>8.7413603235E10</v>
      </c>
      <c r="S187" s="13">
        <v>1.0356</v>
      </c>
      <c r="T187" s="8" t="s">
        <v>2620</v>
      </c>
      <c r="U187" s="14">
        <f>IFERROR(__xludf.DUMMYFUNCTION("IFERROR(GOOGLEFINANCE(B187,""price""),"""")"),55.66)</f>
        <v>55.66</v>
      </c>
    </row>
    <row r="188">
      <c r="A188" s="15">
        <v>46051.62854883441</v>
      </c>
      <c r="B188" s="16" t="s">
        <v>2824</v>
      </c>
      <c r="C188" s="16" t="s">
        <v>2825</v>
      </c>
      <c r="D188" s="17">
        <v>46054.0</v>
      </c>
      <c r="E188" s="18">
        <v>119.94</v>
      </c>
      <c r="F188" s="16" t="s">
        <v>308</v>
      </c>
      <c r="G188" s="17">
        <v>46073.0</v>
      </c>
      <c r="H188" s="18">
        <v>120.0</v>
      </c>
      <c r="I188" s="16">
        <v>1712.0</v>
      </c>
      <c r="J188" s="16" t="s">
        <v>2608</v>
      </c>
      <c r="K188" s="19">
        <v>0.05</v>
      </c>
      <c r="L188" s="16" t="s">
        <v>2880</v>
      </c>
      <c r="M188" s="16">
        <v>1712.0</v>
      </c>
      <c r="N188" s="19">
        <v>28.861</v>
      </c>
      <c r="O188" s="16" t="s">
        <v>2827</v>
      </c>
      <c r="P188" s="19">
        <v>-3.6162</v>
      </c>
      <c r="Q188" s="20">
        <v>1891022.0</v>
      </c>
      <c r="R188" s="20">
        <v>1.2911556993E10</v>
      </c>
      <c r="S188" s="21">
        <v>7.3945</v>
      </c>
      <c r="T188" s="16" t="s">
        <v>2620</v>
      </c>
      <c r="U188" s="22">
        <f>IFERROR(__xludf.DUMMYFUNCTION("IFERROR(GOOGLEFINANCE(B188,""price""),"""")"),110.44)</f>
        <v>110.44</v>
      </c>
    </row>
    <row r="189">
      <c r="A189" s="7">
        <v>46051.62854883441</v>
      </c>
      <c r="B189" s="8" t="s">
        <v>2521</v>
      </c>
      <c r="C189" s="8" t="s">
        <v>2522</v>
      </c>
      <c r="D189" s="9">
        <v>46054.0</v>
      </c>
      <c r="E189" s="10">
        <v>317.745</v>
      </c>
      <c r="F189" s="8" t="s">
        <v>308</v>
      </c>
      <c r="G189" s="9">
        <v>46052.0</v>
      </c>
      <c r="H189" s="10">
        <v>315.0</v>
      </c>
      <c r="I189" s="8">
        <v>1712.0</v>
      </c>
      <c r="J189" s="8" t="s">
        <v>2608</v>
      </c>
      <c r="K189" s="11">
        <v>0.86</v>
      </c>
      <c r="L189" s="8" t="s">
        <v>2881</v>
      </c>
      <c r="M189" s="8">
        <v>1712.0</v>
      </c>
      <c r="N189" s="11">
        <v>35.8017</v>
      </c>
      <c r="O189" s="8" t="s">
        <v>2523</v>
      </c>
      <c r="P189" s="11">
        <v>0.0378</v>
      </c>
      <c r="Q189" s="12">
        <v>1871904.0</v>
      </c>
      <c r="R189" s="12">
        <v>1.55585136683E11</v>
      </c>
      <c r="S189" s="13">
        <v>7.9726</v>
      </c>
      <c r="T189" s="8" t="s">
        <v>2611</v>
      </c>
      <c r="U189" s="14">
        <f>IFERROR(__xludf.DUMMYFUNCTION("IFERROR(GOOGLEFINANCE(B189,""price""),"""")"),350.14)</f>
        <v>350.14</v>
      </c>
    </row>
    <row r="190">
      <c r="A190" s="15">
        <v>46051.62854883441</v>
      </c>
      <c r="B190" s="16" t="s">
        <v>2735</v>
      </c>
      <c r="C190" s="16" t="s">
        <v>2736</v>
      </c>
      <c r="D190" s="17">
        <v>46054.0</v>
      </c>
      <c r="E190" s="18">
        <v>26.235</v>
      </c>
      <c r="F190" s="16" t="s">
        <v>335</v>
      </c>
      <c r="G190" s="17">
        <v>46052.0</v>
      </c>
      <c r="H190" s="18">
        <v>26.0</v>
      </c>
      <c r="I190" s="16">
        <v>1597.0</v>
      </c>
      <c r="J190" s="16" t="s">
        <v>2627</v>
      </c>
      <c r="K190" s="19">
        <v>0.9</v>
      </c>
      <c r="L190" s="16" t="s">
        <v>2882</v>
      </c>
      <c r="M190" s="16">
        <v>1597.0</v>
      </c>
      <c r="N190" s="19">
        <v>45.1066</v>
      </c>
      <c r="O190" s="16" t="s">
        <v>2738</v>
      </c>
      <c r="P190" s="19">
        <v>-3.5123</v>
      </c>
      <c r="Q190" s="20">
        <v>3.1429604E7</v>
      </c>
      <c r="R190" s="20">
        <v>1.7580039579E10</v>
      </c>
      <c r="S190" s="21">
        <v>2.022</v>
      </c>
      <c r="T190" s="16" t="s">
        <v>2611</v>
      </c>
      <c r="U190" s="22">
        <f>IFERROR(__xludf.DUMMYFUNCTION("IFERROR(GOOGLEFINANCE(B190,""price""),"""")"),19.46)</f>
        <v>19.46</v>
      </c>
    </row>
    <row r="191">
      <c r="A191" s="7">
        <v>46051.62854883441</v>
      </c>
      <c r="B191" s="8" t="s">
        <v>2730</v>
      </c>
      <c r="C191" s="8" t="s">
        <v>2731</v>
      </c>
      <c r="D191" s="9">
        <v>46054.0</v>
      </c>
      <c r="E191" s="10">
        <v>182.125</v>
      </c>
      <c r="F191" s="8" t="s">
        <v>93</v>
      </c>
      <c r="G191" s="9">
        <v>46052.0</v>
      </c>
      <c r="H191" s="10">
        <v>182.5</v>
      </c>
      <c r="I191" s="8">
        <v>1576.0</v>
      </c>
      <c r="J191" s="8" t="s">
        <v>2608</v>
      </c>
      <c r="K191" s="11">
        <v>0.21</v>
      </c>
      <c r="L191" s="8" t="s">
        <v>2883</v>
      </c>
      <c r="M191" s="8">
        <v>1576.0</v>
      </c>
      <c r="N191" s="11">
        <v>16.5094</v>
      </c>
      <c r="O191" s="8" t="s">
        <v>2733</v>
      </c>
      <c r="P191" s="11">
        <v>-0.1179</v>
      </c>
      <c r="Q191" s="12">
        <v>4232993.0</v>
      </c>
      <c r="R191" s="12">
        <v>2.89452932984E11</v>
      </c>
      <c r="S191" s="13">
        <v>4.1536</v>
      </c>
      <c r="T191" s="8" t="s">
        <v>2620</v>
      </c>
      <c r="U191" s="14">
        <f>IFERROR(__xludf.DUMMYFUNCTION("IFERROR(GOOGLEFINANCE(B191,""price""),"""")"),177.64)</f>
        <v>177.64</v>
      </c>
    </row>
    <row r="192">
      <c r="A192" s="15">
        <v>46051.62854883441</v>
      </c>
      <c r="B192" s="16" t="s">
        <v>2812</v>
      </c>
      <c r="C192" s="16" t="s">
        <v>2813</v>
      </c>
      <c r="D192" s="17">
        <v>46054.0</v>
      </c>
      <c r="E192" s="18">
        <v>450.135</v>
      </c>
      <c r="F192" s="16" t="s">
        <v>308</v>
      </c>
      <c r="G192" s="17">
        <v>46052.0</v>
      </c>
      <c r="H192" s="18">
        <v>450.0</v>
      </c>
      <c r="I192" s="16">
        <v>1427.0</v>
      </c>
      <c r="J192" s="16" t="s">
        <v>2608</v>
      </c>
      <c r="K192" s="19">
        <v>0.03</v>
      </c>
      <c r="L192" s="16" t="s">
        <v>2884</v>
      </c>
      <c r="M192" s="16">
        <v>1427.0</v>
      </c>
      <c r="N192" s="19">
        <v>34.6852</v>
      </c>
      <c r="O192" s="16" t="s">
        <v>2815</v>
      </c>
      <c r="P192" s="19">
        <v>1.6267</v>
      </c>
      <c r="Q192" s="20">
        <v>6679038.0</v>
      </c>
      <c r="R192" s="20">
        <v>9.6129976215E10</v>
      </c>
      <c r="S192" s="21">
        <v>23.3065</v>
      </c>
      <c r="T192" s="16" t="s">
        <v>2611</v>
      </c>
      <c r="U192" s="22">
        <f>IFERROR(__xludf.DUMMYFUNCTION("IFERROR(GOOGLEFINANCE(B192,""price""),"""")"),503.13)</f>
        <v>503.13</v>
      </c>
    </row>
    <row r="193">
      <c r="A193" s="7">
        <v>46051.62854883441</v>
      </c>
      <c r="B193" s="8" t="s">
        <v>1492</v>
      </c>
      <c r="C193" s="8" t="s">
        <v>1493</v>
      </c>
      <c r="D193" s="9">
        <v>46054.0</v>
      </c>
      <c r="E193" s="10">
        <v>24.3045</v>
      </c>
      <c r="F193" s="8" t="s">
        <v>93</v>
      </c>
      <c r="G193" s="9">
        <v>46052.0</v>
      </c>
      <c r="H193" s="10">
        <v>24.0</v>
      </c>
      <c r="I193" s="8">
        <v>1323.0</v>
      </c>
      <c r="J193" s="8" t="s">
        <v>2627</v>
      </c>
      <c r="K193" s="11">
        <v>1.25</v>
      </c>
      <c r="L193" s="8" t="s">
        <v>2831</v>
      </c>
      <c r="M193" s="8">
        <v>1323.0</v>
      </c>
      <c r="N193" s="11">
        <v>21.7953</v>
      </c>
      <c r="O193" s="8" t="s">
        <v>1494</v>
      </c>
      <c r="P193" s="11">
        <v>0.4318</v>
      </c>
      <c r="Q193" s="12">
        <v>3953370.0</v>
      </c>
      <c r="R193" s="12">
        <v>1.1787682872E10</v>
      </c>
      <c r="S193" s="13">
        <v>0.5373</v>
      </c>
      <c r="T193" s="8" t="s">
        <v>2611</v>
      </c>
      <c r="U193" s="14">
        <f>IFERROR(__xludf.DUMMYFUNCTION("IFERROR(GOOGLEFINANCE(B193,""price""),"""")"),24.05)</f>
        <v>24.05</v>
      </c>
    </row>
    <row r="194">
      <c r="A194" s="15">
        <v>46051.62854883441</v>
      </c>
      <c r="B194" s="16" t="s">
        <v>2710</v>
      </c>
      <c r="C194" s="16" t="s">
        <v>2711</v>
      </c>
      <c r="D194" s="17">
        <v>46054.0</v>
      </c>
      <c r="E194" s="18">
        <v>119.25</v>
      </c>
      <c r="F194" s="16" t="s">
        <v>917</v>
      </c>
      <c r="G194" s="17">
        <v>46073.0</v>
      </c>
      <c r="H194" s="18">
        <v>120.0</v>
      </c>
      <c r="I194" s="16">
        <v>1250.0</v>
      </c>
      <c r="J194" s="16" t="s">
        <v>2608</v>
      </c>
      <c r="K194" s="19">
        <v>0.63</v>
      </c>
      <c r="L194" s="16" t="s">
        <v>2885</v>
      </c>
      <c r="M194" s="16">
        <v>1250.0</v>
      </c>
      <c r="N194" s="19">
        <v>18.0656</v>
      </c>
      <c r="O194" s="16" t="s">
        <v>2713</v>
      </c>
      <c r="P194" s="19">
        <v>0.1091</v>
      </c>
      <c r="Q194" s="20">
        <v>1847798.0</v>
      </c>
      <c r="R194" s="20">
        <v>6.3690768497E10</v>
      </c>
      <c r="S194" s="21">
        <v>1.9529</v>
      </c>
      <c r="T194" s="16" t="s">
        <v>2620</v>
      </c>
      <c r="U194" s="22">
        <f>IFERROR(__xludf.DUMMYFUNCTION("IFERROR(GOOGLEFINANCE(B194,""price""),"""")"),136.3)</f>
        <v>136.3</v>
      </c>
    </row>
    <row r="195">
      <c r="A195" s="7">
        <v>46051.62854883441</v>
      </c>
      <c r="B195" s="8" t="s">
        <v>2692</v>
      </c>
      <c r="C195" s="8" t="s">
        <v>2693</v>
      </c>
      <c r="D195" s="9">
        <v>46054.0</v>
      </c>
      <c r="E195" s="10">
        <v>228.21</v>
      </c>
      <c r="F195" s="8" t="s">
        <v>117</v>
      </c>
      <c r="G195" s="9">
        <v>46052.0</v>
      </c>
      <c r="H195" s="10">
        <v>230.0</v>
      </c>
      <c r="I195" s="8">
        <v>1198.0</v>
      </c>
      <c r="J195" s="8" t="s">
        <v>2608</v>
      </c>
      <c r="K195" s="11">
        <v>0.78</v>
      </c>
      <c r="L195" s="8" t="s">
        <v>2886</v>
      </c>
      <c r="M195" s="8">
        <v>1198.0</v>
      </c>
      <c r="N195" s="11">
        <v>25.6302</v>
      </c>
      <c r="O195" s="8" t="s">
        <v>2695</v>
      </c>
      <c r="P195" s="11">
        <v>0.2152</v>
      </c>
      <c r="Q195" s="12">
        <v>5254652.0</v>
      </c>
      <c r="R195" s="12">
        <v>5.49825197068E11</v>
      </c>
      <c r="S195" s="13">
        <v>3.8218</v>
      </c>
      <c r="T195" s="8" t="s">
        <v>2620</v>
      </c>
      <c r="U195" s="14">
        <f>IFERROR(__xludf.DUMMYFUNCTION("IFERROR(GOOGLEFINANCE(B195,""price""),"""")"),238.46)</f>
        <v>238.46</v>
      </c>
    </row>
    <row r="196">
      <c r="A196" s="15">
        <v>46051.62854883441</v>
      </c>
      <c r="B196" s="16" t="s">
        <v>2680</v>
      </c>
      <c r="C196" s="16" t="s">
        <v>2681</v>
      </c>
      <c r="D196" s="17">
        <v>46054.0</v>
      </c>
      <c r="E196" s="18">
        <v>182.885</v>
      </c>
      <c r="F196" s="16" t="s">
        <v>245</v>
      </c>
      <c r="G196" s="17">
        <v>46052.0</v>
      </c>
      <c r="H196" s="18">
        <v>185.0</v>
      </c>
      <c r="I196" s="16">
        <v>1112.0</v>
      </c>
      <c r="J196" s="16" t="s">
        <v>2608</v>
      </c>
      <c r="K196" s="19">
        <v>1.16</v>
      </c>
      <c r="L196" s="16" t="s">
        <v>2887</v>
      </c>
      <c r="M196" s="16">
        <v>1112.0</v>
      </c>
      <c r="N196" s="19">
        <v>34.8675</v>
      </c>
      <c r="O196" s="16" t="s">
        <v>2683</v>
      </c>
      <c r="P196" s="19">
        <v>-0.6168</v>
      </c>
      <c r="Q196" s="20">
        <v>4464343.0</v>
      </c>
      <c r="R196" s="20">
        <v>5.5781667632E10</v>
      </c>
      <c r="S196" s="21">
        <v>6.387</v>
      </c>
      <c r="T196" s="16" t="s">
        <v>2620</v>
      </c>
      <c r="U196" s="22">
        <f>IFERROR(__xludf.DUMMYFUNCTION("IFERROR(GOOGLEFINANCE(B196,""price""),"""")"),238.82)</f>
        <v>238.82</v>
      </c>
    </row>
    <row r="197">
      <c r="A197" s="7">
        <v>46051.62854883441</v>
      </c>
      <c r="B197" s="8" t="s">
        <v>1512</v>
      </c>
      <c r="C197" s="8" t="s">
        <v>1513</v>
      </c>
      <c r="D197" s="9">
        <v>46054.0</v>
      </c>
      <c r="E197" s="10">
        <v>76.48</v>
      </c>
      <c r="F197" s="8" t="s">
        <v>917</v>
      </c>
      <c r="G197" s="9">
        <v>46073.0</v>
      </c>
      <c r="H197" s="10">
        <v>77.5</v>
      </c>
      <c r="I197" s="8">
        <v>1106.0</v>
      </c>
      <c r="J197" s="8" t="s">
        <v>2608</v>
      </c>
      <c r="K197" s="11">
        <v>1.33</v>
      </c>
      <c r="L197" s="8" t="s">
        <v>2734</v>
      </c>
      <c r="M197" s="8">
        <v>1106.0</v>
      </c>
      <c r="N197" s="11">
        <v>23.6469</v>
      </c>
      <c r="O197" s="8" t="s">
        <v>1514</v>
      </c>
      <c r="P197" s="11">
        <v>-0.2218</v>
      </c>
      <c r="Q197" s="12">
        <v>1368854.0</v>
      </c>
      <c r="R197" s="12">
        <v>1.7606777919E10</v>
      </c>
      <c r="S197" s="13">
        <v>1.1271</v>
      </c>
      <c r="T197" s="8" t="s">
        <v>2620</v>
      </c>
      <c r="U197" s="14">
        <f>IFERROR(__xludf.DUMMYFUNCTION("IFERROR(GOOGLEFINANCE(B197,""price""),"""")"),83.58)</f>
        <v>83.58</v>
      </c>
    </row>
    <row r="198">
      <c r="A198" s="15">
        <v>46051.62854883441</v>
      </c>
      <c r="B198" s="16" t="s">
        <v>1626</v>
      </c>
      <c r="C198" s="16" t="s">
        <v>1627</v>
      </c>
      <c r="D198" s="17">
        <v>46054.0</v>
      </c>
      <c r="E198" s="18">
        <v>44.62</v>
      </c>
      <c r="F198" s="16" t="s">
        <v>917</v>
      </c>
      <c r="G198" s="17">
        <v>46073.0</v>
      </c>
      <c r="H198" s="18">
        <v>45.0</v>
      </c>
      <c r="I198" s="16">
        <v>1105.0</v>
      </c>
      <c r="J198" s="16" t="s">
        <v>2608</v>
      </c>
      <c r="K198" s="19">
        <v>0.85</v>
      </c>
      <c r="L198" s="16" t="s">
        <v>2888</v>
      </c>
      <c r="M198" s="16">
        <v>1105.0</v>
      </c>
      <c r="N198" s="19">
        <v>26.7844</v>
      </c>
      <c r="O198" s="16" t="s">
        <v>1628</v>
      </c>
      <c r="P198" s="19">
        <v>0.6542</v>
      </c>
      <c r="Q198" s="20">
        <v>3013553.0</v>
      </c>
      <c r="R198" s="20">
        <v>2.1292465255E10</v>
      </c>
      <c r="S198" s="21">
        <v>0.7179</v>
      </c>
      <c r="T198" s="16" t="s">
        <v>2620</v>
      </c>
      <c r="U198" s="22">
        <f>IFERROR(__xludf.DUMMYFUNCTION("IFERROR(GOOGLEFINANCE(B198,""price""),"""")"),48.05)</f>
        <v>48.05</v>
      </c>
    </row>
    <row r="199">
      <c r="A199" s="7">
        <v>46051.62854883441</v>
      </c>
      <c r="B199" s="8" t="s">
        <v>2505</v>
      </c>
      <c r="C199" s="8" t="s">
        <v>2506</v>
      </c>
      <c r="D199" s="9">
        <v>46054.0</v>
      </c>
      <c r="E199" s="10">
        <v>179.205</v>
      </c>
      <c r="F199" s="8" t="s">
        <v>335</v>
      </c>
      <c r="G199" s="9">
        <v>46073.0</v>
      </c>
      <c r="H199" s="10">
        <v>180.0</v>
      </c>
      <c r="I199" s="8">
        <v>1100.0</v>
      </c>
      <c r="J199" s="8" t="s">
        <v>2608</v>
      </c>
      <c r="K199" s="11">
        <v>0.44</v>
      </c>
      <c r="L199" s="8" t="s">
        <v>2889</v>
      </c>
      <c r="M199" s="8">
        <v>1100.0</v>
      </c>
      <c r="N199" s="11">
        <v>25.4246</v>
      </c>
      <c r="O199" s="8" t="s">
        <v>2507</v>
      </c>
      <c r="P199" s="11">
        <v>3.479</v>
      </c>
      <c r="Q199" s="12">
        <v>1403783.0</v>
      </c>
      <c r="R199" s="12">
        <v>4.1012614043E10</v>
      </c>
      <c r="S199" s="13">
        <v>5.0211</v>
      </c>
      <c r="T199" s="8" t="s">
        <v>2620</v>
      </c>
      <c r="U199" s="14">
        <f>IFERROR(__xludf.DUMMYFUNCTION("IFERROR(GOOGLEFINANCE(B199,""price""),"""")"),186.12)</f>
        <v>186.12</v>
      </c>
    </row>
    <row r="200">
      <c r="A200" s="15">
        <v>46051.62854883441</v>
      </c>
      <c r="B200" s="16" t="s">
        <v>2843</v>
      </c>
      <c r="C200" s="16" t="s">
        <v>2844</v>
      </c>
      <c r="D200" s="17">
        <v>46054.0</v>
      </c>
      <c r="E200" s="18">
        <v>199.27</v>
      </c>
      <c r="F200" s="16" t="s">
        <v>308</v>
      </c>
      <c r="G200" s="17">
        <v>46052.0</v>
      </c>
      <c r="H200" s="18">
        <v>200.0</v>
      </c>
      <c r="I200" s="16">
        <v>1005.0</v>
      </c>
      <c r="J200" s="16" t="s">
        <v>2608</v>
      </c>
      <c r="K200" s="19">
        <v>0.37</v>
      </c>
      <c r="L200" s="16" t="s">
        <v>2890</v>
      </c>
      <c r="M200" s="16">
        <v>1005.0</v>
      </c>
      <c r="N200" s="19">
        <v>46.9894</v>
      </c>
      <c r="O200" s="16" t="s">
        <v>2846</v>
      </c>
      <c r="P200" s="19">
        <v>-0.0953</v>
      </c>
      <c r="Q200" s="20">
        <v>5356249.0</v>
      </c>
      <c r="R200" s="20">
        <v>2.67175639985E11</v>
      </c>
      <c r="S200" s="21">
        <v>4.5066</v>
      </c>
      <c r="T200" s="16" t="s">
        <v>2620</v>
      </c>
      <c r="U200" s="22">
        <f>IFERROR(__xludf.DUMMYFUNCTION("IFERROR(GOOGLEFINANCE(B200,""price""),"""")"),201.56)</f>
        <v>201.56</v>
      </c>
    </row>
    <row r="201">
      <c r="A201" s="7">
        <v>46052.47006081787</v>
      </c>
      <c r="B201" s="8" t="s">
        <v>2606</v>
      </c>
      <c r="C201" s="8" t="s">
        <v>2607</v>
      </c>
      <c r="D201" s="9">
        <v>46054.0</v>
      </c>
      <c r="E201" s="10">
        <v>49.245</v>
      </c>
      <c r="F201" s="8" t="s">
        <v>93</v>
      </c>
      <c r="G201" s="9">
        <v>46073.0</v>
      </c>
      <c r="H201" s="10">
        <v>50.0</v>
      </c>
      <c r="I201" s="8">
        <v>28739.0</v>
      </c>
      <c r="J201" s="8" t="s">
        <v>2608</v>
      </c>
      <c r="K201" s="11">
        <v>1.53</v>
      </c>
      <c r="L201" s="8" t="s">
        <v>2891</v>
      </c>
      <c r="M201" s="8">
        <v>33162.0</v>
      </c>
      <c r="N201" s="11">
        <v>37.6732</v>
      </c>
      <c r="O201" s="8" t="s">
        <v>2610</v>
      </c>
      <c r="P201" s="11">
        <v>-1.0946</v>
      </c>
      <c r="Q201" s="12">
        <v>3878074.0</v>
      </c>
      <c r="R201" s="12">
        <v>3.255314876E10</v>
      </c>
      <c r="S201" s="13">
        <v>1.2117</v>
      </c>
      <c r="T201" s="8" t="s">
        <v>2620</v>
      </c>
      <c r="U201" s="14">
        <f>IFERROR(__xludf.DUMMYFUNCTION("IFERROR(GOOGLEFINANCE(B201,""price""),"""")"),49.31)</f>
        <v>49.31</v>
      </c>
    </row>
    <row r="202">
      <c r="A202" s="15">
        <v>46052.47006081787</v>
      </c>
      <c r="B202" s="16" t="s">
        <v>2612</v>
      </c>
      <c r="C202" s="16" t="s">
        <v>2613</v>
      </c>
      <c r="D202" s="17">
        <v>46054.0</v>
      </c>
      <c r="E202" s="18">
        <v>240.4186</v>
      </c>
      <c r="F202" s="16" t="s">
        <v>308</v>
      </c>
      <c r="G202" s="17">
        <v>46052.0</v>
      </c>
      <c r="H202" s="18">
        <v>240.0</v>
      </c>
      <c r="I202" s="16">
        <v>8644.0</v>
      </c>
      <c r="J202" s="16" t="s">
        <v>2627</v>
      </c>
      <c r="K202" s="19">
        <v>0.17</v>
      </c>
      <c r="L202" s="16" t="s">
        <v>2892</v>
      </c>
      <c r="M202" s="16">
        <v>27301.0</v>
      </c>
      <c r="N202" s="19">
        <v>24.5905</v>
      </c>
      <c r="O202" s="16" t="s">
        <v>2615</v>
      </c>
      <c r="P202" s="19">
        <v>-4.6639</v>
      </c>
      <c r="Q202" s="20">
        <v>1.9115692E7</v>
      </c>
      <c r="R202" s="20">
        <v>3.91411447743E11</v>
      </c>
      <c r="S202" s="21">
        <v>11.1523</v>
      </c>
      <c r="T202" s="16" t="s">
        <v>2611</v>
      </c>
      <c r="U202" s="22">
        <f>IFERROR(__xludf.DUMMYFUNCTION("IFERROR(GOOGLEFINANCE(B202,""price""),"""")"),245.04)</f>
        <v>245.04</v>
      </c>
    </row>
    <row r="203">
      <c r="A203" s="7">
        <v>46052.47006081787</v>
      </c>
      <c r="B203" s="8" t="s">
        <v>2630</v>
      </c>
      <c r="C203" s="8" t="s">
        <v>2631</v>
      </c>
      <c r="D203" s="9">
        <v>46054.0</v>
      </c>
      <c r="E203" s="10">
        <v>433.09</v>
      </c>
      <c r="F203" s="8" t="s">
        <v>308</v>
      </c>
      <c r="G203" s="9">
        <v>46052.0</v>
      </c>
      <c r="H203" s="10">
        <v>440.0</v>
      </c>
      <c r="I203" s="8">
        <v>4862.0</v>
      </c>
      <c r="J203" s="8" t="s">
        <v>2608</v>
      </c>
      <c r="K203" s="11">
        <v>1.6</v>
      </c>
      <c r="L203" s="8" t="s">
        <v>2893</v>
      </c>
      <c r="M203" s="8">
        <v>26380.0</v>
      </c>
      <c r="N203" s="11">
        <v>43.0031</v>
      </c>
      <c r="O203" s="8" t="s">
        <v>2633</v>
      </c>
      <c r="P203" s="11">
        <v>-0.6196</v>
      </c>
      <c r="Q203" s="12">
        <v>2.3357924E7</v>
      </c>
      <c r="R203" s="12">
        <v>4.87446822483E11</v>
      </c>
      <c r="S203" s="13">
        <v>20.1308</v>
      </c>
      <c r="T203" s="8" t="s">
        <v>2620</v>
      </c>
      <c r="U203" s="14">
        <f>IFERROR(__xludf.DUMMYFUNCTION("IFERROR(GOOGLEFINANCE(B203,""price""),"""")"),420.59)</f>
        <v>420.59</v>
      </c>
    </row>
    <row r="204">
      <c r="A204" s="15">
        <v>46052.47006081787</v>
      </c>
      <c r="B204" s="16" t="s">
        <v>2625</v>
      </c>
      <c r="C204" s="16" t="s">
        <v>2626</v>
      </c>
      <c r="D204" s="17">
        <v>46054.0</v>
      </c>
      <c r="E204" s="18">
        <v>118.02</v>
      </c>
      <c r="F204" s="16" t="s">
        <v>137</v>
      </c>
      <c r="G204" s="17">
        <v>46052.0</v>
      </c>
      <c r="H204" s="18">
        <v>120.0</v>
      </c>
      <c r="I204" s="16">
        <v>4704.0</v>
      </c>
      <c r="J204" s="16" t="s">
        <v>2608</v>
      </c>
      <c r="K204" s="19">
        <v>1.68</v>
      </c>
      <c r="L204" s="16" t="s">
        <v>2894</v>
      </c>
      <c r="M204" s="16">
        <v>23001.0</v>
      </c>
      <c r="N204" s="19">
        <v>18.4215</v>
      </c>
      <c r="O204" s="16" t="s">
        <v>2629</v>
      </c>
      <c r="P204" s="19">
        <v>0.5195</v>
      </c>
      <c r="Q204" s="20">
        <v>5053814.0</v>
      </c>
      <c r="R204" s="20">
        <v>9.40639137757E11</v>
      </c>
      <c r="S204" s="21">
        <v>2.1785</v>
      </c>
      <c r="T204" s="16" t="s">
        <v>2620</v>
      </c>
      <c r="U204" s="22">
        <f>IFERROR(__xludf.DUMMYFUNCTION("IFERROR(GOOGLEFINANCE(B204,""price""),"""")"),126.79)</f>
        <v>126.79</v>
      </c>
    </row>
    <row r="205">
      <c r="A205" s="7">
        <v>46052.47006081787</v>
      </c>
      <c r="B205" s="8" t="s">
        <v>2616</v>
      </c>
      <c r="C205" s="8" t="s">
        <v>2617</v>
      </c>
      <c r="D205" s="9">
        <v>46054.0</v>
      </c>
      <c r="E205" s="10">
        <v>73.865</v>
      </c>
      <c r="F205" s="8" t="s">
        <v>286</v>
      </c>
      <c r="G205" s="9">
        <v>46052.0</v>
      </c>
      <c r="H205" s="10">
        <v>74.0</v>
      </c>
      <c r="I205" s="8">
        <v>8271.0</v>
      </c>
      <c r="J205" s="8" t="s">
        <v>2608</v>
      </c>
      <c r="K205" s="11">
        <v>0.18</v>
      </c>
      <c r="L205" s="8" t="s">
        <v>2895</v>
      </c>
      <c r="M205" s="8">
        <v>21159.0</v>
      </c>
      <c r="N205" s="11">
        <v>26.3846</v>
      </c>
      <c r="O205" s="8" t="s">
        <v>2619</v>
      </c>
      <c r="P205" s="11">
        <v>0.5924</v>
      </c>
      <c r="Q205" s="12">
        <v>8598672.0</v>
      </c>
      <c r="R205" s="12">
        <v>3.17738341739E11</v>
      </c>
      <c r="S205" s="13">
        <v>0.9919</v>
      </c>
      <c r="T205" s="8" t="s">
        <v>2620</v>
      </c>
      <c r="U205" s="14">
        <f>IFERROR(__xludf.DUMMYFUNCTION("IFERROR(GOOGLEFINANCE(B205,""price""),"""")"),77.47)</f>
        <v>77.47</v>
      </c>
    </row>
    <row r="206">
      <c r="A206" s="15">
        <v>46052.47006081787</v>
      </c>
      <c r="B206" s="16" t="s">
        <v>2638</v>
      </c>
      <c r="C206" s="16" t="s">
        <v>2639</v>
      </c>
      <c r="D206" s="17">
        <v>46054.0</v>
      </c>
      <c r="E206" s="18">
        <v>139.535</v>
      </c>
      <c r="F206" s="16" t="s">
        <v>245</v>
      </c>
      <c r="G206" s="17">
        <v>46052.0</v>
      </c>
      <c r="H206" s="18">
        <v>137.0</v>
      </c>
      <c r="I206" s="16">
        <v>5050.0</v>
      </c>
      <c r="J206" s="16" t="s">
        <v>2627</v>
      </c>
      <c r="K206" s="19">
        <v>1.82</v>
      </c>
      <c r="L206" s="16" t="s">
        <v>2896</v>
      </c>
      <c r="M206" s="16">
        <v>18710.0</v>
      </c>
      <c r="N206" s="19">
        <v>45.399</v>
      </c>
      <c r="O206" s="16" t="s">
        <v>2641</v>
      </c>
      <c r="P206" s="19">
        <v>-0.6939</v>
      </c>
      <c r="Q206" s="20">
        <v>8761664.0</v>
      </c>
      <c r="R206" s="20">
        <v>5.88442168853E11</v>
      </c>
      <c r="S206" s="21">
        <v>2.5741</v>
      </c>
      <c r="T206" s="16" t="s">
        <v>2611</v>
      </c>
      <c r="U206" s="22">
        <f>IFERROR(__xludf.DUMMYFUNCTION("IFERROR(GOOGLEFINANCE(B206,""price""),"""")"),152.51)</f>
        <v>152.51</v>
      </c>
    </row>
    <row r="207">
      <c r="A207" s="7">
        <v>46052.47006081787</v>
      </c>
      <c r="B207" s="8" t="s">
        <v>2621</v>
      </c>
      <c r="C207" s="8" t="s">
        <v>2622</v>
      </c>
      <c r="D207" s="9">
        <v>46054.0</v>
      </c>
      <c r="E207" s="10">
        <v>60.2079</v>
      </c>
      <c r="F207" s="8" t="s">
        <v>335</v>
      </c>
      <c r="G207" s="9">
        <v>46052.0</v>
      </c>
      <c r="H207" s="10">
        <v>60.0</v>
      </c>
      <c r="I207" s="8">
        <v>7499.0</v>
      </c>
      <c r="J207" s="8" t="s">
        <v>2627</v>
      </c>
      <c r="K207" s="11">
        <v>0.35</v>
      </c>
      <c r="L207" s="8" t="s">
        <v>2897</v>
      </c>
      <c r="M207" s="8">
        <v>18122.0</v>
      </c>
      <c r="N207" s="11">
        <v>44.9551</v>
      </c>
      <c r="O207" s="8" t="s">
        <v>2624</v>
      </c>
      <c r="P207" s="11">
        <v>-7.5573</v>
      </c>
      <c r="Q207" s="12">
        <v>1.7117175E7</v>
      </c>
      <c r="R207" s="12">
        <v>8.6454366183E10</v>
      </c>
      <c r="S207" s="13">
        <v>2.6151</v>
      </c>
      <c r="T207" s="8" t="s">
        <v>2611</v>
      </c>
      <c r="U207" s="14">
        <f>IFERROR(__xludf.DUMMYFUNCTION("IFERROR(GOOGLEFINANCE(B207,""price""),"""")"),67.8)</f>
        <v>67.8</v>
      </c>
    </row>
    <row r="208">
      <c r="A208" s="15">
        <v>46052.47006081787</v>
      </c>
      <c r="B208" s="16" t="s">
        <v>1489</v>
      </c>
      <c r="C208" s="16" t="s">
        <v>1490</v>
      </c>
      <c r="D208" s="17">
        <v>46054.0</v>
      </c>
      <c r="E208" s="18">
        <v>78.47</v>
      </c>
      <c r="F208" s="16" t="s">
        <v>308</v>
      </c>
      <c r="G208" s="17">
        <v>46052.0</v>
      </c>
      <c r="H208" s="18">
        <v>80.0</v>
      </c>
      <c r="I208" s="16">
        <v>5127.0</v>
      </c>
      <c r="J208" s="16" t="s">
        <v>2608</v>
      </c>
      <c r="K208" s="19">
        <v>1.95</v>
      </c>
      <c r="L208" s="16" t="s">
        <v>2898</v>
      </c>
      <c r="M208" s="16">
        <v>12618.0</v>
      </c>
      <c r="N208" s="19">
        <v>22.8666</v>
      </c>
      <c r="O208" s="16" t="s">
        <v>1491</v>
      </c>
      <c r="P208" s="19">
        <v>0.051</v>
      </c>
      <c r="Q208" s="20">
        <v>5961916.0</v>
      </c>
      <c r="R208" s="20">
        <v>3.10042385242E11</v>
      </c>
      <c r="S208" s="21">
        <v>1.4498</v>
      </c>
      <c r="T208" s="16" t="s">
        <v>2620</v>
      </c>
      <c r="U208" s="22">
        <f>IFERROR(__xludf.DUMMYFUNCTION("IFERROR(GOOGLEFINANCE(B208,""price""),"""")"),82.22)</f>
        <v>82.22</v>
      </c>
    </row>
    <row r="209">
      <c r="A209" s="7">
        <v>46052.47006081787</v>
      </c>
      <c r="B209" s="8" t="s">
        <v>2704</v>
      </c>
      <c r="C209" s="8" t="s">
        <v>2705</v>
      </c>
      <c r="D209" s="9">
        <v>46054.0</v>
      </c>
      <c r="E209" s="10">
        <v>35.45</v>
      </c>
      <c r="F209" s="8" t="s">
        <v>88</v>
      </c>
      <c r="G209" s="9">
        <v>46052.0</v>
      </c>
      <c r="H209" s="10">
        <v>35.0</v>
      </c>
      <c r="I209" s="8">
        <v>3793.0</v>
      </c>
      <c r="J209" s="8" t="s">
        <v>2627</v>
      </c>
      <c r="K209" s="11">
        <v>1.27</v>
      </c>
      <c r="L209" s="8" t="s">
        <v>2899</v>
      </c>
      <c r="M209" s="8">
        <v>11550.0</v>
      </c>
      <c r="N209" s="11">
        <v>27.3038</v>
      </c>
      <c r="O209" s="8" t="s">
        <v>2707</v>
      </c>
      <c r="P209" s="11">
        <v>-6.8821</v>
      </c>
      <c r="Q209" s="12">
        <v>1.1831969E7</v>
      </c>
      <c r="R209" s="12">
        <v>9.911317077E9</v>
      </c>
      <c r="S209" s="13">
        <v>3.5284</v>
      </c>
      <c r="T209" s="8" t="s">
        <v>2611</v>
      </c>
      <c r="U209" s="14">
        <f>IFERROR(__xludf.DUMMYFUNCTION("IFERROR(GOOGLEFINANCE(B209,""price""),"""")"),26.24)</f>
        <v>26.24</v>
      </c>
    </row>
    <row r="210">
      <c r="A210" s="15">
        <v>46052.47006081787</v>
      </c>
      <c r="B210" s="16" t="s">
        <v>1467</v>
      </c>
      <c r="C210" s="16" t="s">
        <v>1468</v>
      </c>
      <c r="D210" s="17">
        <v>46054.0</v>
      </c>
      <c r="E210" s="18">
        <v>119.855</v>
      </c>
      <c r="F210" s="16" t="s">
        <v>102</v>
      </c>
      <c r="G210" s="17">
        <v>46073.0</v>
      </c>
      <c r="H210" s="18">
        <v>120.0</v>
      </c>
      <c r="I210" s="16">
        <v>9098.0</v>
      </c>
      <c r="J210" s="16" t="s">
        <v>2608</v>
      </c>
      <c r="K210" s="19">
        <v>0.12</v>
      </c>
      <c r="L210" s="16" t="s">
        <v>2900</v>
      </c>
      <c r="M210" s="16">
        <v>10802.0</v>
      </c>
      <c r="N210" s="19">
        <v>20.8084</v>
      </c>
      <c r="O210" s="16" t="s">
        <v>1469</v>
      </c>
      <c r="P210" s="19">
        <v>-0.3533</v>
      </c>
      <c r="Q210" s="20">
        <v>1482498.0</v>
      </c>
      <c r="R210" s="20">
        <v>7.3247659006E10</v>
      </c>
      <c r="S210" s="21">
        <v>2.5496</v>
      </c>
      <c r="T210" s="16" t="s">
        <v>2620</v>
      </c>
      <c r="U210" s="22">
        <f>IFERROR(__xludf.DUMMYFUNCTION("IFERROR(GOOGLEFINANCE(B210,""price""),"""")"),142.53)</f>
        <v>142.53</v>
      </c>
    </row>
    <row r="211">
      <c r="A211" s="7">
        <v>46052.47006081787</v>
      </c>
      <c r="B211" s="8" t="s">
        <v>2804</v>
      </c>
      <c r="C211" s="8" t="s">
        <v>2805</v>
      </c>
      <c r="D211" s="9">
        <v>46054.0</v>
      </c>
      <c r="E211" s="10">
        <v>105.52</v>
      </c>
      <c r="F211" s="8" t="s">
        <v>308</v>
      </c>
      <c r="G211" s="9">
        <v>46052.0</v>
      </c>
      <c r="H211" s="10">
        <v>105.0</v>
      </c>
      <c r="I211" s="8">
        <v>3736.0</v>
      </c>
      <c r="J211" s="8" t="s">
        <v>2608</v>
      </c>
      <c r="K211" s="11">
        <v>0.49</v>
      </c>
      <c r="L211" s="8" t="s">
        <v>2901</v>
      </c>
      <c r="M211" s="8">
        <v>6510.0</v>
      </c>
      <c r="N211" s="11">
        <v>31.3502</v>
      </c>
      <c r="O211" s="8" t="s">
        <v>2807</v>
      </c>
      <c r="P211" s="11">
        <v>2.4466</v>
      </c>
      <c r="Q211" s="12">
        <v>7101551.0</v>
      </c>
      <c r="R211" s="12">
        <v>9.0468664297E10</v>
      </c>
      <c r="S211" s="13">
        <v>4.6763</v>
      </c>
      <c r="T211" s="8" t="s">
        <v>2611</v>
      </c>
      <c r="U211" s="14">
        <f>IFERROR(__xludf.DUMMYFUNCTION("IFERROR(GOOGLEFINANCE(B211,""price""),"""")"),171.24)</f>
        <v>171.24</v>
      </c>
    </row>
    <row r="212">
      <c r="A212" s="15">
        <v>46052.47006081787</v>
      </c>
      <c r="B212" s="16" t="s">
        <v>2634</v>
      </c>
      <c r="C212" s="16" t="s">
        <v>2635</v>
      </c>
      <c r="D212" s="17">
        <v>46054.0</v>
      </c>
      <c r="E212" s="18">
        <v>174.29</v>
      </c>
      <c r="F212" s="16" t="s">
        <v>245</v>
      </c>
      <c r="G212" s="17">
        <v>46052.0</v>
      </c>
      <c r="H212" s="18">
        <v>175.0</v>
      </c>
      <c r="I212" s="16">
        <v>4010.0</v>
      </c>
      <c r="J212" s="16" t="s">
        <v>2608</v>
      </c>
      <c r="K212" s="19">
        <v>0.41</v>
      </c>
      <c r="L212" s="16" t="s">
        <v>2902</v>
      </c>
      <c r="M212" s="16">
        <v>6010.0</v>
      </c>
      <c r="N212" s="19">
        <v>44.5033</v>
      </c>
      <c r="O212" s="16" t="s">
        <v>2637</v>
      </c>
      <c r="P212" s="19">
        <v>1.8109</v>
      </c>
      <c r="Q212" s="20">
        <v>6399597.0</v>
      </c>
      <c r="R212" s="20">
        <v>3.50936685792E11</v>
      </c>
      <c r="S212" s="21">
        <v>3.078</v>
      </c>
      <c r="T212" s="16" t="s">
        <v>2620</v>
      </c>
      <c r="U212" s="22">
        <f>IFERROR(__xludf.DUMMYFUNCTION("IFERROR(GOOGLEFINANCE(B212,""price""),"""")"),188.55)</f>
        <v>188.55</v>
      </c>
    </row>
    <row r="213">
      <c r="A213" s="7">
        <v>46052.47006081787</v>
      </c>
      <c r="B213" s="8" t="s">
        <v>2658</v>
      </c>
      <c r="C213" s="8" t="s">
        <v>2659</v>
      </c>
      <c r="D213" s="9">
        <v>46054.0</v>
      </c>
      <c r="E213" s="10">
        <v>86.51</v>
      </c>
      <c r="F213" s="8" t="s">
        <v>917</v>
      </c>
      <c r="G213" s="9">
        <v>46052.0</v>
      </c>
      <c r="H213" s="10">
        <v>85.0</v>
      </c>
      <c r="I213" s="8">
        <v>1732.0</v>
      </c>
      <c r="J213" s="8" t="s">
        <v>2627</v>
      </c>
      <c r="K213" s="11">
        <v>1.75</v>
      </c>
      <c r="L213" s="8" t="s">
        <v>2903</v>
      </c>
      <c r="M213" s="8">
        <v>5623.0</v>
      </c>
      <c r="N213" s="11">
        <v>29.19</v>
      </c>
      <c r="O213" s="8" t="s">
        <v>2661</v>
      </c>
      <c r="P213" s="11">
        <v>-1.8939</v>
      </c>
      <c r="Q213" s="12">
        <v>2409908.0</v>
      </c>
      <c r="R213" s="12">
        <v>1.80166558775E11</v>
      </c>
      <c r="S213" s="13">
        <v>1.7138</v>
      </c>
      <c r="T213" s="8" t="s">
        <v>2611</v>
      </c>
      <c r="U213" s="14">
        <f>IFERROR(__xludf.DUMMYFUNCTION("IFERROR(GOOGLEFINANCE(B213,""price""),"""")"),94.08)</f>
        <v>94.08</v>
      </c>
    </row>
    <row r="214">
      <c r="A214" s="15">
        <v>46052.47006081787</v>
      </c>
      <c r="B214" s="16" t="s">
        <v>2139</v>
      </c>
      <c r="C214" s="16" t="s">
        <v>2140</v>
      </c>
      <c r="D214" s="17">
        <v>46054.0</v>
      </c>
      <c r="E214" s="18">
        <v>55.68</v>
      </c>
      <c r="F214" s="16" t="s">
        <v>270</v>
      </c>
      <c r="G214" s="17">
        <v>46073.0</v>
      </c>
      <c r="H214" s="18">
        <v>55.0</v>
      </c>
      <c r="I214" s="16">
        <v>5495.0</v>
      </c>
      <c r="J214" s="16" t="s">
        <v>2608</v>
      </c>
      <c r="K214" s="19">
        <v>1.22</v>
      </c>
      <c r="L214" s="16" t="s">
        <v>2904</v>
      </c>
      <c r="M214" s="16">
        <v>5495.0</v>
      </c>
      <c r="N214" s="19">
        <v>37.5128</v>
      </c>
      <c r="O214" s="16" t="s">
        <v>2141</v>
      </c>
      <c r="P214" s="19">
        <v>-1.8509</v>
      </c>
      <c r="Q214" s="20">
        <v>2383343.0</v>
      </c>
      <c r="R214" s="20">
        <v>5.4943568345E10</v>
      </c>
      <c r="S214" s="21">
        <v>1.6073</v>
      </c>
      <c r="T214" s="16" t="s">
        <v>2611</v>
      </c>
      <c r="U214" s="22">
        <f>IFERROR(__xludf.DUMMYFUNCTION("IFERROR(GOOGLEFINANCE(B214,""price""),"""")"),62.83)</f>
        <v>62.83</v>
      </c>
    </row>
    <row r="215">
      <c r="A215" s="7">
        <v>46052.47006081787</v>
      </c>
      <c r="B215" s="8" t="s">
        <v>2654</v>
      </c>
      <c r="C215" s="8" t="s">
        <v>2655</v>
      </c>
      <c r="D215" s="9">
        <v>46054.0</v>
      </c>
      <c r="E215" s="10">
        <v>39.255</v>
      </c>
      <c r="F215" s="8" t="s">
        <v>917</v>
      </c>
      <c r="G215" s="9">
        <v>46073.0</v>
      </c>
      <c r="H215" s="10">
        <v>40.0</v>
      </c>
      <c r="I215" s="8">
        <v>4474.0</v>
      </c>
      <c r="J215" s="8" t="s">
        <v>2608</v>
      </c>
      <c r="K215" s="11">
        <v>1.9</v>
      </c>
      <c r="L215" s="8" t="s">
        <v>2757</v>
      </c>
      <c r="M215" s="8">
        <v>4474.0</v>
      </c>
      <c r="N215" s="11">
        <v>17.6089</v>
      </c>
      <c r="O215" s="8" t="s">
        <v>2657</v>
      </c>
      <c r="P215" s="11">
        <v>-0.8462</v>
      </c>
      <c r="Q215" s="12">
        <v>1060720.0</v>
      </c>
      <c r="R215" s="12">
        <v>2.5628342275E10</v>
      </c>
      <c r="S215" s="13">
        <v>0.582</v>
      </c>
      <c r="T215" s="8" t="s">
        <v>2620</v>
      </c>
      <c r="U215" s="14">
        <f>IFERROR(__xludf.DUMMYFUNCTION("IFERROR(GOOGLEFINANCE(B215,""price""),"""")"),43.39)</f>
        <v>43.39</v>
      </c>
    </row>
    <row r="216">
      <c r="A216" s="15">
        <v>46052.47006081787</v>
      </c>
      <c r="B216" s="16" t="s">
        <v>2768</v>
      </c>
      <c r="C216" s="16" t="s">
        <v>2769</v>
      </c>
      <c r="D216" s="17">
        <v>46054.0</v>
      </c>
      <c r="E216" s="18">
        <v>254.21</v>
      </c>
      <c r="F216" s="16" t="s">
        <v>308</v>
      </c>
      <c r="G216" s="17">
        <v>46052.0</v>
      </c>
      <c r="H216" s="18">
        <v>252.5</v>
      </c>
      <c r="I216" s="16">
        <v>1360.0</v>
      </c>
      <c r="J216" s="16" t="s">
        <v>2608</v>
      </c>
      <c r="K216" s="19">
        <v>0.67</v>
      </c>
      <c r="L216" s="16" t="s">
        <v>2905</v>
      </c>
      <c r="M216" s="16">
        <v>3520.0</v>
      </c>
      <c r="N216" s="19">
        <v>49.1996</v>
      </c>
      <c r="O216" s="16" t="s">
        <v>2771</v>
      </c>
      <c r="P216" s="19">
        <v>-8.6922</v>
      </c>
      <c r="Q216" s="20">
        <v>1.0978295E7</v>
      </c>
      <c r="R216" s="20">
        <v>8.6914220161E10</v>
      </c>
      <c r="S216" s="21">
        <v>16.4754</v>
      </c>
      <c r="T216" s="16" t="s">
        <v>2611</v>
      </c>
      <c r="U216" s="22">
        <f>IFERROR(__xludf.DUMMYFUNCTION("IFERROR(GOOGLEFINANCE(B216,""price""),"""")"),343.43)</f>
        <v>343.43</v>
      </c>
    </row>
    <row r="217">
      <c r="A217" s="7">
        <v>46052.47006081787</v>
      </c>
      <c r="B217" s="8" t="s">
        <v>2700</v>
      </c>
      <c r="C217" s="8" t="s">
        <v>2701</v>
      </c>
      <c r="D217" s="9">
        <v>46054.0</v>
      </c>
      <c r="E217" s="10">
        <v>242.375</v>
      </c>
      <c r="F217" s="8" t="s">
        <v>102</v>
      </c>
      <c r="G217" s="9">
        <v>46052.0</v>
      </c>
      <c r="H217" s="10">
        <v>240.0</v>
      </c>
      <c r="I217" s="8">
        <v>1722.0</v>
      </c>
      <c r="J217" s="8" t="s">
        <v>2608</v>
      </c>
      <c r="K217" s="11">
        <v>0.98</v>
      </c>
      <c r="L217" s="8" t="s">
        <v>2906</v>
      </c>
      <c r="M217" s="8">
        <v>3095.0</v>
      </c>
      <c r="N217" s="11">
        <v>43.1524</v>
      </c>
      <c r="O217" s="8" t="s">
        <v>2703</v>
      </c>
      <c r="P217" s="11">
        <v>-2.3351</v>
      </c>
      <c r="Q217" s="12">
        <v>5501123.0</v>
      </c>
      <c r="R217" s="12">
        <v>3.04430276105E11</v>
      </c>
      <c r="S217" s="13">
        <v>10.3574</v>
      </c>
      <c r="T217" s="8" t="s">
        <v>2611</v>
      </c>
      <c r="U217" s="14">
        <f>IFERROR(__xludf.DUMMYFUNCTION("IFERROR(GOOGLEFINANCE(B217,""price""),"""")"),263.66)</f>
        <v>263.66</v>
      </c>
    </row>
    <row r="218">
      <c r="A218" s="15">
        <v>46052.47006081787</v>
      </c>
      <c r="B218" s="16" t="s">
        <v>2646</v>
      </c>
      <c r="C218" s="16" t="s">
        <v>2647</v>
      </c>
      <c r="D218" s="17">
        <v>46054.0</v>
      </c>
      <c r="E218" s="18">
        <v>33.045</v>
      </c>
      <c r="F218" s="16" t="s">
        <v>270</v>
      </c>
      <c r="G218" s="17">
        <v>46052.0</v>
      </c>
      <c r="H218" s="18">
        <v>33.0</v>
      </c>
      <c r="I218" s="16">
        <v>1974.0</v>
      </c>
      <c r="J218" s="16" t="s">
        <v>2627</v>
      </c>
      <c r="K218" s="19">
        <v>0.14</v>
      </c>
      <c r="L218" s="16" t="s">
        <v>2907</v>
      </c>
      <c r="M218" s="16">
        <v>3074.0</v>
      </c>
      <c r="N218" s="19">
        <v>29.2186</v>
      </c>
      <c r="O218" s="16" t="s">
        <v>2649</v>
      </c>
      <c r="P218" s="19">
        <v>-3.1223</v>
      </c>
      <c r="Q218" s="20">
        <v>3014340.0</v>
      </c>
      <c r="R218" s="20">
        <v>7.1486945209E10</v>
      </c>
      <c r="S218" s="21">
        <v>0.5016</v>
      </c>
      <c r="T218" s="16" t="s">
        <v>2611</v>
      </c>
      <c r="U218" s="22">
        <f>IFERROR(__xludf.DUMMYFUNCTION("IFERROR(GOOGLEFINANCE(B218,""price""),"""")"),37.35)</f>
        <v>37.35</v>
      </c>
    </row>
    <row r="219">
      <c r="A219" s="7">
        <v>46052.47006081787</v>
      </c>
      <c r="B219" s="8" t="s">
        <v>2730</v>
      </c>
      <c r="C219" s="8" t="s">
        <v>2731</v>
      </c>
      <c r="D219" s="9">
        <v>46054.0</v>
      </c>
      <c r="E219" s="10">
        <v>180.68</v>
      </c>
      <c r="F219" s="8" t="s">
        <v>93</v>
      </c>
      <c r="G219" s="9">
        <v>46052.0</v>
      </c>
      <c r="H219" s="10">
        <v>182.5</v>
      </c>
      <c r="I219" s="8">
        <v>1916.0</v>
      </c>
      <c r="J219" s="8" t="s">
        <v>2608</v>
      </c>
      <c r="K219" s="11">
        <v>1.01</v>
      </c>
      <c r="L219" s="8" t="s">
        <v>2908</v>
      </c>
      <c r="M219" s="8">
        <v>2959.0</v>
      </c>
      <c r="N219" s="11">
        <v>15.4424</v>
      </c>
      <c r="O219" s="8" t="s">
        <v>2733</v>
      </c>
      <c r="P219" s="11">
        <v>-0.943</v>
      </c>
      <c r="Q219" s="12">
        <v>1817173.0</v>
      </c>
      <c r="R219" s="12">
        <v>2.87156377388E11</v>
      </c>
      <c r="S219" s="13">
        <v>4.0634</v>
      </c>
      <c r="T219" s="8" t="s">
        <v>2620</v>
      </c>
      <c r="U219" s="14">
        <f>IFERROR(__xludf.DUMMYFUNCTION("IFERROR(GOOGLEFINANCE(B219,""price""),"""")"),177.64)</f>
        <v>177.64</v>
      </c>
    </row>
    <row r="220">
      <c r="A220" s="15">
        <v>46052.47006081787</v>
      </c>
      <c r="B220" s="16" t="s">
        <v>2718</v>
      </c>
      <c r="C220" s="16" t="s">
        <v>2719</v>
      </c>
      <c r="D220" s="17">
        <v>46054.0</v>
      </c>
      <c r="E220" s="18">
        <v>148.0</v>
      </c>
      <c r="F220" s="16" t="s">
        <v>308</v>
      </c>
      <c r="G220" s="17">
        <v>46073.0</v>
      </c>
      <c r="H220" s="18">
        <v>150.0</v>
      </c>
      <c r="I220" s="16">
        <v>1578.0</v>
      </c>
      <c r="J220" s="16" t="s">
        <v>2608</v>
      </c>
      <c r="K220" s="19">
        <v>1.35</v>
      </c>
      <c r="L220" s="16" t="s">
        <v>2909</v>
      </c>
      <c r="M220" s="16">
        <v>2899.0</v>
      </c>
      <c r="N220" s="19">
        <v>18.1977</v>
      </c>
      <c r="O220" s="16" t="s">
        <v>2721</v>
      </c>
      <c r="P220" s="19">
        <v>-1.0563</v>
      </c>
      <c r="Q220" s="20">
        <v>3759617.0</v>
      </c>
      <c r="R220" s="20">
        <v>1.81160222433E11</v>
      </c>
      <c r="S220" s="21">
        <v>6.7308</v>
      </c>
      <c r="T220" s="16" t="s">
        <v>2620</v>
      </c>
      <c r="U220" s="22">
        <f>IFERROR(__xludf.DUMMYFUNCTION("IFERROR(GOOGLEFINANCE(B220,""price""),"""")"),140.75)</f>
        <v>140.75</v>
      </c>
    </row>
    <row r="221">
      <c r="A221" s="7">
        <v>46052.47006081787</v>
      </c>
      <c r="B221" s="8" t="s">
        <v>2676</v>
      </c>
      <c r="C221" s="8" t="s">
        <v>2677</v>
      </c>
      <c r="D221" s="9">
        <v>46054.0</v>
      </c>
      <c r="E221" s="10">
        <v>28.275</v>
      </c>
      <c r="F221" s="8" t="s">
        <v>93</v>
      </c>
      <c r="G221" s="9">
        <v>46073.0</v>
      </c>
      <c r="H221" s="10">
        <v>28.0</v>
      </c>
      <c r="I221" s="8">
        <v>2482.0</v>
      </c>
      <c r="J221" s="8" t="s">
        <v>2608</v>
      </c>
      <c r="K221" s="11">
        <v>0.97</v>
      </c>
      <c r="L221" s="8" t="s">
        <v>2910</v>
      </c>
      <c r="M221" s="8">
        <v>2482.0</v>
      </c>
      <c r="N221" s="11">
        <v>17.9494</v>
      </c>
      <c r="O221" s="8" t="s">
        <v>2679</v>
      </c>
      <c r="P221" s="11">
        <v>-0.65</v>
      </c>
      <c r="Q221" s="12">
        <v>4072755.0</v>
      </c>
      <c r="R221" s="12">
        <v>2.4793682972E10</v>
      </c>
      <c r="S221" s="13">
        <v>0.6308</v>
      </c>
      <c r="T221" s="8" t="s">
        <v>2611</v>
      </c>
      <c r="U221" s="14">
        <f>IFERROR(__xludf.DUMMYFUNCTION("IFERROR(GOOGLEFINANCE(B221,""price""),"""")"),27.5)</f>
        <v>27.5</v>
      </c>
    </row>
    <row r="222">
      <c r="A222" s="15">
        <v>46052.47006081787</v>
      </c>
      <c r="B222" s="16" t="s">
        <v>2226</v>
      </c>
      <c r="C222" s="16" t="s">
        <v>2227</v>
      </c>
      <c r="D222" s="17">
        <v>46054.0</v>
      </c>
      <c r="E222" s="18">
        <v>186.74</v>
      </c>
      <c r="F222" s="16" t="s">
        <v>102</v>
      </c>
      <c r="G222" s="17">
        <v>46073.0</v>
      </c>
      <c r="H222" s="18">
        <v>185.0</v>
      </c>
      <c r="I222" s="16">
        <v>2453.0</v>
      </c>
      <c r="J222" s="16" t="s">
        <v>2608</v>
      </c>
      <c r="K222" s="19">
        <v>0.93</v>
      </c>
      <c r="L222" s="16" t="s">
        <v>2911</v>
      </c>
      <c r="M222" s="16">
        <v>2453.0</v>
      </c>
      <c r="N222" s="19">
        <v>23.795</v>
      </c>
      <c r="O222" s="16" t="s">
        <v>2228</v>
      </c>
      <c r="P222" s="19">
        <v>5.67</v>
      </c>
      <c r="Q222" s="20">
        <v>1287814.0</v>
      </c>
      <c r="R222" s="20">
        <v>9.831593507E9</v>
      </c>
      <c r="S222" s="21">
        <v>10.1002</v>
      </c>
      <c r="T222" s="16" t="s">
        <v>2611</v>
      </c>
      <c r="U222" s="22">
        <f>IFERROR(__xludf.DUMMYFUNCTION("IFERROR(GOOGLEFINANCE(B222,""price""),"""")"),241.46)</f>
        <v>241.46</v>
      </c>
    </row>
    <row r="223">
      <c r="A223" s="7">
        <v>46052.47006081787</v>
      </c>
      <c r="B223" s="8" t="s">
        <v>2812</v>
      </c>
      <c r="C223" s="8" t="s">
        <v>2813</v>
      </c>
      <c r="D223" s="9">
        <v>46054.0</v>
      </c>
      <c r="E223" s="10">
        <v>420.28</v>
      </c>
      <c r="F223" s="8" t="s">
        <v>308</v>
      </c>
      <c r="G223" s="9">
        <v>46052.0</v>
      </c>
      <c r="H223" s="10">
        <v>420.0</v>
      </c>
      <c r="I223" s="8">
        <v>1616.0</v>
      </c>
      <c r="J223" s="8" t="s">
        <v>2627</v>
      </c>
      <c r="K223" s="11">
        <v>0.07</v>
      </c>
      <c r="L223" s="8" t="s">
        <v>2912</v>
      </c>
      <c r="M223" s="8">
        <v>1616.0</v>
      </c>
      <c r="N223" s="11">
        <v>36.5026</v>
      </c>
      <c r="O223" s="8" t="s">
        <v>2815</v>
      </c>
      <c r="P223" s="11">
        <v>-5.8871</v>
      </c>
      <c r="Q223" s="12">
        <v>4139583.0</v>
      </c>
      <c r="R223" s="12">
        <v>8.9754202038E10</v>
      </c>
      <c r="S223" s="13">
        <v>24.0511</v>
      </c>
      <c r="T223" s="8" t="s">
        <v>2611</v>
      </c>
      <c r="U223" s="14">
        <f>IFERROR(__xludf.DUMMYFUNCTION("IFERROR(GOOGLEFINANCE(B223,""price""),"""")"),503.13)</f>
        <v>503.13</v>
      </c>
    </row>
    <row r="224">
      <c r="A224" s="15">
        <v>46052.47006081787</v>
      </c>
      <c r="B224" s="16" t="s">
        <v>1492</v>
      </c>
      <c r="C224" s="16" t="s">
        <v>1493</v>
      </c>
      <c r="D224" s="17">
        <v>46054.0</v>
      </c>
      <c r="E224" s="18">
        <v>24.4306</v>
      </c>
      <c r="F224" s="16" t="s">
        <v>93</v>
      </c>
      <c r="G224" s="17">
        <v>46052.0</v>
      </c>
      <c r="H224" s="18">
        <v>24.0</v>
      </c>
      <c r="I224" s="16">
        <v>1323.0</v>
      </c>
      <c r="J224" s="16" t="s">
        <v>2627</v>
      </c>
      <c r="K224" s="19">
        <v>1.76</v>
      </c>
      <c r="L224" s="16" t="s">
        <v>2831</v>
      </c>
      <c r="M224" s="16">
        <v>1323.0</v>
      </c>
      <c r="N224" s="19">
        <v>21.1962</v>
      </c>
      <c r="O224" s="16" t="s">
        <v>1494</v>
      </c>
      <c r="P224" s="19">
        <v>0.0434</v>
      </c>
      <c r="Q224" s="20">
        <v>1281104.0</v>
      </c>
      <c r="R224" s="20">
        <v>1.1848841037E10</v>
      </c>
      <c r="S224" s="21">
        <v>0.5221</v>
      </c>
      <c r="T224" s="16" t="s">
        <v>2611</v>
      </c>
      <c r="U224" s="22">
        <f>IFERROR(__xludf.DUMMYFUNCTION("IFERROR(GOOGLEFINANCE(B224,""price""),"""")"),24.05)</f>
        <v>24.05</v>
      </c>
    </row>
    <row r="225">
      <c r="A225" s="7">
        <v>46052.47006081787</v>
      </c>
      <c r="B225" s="8" t="s">
        <v>2684</v>
      </c>
      <c r="C225" s="8" t="s">
        <v>2685</v>
      </c>
      <c r="D225" s="9">
        <v>46054.0</v>
      </c>
      <c r="E225" s="10">
        <v>330.33</v>
      </c>
      <c r="F225" s="8" t="s">
        <v>102</v>
      </c>
      <c r="G225" s="9">
        <v>46052.0</v>
      </c>
      <c r="H225" s="10">
        <v>330.0</v>
      </c>
      <c r="I225" s="8">
        <v>1230.0</v>
      </c>
      <c r="J225" s="8" t="s">
        <v>2608</v>
      </c>
      <c r="K225" s="11">
        <v>0.1</v>
      </c>
      <c r="L225" s="8" t="s">
        <v>2913</v>
      </c>
      <c r="M225" s="8">
        <v>1230.0</v>
      </c>
      <c r="N225" s="11">
        <v>37.4659</v>
      </c>
      <c r="O225" s="8" t="s">
        <v>2687</v>
      </c>
      <c r="P225" s="11">
        <v>-3.2255</v>
      </c>
      <c r="Q225" s="12">
        <v>2005898.0</v>
      </c>
      <c r="R225" s="12">
        <v>2.61932977092E11</v>
      </c>
      <c r="S225" s="13">
        <v>11.7382</v>
      </c>
      <c r="T225" s="8" t="s">
        <v>2611</v>
      </c>
      <c r="U225" s="14">
        <f>IFERROR(__xludf.DUMMYFUNCTION("IFERROR(GOOGLEFINANCE(B225,""price""),"""")"),399.5)</f>
        <v>399.5</v>
      </c>
    </row>
    <row r="226">
      <c r="A226" s="15">
        <v>46052.47006081787</v>
      </c>
      <c r="B226" s="16" t="s">
        <v>2680</v>
      </c>
      <c r="C226" s="16" t="s">
        <v>2681</v>
      </c>
      <c r="D226" s="17">
        <v>46054.0</v>
      </c>
      <c r="E226" s="18">
        <v>181.65</v>
      </c>
      <c r="F226" s="16" t="s">
        <v>245</v>
      </c>
      <c r="G226" s="17">
        <v>46052.0</v>
      </c>
      <c r="H226" s="18">
        <v>185.0</v>
      </c>
      <c r="I226" s="16">
        <v>1138.0</v>
      </c>
      <c r="J226" s="16" t="s">
        <v>2608</v>
      </c>
      <c r="K226" s="19">
        <v>1.84</v>
      </c>
      <c r="L226" s="16" t="s">
        <v>2914</v>
      </c>
      <c r="M226" s="16">
        <v>1138.0</v>
      </c>
      <c r="N226" s="19">
        <v>34.5533</v>
      </c>
      <c r="O226" s="16" t="s">
        <v>2683</v>
      </c>
      <c r="P226" s="19">
        <v>-0.4603</v>
      </c>
      <c r="Q226" s="20">
        <v>1170651.0</v>
      </c>
      <c r="R226" s="20">
        <v>5.5404981245E10</v>
      </c>
      <c r="S226" s="21">
        <v>6.3076</v>
      </c>
      <c r="T226" s="16" t="s">
        <v>2620</v>
      </c>
      <c r="U226" s="22">
        <f>IFERROR(__xludf.DUMMYFUNCTION("IFERROR(GOOGLEFINANCE(B226,""price""),"""")"),238.82)</f>
        <v>238.82</v>
      </c>
    </row>
    <row r="227">
      <c r="A227" s="7">
        <v>46052.47006081787</v>
      </c>
      <c r="B227" s="8" t="s">
        <v>2915</v>
      </c>
      <c r="C227" s="8" t="s">
        <v>2916</v>
      </c>
      <c r="D227" s="9">
        <v>46054.0</v>
      </c>
      <c r="E227" s="10">
        <v>140.8</v>
      </c>
      <c r="F227" s="8" t="s">
        <v>117</v>
      </c>
      <c r="G227" s="9">
        <v>46052.0</v>
      </c>
      <c r="H227" s="10">
        <v>139.0</v>
      </c>
      <c r="I227" s="8">
        <v>1106.0</v>
      </c>
      <c r="J227" s="8" t="s">
        <v>2627</v>
      </c>
      <c r="K227" s="11">
        <v>1.28</v>
      </c>
      <c r="L227" s="8" t="s">
        <v>2917</v>
      </c>
      <c r="M227" s="8">
        <v>1106.0</v>
      </c>
      <c r="N227" s="11">
        <v>28.3569</v>
      </c>
      <c r="O227" s="8" t="s">
        <v>2918</v>
      </c>
      <c r="P227" s="11">
        <v>0.8957</v>
      </c>
      <c r="Q227" s="12">
        <v>1866369.0</v>
      </c>
      <c r="R227" s="12">
        <v>1.74687686633E11</v>
      </c>
      <c r="S227" s="13">
        <v>3.5125</v>
      </c>
      <c r="T227" s="8" t="s">
        <v>2611</v>
      </c>
      <c r="U227" s="14">
        <f>IFERROR(__xludf.DUMMYFUNCTION("IFERROR(GOOGLEFINANCE(B227,""price""),"""")"),139.03)</f>
        <v>139.03</v>
      </c>
    </row>
    <row r="228">
      <c r="A228" s="7">
        <v>46052.62647247743</v>
      </c>
      <c r="B228" s="8" t="s">
        <v>2606</v>
      </c>
      <c r="C228" s="8" t="s">
        <v>2607</v>
      </c>
      <c r="D228" s="9">
        <v>46054.0</v>
      </c>
      <c r="E228" s="10">
        <v>49.495</v>
      </c>
      <c r="F228" s="8" t="s">
        <v>93</v>
      </c>
      <c r="G228" s="9">
        <v>46073.0</v>
      </c>
      <c r="H228" s="10">
        <v>50.0</v>
      </c>
      <c r="I228" s="8">
        <v>28739.0</v>
      </c>
      <c r="J228" s="8" t="s">
        <v>2608</v>
      </c>
      <c r="K228" s="11">
        <v>1.02</v>
      </c>
      <c r="L228" s="8" t="s">
        <v>2891</v>
      </c>
      <c r="M228" s="8">
        <v>33162.0</v>
      </c>
      <c r="N228" s="11">
        <v>37.5652</v>
      </c>
      <c r="O228" s="8" t="s">
        <v>2610</v>
      </c>
      <c r="P228" s="11">
        <v>-0.5925</v>
      </c>
      <c r="Q228" s="12">
        <v>1.2507692E7</v>
      </c>
      <c r="R228" s="12">
        <v>3.2718409947E10</v>
      </c>
      <c r="S228" s="13">
        <v>1.2178</v>
      </c>
      <c r="T228" s="8" t="s">
        <v>2620</v>
      </c>
      <c r="U228" s="14">
        <f>IFERROR(__xludf.DUMMYFUNCTION("IFERROR(GOOGLEFINANCE(B228,""price""),"""")"),49.31)</f>
        <v>49.31</v>
      </c>
    </row>
    <row r="229">
      <c r="A229" s="15">
        <v>46052.62647247743</v>
      </c>
      <c r="B229" s="16" t="s">
        <v>2612</v>
      </c>
      <c r="C229" s="16" t="s">
        <v>2613</v>
      </c>
      <c r="D229" s="17">
        <v>46054.0</v>
      </c>
      <c r="E229" s="18">
        <v>236.15</v>
      </c>
      <c r="F229" s="16" t="s">
        <v>308</v>
      </c>
      <c r="G229" s="17">
        <v>46052.0</v>
      </c>
      <c r="H229" s="18">
        <v>240.0</v>
      </c>
      <c r="I229" s="16">
        <v>8644.0</v>
      </c>
      <c r="J229" s="16" t="s">
        <v>2627</v>
      </c>
      <c r="K229" s="19">
        <v>1.63</v>
      </c>
      <c r="L229" s="16" t="s">
        <v>2919</v>
      </c>
      <c r="M229" s="16">
        <v>30432.0</v>
      </c>
      <c r="N229" s="19">
        <v>24.4642</v>
      </c>
      <c r="O229" s="16" t="s">
        <v>2615</v>
      </c>
      <c r="P229" s="19">
        <v>-6.3566</v>
      </c>
      <c r="Q229" s="20">
        <v>3.1831047E7</v>
      </c>
      <c r="R229" s="20">
        <v>3.84461989981E11</v>
      </c>
      <c r="S229" s="21">
        <v>11.2381</v>
      </c>
      <c r="T229" s="16" t="s">
        <v>2620</v>
      </c>
      <c r="U229" s="22">
        <f>IFERROR(__xludf.DUMMYFUNCTION("IFERROR(GOOGLEFINANCE(B229,""price""),"""")"),245.04)</f>
        <v>245.04</v>
      </c>
    </row>
    <row r="230">
      <c r="A230" s="7">
        <v>46052.62647247743</v>
      </c>
      <c r="B230" s="8" t="s">
        <v>2625</v>
      </c>
      <c r="C230" s="8" t="s">
        <v>2626</v>
      </c>
      <c r="D230" s="9">
        <v>46054.0</v>
      </c>
      <c r="E230" s="10">
        <v>119.13</v>
      </c>
      <c r="F230" s="8" t="s">
        <v>137</v>
      </c>
      <c r="G230" s="9">
        <v>46052.0</v>
      </c>
      <c r="H230" s="10">
        <v>120.0</v>
      </c>
      <c r="I230" s="8">
        <v>4704.0</v>
      </c>
      <c r="J230" s="8" t="s">
        <v>2608</v>
      </c>
      <c r="K230" s="11">
        <v>0.73</v>
      </c>
      <c r="L230" s="8" t="s">
        <v>2894</v>
      </c>
      <c r="M230" s="8">
        <v>20973.0</v>
      </c>
      <c r="N230" s="11">
        <v>18.974</v>
      </c>
      <c r="O230" s="8" t="s">
        <v>2629</v>
      </c>
      <c r="P230" s="11">
        <v>1.465</v>
      </c>
      <c r="Q230" s="12">
        <v>1.1235768E7</v>
      </c>
      <c r="R230" s="12">
        <v>9.49486023394E11</v>
      </c>
      <c r="S230" s="13">
        <v>2.2567</v>
      </c>
      <c r="T230" s="8" t="s">
        <v>2620</v>
      </c>
      <c r="U230" s="14">
        <f>IFERROR(__xludf.DUMMYFUNCTION("IFERROR(GOOGLEFINANCE(B230,""price""),"""")"),126.79)</f>
        <v>126.79</v>
      </c>
    </row>
    <row r="231">
      <c r="A231" s="15">
        <v>46052.62647247743</v>
      </c>
      <c r="B231" s="16" t="s">
        <v>2630</v>
      </c>
      <c r="C231" s="16" t="s">
        <v>2631</v>
      </c>
      <c r="D231" s="17">
        <v>46054.0</v>
      </c>
      <c r="E231" s="18">
        <v>416.405</v>
      </c>
      <c r="F231" s="16" t="s">
        <v>308</v>
      </c>
      <c r="G231" s="17">
        <v>46052.0</v>
      </c>
      <c r="H231" s="18">
        <v>410.0</v>
      </c>
      <c r="I231" s="16">
        <v>3223.0</v>
      </c>
      <c r="J231" s="16" t="s">
        <v>2627</v>
      </c>
      <c r="K231" s="19">
        <v>1.54</v>
      </c>
      <c r="L231" s="16" t="s">
        <v>2920</v>
      </c>
      <c r="M231" s="16">
        <v>18769.0</v>
      </c>
      <c r="N231" s="19">
        <v>43.0031</v>
      </c>
      <c r="O231" s="16" t="s">
        <v>2633</v>
      </c>
      <c r="P231" s="19">
        <v>-4.4482</v>
      </c>
      <c r="Q231" s="20">
        <v>4.1893212E7</v>
      </c>
      <c r="R231" s="20">
        <v>4.68667699822E11</v>
      </c>
      <c r="S231" s="21">
        <v>21.8915</v>
      </c>
      <c r="T231" s="16" t="s">
        <v>2611</v>
      </c>
      <c r="U231" s="22">
        <f>IFERROR(__xludf.DUMMYFUNCTION("IFERROR(GOOGLEFINANCE(B231,""price""),"""")"),420.59)</f>
        <v>420.59</v>
      </c>
    </row>
    <row r="232">
      <c r="A232" s="7">
        <v>46052.62647247743</v>
      </c>
      <c r="B232" s="8" t="s">
        <v>2621</v>
      </c>
      <c r="C232" s="8" t="s">
        <v>2622</v>
      </c>
      <c r="D232" s="9">
        <v>46054.0</v>
      </c>
      <c r="E232" s="10">
        <v>60.255</v>
      </c>
      <c r="F232" s="8" t="s">
        <v>335</v>
      </c>
      <c r="G232" s="9">
        <v>46052.0</v>
      </c>
      <c r="H232" s="10">
        <v>60.0</v>
      </c>
      <c r="I232" s="8">
        <v>7499.0</v>
      </c>
      <c r="J232" s="8" t="s">
        <v>2627</v>
      </c>
      <c r="K232" s="11">
        <v>0.42</v>
      </c>
      <c r="L232" s="8" t="s">
        <v>2897</v>
      </c>
      <c r="M232" s="8">
        <v>18122.0</v>
      </c>
      <c r="N232" s="11">
        <v>44.3274</v>
      </c>
      <c r="O232" s="8" t="s">
        <v>2624</v>
      </c>
      <c r="P232" s="11">
        <v>-7.485</v>
      </c>
      <c r="Q232" s="12">
        <v>3.2345219E7</v>
      </c>
      <c r="R232" s="12">
        <v>8.6521998514E10</v>
      </c>
      <c r="S232" s="13">
        <v>2.7171</v>
      </c>
      <c r="T232" s="8" t="s">
        <v>2611</v>
      </c>
      <c r="U232" s="14">
        <f>IFERROR(__xludf.DUMMYFUNCTION("IFERROR(GOOGLEFINANCE(B232,""price""),"""")"),67.8)</f>
        <v>67.8</v>
      </c>
    </row>
    <row r="233">
      <c r="A233" s="15">
        <v>46052.62647247743</v>
      </c>
      <c r="B233" s="16" t="s">
        <v>2616</v>
      </c>
      <c r="C233" s="16" t="s">
        <v>2617</v>
      </c>
      <c r="D233" s="17">
        <v>46054.0</v>
      </c>
      <c r="E233" s="18">
        <v>74.75</v>
      </c>
      <c r="F233" s="16" t="s">
        <v>286</v>
      </c>
      <c r="G233" s="17">
        <v>46052.0</v>
      </c>
      <c r="H233" s="18">
        <v>74.0</v>
      </c>
      <c r="I233" s="16">
        <v>8271.0</v>
      </c>
      <c r="J233" s="16" t="s">
        <v>2608</v>
      </c>
      <c r="K233" s="19">
        <v>1.0</v>
      </c>
      <c r="L233" s="16" t="s">
        <v>2921</v>
      </c>
      <c r="M233" s="16">
        <v>13100.0</v>
      </c>
      <c r="N233" s="19">
        <v>26.9228</v>
      </c>
      <c r="O233" s="16" t="s">
        <v>2619</v>
      </c>
      <c r="P233" s="19">
        <v>1.7976</v>
      </c>
      <c r="Q233" s="20">
        <v>1.7945453E7</v>
      </c>
      <c r="R233" s="20">
        <v>3.21545265619E11</v>
      </c>
      <c r="S233" s="21">
        <v>1.0529</v>
      </c>
      <c r="T233" s="16" t="s">
        <v>2611</v>
      </c>
      <c r="U233" s="22">
        <f>IFERROR(__xludf.DUMMYFUNCTION("IFERROR(GOOGLEFINANCE(B233,""price""),"""")"),77.47)</f>
        <v>77.47</v>
      </c>
    </row>
    <row r="234">
      <c r="A234" s="7">
        <v>46052.62647247743</v>
      </c>
      <c r="B234" s="8" t="s">
        <v>1489</v>
      </c>
      <c r="C234" s="8" t="s">
        <v>1490</v>
      </c>
      <c r="D234" s="9">
        <v>46054.0</v>
      </c>
      <c r="E234" s="10">
        <v>78.44</v>
      </c>
      <c r="F234" s="8" t="s">
        <v>308</v>
      </c>
      <c r="G234" s="9">
        <v>46052.0</v>
      </c>
      <c r="H234" s="10">
        <v>80.0</v>
      </c>
      <c r="I234" s="8">
        <v>5127.0</v>
      </c>
      <c r="J234" s="8" t="s">
        <v>2608</v>
      </c>
      <c r="K234" s="11">
        <v>1.99</v>
      </c>
      <c r="L234" s="8" t="s">
        <v>2898</v>
      </c>
      <c r="M234" s="8">
        <v>12618.0</v>
      </c>
      <c r="N234" s="11">
        <v>22.8666</v>
      </c>
      <c r="O234" s="8" t="s">
        <v>1491</v>
      </c>
      <c r="P234" s="11">
        <v>0.0128</v>
      </c>
      <c r="Q234" s="12">
        <v>1.4087686E7</v>
      </c>
      <c r="R234" s="12">
        <v>3.09923852407E11</v>
      </c>
      <c r="S234" s="13">
        <v>1.4573</v>
      </c>
      <c r="T234" s="8" t="s">
        <v>2620</v>
      </c>
      <c r="U234" s="14">
        <f>IFERROR(__xludf.DUMMYFUNCTION("IFERROR(GOOGLEFINANCE(B234,""price""),"""")"),82.22)</f>
        <v>82.22</v>
      </c>
    </row>
    <row r="235">
      <c r="A235" s="15">
        <v>46052.62647247743</v>
      </c>
      <c r="B235" s="16" t="s">
        <v>1467</v>
      </c>
      <c r="C235" s="16" t="s">
        <v>1468</v>
      </c>
      <c r="D235" s="17">
        <v>46054.0</v>
      </c>
      <c r="E235" s="18">
        <v>119.455</v>
      </c>
      <c r="F235" s="16" t="s">
        <v>102</v>
      </c>
      <c r="G235" s="17">
        <v>46073.0</v>
      </c>
      <c r="H235" s="18">
        <v>120.0</v>
      </c>
      <c r="I235" s="16">
        <v>9098.0</v>
      </c>
      <c r="J235" s="16" t="s">
        <v>2608</v>
      </c>
      <c r="K235" s="19">
        <v>0.46</v>
      </c>
      <c r="L235" s="16" t="s">
        <v>2900</v>
      </c>
      <c r="M235" s="16">
        <v>10802.0</v>
      </c>
      <c r="N235" s="19">
        <v>20.8084</v>
      </c>
      <c r="O235" s="16" t="s">
        <v>1469</v>
      </c>
      <c r="P235" s="19">
        <v>-0.6859</v>
      </c>
      <c r="Q235" s="20">
        <v>2760509.0</v>
      </c>
      <c r="R235" s="20">
        <v>7.3003204761E10</v>
      </c>
      <c r="S235" s="21">
        <v>2.5496</v>
      </c>
      <c r="T235" s="16" t="s">
        <v>2620</v>
      </c>
      <c r="U235" s="22">
        <f>IFERROR(__xludf.DUMMYFUNCTION("IFERROR(GOOGLEFINANCE(B235,""price""),"""")"),142.53)</f>
        <v>142.53</v>
      </c>
    </row>
    <row r="236">
      <c r="A236" s="7">
        <v>46052.62647247743</v>
      </c>
      <c r="B236" s="8" t="s">
        <v>2638</v>
      </c>
      <c r="C236" s="8" t="s">
        <v>2639</v>
      </c>
      <c r="D236" s="9">
        <v>46054.0</v>
      </c>
      <c r="E236" s="10">
        <v>141.53</v>
      </c>
      <c r="F236" s="8" t="s">
        <v>245</v>
      </c>
      <c r="G236" s="9">
        <v>46052.0</v>
      </c>
      <c r="H236" s="10">
        <v>140.0</v>
      </c>
      <c r="I236" s="8">
        <v>3902.0</v>
      </c>
      <c r="J236" s="8" t="s">
        <v>2608</v>
      </c>
      <c r="K236" s="11">
        <v>1.08</v>
      </c>
      <c r="L236" s="8" t="s">
        <v>2922</v>
      </c>
      <c r="M236" s="8">
        <v>9112.0</v>
      </c>
      <c r="N236" s="11">
        <v>45.098</v>
      </c>
      <c r="O236" s="8" t="s">
        <v>2641</v>
      </c>
      <c r="P236" s="11">
        <v>0.7259</v>
      </c>
      <c r="Q236" s="12">
        <v>1.9589456E7</v>
      </c>
      <c r="R236" s="12">
        <v>5.96855413751E11</v>
      </c>
      <c r="S236" s="13">
        <v>2.6848</v>
      </c>
      <c r="T236" s="8" t="s">
        <v>2611</v>
      </c>
      <c r="U236" s="14">
        <f>IFERROR(__xludf.DUMMYFUNCTION("IFERROR(GOOGLEFINANCE(B236,""price""),"""")"),152.51)</f>
        <v>152.51</v>
      </c>
    </row>
    <row r="237">
      <c r="A237" s="15">
        <v>46052.62647247743</v>
      </c>
      <c r="B237" s="16" t="s">
        <v>2676</v>
      </c>
      <c r="C237" s="16" t="s">
        <v>2677</v>
      </c>
      <c r="D237" s="17">
        <v>46054.0</v>
      </c>
      <c r="E237" s="18">
        <v>28.4499</v>
      </c>
      <c r="F237" s="16" t="s">
        <v>93</v>
      </c>
      <c r="G237" s="17">
        <v>46073.0</v>
      </c>
      <c r="H237" s="18">
        <v>29.0</v>
      </c>
      <c r="I237" s="16">
        <v>6510.0</v>
      </c>
      <c r="J237" s="16" t="s">
        <v>2608</v>
      </c>
      <c r="K237" s="19">
        <v>1.93</v>
      </c>
      <c r="L237" s="16" t="s">
        <v>2923</v>
      </c>
      <c r="M237" s="16">
        <v>8992.0</v>
      </c>
      <c r="N237" s="19">
        <v>17.9813</v>
      </c>
      <c r="O237" s="16" t="s">
        <v>2679</v>
      </c>
      <c r="P237" s="19">
        <v>-0.0355</v>
      </c>
      <c r="Q237" s="20">
        <v>1.4081541E7</v>
      </c>
      <c r="R237" s="20">
        <v>2.4947048671E10</v>
      </c>
      <c r="S237" s="21">
        <v>0.6351</v>
      </c>
      <c r="T237" s="16" t="s">
        <v>2620</v>
      </c>
      <c r="U237" s="22">
        <f>IFERROR(__xludf.DUMMYFUNCTION("IFERROR(GOOGLEFINANCE(B237,""price""),"""")"),27.5)</f>
        <v>27.5</v>
      </c>
    </row>
    <row r="238">
      <c r="A238" s="7">
        <v>46052.62647247743</v>
      </c>
      <c r="B238" s="8" t="s">
        <v>2804</v>
      </c>
      <c r="C238" s="8" t="s">
        <v>2805</v>
      </c>
      <c r="D238" s="9">
        <v>46054.0</v>
      </c>
      <c r="E238" s="10">
        <v>102.95</v>
      </c>
      <c r="F238" s="8" t="s">
        <v>308</v>
      </c>
      <c r="G238" s="9">
        <v>46052.0</v>
      </c>
      <c r="H238" s="10">
        <v>105.0</v>
      </c>
      <c r="I238" s="8">
        <v>3736.0</v>
      </c>
      <c r="J238" s="8" t="s">
        <v>2608</v>
      </c>
      <c r="K238" s="11">
        <v>1.99</v>
      </c>
      <c r="L238" s="8" t="s">
        <v>2924</v>
      </c>
      <c r="M238" s="8">
        <v>6510.0</v>
      </c>
      <c r="N238" s="11">
        <v>31.3502</v>
      </c>
      <c r="O238" s="8" t="s">
        <v>2807</v>
      </c>
      <c r="P238" s="11">
        <v>-0.0485</v>
      </c>
      <c r="Q238" s="12">
        <v>1.0942808E7</v>
      </c>
      <c r="R238" s="12">
        <v>8.8265248193E10</v>
      </c>
      <c r="S238" s="13">
        <v>4.7577</v>
      </c>
      <c r="T238" s="8" t="s">
        <v>2620</v>
      </c>
      <c r="U238" s="14">
        <f>IFERROR(__xludf.DUMMYFUNCTION("IFERROR(GOOGLEFINANCE(B238,""price""),"""")"),171.24)</f>
        <v>171.24</v>
      </c>
    </row>
    <row r="239">
      <c r="A239" s="15">
        <v>46052.62647247743</v>
      </c>
      <c r="B239" s="16" t="s">
        <v>2704</v>
      </c>
      <c r="C239" s="16" t="s">
        <v>2705</v>
      </c>
      <c r="D239" s="17">
        <v>46054.0</v>
      </c>
      <c r="E239" s="18">
        <v>34.245</v>
      </c>
      <c r="F239" s="16" t="s">
        <v>88</v>
      </c>
      <c r="G239" s="17">
        <v>46052.0</v>
      </c>
      <c r="H239" s="18">
        <v>34.0</v>
      </c>
      <c r="I239" s="16">
        <v>2134.0</v>
      </c>
      <c r="J239" s="16" t="s">
        <v>2627</v>
      </c>
      <c r="K239" s="19">
        <v>0.72</v>
      </c>
      <c r="L239" s="16" t="s">
        <v>2925</v>
      </c>
      <c r="M239" s="16">
        <v>5912.0</v>
      </c>
      <c r="N239" s="19">
        <v>26.5966</v>
      </c>
      <c r="O239" s="16" t="s">
        <v>2707</v>
      </c>
      <c r="P239" s="19">
        <v>-10.0473</v>
      </c>
      <c r="Q239" s="20">
        <v>2.4579982E7</v>
      </c>
      <c r="R239" s="20">
        <v>9.574416173E9</v>
      </c>
      <c r="S239" s="21">
        <v>3.6541</v>
      </c>
      <c r="T239" s="16" t="s">
        <v>2611</v>
      </c>
      <c r="U239" s="22">
        <f>IFERROR(__xludf.DUMMYFUNCTION("IFERROR(GOOGLEFINANCE(B239,""price""),"""")"),26.24)</f>
        <v>26.24</v>
      </c>
    </row>
    <row r="240">
      <c r="A240" s="7">
        <v>46052.62647247743</v>
      </c>
      <c r="B240" s="8" t="s">
        <v>2700</v>
      </c>
      <c r="C240" s="8" t="s">
        <v>2701</v>
      </c>
      <c r="D240" s="9">
        <v>46054.0</v>
      </c>
      <c r="E240" s="10">
        <v>234.045</v>
      </c>
      <c r="F240" s="8" t="s">
        <v>102</v>
      </c>
      <c r="G240" s="9">
        <v>46052.0</v>
      </c>
      <c r="H240" s="10">
        <v>230.0</v>
      </c>
      <c r="I240" s="8">
        <v>3640.0</v>
      </c>
      <c r="J240" s="8" t="s">
        <v>2608</v>
      </c>
      <c r="K240" s="11">
        <v>1.73</v>
      </c>
      <c r="L240" s="8" t="s">
        <v>2926</v>
      </c>
      <c r="M240" s="8">
        <v>5223.0</v>
      </c>
      <c r="N240" s="11">
        <v>42.441</v>
      </c>
      <c r="O240" s="8" t="s">
        <v>2703</v>
      </c>
      <c r="P240" s="11">
        <v>-5.6917</v>
      </c>
      <c r="Q240" s="12">
        <v>1.1862164E7</v>
      </c>
      <c r="R240" s="12">
        <v>2.93967546038E11</v>
      </c>
      <c r="S240" s="13">
        <v>10.9689</v>
      </c>
      <c r="T240" s="8" t="s">
        <v>2611</v>
      </c>
      <c r="U240" s="14">
        <f>IFERROR(__xludf.DUMMYFUNCTION("IFERROR(GOOGLEFINANCE(B240,""price""),"""")"),263.66)</f>
        <v>263.66</v>
      </c>
    </row>
    <row r="241">
      <c r="A241" s="15">
        <v>46052.62647247743</v>
      </c>
      <c r="B241" s="16" t="s">
        <v>2768</v>
      </c>
      <c r="C241" s="16" t="s">
        <v>2769</v>
      </c>
      <c r="D241" s="17">
        <v>46054.0</v>
      </c>
      <c r="E241" s="18">
        <v>243.4</v>
      </c>
      <c r="F241" s="16" t="s">
        <v>308</v>
      </c>
      <c r="G241" s="17">
        <v>46052.0</v>
      </c>
      <c r="H241" s="18">
        <v>245.0</v>
      </c>
      <c r="I241" s="16">
        <v>3684.0</v>
      </c>
      <c r="J241" s="16" t="s">
        <v>2627</v>
      </c>
      <c r="K241" s="19">
        <v>0.66</v>
      </c>
      <c r="L241" s="16" t="s">
        <v>2927</v>
      </c>
      <c r="M241" s="16">
        <v>4686.0</v>
      </c>
      <c r="N241" s="19">
        <v>47.7223</v>
      </c>
      <c r="O241" s="16" t="s">
        <v>2771</v>
      </c>
      <c r="P241" s="19">
        <v>-12.575</v>
      </c>
      <c r="Q241" s="20">
        <v>1.8571638E7</v>
      </c>
      <c r="R241" s="20">
        <v>8.3218288766E10</v>
      </c>
      <c r="S241" s="21">
        <v>17.6483</v>
      </c>
      <c r="T241" s="16" t="s">
        <v>2620</v>
      </c>
      <c r="U241" s="22">
        <f>IFERROR(__xludf.DUMMYFUNCTION("IFERROR(GOOGLEFINANCE(B241,""price""),"""")"),343.43)</f>
        <v>343.43</v>
      </c>
    </row>
    <row r="242">
      <c r="A242" s="7">
        <v>46052.62647247743</v>
      </c>
      <c r="B242" s="8" t="s">
        <v>2654</v>
      </c>
      <c r="C242" s="8" t="s">
        <v>2655</v>
      </c>
      <c r="D242" s="9">
        <v>46054.0</v>
      </c>
      <c r="E242" s="10">
        <v>39.69</v>
      </c>
      <c r="F242" s="8" t="s">
        <v>917</v>
      </c>
      <c r="G242" s="9">
        <v>46073.0</v>
      </c>
      <c r="H242" s="10">
        <v>40.0</v>
      </c>
      <c r="I242" s="8">
        <v>4474.0</v>
      </c>
      <c r="J242" s="8" t="s">
        <v>2608</v>
      </c>
      <c r="K242" s="11">
        <v>0.78</v>
      </c>
      <c r="L242" s="8" t="s">
        <v>2757</v>
      </c>
      <c r="M242" s="8">
        <v>4474.0</v>
      </c>
      <c r="N242" s="11">
        <v>17.2963</v>
      </c>
      <c r="O242" s="8" t="s">
        <v>2657</v>
      </c>
      <c r="P242" s="11">
        <v>0.2526</v>
      </c>
      <c r="Q242" s="12">
        <v>3405204.0</v>
      </c>
      <c r="R242" s="12">
        <v>2.5912339954E10</v>
      </c>
      <c r="S242" s="13">
        <v>0.6013</v>
      </c>
      <c r="T242" s="8" t="s">
        <v>2620</v>
      </c>
      <c r="U242" s="14">
        <f>IFERROR(__xludf.DUMMYFUNCTION("IFERROR(GOOGLEFINANCE(B242,""price""),"""")"),43.39)</f>
        <v>43.39</v>
      </c>
    </row>
    <row r="243">
      <c r="A243" s="15">
        <v>46052.62647247743</v>
      </c>
      <c r="B243" s="16" t="s">
        <v>2634</v>
      </c>
      <c r="C243" s="16" t="s">
        <v>2635</v>
      </c>
      <c r="D243" s="17">
        <v>46054.0</v>
      </c>
      <c r="E243" s="18">
        <v>176.23</v>
      </c>
      <c r="F243" s="16" t="s">
        <v>245</v>
      </c>
      <c r="G243" s="17">
        <v>46052.0</v>
      </c>
      <c r="H243" s="18">
        <v>175.0</v>
      </c>
      <c r="I243" s="16">
        <v>4010.0</v>
      </c>
      <c r="J243" s="16" t="s">
        <v>2608</v>
      </c>
      <c r="K243" s="19">
        <v>0.7</v>
      </c>
      <c r="L243" s="16" t="s">
        <v>2928</v>
      </c>
      <c r="M243" s="16">
        <v>4010.0</v>
      </c>
      <c r="N243" s="19">
        <v>44.6756</v>
      </c>
      <c r="O243" s="16" t="s">
        <v>2637</v>
      </c>
      <c r="P243" s="19">
        <v>2.9441</v>
      </c>
      <c r="Q243" s="20">
        <v>1.5334565E7</v>
      </c>
      <c r="R243" s="20">
        <v>3.54842917764E11</v>
      </c>
      <c r="S243" s="21">
        <v>3.1994</v>
      </c>
      <c r="T243" s="16" t="s">
        <v>2611</v>
      </c>
      <c r="U243" s="22">
        <f>IFERROR(__xludf.DUMMYFUNCTION("IFERROR(GOOGLEFINANCE(B243,""price""),"""")"),188.55)</f>
        <v>188.55</v>
      </c>
    </row>
    <row r="244">
      <c r="A244" s="7">
        <v>46052.62647247743</v>
      </c>
      <c r="B244" s="8" t="s">
        <v>2226</v>
      </c>
      <c r="C244" s="8" t="s">
        <v>2227</v>
      </c>
      <c r="D244" s="9">
        <v>46054.0</v>
      </c>
      <c r="E244" s="10">
        <v>187.22</v>
      </c>
      <c r="F244" s="8" t="s">
        <v>102</v>
      </c>
      <c r="G244" s="9">
        <v>46073.0</v>
      </c>
      <c r="H244" s="10">
        <v>185.0</v>
      </c>
      <c r="I244" s="8">
        <v>2453.0</v>
      </c>
      <c r="J244" s="8" t="s">
        <v>2608</v>
      </c>
      <c r="K244" s="11">
        <v>1.19</v>
      </c>
      <c r="L244" s="8" t="s">
        <v>2911</v>
      </c>
      <c r="M244" s="8">
        <v>2453.0</v>
      </c>
      <c r="N244" s="11">
        <v>23.795</v>
      </c>
      <c r="O244" s="8" t="s">
        <v>2228</v>
      </c>
      <c r="P244" s="11">
        <v>5.9416</v>
      </c>
      <c r="Q244" s="12">
        <v>2293745.0</v>
      </c>
      <c r="R244" s="12">
        <v>9.856864819E9</v>
      </c>
      <c r="S244" s="13">
        <v>10.1002</v>
      </c>
      <c r="T244" s="8" t="s">
        <v>2611</v>
      </c>
      <c r="U244" s="14">
        <f>IFERROR(__xludf.DUMMYFUNCTION("IFERROR(GOOGLEFINANCE(B244,""price""),"""")"),241.46)</f>
        <v>241.46</v>
      </c>
    </row>
    <row r="245">
      <c r="A245" s="15">
        <v>46052.62647247743</v>
      </c>
      <c r="B245" s="16" t="s">
        <v>2650</v>
      </c>
      <c r="C245" s="16" t="s">
        <v>2651</v>
      </c>
      <c r="D245" s="17">
        <v>46054.0</v>
      </c>
      <c r="E245" s="18">
        <v>211.71</v>
      </c>
      <c r="F245" s="16" t="s">
        <v>308</v>
      </c>
      <c r="G245" s="17">
        <v>46052.0</v>
      </c>
      <c r="H245" s="18">
        <v>207.5</v>
      </c>
      <c r="I245" s="16">
        <v>2307.0</v>
      </c>
      <c r="J245" s="16" t="s">
        <v>2608</v>
      </c>
      <c r="K245" s="19">
        <v>1.99</v>
      </c>
      <c r="L245" s="16" t="s">
        <v>2929</v>
      </c>
      <c r="M245" s="16">
        <v>2307.0</v>
      </c>
      <c r="N245" s="19">
        <v>22.9279</v>
      </c>
      <c r="O245" s="16" t="s">
        <v>2653</v>
      </c>
      <c r="P245" s="19">
        <v>-1.9225</v>
      </c>
      <c r="Q245" s="20">
        <v>6078627.0</v>
      </c>
      <c r="R245" s="20">
        <v>3.3270990916E10</v>
      </c>
      <c r="S245" s="21">
        <v>14.5743</v>
      </c>
      <c r="T245" s="16" t="s">
        <v>2611</v>
      </c>
      <c r="U245" s="22">
        <f>IFERROR(__xludf.DUMMYFUNCTION("IFERROR(GOOGLEFINANCE(B245,""price""),"""")"),307.5)</f>
        <v>307.5</v>
      </c>
    </row>
    <row r="246">
      <c r="A246" s="7">
        <v>46052.62647247743</v>
      </c>
      <c r="B246" s="8" t="s">
        <v>1570</v>
      </c>
      <c r="C246" s="8" t="s">
        <v>1571</v>
      </c>
      <c r="D246" s="9">
        <v>46054.0</v>
      </c>
      <c r="E246" s="10">
        <v>47.33</v>
      </c>
      <c r="F246" s="8" t="s">
        <v>917</v>
      </c>
      <c r="G246" s="9">
        <v>46073.0</v>
      </c>
      <c r="H246" s="10">
        <v>48.0</v>
      </c>
      <c r="I246" s="8">
        <v>2066.0</v>
      </c>
      <c r="J246" s="8" t="s">
        <v>2608</v>
      </c>
      <c r="K246" s="11">
        <v>1.42</v>
      </c>
      <c r="L246" s="8" t="s">
        <v>2930</v>
      </c>
      <c r="M246" s="8">
        <v>2066.0</v>
      </c>
      <c r="N246" s="11">
        <v>30.341</v>
      </c>
      <c r="O246" s="8" t="s">
        <v>1572</v>
      </c>
      <c r="P246" s="11">
        <v>0.0</v>
      </c>
      <c r="Q246" s="12">
        <v>2376696.0</v>
      </c>
      <c r="R246" s="12">
        <v>2.7340913356E10</v>
      </c>
      <c r="S246" s="13">
        <v>0.7242</v>
      </c>
      <c r="T246" s="8" t="s">
        <v>2620</v>
      </c>
      <c r="U246" s="14">
        <f>IFERROR(__xludf.DUMMYFUNCTION("IFERROR(GOOGLEFINANCE(B246,""price""),"""")"),51.43)</f>
        <v>51.43</v>
      </c>
    </row>
    <row r="247">
      <c r="A247" s="15">
        <v>46052.62647247743</v>
      </c>
      <c r="B247" s="16" t="s">
        <v>2646</v>
      </c>
      <c r="C247" s="16" t="s">
        <v>2647</v>
      </c>
      <c r="D247" s="17">
        <v>46054.0</v>
      </c>
      <c r="E247" s="18">
        <v>33.2</v>
      </c>
      <c r="F247" s="16" t="s">
        <v>270</v>
      </c>
      <c r="G247" s="17">
        <v>46052.0</v>
      </c>
      <c r="H247" s="18">
        <v>33.0</v>
      </c>
      <c r="I247" s="16">
        <v>1974.0</v>
      </c>
      <c r="J247" s="16" t="s">
        <v>2627</v>
      </c>
      <c r="K247" s="19">
        <v>0.6</v>
      </c>
      <c r="L247" s="16" t="s">
        <v>2931</v>
      </c>
      <c r="M247" s="16">
        <v>1974.0</v>
      </c>
      <c r="N247" s="19">
        <v>28.797</v>
      </c>
      <c r="O247" s="16" t="s">
        <v>2649</v>
      </c>
      <c r="P247" s="19">
        <v>-2.6678</v>
      </c>
      <c r="Q247" s="20">
        <v>6043606.0</v>
      </c>
      <c r="R247" s="20">
        <v>7.1822259977E10</v>
      </c>
      <c r="S247" s="21">
        <v>0.5134</v>
      </c>
      <c r="T247" s="16" t="s">
        <v>2611</v>
      </c>
      <c r="U247" s="22">
        <f>IFERROR(__xludf.DUMMYFUNCTION("IFERROR(GOOGLEFINANCE(B247,""price""),"""")"),37.35)</f>
        <v>37.35</v>
      </c>
    </row>
    <row r="248">
      <c r="A248" s="7">
        <v>46052.62647247743</v>
      </c>
      <c r="B248" s="8" t="s">
        <v>2730</v>
      </c>
      <c r="C248" s="8" t="s">
        <v>2731</v>
      </c>
      <c r="D248" s="9">
        <v>46054.0</v>
      </c>
      <c r="E248" s="10">
        <v>182.47</v>
      </c>
      <c r="F248" s="8" t="s">
        <v>93</v>
      </c>
      <c r="G248" s="9">
        <v>46052.0</v>
      </c>
      <c r="H248" s="10">
        <v>182.5</v>
      </c>
      <c r="I248" s="8">
        <v>1916.0</v>
      </c>
      <c r="J248" s="8" t="s">
        <v>2608</v>
      </c>
      <c r="K248" s="11">
        <v>0.02</v>
      </c>
      <c r="L248" s="8" t="s">
        <v>2932</v>
      </c>
      <c r="M248" s="8">
        <v>1916.0</v>
      </c>
      <c r="N248" s="11">
        <v>15.4424</v>
      </c>
      <c r="O248" s="8" t="s">
        <v>2733</v>
      </c>
      <c r="P248" s="11">
        <v>0.0384</v>
      </c>
      <c r="Q248" s="12">
        <v>3885598.0</v>
      </c>
      <c r="R248" s="12">
        <v>2.90001240769E11</v>
      </c>
      <c r="S248" s="13">
        <v>4.0634</v>
      </c>
      <c r="T248" s="8" t="s">
        <v>2620</v>
      </c>
      <c r="U248" s="14">
        <f>IFERROR(__xludf.DUMMYFUNCTION("IFERROR(GOOGLEFINANCE(B248,""price""),"""")"),177.64)</f>
        <v>177.64</v>
      </c>
    </row>
    <row r="249">
      <c r="A249" s="15">
        <v>46052.62647247743</v>
      </c>
      <c r="B249" s="16" t="s">
        <v>2775</v>
      </c>
      <c r="C249" s="16" t="s">
        <v>2776</v>
      </c>
      <c r="D249" s="17">
        <v>46054.0</v>
      </c>
      <c r="E249" s="18">
        <v>55.935</v>
      </c>
      <c r="F249" s="16" t="s">
        <v>93</v>
      </c>
      <c r="G249" s="17">
        <v>46052.0</v>
      </c>
      <c r="H249" s="18">
        <v>57.0</v>
      </c>
      <c r="I249" s="16">
        <v>1859.0</v>
      </c>
      <c r="J249" s="16" t="s">
        <v>2608</v>
      </c>
      <c r="K249" s="19">
        <v>1.9</v>
      </c>
      <c r="L249" s="16" t="s">
        <v>2933</v>
      </c>
      <c r="M249" s="16">
        <v>1859.0</v>
      </c>
      <c r="N249" s="19">
        <v>27.3063</v>
      </c>
      <c r="O249" s="16" t="s">
        <v>2778</v>
      </c>
      <c r="P249" s="19">
        <v>-0.7012</v>
      </c>
      <c r="Q249" s="20">
        <v>5491553.0</v>
      </c>
      <c r="R249" s="20">
        <v>8.6947273205E10</v>
      </c>
      <c r="S249" s="21">
        <v>1.03</v>
      </c>
      <c r="T249" s="16" t="s">
        <v>2620</v>
      </c>
      <c r="U249" s="22">
        <f>IFERROR(__xludf.DUMMYFUNCTION("IFERROR(GOOGLEFINANCE(B249,""price""),"""")"),55.66)</f>
        <v>55.66</v>
      </c>
    </row>
    <row r="250">
      <c r="A250" s="7">
        <v>46052.62647247743</v>
      </c>
      <c r="B250" s="8" t="s">
        <v>2718</v>
      </c>
      <c r="C250" s="8" t="s">
        <v>2719</v>
      </c>
      <c r="D250" s="9">
        <v>46054.0</v>
      </c>
      <c r="E250" s="10">
        <v>144.1</v>
      </c>
      <c r="F250" s="8" t="s">
        <v>308</v>
      </c>
      <c r="G250" s="9">
        <v>46073.0</v>
      </c>
      <c r="H250" s="10">
        <v>145.0</v>
      </c>
      <c r="I250" s="8">
        <v>1722.0</v>
      </c>
      <c r="J250" s="8" t="s">
        <v>2627</v>
      </c>
      <c r="K250" s="11">
        <v>0.62</v>
      </c>
      <c r="L250" s="8" t="s">
        <v>2934</v>
      </c>
      <c r="M250" s="8">
        <v>1722.0</v>
      </c>
      <c r="N250" s="11">
        <v>17.9024</v>
      </c>
      <c r="O250" s="8" t="s">
        <v>2721</v>
      </c>
      <c r="P250" s="11">
        <v>-3.6636</v>
      </c>
      <c r="Q250" s="12">
        <v>8421299.0</v>
      </c>
      <c r="R250" s="12">
        <v>1.76386405761E11</v>
      </c>
      <c r="S250" s="13">
        <v>6.9023</v>
      </c>
      <c r="T250" s="8" t="s">
        <v>2620</v>
      </c>
      <c r="U250" s="14">
        <f>IFERROR(__xludf.DUMMYFUNCTION("IFERROR(GOOGLEFINANCE(B250,""price""),"""")"),140.75)</f>
        <v>140.75</v>
      </c>
    </row>
    <row r="251">
      <c r="A251" s="15">
        <v>46052.62647247743</v>
      </c>
      <c r="B251" s="16" t="s">
        <v>2521</v>
      </c>
      <c r="C251" s="16" t="s">
        <v>2522</v>
      </c>
      <c r="D251" s="17">
        <v>46054.0</v>
      </c>
      <c r="E251" s="18">
        <v>311.46</v>
      </c>
      <c r="F251" s="16" t="s">
        <v>308</v>
      </c>
      <c r="G251" s="17">
        <v>46052.0</v>
      </c>
      <c r="H251" s="18">
        <v>315.0</v>
      </c>
      <c r="I251" s="16">
        <v>1707.0</v>
      </c>
      <c r="J251" s="16" t="s">
        <v>2608</v>
      </c>
      <c r="K251" s="19">
        <v>1.14</v>
      </c>
      <c r="L251" s="16" t="s">
        <v>2935</v>
      </c>
      <c r="M251" s="16">
        <v>1707.0</v>
      </c>
      <c r="N251" s="19">
        <v>36.345</v>
      </c>
      <c r="O251" s="16" t="s">
        <v>2523</v>
      </c>
      <c r="P251" s="19">
        <v>-2.2717</v>
      </c>
      <c r="Q251" s="20">
        <v>1976943.0</v>
      </c>
      <c r="R251" s="20">
        <v>1.52507666611E11</v>
      </c>
      <c r="S251" s="21">
        <v>8.0767</v>
      </c>
      <c r="T251" s="16" t="s">
        <v>2620</v>
      </c>
      <c r="U251" s="22">
        <f>IFERROR(__xludf.DUMMYFUNCTION("IFERROR(GOOGLEFINANCE(B251,""price""),"""")"),350.14)</f>
        <v>350.14</v>
      </c>
    </row>
    <row r="252">
      <c r="A252" s="7">
        <v>46052.62647247743</v>
      </c>
      <c r="B252" s="8" t="s">
        <v>2735</v>
      </c>
      <c r="C252" s="8" t="s">
        <v>2736</v>
      </c>
      <c r="D252" s="9">
        <v>46054.0</v>
      </c>
      <c r="E252" s="10">
        <v>22.485</v>
      </c>
      <c r="F252" s="8" t="s">
        <v>335</v>
      </c>
      <c r="G252" s="9">
        <v>46052.0</v>
      </c>
      <c r="H252" s="10">
        <v>22.5</v>
      </c>
      <c r="I252" s="8">
        <v>1597.0</v>
      </c>
      <c r="J252" s="8" t="s">
        <v>2627</v>
      </c>
      <c r="K252" s="11">
        <v>0.07</v>
      </c>
      <c r="L252" s="8" t="s">
        <v>2936</v>
      </c>
      <c r="M252" s="8">
        <v>1597.0</v>
      </c>
      <c r="N252" s="11">
        <v>42.1261</v>
      </c>
      <c r="O252" s="8" t="s">
        <v>2738</v>
      </c>
      <c r="P252" s="11">
        <v>-14.5707</v>
      </c>
      <c r="Q252" s="12">
        <v>4.2819182E7</v>
      </c>
      <c r="R252" s="12">
        <v>1.5067168957E10</v>
      </c>
      <c r="S252" s="13">
        <v>2.1655</v>
      </c>
      <c r="T252" s="8" t="s">
        <v>2620</v>
      </c>
      <c r="U252" s="14">
        <f>IFERROR(__xludf.DUMMYFUNCTION("IFERROR(GOOGLEFINANCE(B252,""price""),"""")"),19.46)</f>
        <v>19.46</v>
      </c>
    </row>
    <row r="253">
      <c r="A253" s="15">
        <v>46052.62647247743</v>
      </c>
      <c r="B253" s="16" t="s">
        <v>2714</v>
      </c>
      <c r="C253" s="16" t="s">
        <v>2715</v>
      </c>
      <c r="D253" s="17">
        <v>46054.0</v>
      </c>
      <c r="E253" s="18">
        <v>17.155</v>
      </c>
      <c r="F253" s="16" t="s">
        <v>335</v>
      </c>
      <c r="G253" s="17">
        <v>46052.0</v>
      </c>
      <c r="H253" s="18">
        <v>17.0</v>
      </c>
      <c r="I253" s="16">
        <v>1559.0</v>
      </c>
      <c r="J253" s="16" t="s">
        <v>2627</v>
      </c>
      <c r="K253" s="19">
        <v>0.9</v>
      </c>
      <c r="L253" s="16" t="s">
        <v>2937</v>
      </c>
      <c r="M253" s="16">
        <v>1559.0</v>
      </c>
      <c r="N253" s="19">
        <v>40.8948</v>
      </c>
      <c r="O253" s="16" t="s">
        <v>2717</v>
      </c>
      <c r="P253" s="19">
        <v>-7.7688</v>
      </c>
      <c r="Q253" s="20">
        <v>1.1850953E7</v>
      </c>
      <c r="R253" s="20">
        <v>8.292339654E9</v>
      </c>
      <c r="S253" s="21">
        <v>1.3969</v>
      </c>
      <c r="T253" s="16" t="s">
        <v>2611</v>
      </c>
      <c r="U253" s="22">
        <f>IFERROR(__xludf.DUMMYFUNCTION("IFERROR(GOOGLEFINANCE(B253,""price""),"""")"),13.53)</f>
        <v>13.53</v>
      </c>
    </row>
    <row r="254">
      <c r="A254" s="7">
        <v>46052.62647247743</v>
      </c>
      <c r="B254" s="8" t="s">
        <v>2658</v>
      </c>
      <c r="C254" s="8" t="s">
        <v>2659</v>
      </c>
      <c r="D254" s="9">
        <v>46054.0</v>
      </c>
      <c r="E254" s="10">
        <v>87.8275</v>
      </c>
      <c r="F254" s="8" t="s">
        <v>917</v>
      </c>
      <c r="G254" s="9">
        <v>46052.0</v>
      </c>
      <c r="H254" s="10">
        <v>87.0</v>
      </c>
      <c r="I254" s="8">
        <v>1427.0</v>
      </c>
      <c r="J254" s="8" t="s">
        <v>2608</v>
      </c>
      <c r="K254" s="11">
        <v>0.94</v>
      </c>
      <c r="L254" s="8" t="s">
        <v>2938</v>
      </c>
      <c r="M254" s="8">
        <v>1427.0</v>
      </c>
      <c r="N254" s="11">
        <v>28.8653</v>
      </c>
      <c r="O254" s="8" t="s">
        <v>2661</v>
      </c>
      <c r="P254" s="11">
        <v>-0.3998</v>
      </c>
      <c r="Q254" s="12">
        <v>5656761.0</v>
      </c>
      <c r="R254" s="12">
        <v>1.82910396958E11</v>
      </c>
      <c r="S254" s="13">
        <v>1.7385</v>
      </c>
      <c r="T254" s="8" t="s">
        <v>2611</v>
      </c>
      <c r="U254" s="14">
        <f>IFERROR(__xludf.DUMMYFUNCTION("IFERROR(GOOGLEFINANCE(B254,""price""),"""")"),94.08)</f>
        <v>94.08</v>
      </c>
    </row>
    <row r="255">
      <c r="A255" s="15">
        <v>46052.62647247743</v>
      </c>
      <c r="B255" s="16" t="s">
        <v>2696</v>
      </c>
      <c r="C255" s="16" t="s">
        <v>2697</v>
      </c>
      <c r="D255" s="17">
        <v>46054.0</v>
      </c>
      <c r="E255" s="18">
        <v>193.525</v>
      </c>
      <c r="F255" s="16" t="s">
        <v>162</v>
      </c>
      <c r="G255" s="17">
        <v>46073.0</v>
      </c>
      <c r="H255" s="18">
        <v>190.0</v>
      </c>
      <c r="I255" s="16">
        <v>1294.0</v>
      </c>
      <c r="J255" s="16" t="s">
        <v>2608</v>
      </c>
      <c r="K255" s="19">
        <v>1.82</v>
      </c>
      <c r="L255" s="16" t="s">
        <v>2939</v>
      </c>
      <c r="M255" s="16">
        <v>1294.0</v>
      </c>
      <c r="N255" s="19">
        <v>44.5864</v>
      </c>
      <c r="O255" s="16" t="s">
        <v>2699</v>
      </c>
      <c r="P255" s="19">
        <v>-0.1007</v>
      </c>
      <c r="Q255" s="20">
        <v>1871644.0</v>
      </c>
      <c r="R255" s="20">
        <v>2.2862497228E10</v>
      </c>
      <c r="S255" s="21">
        <v>4.7034</v>
      </c>
      <c r="T255" s="16" t="s">
        <v>2611</v>
      </c>
      <c r="U255" s="22">
        <f>IFERROR(__xludf.DUMMYFUNCTION("IFERROR(GOOGLEFINANCE(B255,""price""),"""")"),163.49)</f>
        <v>163.49</v>
      </c>
    </row>
    <row r="256">
      <c r="A256" s="7">
        <v>46052.62647247743</v>
      </c>
      <c r="B256" s="8" t="s">
        <v>2710</v>
      </c>
      <c r="C256" s="8" t="s">
        <v>2711</v>
      </c>
      <c r="D256" s="9">
        <v>46054.0</v>
      </c>
      <c r="E256" s="10">
        <v>119.71</v>
      </c>
      <c r="F256" s="8" t="s">
        <v>917</v>
      </c>
      <c r="G256" s="9">
        <v>46073.0</v>
      </c>
      <c r="H256" s="10">
        <v>120.0</v>
      </c>
      <c r="I256" s="8">
        <v>1186.0</v>
      </c>
      <c r="J256" s="8" t="s">
        <v>2608</v>
      </c>
      <c r="K256" s="11">
        <v>0.24</v>
      </c>
      <c r="L256" s="8" t="s">
        <v>2940</v>
      </c>
      <c r="M256" s="8">
        <v>1186.0</v>
      </c>
      <c r="N256" s="11">
        <v>17.7467</v>
      </c>
      <c r="O256" s="8" t="s">
        <v>2713</v>
      </c>
      <c r="P256" s="11">
        <v>0.4194</v>
      </c>
      <c r="Q256" s="12">
        <v>1172464.0</v>
      </c>
      <c r="R256" s="12">
        <v>6.393645E10</v>
      </c>
      <c r="S256" s="13">
        <v>1.949</v>
      </c>
      <c r="T256" s="8" t="s">
        <v>2620</v>
      </c>
      <c r="U256" s="14">
        <f>IFERROR(__xludf.DUMMYFUNCTION("IFERROR(GOOGLEFINANCE(B256,""price""),"""")"),136.3)</f>
        <v>136.3</v>
      </c>
    </row>
    <row r="257">
      <c r="A257" s="15">
        <v>46052.62647247743</v>
      </c>
      <c r="B257" s="16" t="s">
        <v>2680</v>
      </c>
      <c r="C257" s="16" t="s">
        <v>2681</v>
      </c>
      <c r="D257" s="17">
        <v>46054.0</v>
      </c>
      <c r="E257" s="18">
        <v>181.39</v>
      </c>
      <c r="F257" s="16" t="s">
        <v>245</v>
      </c>
      <c r="G257" s="17">
        <v>46052.0</v>
      </c>
      <c r="H257" s="18">
        <v>185.0</v>
      </c>
      <c r="I257" s="16">
        <v>1138.0</v>
      </c>
      <c r="J257" s="16" t="s">
        <v>2608</v>
      </c>
      <c r="K257" s="19">
        <v>1.99</v>
      </c>
      <c r="L257" s="16" t="s">
        <v>2914</v>
      </c>
      <c r="M257" s="16">
        <v>1138.0</v>
      </c>
      <c r="N257" s="19">
        <v>34.5334</v>
      </c>
      <c r="O257" s="16" t="s">
        <v>2683</v>
      </c>
      <c r="P257" s="19">
        <v>-0.6028</v>
      </c>
      <c r="Q257" s="20">
        <v>2213187.0</v>
      </c>
      <c r="R257" s="20">
        <v>5.5325678767E10</v>
      </c>
      <c r="S257" s="21">
        <v>6.3141</v>
      </c>
      <c r="T257" s="16" t="s">
        <v>2620</v>
      </c>
      <c r="U257" s="22">
        <f>IFERROR(__xludf.DUMMYFUNCTION("IFERROR(GOOGLEFINANCE(B257,""price""),"""")"),238.82)</f>
        <v>238.82</v>
      </c>
    </row>
    <row r="258">
      <c r="A258" s="7">
        <v>46052.62647247743</v>
      </c>
      <c r="B258" s="8" t="s">
        <v>1626</v>
      </c>
      <c r="C258" s="8" t="s">
        <v>1627</v>
      </c>
      <c r="D258" s="9">
        <v>46054.0</v>
      </c>
      <c r="E258" s="10">
        <v>44.325</v>
      </c>
      <c r="F258" s="8" t="s">
        <v>917</v>
      </c>
      <c r="G258" s="9">
        <v>46073.0</v>
      </c>
      <c r="H258" s="10">
        <v>45.0</v>
      </c>
      <c r="I258" s="8">
        <v>1115.0</v>
      </c>
      <c r="J258" s="8" t="s">
        <v>2608</v>
      </c>
      <c r="K258" s="11">
        <v>1.52</v>
      </c>
      <c r="L258" s="8" t="s">
        <v>2941</v>
      </c>
      <c r="M258" s="8">
        <v>1115.0</v>
      </c>
      <c r="N258" s="11">
        <v>27.2312</v>
      </c>
      <c r="O258" s="8" t="s">
        <v>1628</v>
      </c>
      <c r="P258" s="11">
        <v>-0.7279</v>
      </c>
      <c r="Q258" s="12">
        <v>3034933.0</v>
      </c>
      <c r="R258" s="12">
        <v>2.1151692419E10</v>
      </c>
      <c r="S258" s="13">
        <v>0.7287</v>
      </c>
      <c r="T258" s="8" t="s">
        <v>2620</v>
      </c>
      <c r="U258" s="14">
        <f>IFERROR(__xludf.DUMMYFUNCTION("IFERROR(GOOGLEFINANCE(B258,""price""),"""")"),48.05)</f>
        <v>48.05</v>
      </c>
    </row>
    <row r="259">
      <c r="A259" s="15">
        <v>46052.62647247743</v>
      </c>
      <c r="B259" s="16" t="s">
        <v>1512</v>
      </c>
      <c r="C259" s="16" t="s">
        <v>1513</v>
      </c>
      <c r="D259" s="17">
        <v>46054.0</v>
      </c>
      <c r="E259" s="18">
        <v>76.53</v>
      </c>
      <c r="F259" s="16" t="s">
        <v>917</v>
      </c>
      <c r="G259" s="17">
        <v>46073.0</v>
      </c>
      <c r="H259" s="18">
        <v>77.5</v>
      </c>
      <c r="I259" s="16">
        <v>1106.0</v>
      </c>
      <c r="J259" s="16" t="s">
        <v>2608</v>
      </c>
      <c r="K259" s="19">
        <v>1.27</v>
      </c>
      <c r="L259" s="16" t="s">
        <v>2734</v>
      </c>
      <c r="M259" s="16">
        <v>1106.0</v>
      </c>
      <c r="N259" s="19">
        <v>22.6714</v>
      </c>
      <c r="O259" s="16" t="s">
        <v>1514</v>
      </c>
      <c r="P259" s="19">
        <v>0.2095</v>
      </c>
      <c r="Q259" s="20">
        <v>1297473.0</v>
      </c>
      <c r="R259" s="20">
        <v>1.7618288909E10</v>
      </c>
      <c r="S259" s="21">
        <v>1.1158</v>
      </c>
      <c r="T259" s="16" t="s">
        <v>2620</v>
      </c>
      <c r="U259" s="22">
        <f>IFERROR(__xludf.DUMMYFUNCTION("IFERROR(GOOGLEFINANCE(B259,""price""),"""")"),83.58)</f>
        <v>83.58</v>
      </c>
    </row>
    <row r="260">
      <c r="A260" s="7">
        <v>46052.62647247743</v>
      </c>
      <c r="B260" s="8" t="s">
        <v>2812</v>
      </c>
      <c r="C260" s="8" t="s">
        <v>2813</v>
      </c>
      <c r="D260" s="9">
        <v>46054.0</v>
      </c>
      <c r="E260" s="10">
        <v>405.19</v>
      </c>
      <c r="F260" s="8" t="s">
        <v>308</v>
      </c>
      <c r="G260" s="9">
        <v>46052.0</v>
      </c>
      <c r="H260" s="10">
        <v>400.0</v>
      </c>
      <c r="I260" s="8">
        <v>1036.0</v>
      </c>
      <c r="J260" s="8" t="s">
        <v>2627</v>
      </c>
      <c r="K260" s="11">
        <v>1.28</v>
      </c>
      <c r="L260" s="8" t="s">
        <v>2942</v>
      </c>
      <c r="M260" s="8">
        <v>1036.0</v>
      </c>
      <c r="N260" s="11">
        <v>35.2285</v>
      </c>
      <c r="O260" s="8" t="s">
        <v>2815</v>
      </c>
      <c r="P260" s="11">
        <v>-9.2662</v>
      </c>
      <c r="Q260" s="12">
        <v>8007413.0</v>
      </c>
      <c r="R260" s="12">
        <v>8.6531610174E10</v>
      </c>
      <c r="S260" s="13">
        <v>25.6125</v>
      </c>
      <c r="T260" s="8" t="s">
        <v>2611</v>
      </c>
      <c r="U260" s="14">
        <f>IFERROR(__xludf.DUMMYFUNCTION("IFERROR(GOOGLEFINANCE(B260,""price""),"""")"),503.13)</f>
        <v>503.13</v>
      </c>
    </row>
    <row r="261">
      <c r="A261" s="15">
        <v>46052.62647247743</v>
      </c>
      <c r="B261" s="16" t="s">
        <v>2684</v>
      </c>
      <c r="C261" s="16" t="s">
        <v>2685</v>
      </c>
      <c r="D261" s="17">
        <v>46054.0</v>
      </c>
      <c r="E261" s="18">
        <v>323.46</v>
      </c>
      <c r="F261" s="16" t="s">
        <v>102</v>
      </c>
      <c r="G261" s="17">
        <v>46052.0</v>
      </c>
      <c r="H261" s="18">
        <v>320.0</v>
      </c>
      <c r="I261" s="16">
        <v>1031.0</v>
      </c>
      <c r="J261" s="16" t="s">
        <v>2627</v>
      </c>
      <c r="K261" s="19">
        <v>1.07</v>
      </c>
      <c r="L261" s="16" t="s">
        <v>2943</v>
      </c>
      <c r="M261" s="16">
        <v>1031.0</v>
      </c>
      <c r="N261" s="19">
        <v>36.6712</v>
      </c>
      <c r="O261" s="16" t="s">
        <v>2687</v>
      </c>
      <c r="P261" s="19">
        <v>-5.2382</v>
      </c>
      <c r="Q261" s="20">
        <v>4567613.0</v>
      </c>
      <c r="R261" s="20">
        <v>2.56485456271E11</v>
      </c>
      <c r="S261" s="21">
        <v>12.3121</v>
      </c>
      <c r="T261" s="16" t="s">
        <v>2611</v>
      </c>
      <c r="U261" s="22">
        <f>IFERROR(__xludf.DUMMYFUNCTION("IFERROR(GOOGLEFINANCE(B261,""price""),"""")"),399.5)</f>
        <v>399.5</v>
      </c>
    </row>
    <row r="262">
      <c r="A262" s="7">
        <v>46052.89218598161</v>
      </c>
      <c r="B262" s="8" t="s">
        <v>2606</v>
      </c>
      <c r="C262" s="8" t="s">
        <v>2607</v>
      </c>
      <c r="D262" s="9">
        <v>46054.0</v>
      </c>
      <c r="E262" s="10">
        <v>50.22</v>
      </c>
      <c r="F262" s="8" t="s">
        <v>93</v>
      </c>
      <c r="G262" s="9">
        <v>46073.0</v>
      </c>
      <c r="H262" s="10">
        <v>50.0</v>
      </c>
      <c r="I262" s="8">
        <v>28739.0</v>
      </c>
      <c r="J262" s="8" t="s">
        <v>2608</v>
      </c>
      <c r="K262" s="11">
        <v>0.44</v>
      </c>
      <c r="L262" s="8" t="s">
        <v>2944</v>
      </c>
      <c r="M262" s="8">
        <v>30420.0</v>
      </c>
      <c r="N262" s="11">
        <v>37.4906</v>
      </c>
      <c r="O262" s="8" t="s">
        <v>2610</v>
      </c>
      <c r="P262" s="11">
        <v>0.8636</v>
      </c>
      <c r="Q262" s="12">
        <v>1.04196179E8</v>
      </c>
      <c r="R262" s="12">
        <v>3.3197667392E10</v>
      </c>
      <c r="S262" s="13">
        <v>1.2442</v>
      </c>
      <c r="T262" s="8" t="s">
        <v>2611</v>
      </c>
      <c r="U262" s="14">
        <f>IFERROR(__xludf.DUMMYFUNCTION("IFERROR(GOOGLEFINANCE(B262,""price""),"""")"),49.31)</f>
        <v>49.31</v>
      </c>
    </row>
    <row r="263">
      <c r="A263" s="15">
        <v>46052.89218598161</v>
      </c>
      <c r="B263" s="16" t="s">
        <v>1467</v>
      </c>
      <c r="C263" s="16" t="s">
        <v>1468</v>
      </c>
      <c r="D263" s="17">
        <v>46054.0</v>
      </c>
      <c r="E263" s="18">
        <v>119.26</v>
      </c>
      <c r="F263" s="16" t="s">
        <v>102</v>
      </c>
      <c r="G263" s="17">
        <v>46073.0</v>
      </c>
      <c r="H263" s="18">
        <v>120.0</v>
      </c>
      <c r="I263" s="16">
        <v>9098.0</v>
      </c>
      <c r="J263" s="16" t="s">
        <v>2608</v>
      </c>
      <c r="K263" s="19">
        <v>0.62</v>
      </c>
      <c r="L263" s="16" t="s">
        <v>2900</v>
      </c>
      <c r="M263" s="16">
        <v>10802.0</v>
      </c>
      <c r="N263" s="19">
        <v>20.8084</v>
      </c>
      <c r="O263" s="16" t="s">
        <v>1469</v>
      </c>
      <c r="P263" s="19">
        <v>-0.848</v>
      </c>
      <c r="Q263" s="20">
        <v>6034411.0</v>
      </c>
      <c r="R263" s="20">
        <v>7.2884033316E10</v>
      </c>
      <c r="S263" s="21">
        <v>2.5496</v>
      </c>
      <c r="T263" s="16" t="s">
        <v>2620</v>
      </c>
      <c r="U263" s="22">
        <f>IFERROR(__xludf.DUMMYFUNCTION("IFERROR(GOOGLEFINANCE(B263,""price""),"""")"),142.53)</f>
        <v>142.53</v>
      </c>
    </row>
    <row r="264">
      <c r="A264" s="7">
        <v>46052.89218598161</v>
      </c>
      <c r="B264" s="8" t="s">
        <v>2676</v>
      </c>
      <c r="C264" s="8" t="s">
        <v>2677</v>
      </c>
      <c r="D264" s="9">
        <v>46054.0</v>
      </c>
      <c r="E264" s="10">
        <v>28.5</v>
      </c>
      <c r="F264" s="8" t="s">
        <v>93</v>
      </c>
      <c r="G264" s="9">
        <v>46073.0</v>
      </c>
      <c r="H264" s="10">
        <v>29.0</v>
      </c>
      <c r="I264" s="8">
        <v>6510.0</v>
      </c>
      <c r="J264" s="8" t="s">
        <v>2608</v>
      </c>
      <c r="K264" s="11">
        <v>1.75</v>
      </c>
      <c r="L264" s="8" t="s">
        <v>2923</v>
      </c>
      <c r="M264" s="8">
        <v>8992.0</v>
      </c>
      <c r="N264" s="11">
        <v>17.9813</v>
      </c>
      <c r="O264" s="8" t="s">
        <v>2679</v>
      </c>
      <c r="P264" s="11">
        <v>0.1405</v>
      </c>
      <c r="Q264" s="12">
        <v>1.9274423E7</v>
      </c>
      <c r="R264" s="12">
        <v>2.4990980184E10</v>
      </c>
      <c r="S264" s="13">
        <v>0.6351</v>
      </c>
      <c r="T264" s="8" t="s">
        <v>2620</v>
      </c>
      <c r="U264" s="14">
        <f>IFERROR(__xludf.DUMMYFUNCTION("IFERROR(GOOGLEFINANCE(B264,""price""),"""")"),27.5)</f>
        <v>27.5</v>
      </c>
    </row>
    <row r="265">
      <c r="A265" s="15">
        <v>46052.89218598161</v>
      </c>
      <c r="B265" s="16" t="s">
        <v>2612</v>
      </c>
      <c r="C265" s="16" t="s">
        <v>2613</v>
      </c>
      <c r="D265" s="17">
        <v>46054.0</v>
      </c>
      <c r="E265" s="18">
        <v>236.73</v>
      </c>
      <c r="F265" s="16" t="s">
        <v>308</v>
      </c>
      <c r="G265" s="17">
        <v>46059.0</v>
      </c>
      <c r="H265" s="18">
        <v>240.0</v>
      </c>
      <c r="I265" s="16">
        <v>2247.0</v>
      </c>
      <c r="J265" s="16" t="s">
        <v>2627</v>
      </c>
      <c r="K265" s="19">
        <v>1.38</v>
      </c>
      <c r="L265" s="16" t="s">
        <v>2945</v>
      </c>
      <c r="M265" s="16">
        <v>7284.0</v>
      </c>
      <c r="N265" s="19">
        <v>24.4642</v>
      </c>
      <c r="O265" s="16" t="s">
        <v>2615</v>
      </c>
      <c r="P265" s="19">
        <v>-6.1266</v>
      </c>
      <c r="Q265" s="20">
        <v>4.0033887E7</v>
      </c>
      <c r="R265" s="20">
        <v>3.85406254026E11</v>
      </c>
      <c r="S265" s="21">
        <v>11.2381</v>
      </c>
      <c r="T265" s="16" t="s">
        <v>2620</v>
      </c>
      <c r="U265" s="22">
        <f>IFERROR(__xludf.DUMMYFUNCTION("IFERROR(GOOGLEFINANCE(B265,""price""),"""")"),245.04)</f>
        <v>245.04</v>
      </c>
    </row>
    <row r="266">
      <c r="A266" s="7">
        <v>46052.89218598161</v>
      </c>
      <c r="B266" s="8" t="s">
        <v>2139</v>
      </c>
      <c r="C266" s="8" t="s">
        <v>2140</v>
      </c>
      <c r="D266" s="9">
        <v>46054.0</v>
      </c>
      <c r="E266" s="10">
        <v>56.04</v>
      </c>
      <c r="F266" s="8" t="s">
        <v>270</v>
      </c>
      <c r="G266" s="9">
        <v>46073.0</v>
      </c>
      <c r="H266" s="10">
        <v>55.0</v>
      </c>
      <c r="I266" s="8">
        <v>5495.0</v>
      </c>
      <c r="J266" s="8" t="s">
        <v>2608</v>
      </c>
      <c r="K266" s="11">
        <v>1.86</v>
      </c>
      <c r="L266" s="8" t="s">
        <v>2904</v>
      </c>
      <c r="M266" s="8">
        <v>5495.0</v>
      </c>
      <c r="N266" s="11">
        <v>37.0504</v>
      </c>
      <c r="O266" s="8" t="s">
        <v>2141</v>
      </c>
      <c r="P266" s="11">
        <v>-1.2163</v>
      </c>
      <c r="Q266" s="12">
        <v>8618365.0</v>
      </c>
      <c r="R266" s="12">
        <v>5.5298806934E10</v>
      </c>
      <c r="S266" s="13">
        <v>1.6426</v>
      </c>
      <c r="T266" s="8" t="s">
        <v>2611</v>
      </c>
      <c r="U266" s="14">
        <f>IFERROR(__xludf.DUMMYFUNCTION("IFERROR(GOOGLEFINANCE(B266,""price""),"""")"),62.83)</f>
        <v>62.83</v>
      </c>
    </row>
    <row r="267">
      <c r="A267" s="15">
        <v>46052.89218598161</v>
      </c>
      <c r="B267" s="16" t="s">
        <v>2630</v>
      </c>
      <c r="C267" s="16" t="s">
        <v>2631</v>
      </c>
      <c r="D267" s="17">
        <v>46054.0</v>
      </c>
      <c r="E267" s="18">
        <v>414.88</v>
      </c>
      <c r="F267" s="16" t="s">
        <v>308</v>
      </c>
      <c r="G267" s="17">
        <v>46059.0</v>
      </c>
      <c r="H267" s="18">
        <v>410.0</v>
      </c>
      <c r="I267" s="16">
        <v>2191.0</v>
      </c>
      <c r="J267" s="16" t="s">
        <v>2608</v>
      </c>
      <c r="K267" s="19">
        <v>1.18</v>
      </c>
      <c r="L267" s="16" t="s">
        <v>2946</v>
      </c>
      <c r="M267" s="16">
        <v>4981.0</v>
      </c>
      <c r="N267" s="19">
        <v>43.0031</v>
      </c>
      <c r="O267" s="16" t="s">
        <v>2633</v>
      </c>
      <c r="P267" s="19">
        <v>-4.7982</v>
      </c>
      <c r="Q267" s="20">
        <v>5.1022835E7</v>
      </c>
      <c r="R267" s="20">
        <v>4.6695129814E11</v>
      </c>
      <c r="S267" s="21">
        <v>21.8915</v>
      </c>
      <c r="T267" s="16" t="s">
        <v>2611</v>
      </c>
      <c r="U267" s="22">
        <f>IFERROR(__xludf.DUMMYFUNCTION("IFERROR(GOOGLEFINANCE(B267,""price""),"""")"),420.59)</f>
        <v>420.59</v>
      </c>
    </row>
    <row r="268">
      <c r="A268" s="7">
        <v>46052.89218598161</v>
      </c>
      <c r="B268" s="8" t="s">
        <v>2616</v>
      </c>
      <c r="C268" s="8" t="s">
        <v>2617</v>
      </c>
      <c r="D268" s="9">
        <v>46054.0</v>
      </c>
      <c r="E268" s="10">
        <v>74.81</v>
      </c>
      <c r="F268" s="8" t="s">
        <v>286</v>
      </c>
      <c r="G268" s="9">
        <v>46059.0</v>
      </c>
      <c r="H268" s="10">
        <v>75.0</v>
      </c>
      <c r="I268" s="8">
        <v>3475.0</v>
      </c>
      <c r="J268" s="8" t="s">
        <v>2608</v>
      </c>
      <c r="K268" s="11">
        <v>0.25</v>
      </c>
      <c r="L268" s="8" t="s">
        <v>2947</v>
      </c>
      <c r="M268" s="8">
        <v>4939.0</v>
      </c>
      <c r="N268" s="11">
        <v>26.9473</v>
      </c>
      <c r="O268" s="8" t="s">
        <v>2619</v>
      </c>
      <c r="P268" s="11">
        <v>1.8793</v>
      </c>
      <c r="Q268" s="12">
        <v>2.6420468E7</v>
      </c>
      <c r="R268" s="12">
        <v>3.21803362153E11</v>
      </c>
      <c r="S268" s="13">
        <v>1.0558</v>
      </c>
      <c r="T268" s="8" t="s">
        <v>2620</v>
      </c>
      <c r="U268" s="14">
        <f>IFERROR(__xludf.DUMMYFUNCTION("IFERROR(GOOGLEFINANCE(B268,""price""),"""")"),77.47)</f>
        <v>77.47</v>
      </c>
    </row>
    <row r="269">
      <c r="A269" s="15">
        <v>46052.89218598161</v>
      </c>
      <c r="B269" s="16" t="s">
        <v>2654</v>
      </c>
      <c r="C269" s="16" t="s">
        <v>2655</v>
      </c>
      <c r="D269" s="17">
        <v>46054.0</v>
      </c>
      <c r="E269" s="18">
        <v>39.69</v>
      </c>
      <c r="F269" s="16" t="s">
        <v>917</v>
      </c>
      <c r="G269" s="17">
        <v>46073.0</v>
      </c>
      <c r="H269" s="18">
        <v>40.0</v>
      </c>
      <c r="I269" s="16">
        <v>4474.0</v>
      </c>
      <c r="J269" s="16" t="s">
        <v>2608</v>
      </c>
      <c r="K269" s="19">
        <v>0.78</v>
      </c>
      <c r="L269" s="16" t="s">
        <v>2757</v>
      </c>
      <c r="M269" s="16">
        <v>4474.0</v>
      </c>
      <c r="N269" s="19">
        <v>17.2963</v>
      </c>
      <c r="O269" s="16" t="s">
        <v>2657</v>
      </c>
      <c r="P269" s="19">
        <v>0.2526</v>
      </c>
      <c r="Q269" s="20">
        <v>5025466.0</v>
      </c>
      <c r="R269" s="20">
        <v>2.5912339954E10</v>
      </c>
      <c r="S269" s="21">
        <v>0.6045</v>
      </c>
      <c r="T269" s="16" t="s">
        <v>2620</v>
      </c>
      <c r="U269" s="22">
        <f>IFERROR(__xludf.DUMMYFUNCTION("IFERROR(GOOGLEFINANCE(B269,""price""),"""")"),43.39)</f>
        <v>43.39</v>
      </c>
    </row>
    <row r="270">
      <c r="A270" s="7">
        <v>46052.89218598161</v>
      </c>
      <c r="B270" s="8" t="s">
        <v>1489</v>
      </c>
      <c r="C270" s="8" t="s">
        <v>1490</v>
      </c>
      <c r="D270" s="9">
        <v>46054.0</v>
      </c>
      <c r="E270" s="10">
        <v>78.32</v>
      </c>
      <c r="F270" s="8" t="s">
        <v>308</v>
      </c>
      <c r="G270" s="9">
        <v>46059.0</v>
      </c>
      <c r="H270" s="10">
        <v>79.0</v>
      </c>
      <c r="I270" s="8">
        <v>3224.0</v>
      </c>
      <c r="J270" s="8" t="s">
        <v>2608</v>
      </c>
      <c r="K270" s="11">
        <v>0.87</v>
      </c>
      <c r="L270" s="8" t="s">
        <v>2948</v>
      </c>
      <c r="M270" s="8">
        <v>4371.0</v>
      </c>
      <c r="N270" s="11">
        <v>22.8666</v>
      </c>
      <c r="O270" s="8" t="s">
        <v>1491</v>
      </c>
      <c r="P270" s="11">
        <v>-0.1403</v>
      </c>
      <c r="Q270" s="12">
        <v>2.6458381E7</v>
      </c>
      <c r="R270" s="12">
        <v>3.09449721067E11</v>
      </c>
      <c r="S270" s="13">
        <v>1.4573</v>
      </c>
      <c r="T270" s="8" t="s">
        <v>2620</v>
      </c>
      <c r="U270" s="14">
        <f>IFERROR(__xludf.DUMMYFUNCTION("IFERROR(GOOGLEFINANCE(B270,""price""),"""")"),82.22)</f>
        <v>82.22</v>
      </c>
    </row>
    <row r="271">
      <c r="A271" s="15">
        <v>46052.89218598161</v>
      </c>
      <c r="B271" s="16" t="s">
        <v>2700</v>
      </c>
      <c r="C271" s="16" t="s">
        <v>2701</v>
      </c>
      <c r="D271" s="17">
        <v>46054.0</v>
      </c>
      <c r="E271" s="18">
        <v>233.46</v>
      </c>
      <c r="F271" s="16" t="s">
        <v>102</v>
      </c>
      <c r="G271" s="17">
        <v>46059.0</v>
      </c>
      <c r="H271" s="18">
        <v>235.0</v>
      </c>
      <c r="I271" s="16">
        <v>3000.0</v>
      </c>
      <c r="J271" s="16" t="s">
        <v>2627</v>
      </c>
      <c r="K271" s="19">
        <v>0.66</v>
      </c>
      <c r="L271" s="16" t="s">
        <v>2949</v>
      </c>
      <c r="M271" s="16">
        <v>4206.0</v>
      </c>
      <c r="N271" s="19">
        <v>42.423</v>
      </c>
      <c r="O271" s="16" t="s">
        <v>2703</v>
      </c>
      <c r="P271" s="19">
        <v>-5.9274</v>
      </c>
      <c r="Q271" s="20">
        <v>1.8352886E7</v>
      </c>
      <c r="R271" s="20">
        <v>2.93232768476E11</v>
      </c>
      <c r="S271" s="21">
        <v>10.9781</v>
      </c>
      <c r="T271" s="16" t="s">
        <v>2620</v>
      </c>
      <c r="U271" s="22">
        <f>IFERROR(__xludf.DUMMYFUNCTION("IFERROR(GOOGLEFINANCE(B271,""price""),"""")"),263.66)</f>
        <v>263.66</v>
      </c>
    </row>
    <row r="272">
      <c r="A272" s="7">
        <v>46052.89218598161</v>
      </c>
      <c r="B272" s="8" t="s">
        <v>2804</v>
      </c>
      <c r="C272" s="8" t="s">
        <v>2805</v>
      </c>
      <c r="D272" s="9">
        <v>46054.0</v>
      </c>
      <c r="E272" s="10">
        <v>103.25</v>
      </c>
      <c r="F272" s="8" t="s">
        <v>308</v>
      </c>
      <c r="G272" s="9">
        <v>46059.0</v>
      </c>
      <c r="H272" s="10">
        <v>103.0</v>
      </c>
      <c r="I272" s="8">
        <v>2931.0</v>
      </c>
      <c r="J272" s="8" t="s">
        <v>2627</v>
      </c>
      <c r="K272" s="11">
        <v>0.24</v>
      </c>
      <c r="L272" s="8" t="s">
        <v>2950</v>
      </c>
      <c r="M272" s="8">
        <v>4184.0</v>
      </c>
      <c r="N272" s="11">
        <v>31.3502</v>
      </c>
      <c r="O272" s="8" t="s">
        <v>2807</v>
      </c>
      <c r="P272" s="11">
        <v>0.2427</v>
      </c>
      <c r="Q272" s="12">
        <v>1.3378635E7</v>
      </c>
      <c r="R272" s="12">
        <v>8.8522456299E10</v>
      </c>
      <c r="S272" s="13">
        <v>4.7577</v>
      </c>
      <c r="T272" s="8" t="s">
        <v>2611</v>
      </c>
      <c r="U272" s="14">
        <f>IFERROR(__xludf.DUMMYFUNCTION("IFERROR(GOOGLEFINANCE(B272,""price""),"""")"),171.24)</f>
        <v>171.24</v>
      </c>
    </row>
    <row r="273">
      <c r="A273" s="15">
        <v>46052.89218598161</v>
      </c>
      <c r="B273" s="16" t="s">
        <v>2658</v>
      </c>
      <c r="C273" s="16" t="s">
        <v>2659</v>
      </c>
      <c r="D273" s="17">
        <v>46054.0</v>
      </c>
      <c r="E273" s="18">
        <v>87.9</v>
      </c>
      <c r="F273" s="16" t="s">
        <v>917</v>
      </c>
      <c r="G273" s="17">
        <v>46059.0</v>
      </c>
      <c r="H273" s="18">
        <v>87.0</v>
      </c>
      <c r="I273" s="16">
        <v>2545.0</v>
      </c>
      <c r="J273" s="16" t="s">
        <v>2627</v>
      </c>
      <c r="K273" s="19">
        <v>1.02</v>
      </c>
      <c r="L273" s="16" t="s">
        <v>2951</v>
      </c>
      <c r="M273" s="16">
        <v>4011.0</v>
      </c>
      <c r="N273" s="19">
        <v>28.8653</v>
      </c>
      <c r="O273" s="16" t="s">
        <v>2661</v>
      </c>
      <c r="P273" s="19">
        <v>-0.3175</v>
      </c>
      <c r="Q273" s="20">
        <v>1.0205296E7</v>
      </c>
      <c r="R273" s="20">
        <v>1.83061386156E11</v>
      </c>
      <c r="S273" s="21">
        <v>1.7385</v>
      </c>
      <c r="T273" s="16" t="s">
        <v>2611</v>
      </c>
      <c r="U273" s="22">
        <f>IFERROR(__xludf.DUMMYFUNCTION("IFERROR(GOOGLEFINANCE(B273,""price""),"""")"),94.08)</f>
        <v>94.08</v>
      </c>
    </row>
    <row r="274">
      <c r="A274" s="7">
        <v>46052.89218598161</v>
      </c>
      <c r="B274" s="8" t="s">
        <v>2625</v>
      </c>
      <c r="C274" s="8" t="s">
        <v>2626</v>
      </c>
      <c r="D274" s="9">
        <v>46054.0</v>
      </c>
      <c r="E274" s="10">
        <v>119.14</v>
      </c>
      <c r="F274" s="8" t="s">
        <v>137</v>
      </c>
      <c r="G274" s="9">
        <v>46059.0</v>
      </c>
      <c r="H274" s="10">
        <v>120.0</v>
      </c>
      <c r="I274" s="8">
        <v>1817.0</v>
      </c>
      <c r="J274" s="8" t="s">
        <v>2608</v>
      </c>
      <c r="K274" s="11">
        <v>0.72</v>
      </c>
      <c r="L274" s="8" t="s">
        <v>2952</v>
      </c>
      <c r="M274" s="8">
        <v>3048.0</v>
      </c>
      <c r="N274" s="11">
        <v>19.04</v>
      </c>
      <c r="O274" s="8" t="s">
        <v>2629</v>
      </c>
      <c r="P274" s="11">
        <v>1.4735</v>
      </c>
      <c r="Q274" s="12">
        <v>2.2215386E7</v>
      </c>
      <c r="R274" s="12">
        <v>9.49565725067E11</v>
      </c>
      <c r="S274" s="13">
        <v>2.2671</v>
      </c>
      <c r="T274" s="8" t="s">
        <v>2620</v>
      </c>
      <c r="U274" s="14">
        <f>IFERROR(__xludf.DUMMYFUNCTION("IFERROR(GOOGLEFINANCE(B274,""price""),"""")"),126.79)</f>
        <v>126.79</v>
      </c>
    </row>
    <row r="275">
      <c r="A275" s="15">
        <v>46052.89218598161</v>
      </c>
      <c r="B275" s="16" t="s">
        <v>2634</v>
      </c>
      <c r="C275" s="16" t="s">
        <v>2635</v>
      </c>
      <c r="D275" s="17">
        <v>46054.0</v>
      </c>
      <c r="E275" s="18">
        <v>176.9</v>
      </c>
      <c r="F275" s="16" t="s">
        <v>245</v>
      </c>
      <c r="G275" s="17">
        <v>46059.0</v>
      </c>
      <c r="H275" s="18">
        <v>180.0</v>
      </c>
      <c r="I275" s="16">
        <v>1489.0</v>
      </c>
      <c r="J275" s="16" t="s">
        <v>2608</v>
      </c>
      <c r="K275" s="19">
        <v>1.75</v>
      </c>
      <c r="L275" s="16" t="s">
        <v>2953</v>
      </c>
      <c r="M275" s="16">
        <v>2607.0</v>
      </c>
      <c r="N275" s="19">
        <v>44.7563</v>
      </c>
      <c r="O275" s="16" t="s">
        <v>2637</v>
      </c>
      <c r="P275" s="19">
        <v>3.3355</v>
      </c>
      <c r="Q275" s="20">
        <v>2.2946577E7</v>
      </c>
      <c r="R275" s="20">
        <v>3.5619197726E11</v>
      </c>
      <c r="S275" s="21">
        <v>3.258</v>
      </c>
      <c r="T275" s="16" t="s">
        <v>2620</v>
      </c>
      <c r="U275" s="22">
        <f>IFERROR(__xludf.DUMMYFUNCTION("IFERROR(GOOGLEFINANCE(B275,""price""),"""")"),188.55)</f>
        <v>188.55</v>
      </c>
    </row>
    <row r="276">
      <c r="A276" s="7">
        <v>46052.89218598161</v>
      </c>
      <c r="B276" s="8" t="s">
        <v>2684</v>
      </c>
      <c r="C276" s="8" t="s">
        <v>2685</v>
      </c>
      <c r="D276" s="9">
        <v>46054.0</v>
      </c>
      <c r="E276" s="10">
        <v>322.32</v>
      </c>
      <c r="F276" s="8" t="s">
        <v>102</v>
      </c>
      <c r="G276" s="9">
        <v>46059.0</v>
      </c>
      <c r="H276" s="10">
        <v>317.5</v>
      </c>
      <c r="I276" s="8">
        <v>1432.0</v>
      </c>
      <c r="J276" s="8" t="s">
        <v>2627</v>
      </c>
      <c r="K276" s="11">
        <v>1.5</v>
      </c>
      <c r="L276" s="8" t="s">
        <v>2954</v>
      </c>
      <c r="M276" s="8">
        <v>2585.0</v>
      </c>
      <c r="N276" s="11">
        <v>36.5876</v>
      </c>
      <c r="O276" s="8" t="s">
        <v>2687</v>
      </c>
      <c r="P276" s="11">
        <v>-5.5722</v>
      </c>
      <c r="Q276" s="12">
        <v>9814060.0</v>
      </c>
      <c r="R276" s="12">
        <v>2.55581500852E11</v>
      </c>
      <c r="S276" s="13">
        <v>12.3661</v>
      </c>
      <c r="T276" s="8" t="s">
        <v>2611</v>
      </c>
      <c r="U276" s="14">
        <f>IFERROR(__xludf.DUMMYFUNCTION("IFERROR(GOOGLEFINANCE(B276,""price""),"""")"),399.5)</f>
        <v>399.5</v>
      </c>
    </row>
    <row r="277">
      <c r="A277" s="15">
        <v>46052.89218598161</v>
      </c>
      <c r="B277" s="16" t="s">
        <v>2505</v>
      </c>
      <c r="C277" s="16" t="s">
        <v>2506</v>
      </c>
      <c r="D277" s="17">
        <v>46054.0</v>
      </c>
      <c r="E277" s="18">
        <v>177.72</v>
      </c>
      <c r="F277" s="16" t="s">
        <v>335</v>
      </c>
      <c r="G277" s="17">
        <v>46073.0</v>
      </c>
      <c r="H277" s="18">
        <v>175.0</v>
      </c>
      <c r="I277" s="16">
        <v>1321.0</v>
      </c>
      <c r="J277" s="16" t="s">
        <v>2608</v>
      </c>
      <c r="K277" s="19">
        <v>1.53</v>
      </c>
      <c r="L277" s="16" t="s">
        <v>2955</v>
      </c>
      <c r="M277" s="16">
        <v>2481.0</v>
      </c>
      <c r="N277" s="19">
        <v>24.35</v>
      </c>
      <c r="O277" s="16" t="s">
        <v>2507</v>
      </c>
      <c r="P277" s="19">
        <v>-1.2173</v>
      </c>
      <c r="Q277" s="20">
        <v>3064698.0</v>
      </c>
      <c r="R277" s="20">
        <v>4.0672761499E10</v>
      </c>
      <c r="S277" s="21">
        <v>4.9871</v>
      </c>
      <c r="T277" s="16" t="s">
        <v>2611</v>
      </c>
      <c r="U277" s="22">
        <f>IFERROR(__xludf.DUMMYFUNCTION("IFERROR(GOOGLEFINANCE(B277,""price""),"""")"),186.12)</f>
        <v>186.12</v>
      </c>
    </row>
    <row r="278">
      <c r="A278" s="7">
        <v>46052.89218598161</v>
      </c>
      <c r="B278" s="8" t="s">
        <v>2226</v>
      </c>
      <c r="C278" s="8" t="s">
        <v>2227</v>
      </c>
      <c r="D278" s="9">
        <v>46054.0</v>
      </c>
      <c r="E278" s="10">
        <v>184.66</v>
      </c>
      <c r="F278" s="8" t="s">
        <v>102</v>
      </c>
      <c r="G278" s="9">
        <v>46073.0</v>
      </c>
      <c r="H278" s="10">
        <v>185.0</v>
      </c>
      <c r="I278" s="8">
        <v>2453.0</v>
      </c>
      <c r="J278" s="8" t="s">
        <v>2608</v>
      </c>
      <c r="K278" s="11">
        <v>0.18</v>
      </c>
      <c r="L278" s="8" t="s">
        <v>2956</v>
      </c>
      <c r="M278" s="8">
        <v>2453.0</v>
      </c>
      <c r="N278" s="11">
        <v>23.795</v>
      </c>
      <c r="O278" s="8" t="s">
        <v>2228</v>
      </c>
      <c r="P278" s="11">
        <v>4.493</v>
      </c>
      <c r="Q278" s="12">
        <v>2945838.0</v>
      </c>
      <c r="R278" s="12">
        <v>9.722084486E9</v>
      </c>
      <c r="S278" s="13">
        <v>10.1002</v>
      </c>
      <c r="T278" s="8" t="s">
        <v>2620</v>
      </c>
      <c r="U278" s="14">
        <f>IFERROR(__xludf.DUMMYFUNCTION("IFERROR(GOOGLEFINANCE(B278,""price""),"""")"),241.46)</f>
        <v>241.46</v>
      </c>
    </row>
    <row r="279">
      <c r="A279" s="15">
        <v>46052.89218598161</v>
      </c>
      <c r="B279" s="16" t="s">
        <v>1570</v>
      </c>
      <c r="C279" s="16" t="s">
        <v>1571</v>
      </c>
      <c r="D279" s="17">
        <v>46054.0</v>
      </c>
      <c r="E279" s="18">
        <v>47.34</v>
      </c>
      <c r="F279" s="16" t="s">
        <v>917</v>
      </c>
      <c r="G279" s="17">
        <v>46073.0</v>
      </c>
      <c r="H279" s="18">
        <v>48.0</v>
      </c>
      <c r="I279" s="16">
        <v>2066.0</v>
      </c>
      <c r="J279" s="16" t="s">
        <v>2608</v>
      </c>
      <c r="K279" s="19">
        <v>1.39</v>
      </c>
      <c r="L279" s="16" t="s">
        <v>2930</v>
      </c>
      <c r="M279" s="16">
        <v>2066.0</v>
      </c>
      <c r="N279" s="19">
        <v>30.341</v>
      </c>
      <c r="O279" s="16" t="s">
        <v>1572</v>
      </c>
      <c r="P279" s="19">
        <v>0.0211</v>
      </c>
      <c r="Q279" s="20">
        <v>5063699.0</v>
      </c>
      <c r="R279" s="20">
        <v>2.7346690012E10</v>
      </c>
      <c r="S279" s="21">
        <v>0.7242</v>
      </c>
      <c r="T279" s="16" t="s">
        <v>2620</v>
      </c>
      <c r="U279" s="22">
        <f>IFERROR(__xludf.DUMMYFUNCTION("IFERROR(GOOGLEFINANCE(B279,""price""),"""")"),51.43)</f>
        <v>51.43</v>
      </c>
    </row>
    <row r="280">
      <c r="A280" s="7">
        <v>46052.89218598161</v>
      </c>
      <c r="B280" s="8" t="s">
        <v>2688</v>
      </c>
      <c r="C280" s="8" t="s">
        <v>2689</v>
      </c>
      <c r="D280" s="9">
        <v>46054.0</v>
      </c>
      <c r="E280" s="10">
        <v>223.98</v>
      </c>
      <c r="F280" s="8" t="s">
        <v>102</v>
      </c>
      <c r="G280" s="9">
        <v>46073.0</v>
      </c>
      <c r="H280" s="10">
        <v>220.0</v>
      </c>
      <c r="I280" s="8">
        <v>1756.0</v>
      </c>
      <c r="J280" s="8" t="s">
        <v>2608</v>
      </c>
      <c r="K280" s="11">
        <v>1.78</v>
      </c>
      <c r="L280" s="8" t="s">
        <v>2957</v>
      </c>
      <c r="M280" s="8">
        <v>1756.0</v>
      </c>
      <c r="N280" s="11">
        <v>40.1963</v>
      </c>
      <c r="O280" s="8" t="s">
        <v>2691</v>
      </c>
      <c r="P280" s="11">
        <v>-1.1649</v>
      </c>
      <c r="Q280" s="12">
        <v>1294048.0</v>
      </c>
      <c r="R280" s="12">
        <v>5.1561062292E10</v>
      </c>
      <c r="S280" s="13">
        <v>3.9131</v>
      </c>
      <c r="T280" s="8" t="s">
        <v>2611</v>
      </c>
      <c r="U280" s="14">
        <f>IFERROR(__xludf.DUMMYFUNCTION("IFERROR(GOOGLEFINANCE(B280,""price""),"""")"),234.91)</f>
        <v>234.91</v>
      </c>
    </row>
    <row r="281">
      <c r="A281" s="15">
        <v>46052.89218598161</v>
      </c>
      <c r="B281" s="16" t="s">
        <v>2718</v>
      </c>
      <c r="C281" s="16" t="s">
        <v>2719</v>
      </c>
      <c r="D281" s="17">
        <v>46054.0</v>
      </c>
      <c r="E281" s="18">
        <v>144.08</v>
      </c>
      <c r="F281" s="16" t="s">
        <v>308</v>
      </c>
      <c r="G281" s="17">
        <v>46073.0</v>
      </c>
      <c r="H281" s="18">
        <v>145.0</v>
      </c>
      <c r="I281" s="16">
        <v>1722.0</v>
      </c>
      <c r="J281" s="16" t="s">
        <v>2627</v>
      </c>
      <c r="K281" s="19">
        <v>0.64</v>
      </c>
      <c r="L281" s="16" t="s">
        <v>2934</v>
      </c>
      <c r="M281" s="16">
        <v>1722.0</v>
      </c>
      <c r="N281" s="19">
        <v>17.9024</v>
      </c>
      <c r="O281" s="16" t="s">
        <v>2721</v>
      </c>
      <c r="P281" s="19">
        <v>-3.677</v>
      </c>
      <c r="Q281" s="20">
        <v>1.2333741E7</v>
      </c>
      <c r="R281" s="20">
        <v>1.7636192465E11</v>
      </c>
      <c r="S281" s="21">
        <v>6.9023</v>
      </c>
      <c r="T281" s="16" t="s">
        <v>2620</v>
      </c>
      <c r="U281" s="22">
        <f>IFERROR(__xludf.DUMMYFUNCTION("IFERROR(GOOGLEFINANCE(B281,""price""),"""")"),140.75)</f>
        <v>140.75</v>
      </c>
    </row>
    <row r="282">
      <c r="A282" s="7">
        <v>46052.89218598161</v>
      </c>
      <c r="B282" s="8" t="s">
        <v>2742</v>
      </c>
      <c r="C282" s="8" t="s">
        <v>2743</v>
      </c>
      <c r="D282" s="9">
        <v>46054.0</v>
      </c>
      <c r="E282" s="10">
        <v>157.72</v>
      </c>
      <c r="F282" s="8" t="s">
        <v>149</v>
      </c>
      <c r="G282" s="9">
        <v>46073.0</v>
      </c>
      <c r="H282" s="10">
        <v>155.0</v>
      </c>
      <c r="I282" s="8">
        <v>1636.0</v>
      </c>
      <c r="J282" s="8" t="s">
        <v>2608</v>
      </c>
      <c r="K282" s="11">
        <v>1.72</v>
      </c>
      <c r="L282" s="8" t="s">
        <v>2958</v>
      </c>
      <c r="M282" s="8">
        <v>1636.0</v>
      </c>
      <c r="N282" s="11">
        <v>24.9547</v>
      </c>
      <c r="O282" s="8" t="s">
        <v>2745</v>
      </c>
      <c r="P282" s="11">
        <v>-1.8177</v>
      </c>
      <c r="Q282" s="12">
        <v>1419513.0</v>
      </c>
      <c r="R282" s="12">
        <v>6.868757596E9</v>
      </c>
      <c r="S282" s="13">
        <v>7.1708</v>
      </c>
      <c r="T282" s="8" t="s">
        <v>2611</v>
      </c>
      <c r="U282" s="14">
        <f>IFERROR(__xludf.DUMMYFUNCTION("IFERROR(GOOGLEFINANCE(B282,""price""),"""")"),155.13)</f>
        <v>155.13</v>
      </c>
    </row>
    <row r="283">
      <c r="A283" s="15">
        <v>46052.89218598161</v>
      </c>
      <c r="B283" s="16" t="s">
        <v>2521</v>
      </c>
      <c r="C283" s="16" t="s">
        <v>2522</v>
      </c>
      <c r="D283" s="17">
        <v>46054.0</v>
      </c>
      <c r="E283" s="18">
        <v>310.88</v>
      </c>
      <c r="F283" s="16" t="s">
        <v>308</v>
      </c>
      <c r="G283" s="17">
        <v>46059.0</v>
      </c>
      <c r="H283" s="18">
        <v>310.0</v>
      </c>
      <c r="I283" s="16">
        <v>1498.0</v>
      </c>
      <c r="J283" s="16" t="s">
        <v>2627</v>
      </c>
      <c r="K283" s="19">
        <v>0.28</v>
      </c>
      <c r="L283" s="16" t="s">
        <v>2959</v>
      </c>
      <c r="M283" s="16">
        <v>1498.0</v>
      </c>
      <c r="N283" s="19">
        <v>36.345</v>
      </c>
      <c r="O283" s="16" t="s">
        <v>2523</v>
      </c>
      <c r="P283" s="19">
        <v>-2.4537</v>
      </c>
      <c r="Q283" s="20">
        <v>4405694.0</v>
      </c>
      <c r="R283" s="20">
        <v>1.52223667232E11</v>
      </c>
      <c r="S283" s="21">
        <v>8.0767</v>
      </c>
      <c r="T283" s="16" t="s">
        <v>2611</v>
      </c>
      <c r="U283" s="22">
        <f>IFERROR(__xludf.DUMMYFUNCTION("IFERROR(GOOGLEFINANCE(B283,""price""),"""")"),350.14)</f>
        <v>350.14</v>
      </c>
    </row>
    <row r="284">
      <c r="A284" s="7">
        <v>46052.89218598161</v>
      </c>
      <c r="B284" s="8" t="s">
        <v>2646</v>
      </c>
      <c r="C284" s="8" t="s">
        <v>2647</v>
      </c>
      <c r="D284" s="9">
        <v>46054.0</v>
      </c>
      <c r="E284" s="10">
        <v>33.19</v>
      </c>
      <c r="F284" s="8" t="s">
        <v>270</v>
      </c>
      <c r="G284" s="9">
        <v>46059.0</v>
      </c>
      <c r="H284" s="10">
        <v>33.5</v>
      </c>
      <c r="I284" s="8">
        <v>1468.0</v>
      </c>
      <c r="J284" s="8" t="s">
        <v>2608</v>
      </c>
      <c r="K284" s="11">
        <v>0.93</v>
      </c>
      <c r="L284" s="8" t="s">
        <v>2960</v>
      </c>
      <c r="M284" s="8">
        <v>1468.0</v>
      </c>
      <c r="N284" s="11">
        <v>28.797</v>
      </c>
      <c r="O284" s="8" t="s">
        <v>2649</v>
      </c>
      <c r="P284" s="11">
        <v>-2.6972</v>
      </c>
      <c r="Q284" s="12">
        <v>7121567.0</v>
      </c>
      <c r="R284" s="12">
        <v>7.1800626766E10</v>
      </c>
      <c r="S284" s="13">
        <v>0.5134</v>
      </c>
      <c r="T284" s="8" t="s">
        <v>2620</v>
      </c>
      <c r="U284" s="14">
        <f>IFERROR(__xludf.DUMMYFUNCTION("IFERROR(GOOGLEFINANCE(B284,""price""),"""")"),37.35)</f>
        <v>37.35</v>
      </c>
    </row>
    <row r="285">
      <c r="A285" s="15">
        <v>46052.89218598161</v>
      </c>
      <c r="B285" s="16" t="s">
        <v>2961</v>
      </c>
      <c r="C285" s="16" t="s">
        <v>2962</v>
      </c>
      <c r="D285" s="17">
        <v>46054.0</v>
      </c>
      <c r="E285" s="18">
        <v>130.34</v>
      </c>
      <c r="F285" s="16" t="s">
        <v>308</v>
      </c>
      <c r="G285" s="17">
        <v>46073.0</v>
      </c>
      <c r="H285" s="18">
        <v>130.0</v>
      </c>
      <c r="I285" s="16">
        <v>1463.0</v>
      </c>
      <c r="J285" s="16" t="s">
        <v>2608</v>
      </c>
      <c r="K285" s="19">
        <v>0.26</v>
      </c>
      <c r="L285" s="16" t="s">
        <v>2963</v>
      </c>
      <c r="M285" s="16">
        <v>1463.0</v>
      </c>
      <c r="N285" s="19">
        <v>16.0715</v>
      </c>
      <c r="O285" s="16" t="s">
        <v>2964</v>
      </c>
      <c r="P285" s="19">
        <v>0.1229</v>
      </c>
      <c r="Q285" s="20">
        <v>1362116.0</v>
      </c>
      <c r="R285" s="20">
        <v>6.651300879E9</v>
      </c>
      <c r="S285" s="21">
        <v>4.0233</v>
      </c>
      <c r="T285" s="16" t="s">
        <v>2611</v>
      </c>
      <c r="U285" s="22">
        <f>IFERROR(__xludf.DUMMYFUNCTION("IFERROR(GOOGLEFINANCE(B285,""price""),"""")"),160.0)</f>
        <v>160</v>
      </c>
    </row>
    <row r="286">
      <c r="A286" s="7">
        <v>46052.89218598161</v>
      </c>
      <c r="B286" s="8" t="s">
        <v>2768</v>
      </c>
      <c r="C286" s="8" t="s">
        <v>2769</v>
      </c>
      <c r="D286" s="9">
        <v>46054.0</v>
      </c>
      <c r="E286" s="10">
        <v>250.23</v>
      </c>
      <c r="F286" s="8" t="s">
        <v>308</v>
      </c>
      <c r="G286" s="9">
        <v>46059.0</v>
      </c>
      <c r="H286" s="10">
        <v>250.0</v>
      </c>
      <c r="I286" s="8">
        <v>1382.0</v>
      </c>
      <c r="J286" s="8" t="s">
        <v>2608</v>
      </c>
      <c r="K286" s="11">
        <v>0.09</v>
      </c>
      <c r="L286" s="8" t="s">
        <v>2965</v>
      </c>
      <c r="M286" s="8">
        <v>1382.0</v>
      </c>
      <c r="N286" s="11">
        <v>47.7223</v>
      </c>
      <c r="O286" s="8" t="s">
        <v>2771</v>
      </c>
      <c r="P286" s="11">
        <v>-10.1218</v>
      </c>
      <c r="Q286" s="12">
        <v>2.1695057E7</v>
      </c>
      <c r="R286" s="12">
        <v>8.5553460961E10</v>
      </c>
      <c r="S286" s="13">
        <v>17.6483</v>
      </c>
      <c r="T286" s="8" t="s">
        <v>2611</v>
      </c>
      <c r="U286" s="14">
        <f>IFERROR(__xludf.DUMMYFUNCTION("IFERROR(GOOGLEFINANCE(B286,""price""),"""")"),343.43)</f>
        <v>343.43</v>
      </c>
    </row>
    <row r="287">
      <c r="A287" s="15">
        <v>46052.89218598161</v>
      </c>
      <c r="B287" s="16" t="s">
        <v>2710</v>
      </c>
      <c r="C287" s="16" t="s">
        <v>2711</v>
      </c>
      <c r="D287" s="17">
        <v>46054.0</v>
      </c>
      <c r="E287" s="18">
        <v>119.775</v>
      </c>
      <c r="F287" s="16" t="s">
        <v>917</v>
      </c>
      <c r="G287" s="17">
        <v>46073.0</v>
      </c>
      <c r="H287" s="18">
        <v>120.0</v>
      </c>
      <c r="I287" s="16">
        <v>1186.0</v>
      </c>
      <c r="J287" s="16" t="s">
        <v>2608</v>
      </c>
      <c r="K287" s="19">
        <v>0.19</v>
      </c>
      <c r="L287" s="16" t="s">
        <v>2940</v>
      </c>
      <c r="M287" s="16">
        <v>1186.0</v>
      </c>
      <c r="N287" s="19">
        <v>17.7467</v>
      </c>
      <c r="O287" s="16" t="s">
        <v>2713</v>
      </c>
      <c r="P287" s="19">
        <v>0.474</v>
      </c>
      <c r="Q287" s="20">
        <v>3640983.0</v>
      </c>
      <c r="R287" s="20">
        <v>6.3971166141E10</v>
      </c>
      <c r="S287" s="21">
        <v>1.949</v>
      </c>
      <c r="T287" s="16" t="s">
        <v>2620</v>
      </c>
      <c r="U287" s="22">
        <f>IFERROR(__xludf.DUMMYFUNCTION("IFERROR(GOOGLEFINANCE(B287,""price""),"""")"),136.3)</f>
        <v>136.3</v>
      </c>
    </row>
    <row r="288">
      <c r="A288" s="7">
        <v>46052.89218598161</v>
      </c>
      <c r="B288" s="8" t="s">
        <v>1626</v>
      </c>
      <c r="C288" s="8" t="s">
        <v>1627</v>
      </c>
      <c r="D288" s="9">
        <v>46054.0</v>
      </c>
      <c r="E288" s="10">
        <v>44.29</v>
      </c>
      <c r="F288" s="8" t="s">
        <v>917</v>
      </c>
      <c r="G288" s="9">
        <v>46073.0</v>
      </c>
      <c r="H288" s="10">
        <v>45.0</v>
      </c>
      <c r="I288" s="8">
        <v>1115.0</v>
      </c>
      <c r="J288" s="8" t="s">
        <v>2608</v>
      </c>
      <c r="K288" s="11">
        <v>1.6</v>
      </c>
      <c r="L288" s="8" t="s">
        <v>2941</v>
      </c>
      <c r="M288" s="8">
        <v>1115.0</v>
      </c>
      <c r="N288" s="11">
        <v>27.2312</v>
      </c>
      <c r="O288" s="8" t="s">
        <v>1628</v>
      </c>
      <c r="P288" s="11">
        <v>-0.8063</v>
      </c>
      <c r="Q288" s="12">
        <v>4945136.0</v>
      </c>
      <c r="R288" s="12">
        <v>2.1134990575E10</v>
      </c>
      <c r="S288" s="13">
        <v>0.7287</v>
      </c>
      <c r="T288" s="8" t="s">
        <v>2620</v>
      </c>
      <c r="U288" s="14">
        <f>IFERROR(__xludf.DUMMYFUNCTION("IFERROR(GOOGLEFINANCE(B288,""price""),"""")"),48.05)</f>
        <v>48.05</v>
      </c>
    </row>
    <row r="289">
      <c r="A289" s="15">
        <v>46052.89218598161</v>
      </c>
      <c r="B289" s="16" t="s">
        <v>1512</v>
      </c>
      <c r="C289" s="16" t="s">
        <v>1513</v>
      </c>
      <c r="D289" s="17">
        <v>46054.0</v>
      </c>
      <c r="E289" s="18">
        <v>76.73</v>
      </c>
      <c r="F289" s="16" t="s">
        <v>917</v>
      </c>
      <c r="G289" s="17">
        <v>46073.0</v>
      </c>
      <c r="H289" s="18">
        <v>77.5</v>
      </c>
      <c r="I289" s="16">
        <v>1106.0</v>
      </c>
      <c r="J289" s="16" t="s">
        <v>2608</v>
      </c>
      <c r="K289" s="19">
        <v>1.0</v>
      </c>
      <c r="L289" s="16" t="s">
        <v>2734</v>
      </c>
      <c r="M289" s="16">
        <v>1106.0</v>
      </c>
      <c r="N289" s="19">
        <v>22.6714</v>
      </c>
      <c r="O289" s="16" t="s">
        <v>1514</v>
      </c>
      <c r="P289" s="19">
        <v>0.4714</v>
      </c>
      <c r="Q289" s="20">
        <v>3549704.0</v>
      </c>
      <c r="R289" s="20">
        <v>1.7664331739E10</v>
      </c>
      <c r="S289" s="21">
        <v>1.1201</v>
      </c>
      <c r="T289" s="16" t="s">
        <v>2620</v>
      </c>
      <c r="U289" s="22">
        <f>IFERROR(__xludf.DUMMYFUNCTION("IFERROR(GOOGLEFINANCE(B289,""price""),"""")"),83.58)</f>
        <v>83.58</v>
      </c>
    </row>
    <row r="290">
      <c r="A290" s="7">
        <v>46052.89218598161</v>
      </c>
      <c r="B290" s="8" t="s">
        <v>2915</v>
      </c>
      <c r="C290" s="8" t="s">
        <v>2916</v>
      </c>
      <c r="D290" s="9">
        <v>46054.0</v>
      </c>
      <c r="E290" s="10">
        <v>141.95</v>
      </c>
      <c r="F290" s="8" t="s">
        <v>117</v>
      </c>
      <c r="G290" s="9">
        <v>46059.0</v>
      </c>
      <c r="H290" s="10">
        <v>142.0</v>
      </c>
      <c r="I290" s="8">
        <v>1055.0</v>
      </c>
      <c r="J290" s="8" t="s">
        <v>2608</v>
      </c>
      <c r="K290" s="11">
        <v>0.04</v>
      </c>
      <c r="L290" s="8" t="s">
        <v>2966</v>
      </c>
      <c r="M290" s="8">
        <v>1055.0</v>
      </c>
      <c r="N290" s="11">
        <v>28.4259</v>
      </c>
      <c r="O290" s="8" t="s">
        <v>2918</v>
      </c>
      <c r="P290" s="11">
        <v>1.7198</v>
      </c>
      <c r="Q290" s="12">
        <v>9460236.0</v>
      </c>
      <c r="R290" s="12">
        <v>1.76114468164E11</v>
      </c>
      <c r="S290" s="13">
        <v>3.5461</v>
      </c>
      <c r="T290" s="8" t="s">
        <v>2620</v>
      </c>
      <c r="U290" s="14">
        <f>IFERROR(__xludf.DUMMYFUNCTION("IFERROR(GOOGLEFINANCE(B290,""price""),"""")"),139.03)</f>
        <v>139.03</v>
      </c>
    </row>
    <row r="291">
      <c r="A291" s="15">
        <v>46052.89218598161</v>
      </c>
      <c r="B291" s="16" t="s">
        <v>2453</v>
      </c>
      <c r="C291" s="16" t="s">
        <v>2454</v>
      </c>
      <c r="D291" s="17">
        <v>46054.0</v>
      </c>
      <c r="E291" s="18">
        <v>252.46</v>
      </c>
      <c r="F291" s="16" t="s">
        <v>129</v>
      </c>
      <c r="G291" s="17">
        <v>46073.0</v>
      </c>
      <c r="H291" s="18">
        <v>250.0</v>
      </c>
      <c r="I291" s="16">
        <v>1041.0</v>
      </c>
      <c r="J291" s="16" t="s">
        <v>2608</v>
      </c>
      <c r="K291" s="19">
        <v>0.97</v>
      </c>
      <c r="L291" s="16" t="s">
        <v>2967</v>
      </c>
      <c r="M291" s="16">
        <v>1041.0</v>
      </c>
      <c r="N291" s="19">
        <v>26.7806</v>
      </c>
      <c r="O291" s="16" t="s">
        <v>2455</v>
      </c>
      <c r="P291" s="19">
        <v>-1.5482</v>
      </c>
      <c r="Q291" s="20">
        <v>1331658.0</v>
      </c>
      <c r="R291" s="20">
        <v>4.9367531518E10</v>
      </c>
      <c r="S291" s="21">
        <v>5.5313</v>
      </c>
      <c r="T291" s="16" t="s">
        <v>2611</v>
      </c>
      <c r="U291" s="22">
        <f>IFERROR(__xludf.DUMMYFUNCTION("IFERROR(GOOGLEFINANCE(B291,""price""),"""")"),256.61)</f>
        <v>256.61</v>
      </c>
    </row>
    <row r="292">
      <c r="A292" s="7">
        <v>46055.62781646904</v>
      </c>
      <c r="B292" s="8" t="s">
        <v>2612</v>
      </c>
      <c r="C292" s="8" t="s">
        <v>2613</v>
      </c>
      <c r="D292" s="9">
        <v>46061.0</v>
      </c>
      <c r="E292" s="10">
        <v>245.49</v>
      </c>
      <c r="F292" s="8" t="s">
        <v>308</v>
      </c>
      <c r="G292" s="13">
        <v>121.3255</v>
      </c>
      <c r="H292" s="13">
        <v>2.0234</v>
      </c>
      <c r="I292" s="9">
        <v>46059.0</v>
      </c>
      <c r="J292" s="10">
        <v>250.0</v>
      </c>
      <c r="K292" s="8">
        <v>6226.0</v>
      </c>
      <c r="L292" s="8" t="s">
        <v>2608</v>
      </c>
      <c r="M292" s="11">
        <v>1.84</v>
      </c>
      <c r="N292" s="8" t="s">
        <v>2968</v>
      </c>
      <c r="O292" s="8">
        <v>16781.0</v>
      </c>
      <c r="P292" s="11">
        <v>24.0035</v>
      </c>
      <c r="Q292" s="8" t="s">
        <v>2615</v>
      </c>
      <c r="R292" s="11">
        <v>3.7004</v>
      </c>
      <c r="S292" s="12">
        <v>3.0779475E7</v>
      </c>
      <c r="T292" s="12">
        <v>3.99667901581E11</v>
      </c>
      <c r="U292" s="13">
        <v>11.5046</v>
      </c>
      <c r="V292" s="13">
        <v>5.3169</v>
      </c>
      <c r="W292" s="13">
        <v>9.4733</v>
      </c>
      <c r="X292" s="13">
        <v>31.8255</v>
      </c>
      <c r="Y292" s="13">
        <v>0.0637</v>
      </c>
      <c r="Z292" s="13">
        <v>2.3077</v>
      </c>
      <c r="AA292" s="8" t="s">
        <v>2620</v>
      </c>
      <c r="AB292" s="10">
        <f>IFERROR(__xludf.DUMMYFUNCTION("IFERROR(GOOGLEFINANCE(B292,""price""),"""")"),245.04)</f>
        <v>245.04</v>
      </c>
    </row>
    <row r="293">
      <c r="A293" s="15">
        <v>46055.62781646904</v>
      </c>
      <c r="B293" s="16" t="s">
        <v>1489</v>
      </c>
      <c r="C293" s="16" t="s">
        <v>1490</v>
      </c>
      <c r="D293" s="17">
        <v>46061.0</v>
      </c>
      <c r="E293" s="18">
        <v>80.84</v>
      </c>
      <c r="F293" s="16" t="s">
        <v>308</v>
      </c>
      <c r="G293" s="21">
        <v>30.4815</v>
      </c>
      <c r="H293" s="21">
        <v>2.6521</v>
      </c>
      <c r="I293" s="17">
        <v>46059.0</v>
      </c>
      <c r="J293" s="18">
        <v>81.0</v>
      </c>
      <c r="K293" s="16">
        <v>11534.0</v>
      </c>
      <c r="L293" s="16" t="s">
        <v>2608</v>
      </c>
      <c r="M293" s="19">
        <v>0.2</v>
      </c>
      <c r="N293" s="16" t="s">
        <v>2969</v>
      </c>
      <c r="O293" s="16">
        <v>15673.0</v>
      </c>
      <c r="P293" s="19">
        <v>24.5275</v>
      </c>
      <c r="Q293" s="16" t="s">
        <v>1491</v>
      </c>
      <c r="R293" s="19">
        <v>3.2176</v>
      </c>
      <c r="S293" s="20">
        <v>1.9313304E7</v>
      </c>
      <c r="T293" s="20">
        <v>3.19406476715E11</v>
      </c>
      <c r="U293" s="21">
        <v>1.5789</v>
      </c>
      <c r="V293" s="21">
        <v>23.0103</v>
      </c>
      <c r="W293" s="21">
        <v>22.9895</v>
      </c>
      <c r="X293" s="21">
        <v>8.9097</v>
      </c>
      <c r="Y293" s="21">
        <v>0.6323</v>
      </c>
      <c r="Z293" s="21">
        <v>0.9274</v>
      </c>
      <c r="AA293" s="16" t="s">
        <v>2620</v>
      </c>
      <c r="AB293" s="18">
        <f>IFERROR(__xludf.DUMMYFUNCTION("IFERROR(GOOGLEFINANCE(B293,""price""),"""")"),82.22)</f>
        <v>82.22</v>
      </c>
    </row>
    <row r="294">
      <c r="A294" s="7">
        <v>46055.62781646904</v>
      </c>
      <c r="B294" s="8" t="s">
        <v>2630</v>
      </c>
      <c r="C294" s="8" t="s">
        <v>2631</v>
      </c>
      <c r="D294" s="9">
        <v>46061.0</v>
      </c>
      <c r="E294" s="10">
        <v>436.41</v>
      </c>
      <c r="F294" s="8" t="s">
        <v>308</v>
      </c>
      <c r="G294" s="13">
        <v>41.4838</v>
      </c>
      <c r="H294" s="13">
        <v>10.52</v>
      </c>
      <c r="I294" s="9">
        <v>46059.0</v>
      </c>
      <c r="J294" s="10">
        <v>440.0</v>
      </c>
      <c r="K294" s="8">
        <v>3495.0</v>
      </c>
      <c r="L294" s="8" t="s">
        <v>2608</v>
      </c>
      <c r="M294" s="11">
        <v>0.82</v>
      </c>
      <c r="N294" s="8" t="s">
        <v>2970</v>
      </c>
      <c r="O294" s="8">
        <v>11495.0</v>
      </c>
      <c r="P294" s="11">
        <v>44.7529</v>
      </c>
      <c r="Q294" s="8" t="s">
        <v>2633</v>
      </c>
      <c r="R294" s="11">
        <v>5.1895</v>
      </c>
      <c r="S294" s="12">
        <v>3.1403423E7</v>
      </c>
      <c r="T294" s="12">
        <v>4.91183509506E11</v>
      </c>
      <c r="U294" s="13">
        <v>22.6443</v>
      </c>
      <c r="V294" s="13">
        <v>22.5543</v>
      </c>
      <c r="W294" s="13">
        <v>32.9221</v>
      </c>
      <c r="X294" s="13">
        <v>45.432</v>
      </c>
      <c r="Y294" s="13">
        <v>0.2124</v>
      </c>
      <c r="Z294" s="13">
        <v>2.4598</v>
      </c>
      <c r="AA294" s="8" t="s">
        <v>2620</v>
      </c>
      <c r="AB294" s="10">
        <f>IFERROR(__xludf.DUMMYFUNCTION("IFERROR(GOOGLEFINANCE(B294,""price""),"""")"),420.59)</f>
        <v>420.59</v>
      </c>
    </row>
    <row r="295">
      <c r="A295" s="15">
        <v>46055.62781646904</v>
      </c>
      <c r="B295" s="16" t="s">
        <v>2616</v>
      </c>
      <c r="C295" s="16" t="s">
        <v>2617</v>
      </c>
      <c r="D295" s="17">
        <v>46061.0</v>
      </c>
      <c r="E295" s="18">
        <v>75.63</v>
      </c>
      <c r="F295" s="16" t="s">
        <v>286</v>
      </c>
      <c r="G295" s="21">
        <v>25.0397</v>
      </c>
      <c r="H295" s="21">
        <v>3.0204</v>
      </c>
      <c r="I295" s="17">
        <v>46059.0</v>
      </c>
      <c r="J295" s="18">
        <v>75.0</v>
      </c>
      <c r="K295" s="16">
        <v>5345.0</v>
      </c>
      <c r="L295" s="16" t="s">
        <v>2608</v>
      </c>
      <c r="M295" s="19">
        <v>0.83</v>
      </c>
      <c r="N295" s="16" t="s">
        <v>2971</v>
      </c>
      <c r="O295" s="16">
        <v>7288.0</v>
      </c>
      <c r="P295" s="19">
        <v>28.7427</v>
      </c>
      <c r="Q295" s="16" t="s">
        <v>2619</v>
      </c>
      <c r="R295" s="19">
        <v>1.0961</v>
      </c>
      <c r="S295" s="20">
        <v>1.2382487E7</v>
      </c>
      <c r="T295" s="20">
        <v>3.25330669485E11</v>
      </c>
      <c r="U295" s="21">
        <v>1.0729</v>
      </c>
      <c r="V295" s="21">
        <v>45.1173</v>
      </c>
      <c r="W295" s="21">
        <v>31.1024</v>
      </c>
      <c r="X295" s="21">
        <v>2.9315</v>
      </c>
      <c r="Y295" s="21">
        <v>1.5175</v>
      </c>
      <c r="Z295" s="21">
        <v>1.211</v>
      </c>
      <c r="AA295" s="16" t="s">
        <v>2611</v>
      </c>
      <c r="AB295" s="18">
        <f>IFERROR(__xludf.DUMMYFUNCTION("IFERROR(GOOGLEFINANCE(B295,""price""),"""")"),77.47)</f>
        <v>77.47</v>
      </c>
    </row>
    <row r="296">
      <c r="A296" s="7">
        <v>46055.62781646904</v>
      </c>
      <c r="B296" s="8" t="s">
        <v>2676</v>
      </c>
      <c r="C296" s="8" t="s">
        <v>2677</v>
      </c>
      <c r="D296" s="9">
        <v>46061.0</v>
      </c>
      <c r="E296" s="10">
        <v>29.06</v>
      </c>
      <c r="F296" s="8" t="s">
        <v>93</v>
      </c>
      <c r="G296" s="13">
        <v>12.6496</v>
      </c>
      <c r="H296" s="13">
        <v>2.2973</v>
      </c>
      <c r="I296" s="9">
        <v>46073.0</v>
      </c>
      <c r="J296" s="10">
        <v>29.0</v>
      </c>
      <c r="K296" s="8">
        <v>6561.0</v>
      </c>
      <c r="L296" s="8" t="s">
        <v>2608</v>
      </c>
      <c r="M296" s="11">
        <v>0.21</v>
      </c>
      <c r="N296" s="8" t="s">
        <v>2972</v>
      </c>
      <c r="O296" s="8">
        <v>6561.0</v>
      </c>
      <c r="P296" s="11">
        <v>18.0353</v>
      </c>
      <c r="Q296" s="8" t="s">
        <v>2679</v>
      </c>
      <c r="R296" s="11">
        <v>1.9649</v>
      </c>
      <c r="S296" s="12">
        <v>1.0754917E7</v>
      </c>
      <c r="T296" s="12">
        <v>2.5482031843E10</v>
      </c>
      <c r="U296" s="13">
        <v>0.6451</v>
      </c>
      <c r="V296" s="13">
        <v>11.6787</v>
      </c>
      <c r="W296" s="13">
        <v>28.7373</v>
      </c>
      <c r="X296" s="13">
        <v>2.137</v>
      </c>
      <c r="Y296" s="13">
        <v>0.2565</v>
      </c>
      <c r="Z296" s="13">
        <v>0.1084</v>
      </c>
      <c r="AA296" s="8" t="s">
        <v>2611</v>
      </c>
      <c r="AB296" s="10">
        <f>IFERROR(__xludf.DUMMYFUNCTION("IFERROR(GOOGLEFINANCE(B296,""price""),"""")"),27.5)</f>
        <v>27.5</v>
      </c>
    </row>
    <row r="297">
      <c r="A297" s="15">
        <v>46055.62781646904</v>
      </c>
      <c r="B297" s="16" t="s">
        <v>2973</v>
      </c>
      <c r="C297" s="16" t="s">
        <v>2974</v>
      </c>
      <c r="D297" s="17">
        <v>46061.0</v>
      </c>
      <c r="E297" s="18">
        <v>52.545</v>
      </c>
      <c r="F297" s="16" t="s">
        <v>93</v>
      </c>
      <c r="G297" s="21">
        <v>13.7646</v>
      </c>
      <c r="H297" s="21">
        <v>3.8174</v>
      </c>
      <c r="I297" s="17">
        <v>46073.0</v>
      </c>
      <c r="J297" s="18">
        <v>52.5</v>
      </c>
      <c r="K297" s="16">
        <v>5566.0</v>
      </c>
      <c r="L297" s="16" t="s">
        <v>2608</v>
      </c>
      <c r="M297" s="19">
        <v>0.09</v>
      </c>
      <c r="N297" s="16" t="s">
        <v>2975</v>
      </c>
      <c r="O297" s="16">
        <v>5566.0</v>
      </c>
      <c r="P297" s="19">
        <v>22.2048</v>
      </c>
      <c r="Q297" s="16" t="s">
        <v>2976</v>
      </c>
      <c r="R297" s="19">
        <v>2.1879</v>
      </c>
      <c r="S297" s="20">
        <v>9313224.0</v>
      </c>
      <c r="T297" s="20">
        <v>6.7217990017E10</v>
      </c>
      <c r="U297" s="21">
        <v>1.0493</v>
      </c>
      <c r="V297" s="21">
        <v>8.2363</v>
      </c>
      <c r="W297" s="21">
        <v>21.1616</v>
      </c>
      <c r="X297" s="21">
        <v>24.2886</v>
      </c>
      <c r="Y297" s="21">
        <v>1.0708</v>
      </c>
      <c r="Z297" s="21">
        <v>0.3413</v>
      </c>
      <c r="AA297" s="16" t="s">
        <v>2611</v>
      </c>
      <c r="AB297" s="18">
        <f>IFERROR(__xludf.DUMMYFUNCTION("IFERROR(GOOGLEFINANCE(B297,""price""),"""")"),49.6)</f>
        <v>49.6</v>
      </c>
    </row>
    <row r="298">
      <c r="A298" s="7">
        <v>46055.62781646904</v>
      </c>
      <c r="B298" s="8" t="s">
        <v>2704</v>
      </c>
      <c r="C298" s="8" t="s">
        <v>2705</v>
      </c>
      <c r="D298" s="9">
        <v>46061.0</v>
      </c>
      <c r="E298" s="10">
        <v>34.9</v>
      </c>
      <c r="F298" s="8" t="s">
        <v>88</v>
      </c>
      <c r="G298" s="23"/>
      <c r="H298" s="13">
        <v>-0.5438</v>
      </c>
      <c r="I298" s="9">
        <v>46059.0</v>
      </c>
      <c r="J298" s="10">
        <v>35.0</v>
      </c>
      <c r="K298" s="8">
        <v>3573.0</v>
      </c>
      <c r="L298" s="8" t="s">
        <v>2627</v>
      </c>
      <c r="M298" s="11">
        <v>0.29</v>
      </c>
      <c r="N298" s="8" t="s">
        <v>2977</v>
      </c>
      <c r="O298" s="8">
        <v>4966.0</v>
      </c>
      <c r="P298" s="11">
        <v>24.8412</v>
      </c>
      <c r="Q298" s="8" t="s">
        <v>2707</v>
      </c>
      <c r="R298" s="11">
        <v>3.0106</v>
      </c>
      <c r="S298" s="12">
        <v>2.1293237E7</v>
      </c>
      <c r="T298" s="12">
        <v>9.757545266E9</v>
      </c>
      <c r="U298" s="13">
        <v>3.6459</v>
      </c>
      <c r="V298" s="13">
        <v>-11.4029</v>
      </c>
      <c r="W298" s="13">
        <v>-26.4624</v>
      </c>
      <c r="X298" s="13">
        <v>33.135</v>
      </c>
      <c r="Y298" s="13">
        <v>1.6778</v>
      </c>
      <c r="Z298" s="13">
        <v>4.8227</v>
      </c>
      <c r="AA298" s="8" t="s">
        <v>2620</v>
      </c>
      <c r="AB298" s="10">
        <f>IFERROR(__xludf.DUMMYFUNCTION("IFERROR(GOOGLEFINANCE(B298,""price""),"""")"),26.24)</f>
        <v>26.24</v>
      </c>
    </row>
    <row r="299">
      <c r="A299" s="15">
        <v>46055.62781646904</v>
      </c>
      <c r="B299" s="16" t="s">
        <v>2654</v>
      </c>
      <c r="C299" s="16" t="s">
        <v>2655</v>
      </c>
      <c r="D299" s="17">
        <v>46061.0</v>
      </c>
      <c r="E299" s="18">
        <v>39.405</v>
      </c>
      <c r="F299" s="16" t="s">
        <v>917</v>
      </c>
      <c r="G299" s="21">
        <v>24.88</v>
      </c>
      <c r="H299" s="21">
        <v>1.5838</v>
      </c>
      <c r="I299" s="17">
        <v>46073.0</v>
      </c>
      <c r="J299" s="18">
        <v>40.0</v>
      </c>
      <c r="K299" s="16">
        <v>4474.0</v>
      </c>
      <c r="L299" s="16" t="s">
        <v>2608</v>
      </c>
      <c r="M299" s="19">
        <v>1.51</v>
      </c>
      <c r="N299" s="16" t="s">
        <v>2757</v>
      </c>
      <c r="O299" s="16">
        <v>4474.0</v>
      </c>
      <c r="P299" s="19">
        <v>16.5328</v>
      </c>
      <c r="Q299" s="16" t="s">
        <v>2657</v>
      </c>
      <c r="R299" s="19">
        <v>-0.7181</v>
      </c>
      <c r="S299" s="20">
        <v>2859965.0</v>
      </c>
      <c r="T299" s="20">
        <v>2.572627152E10</v>
      </c>
      <c r="U299" s="21">
        <v>0.6153</v>
      </c>
      <c r="V299" s="21">
        <v>9.6059</v>
      </c>
      <c r="W299" s="21">
        <v>22.5038</v>
      </c>
      <c r="X299" s="21">
        <v>6.4347</v>
      </c>
      <c r="Y299" s="21">
        <v>2.0787</v>
      </c>
      <c r="Z299" s="21">
        <v>0.5135</v>
      </c>
      <c r="AA299" s="16" t="s">
        <v>2620</v>
      </c>
      <c r="AB299" s="18">
        <f>IFERROR(__xludf.DUMMYFUNCTION("IFERROR(GOOGLEFINANCE(B299,""price""),"""")"),43.39)</f>
        <v>43.39</v>
      </c>
    </row>
    <row r="300">
      <c r="A300" s="7">
        <v>46055.62781646904</v>
      </c>
      <c r="B300" s="8" t="s">
        <v>2658</v>
      </c>
      <c r="C300" s="8" t="s">
        <v>2659</v>
      </c>
      <c r="D300" s="9">
        <v>46061.0</v>
      </c>
      <c r="E300" s="10">
        <v>86.77</v>
      </c>
      <c r="F300" s="8" t="s">
        <v>917</v>
      </c>
      <c r="G300" s="13">
        <v>26.2915</v>
      </c>
      <c r="H300" s="13">
        <v>3.3003</v>
      </c>
      <c r="I300" s="9">
        <v>46059.0</v>
      </c>
      <c r="J300" s="10">
        <v>87.0</v>
      </c>
      <c r="K300" s="8">
        <v>2547.0</v>
      </c>
      <c r="L300" s="8" t="s">
        <v>2627</v>
      </c>
      <c r="M300" s="11">
        <v>0.27</v>
      </c>
      <c r="N300" s="8" t="s">
        <v>2978</v>
      </c>
      <c r="O300" s="8">
        <v>4317.0</v>
      </c>
      <c r="P300" s="11">
        <v>29.3407</v>
      </c>
      <c r="Q300" s="8" t="s">
        <v>2661</v>
      </c>
      <c r="R300" s="11">
        <v>-1.2856</v>
      </c>
      <c r="S300" s="12">
        <v>6088138.0</v>
      </c>
      <c r="T300" s="12">
        <v>1.8070803979E11</v>
      </c>
      <c r="U300" s="13">
        <v>1.7836</v>
      </c>
      <c r="V300" s="13">
        <v>13.0533</v>
      </c>
      <c r="W300" s="13">
        <v>26.0656</v>
      </c>
      <c r="X300" s="13">
        <v>7.4736</v>
      </c>
      <c r="Y300" s="13">
        <v>1.751</v>
      </c>
      <c r="Z300" s="13">
        <v>0.5953</v>
      </c>
      <c r="AA300" s="8" t="s">
        <v>2620</v>
      </c>
      <c r="AB300" s="10">
        <f>IFERROR(__xludf.DUMMYFUNCTION("IFERROR(GOOGLEFINANCE(B300,""price""),"""")"),94.08)</f>
        <v>94.08</v>
      </c>
    </row>
    <row r="301">
      <c r="A301" s="15">
        <v>46055.62781646904</v>
      </c>
      <c r="B301" s="16" t="s">
        <v>2638</v>
      </c>
      <c r="C301" s="16" t="s">
        <v>2639</v>
      </c>
      <c r="D301" s="17">
        <v>46061.0</v>
      </c>
      <c r="E301" s="18">
        <v>138.66</v>
      </c>
      <c r="F301" s="16" t="s">
        <v>245</v>
      </c>
      <c r="G301" s="21">
        <v>20.7237</v>
      </c>
      <c r="H301" s="21">
        <v>6.6909</v>
      </c>
      <c r="I301" s="17">
        <v>46059.0</v>
      </c>
      <c r="J301" s="18">
        <v>141.0</v>
      </c>
      <c r="K301" s="16">
        <v>2228.0</v>
      </c>
      <c r="L301" s="16" t="s">
        <v>2608</v>
      </c>
      <c r="M301" s="19">
        <v>1.69</v>
      </c>
      <c r="N301" s="16" t="s">
        <v>2979</v>
      </c>
      <c r="O301" s="16">
        <v>3492.0</v>
      </c>
      <c r="P301" s="19">
        <v>46.3595</v>
      </c>
      <c r="Q301" s="16" t="s">
        <v>2641</v>
      </c>
      <c r="R301" s="19">
        <v>-1.9378</v>
      </c>
      <c r="S301" s="20">
        <v>1.8501183E7</v>
      </c>
      <c r="T301" s="20">
        <v>5.84752146781E11</v>
      </c>
      <c r="U301" s="21">
        <v>2.7725</v>
      </c>
      <c r="V301" s="21">
        <v>11.0283</v>
      </c>
      <c r="W301" s="21">
        <v>10.3419</v>
      </c>
      <c r="X301" s="21">
        <v>-4.856</v>
      </c>
      <c r="Y301" s="21">
        <v>0.1678</v>
      </c>
      <c r="Z301" s="21">
        <v>1.1528</v>
      </c>
      <c r="AA301" s="16" t="s">
        <v>2620</v>
      </c>
      <c r="AB301" s="18">
        <f>IFERROR(__xludf.DUMMYFUNCTION("IFERROR(GOOGLEFINANCE(B301,""price""),"""")"),152.51)</f>
        <v>152.51</v>
      </c>
    </row>
    <row r="302">
      <c r="A302" s="7">
        <v>46055.62781646904</v>
      </c>
      <c r="B302" s="8" t="s">
        <v>2700</v>
      </c>
      <c r="C302" s="8" t="s">
        <v>2701</v>
      </c>
      <c r="D302" s="9">
        <v>46061.0</v>
      </c>
      <c r="E302" s="10">
        <v>237.17</v>
      </c>
      <c r="F302" s="8" t="s">
        <v>102</v>
      </c>
      <c r="G302" s="13">
        <v>48.6074</v>
      </c>
      <c r="H302" s="13">
        <v>4.8793</v>
      </c>
      <c r="I302" s="9">
        <v>46059.0</v>
      </c>
      <c r="J302" s="10">
        <v>235.0</v>
      </c>
      <c r="K302" s="8">
        <v>3175.0</v>
      </c>
      <c r="L302" s="8" t="s">
        <v>2627</v>
      </c>
      <c r="M302" s="11">
        <v>0.91</v>
      </c>
      <c r="N302" s="8" t="s">
        <v>2980</v>
      </c>
      <c r="O302" s="8">
        <v>3175.0</v>
      </c>
      <c r="P302" s="11">
        <v>43.05</v>
      </c>
      <c r="Q302" s="8" t="s">
        <v>2703</v>
      </c>
      <c r="R302" s="11">
        <v>1.5891</v>
      </c>
      <c r="S302" s="12">
        <v>9430517.0</v>
      </c>
      <c r="T302" s="12">
        <v>2.96171025661E11</v>
      </c>
      <c r="U302" s="13">
        <v>10.9761</v>
      </c>
      <c r="V302" s="13">
        <v>65.5649</v>
      </c>
      <c r="W302" s="13">
        <v>33.7646</v>
      </c>
      <c r="X302" s="13">
        <v>26.8457</v>
      </c>
      <c r="Y302" s="13">
        <v>0.4419</v>
      </c>
      <c r="Z302" s="13">
        <v>2.2562</v>
      </c>
      <c r="AA302" s="8" t="s">
        <v>2611</v>
      </c>
      <c r="AB302" s="10">
        <f>IFERROR(__xludf.DUMMYFUNCTION("IFERROR(GOOGLEFINANCE(B302,""price""),"""")"),263.66)</f>
        <v>263.66</v>
      </c>
    </row>
    <row r="303">
      <c r="A303" s="15">
        <v>46055.62781646904</v>
      </c>
      <c r="B303" s="16" t="s">
        <v>2625</v>
      </c>
      <c r="C303" s="16" t="s">
        <v>2626</v>
      </c>
      <c r="D303" s="17">
        <v>46061.0</v>
      </c>
      <c r="E303" s="18">
        <v>124.1</v>
      </c>
      <c r="F303" s="16" t="s">
        <v>137</v>
      </c>
      <c r="G303" s="21">
        <v>43.5286</v>
      </c>
      <c r="H303" s="21">
        <v>2.851</v>
      </c>
      <c r="I303" s="17">
        <v>46059.0</v>
      </c>
      <c r="J303" s="18">
        <v>122.0</v>
      </c>
      <c r="K303" s="16">
        <v>1638.0</v>
      </c>
      <c r="L303" s="16" t="s">
        <v>2608</v>
      </c>
      <c r="M303" s="19">
        <v>1.69</v>
      </c>
      <c r="N303" s="16" t="s">
        <v>2981</v>
      </c>
      <c r="O303" s="16">
        <v>3151.0</v>
      </c>
      <c r="P303" s="19">
        <v>20.7417</v>
      </c>
      <c r="Q303" s="16" t="s">
        <v>2629</v>
      </c>
      <c r="R303" s="19">
        <v>4.1632</v>
      </c>
      <c r="S303" s="20">
        <v>1.7656512E7</v>
      </c>
      <c r="T303" s="20">
        <v>9.89097718664E11</v>
      </c>
      <c r="U303" s="21">
        <v>2.4687</v>
      </c>
      <c r="V303" s="21">
        <v>24.8749</v>
      </c>
      <c r="W303" s="21">
        <v>4.1214</v>
      </c>
      <c r="X303" s="21">
        <v>4.3397</v>
      </c>
      <c r="Y303" s="21">
        <v>0.7121</v>
      </c>
      <c r="Z303" s="21">
        <v>0.8029</v>
      </c>
      <c r="AA303" s="16" t="s">
        <v>2611</v>
      </c>
      <c r="AB303" s="18">
        <f>IFERROR(__xludf.DUMMYFUNCTION("IFERROR(GOOGLEFINANCE(B303,""price""),"""")"),126.79)</f>
        <v>126.79</v>
      </c>
    </row>
    <row r="304">
      <c r="A304" s="7">
        <v>46055.62781646904</v>
      </c>
      <c r="B304" s="8" t="s">
        <v>2634</v>
      </c>
      <c r="C304" s="8" t="s">
        <v>2635</v>
      </c>
      <c r="D304" s="9">
        <v>46061.0</v>
      </c>
      <c r="E304" s="10">
        <v>174.5604</v>
      </c>
      <c r="F304" s="8" t="s">
        <v>245</v>
      </c>
      <c r="G304" s="13">
        <v>26.2461</v>
      </c>
      <c r="H304" s="13">
        <v>6.6509</v>
      </c>
      <c r="I304" s="9">
        <v>46059.0</v>
      </c>
      <c r="J304" s="10">
        <v>177.5</v>
      </c>
      <c r="K304" s="8">
        <v>1587.0</v>
      </c>
      <c r="L304" s="8" t="s">
        <v>2608</v>
      </c>
      <c r="M304" s="11">
        <v>1.68</v>
      </c>
      <c r="N304" s="8" t="s">
        <v>2982</v>
      </c>
      <c r="O304" s="8">
        <v>3035.0</v>
      </c>
      <c r="P304" s="11">
        <v>46.6544</v>
      </c>
      <c r="Q304" s="8" t="s">
        <v>2637</v>
      </c>
      <c r="R304" s="11">
        <v>-1.3226</v>
      </c>
      <c r="S304" s="12">
        <v>1.0967285E7</v>
      </c>
      <c r="T304" s="12">
        <v>3.51481124903E11</v>
      </c>
      <c r="U304" s="13">
        <v>3.3289</v>
      </c>
      <c r="V304" s="13">
        <v>7.261</v>
      </c>
      <c r="W304" s="13">
        <v>8.9022</v>
      </c>
      <c r="X304" s="13">
        <v>-4.6053</v>
      </c>
      <c r="Y304" s="13">
        <v>0.2186</v>
      </c>
      <c r="Z304" s="23"/>
      <c r="AA304" s="8" t="s">
        <v>2620</v>
      </c>
      <c r="AB304" s="10">
        <f>IFERROR(__xludf.DUMMYFUNCTION("IFERROR(GOOGLEFINANCE(B304,""price""),"""")"),188.55)</f>
        <v>188.55</v>
      </c>
    </row>
    <row r="305">
      <c r="A305" s="15">
        <v>46055.62781646904</v>
      </c>
      <c r="B305" s="16" t="s">
        <v>2983</v>
      </c>
      <c r="C305" s="16" t="s">
        <v>2984</v>
      </c>
      <c r="D305" s="17">
        <v>46061.0</v>
      </c>
      <c r="E305" s="18">
        <v>104.82</v>
      </c>
      <c r="F305" s="16" t="s">
        <v>93</v>
      </c>
      <c r="G305" s="21">
        <v>22.5027</v>
      </c>
      <c r="H305" s="21">
        <v>4.6581</v>
      </c>
      <c r="I305" s="17">
        <v>46059.0</v>
      </c>
      <c r="J305" s="18">
        <v>104.0</v>
      </c>
      <c r="K305" s="16">
        <v>2953.0</v>
      </c>
      <c r="L305" s="16" t="s">
        <v>2627</v>
      </c>
      <c r="M305" s="19">
        <v>0.78</v>
      </c>
      <c r="N305" s="16" t="s">
        <v>2985</v>
      </c>
      <c r="O305" s="16">
        <v>2953.0</v>
      </c>
      <c r="P305" s="19">
        <v>24.6143</v>
      </c>
      <c r="Q305" s="16" t="s">
        <v>2986</v>
      </c>
      <c r="R305" s="19">
        <v>0.8661</v>
      </c>
      <c r="S305" s="20">
        <v>6303380.0</v>
      </c>
      <c r="T305" s="20">
        <v>1.86258508696E11</v>
      </c>
      <c r="U305" s="21">
        <v>2.1339</v>
      </c>
      <c r="V305" s="21">
        <v>18.1069</v>
      </c>
      <c r="W305" s="21">
        <v>47.6387</v>
      </c>
      <c r="X305" s="21">
        <v>6.4464</v>
      </c>
      <c r="Y305" s="21">
        <v>0.6275</v>
      </c>
      <c r="Z305" s="24"/>
      <c r="AA305" s="16" t="s">
        <v>2611</v>
      </c>
      <c r="AB305" s="18">
        <f>IFERROR(__xludf.DUMMYFUNCTION("IFERROR(GOOGLEFINANCE(B305,""price""),"""")"),94.8)</f>
        <v>94.8</v>
      </c>
    </row>
    <row r="306">
      <c r="A306" s="7">
        <v>46055.62781646904</v>
      </c>
      <c r="B306" s="8" t="s">
        <v>2987</v>
      </c>
      <c r="C306" s="8" t="s">
        <v>2988</v>
      </c>
      <c r="D306" s="9">
        <v>46061.0</v>
      </c>
      <c r="E306" s="10">
        <v>93.87</v>
      </c>
      <c r="F306" s="8" t="s">
        <v>137</v>
      </c>
      <c r="G306" s="13">
        <v>20.4278</v>
      </c>
      <c r="H306" s="13">
        <v>4.5952</v>
      </c>
      <c r="I306" s="9">
        <v>46059.0</v>
      </c>
      <c r="J306" s="10">
        <v>93.0</v>
      </c>
      <c r="K306" s="8">
        <v>2648.0</v>
      </c>
      <c r="L306" s="8" t="s">
        <v>2608</v>
      </c>
      <c r="M306" s="11">
        <v>0.93</v>
      </c>
      <c r="N306" s="8" t="s">
        <v>2989</v>
      </c>
      <c r="O306" s="8">
        <v>2648.0</v>
      </c>
      <c r="P306" s="11">
        <v>27.2922</v>
      </c>
      <c r="Q306" s="8" t="s">
        <v>2990</v>
      </c>
      <c r="R306" s="11">
        <v>2.9051</v>
      </c>
      <c r="S306" s="12">
        <v>2195513.0</v>
      </c>
      <c r="T306" s="12">
        <v>4.2429240568E10</v>
      </c>
      <c r="U306" s="13">
        <v>2.3744</v>
      </c>
      <c r="V306" s="13">
        <v>42.4302</v>
      </c>
      <c r="W306" s="13">
        <v>21.2717</v>
      </c>
      <c r="X306" s="13">
        <v>4.8901</v>
      </c>
      <c r="Y306" s="13">
        <v>1.5115</v>
      </c>
      <c r="Z306" s="13">
        <v>0.9249</v>
      </c>
      <c r="AA306" s="8" t="s">
        <v>2611</v>
      </c>
      <c r="AB306" s="10">
        <f>IFERROR(__xludf.DUMMYFUNCTION("IFERROR(GOOGLEFINANCE(B306,""price""),"""")"),95.4)</f>
        <v>95.4</v>
      </c>
    </row>
    <row r="307">
      <c r="A307" s="15">
        <v>46055.62781646904</v>
      </c>
      <c r="B307" s="16" t="s">
        <v>2804</v>
      </c>
      <c r="C307" s="16" t="s">
        <v>2805</v>
      </c>
      <c r="D307" s="17">
        <v>46061.0</v>
      </c>
      <c r="E307" s="18">
        <v>109.82</v>
      </c>
      <c r="F307" s="16" t="s">
        <v>308</v>
      </c>
      <c r="G307" s="21">
        <v>59.7205</v>
      </c>
      <c r="H307" s="21">
        <v>1.8389</v>
      </c>
      <c r="I307" s="17">
        <v>46059.0</v>
      </c>
      <c r="J307" s="18">
        <v>109.0</v>
      </c>
      <c r="K307" s="16">
        <v>2584.0</v>
      </c>
      <c r="L307" s="16" t="s">
        <v>2608</v>
      </c>
      <c r="M307" s="19">
        <v>0.75</v>
      </c>
      <c r="N307" s="16" t="s">
        <v>2991</v>
      </c>
      <c r="O307" s="16">
        <v>2584.0</v>
      </c>
      <c r="P307" s="19">
        <v>33.0095</v>
      </c>
      <c r="Q307" s="16" t="s">
        <v>2807</v>
      </c>
      <c r="R307" s="19">
        <v>6.3632</v>
      </c>
      <c r="S307" s="20">
        <v>9860920.0</v>
      </c>
      <c r="T307" s="20">
        <v>9.4155313809E10</v>
      </c>
      <c r="U307" s="21">
        <v>4.9757</v>
      </c>
      <c r="V307" s="21">
        <v>14.1911</v>
      </c>
      <c r="W307" s="21">
        <v>15.3497</v>
      </c>
      <c r="X307" s="21">
        <v>19.1416</v>
      </c>
      <c r="Y307" s="21">
        <v>0.7143</v>
      </c>
      <c r="Z307" s="21">
        <v>1.5878</v>
      </c>
      <c r="AA307" s="16" t="s">
        <v>2611</v>
      </c>
      <c r="AB307" s="18">
        <f>IFERROR(__xludf.DUMMYFUNCTION("IFERROR(GOOGLEFINANCE(B307,""price""),"""")"),171.24)</f>
        <v>171.24</v>
      </c>
    </row>
    <row r="308">
      <c r="A308" s="7">
        <v>46055.62781646904</v>
      </c>
      <c r="B308" s="8" t="s">
        <v>1467</v>
      </c>
      <c r="C308" s="8" t="s">
        <v>1468</v>
      </c>
      <c r="D308" s="9">
        <v>46061.0</v>
      </c>
      <c r="E308" s="10">
        <v>122.75</v>
      </c>
      <c r="F308" s="8" t="s">
        <v>102</v>
      </c>
      <c r="G308" s="13">
        <v>24.1045</v>
      </c>
      <c r="H308" s="13">
        <v>5.0924</v>
      </c>
      <c r="I308" s="9">
        <v>46073.0</v>
      </c>
      <c r="J308" s="10">
        <v>125.0</v>
      </c>
      <c r="K308" s="8">
        <v>2507.0</v>
      </c>
      <c r="L308" s="8" t="s">
        <v>2608</v>
      </c>
      <c r="M308" s="11">
        <v>1.83</v>
      </c>
      <c r="N308" s="8" t="s">
        <v>2992</v>
      </c>
      <c r="O308" s="8">
        <v>2507.0</v>
      </c>
      <c r="P308" s="11">
        <v>21.1928</v>
      </c>
      <c r="Q308" s="8" t="s">
        <v>1469</v>
      </c>
      <c r="R308" s="11">
        <v>2.9264</v>
      </c>
      <c r="S308" s="12">
        <v>3858804.0</v>
      </c>
      <c r="T308" s="12">
        <v>7.5131122745E10</v>
      </c>
      <c r="U308" s="13">
        <v>2.6861</v>
      </c>
      <c r="V308" s="13">
        <v>11.8587</v>
      </c>
      <c r="W308" s="13">
        <v>11.9215</v>
      </c>
      <c r="X308" s="13">
        <v>-10.1857</v>
      </c>
      <c r="Y308" s="13">
        <v>0.8656</v>
      </c>
      <c r="Z308" s="13">
        <v>0.8989</v>
      </c>
      <c r="AA308" s="8" t="s">
        <v>2620</v>
      </c>
      <c r="AB308" s="10">
        <f>IFERROR(__xludf.DUMMYFUNCTION("IFERROR(GOOGLEFINANCE(B308,""price""),"""")"),142.53)</f>
        <v>142.53</v>
      </c>
    </row>
    <row r="309">
      <c r="A309" s="15">
        <v>46055.62781646904</v>
      </c>
      <c r="B309" s="16" t="s">
        <v>2226</v>
      </c>
      <c r="C309" s="16" t="s">
        <v>2227</v>
      </c>
      <c r="D309" s="17">
        <v>46061.0</v>
      </c>
      <c r="E309" s="18">
        <v>194.48</v>
      </c>
      <c r="F309" s="16" t="s">
        <v>102</v>
      </c>
      <c r="G309" s="21">
        <v>56.2146</v>
      </c>
      <c r="H309" s="21">
        <v>3.4596</v>
      </c>
      <c r="I309" s="17">
        <v>46073.0</v>
      </c>
      <c r="J309" s="18">
        <v>195.0</v>
      </c>
      <c r="K309" s="16">
        <v>2355.0</v>
      </c>
      <c r="L309" s="16" t="s">
        <v>2608</v>
      </c>
      <c r="M309" s="19">
        <v>0.27</v>
      </c>
      <c r="N309" s="16" t="s">
        <v>2993</v>
      </c>
      <c r="O309" s="16">
        <v>2355.0</v>
      </c>
      <c r="P309" s="19">
        <v>25.8944</v>
      </c>
      <c r="Q309" s="16" t="s">
        <v>2228</v>
      </c>
      <c r="R309" s="19">
        <v>5.3179</v>
      </c>
      <c r="S309" s="20">
        <v>2279247.0</v>
      </c>
      <c r="T309" s="20">
        <v>1.0239093552E10</v>
      </c>
      <c r="U309" s="21">
        <v>10.4886</v>
      </c>
      <c r="V309" s="21">
        <v>19.4739</v>
      </c>
      <c r="W309" s="21">
        <v>11.6692</v>
      </c>
      <c r="X309" s="21">
        <v>8.1026</v>
      </c>
      <c r="Y309" s="21">
        <v>0.6545</v>
      </c>
      <c r="Z309" s="21">
        <v>2.0002</v>
      </c>
      <c r="AA309" s="16" t="s">
        <v>2620</v>
      </c>
      <c r="AB309" s="18">
        <f>IFERROR(__xludf.DUMMYFUNCTION("IFERROR(GOOGLEFINANCE(B309,""price""),"""")"),241.46)</f>
        <v>241.46</v>
      </c>
    </row>
    <row r="310">
      <c r="A310" s="7">
        <v>46055.62781646904</v>
      </c>
      <c r="B310" s="8" t="s">
        <v>2672</v>
      </c>
      <c r="C310" s="8" t="s">
        <v>2673</v>
      </c>
      <c r="D310" s="9">
        <v>46061.0</v>
      </c>
      <c r="E310" s="10">
        <v>44.405</v>
      </c>
      <c r="F310" s="8" t="s">
        <v>107</v>
      </c>
      <c r="G310" s="23"/>
      <c r="H310" s="13">
        <v>-1.8425</v>
      </c>
      <c r="I310" s="9">
        <v>46073.0</v>
      </c>
      <c r="J310" s="10">
        <v>45.0</v>
      </c>
      <c r="K310" s="8">
        <v>2340.0</v>
      </c>
      <c r="L310" s="8" t="s">
        <v>2608</v>
      </c>
      <c r="M310" s="11">
        <v>1.34</v>
      </c>
      <c r="N310" s="8" t="s">
        <v>2994</v>
      </c>
      <c r="O310" s="8">
        <v>2340.0</v>
      </c>
      <c r="P310" s="11">
        <v>30.1924</v>
      </c>
      <c r="Q310" s="8" t="s">
        <v>2675</v>
      </c>
      <c r="R310" s="11">
        <v>1.1043</v>
      </c>
      <c r="S310" s="12">
        <v>2254032.0</v>
      </c>
      <c r="T310" s="12">
        <v>1.8604597921E10</v>
      </c>
      <c r="U310" s="13">
        <v>0.9938</v>
      </c>
      <c r="V310" s="13">
        <v>-0.4628</v>
      </c>
      <c r="W310" s="13">
        <v>16.4011</v>
      </c>
      <c r="X310" s="13">
        <v>2.4196</v>
      </c>
      <c r="Y310" s="13">
        <v>0.4045</v>
      </c>
      <c r="Z310" s="13">
        <v>2.0022</v>
      </c>
      <c r="AA310" s="8" t="s">
        <v>2620</v>
      </c>
      <c r="AB310" s="10">
        <f>IFERROR(__xludf.DUMMYFUNCTION("IFERROR(GOOGLEFINANCE(B310,""price""),"""")"),47.25)</f>
        <v>47.25</v>
      </c>
    </row>
    <row r="311">
      <c r="A311" s="15">
        <v>46055.62781646904</v>
      </c>
      <c r="B311" s="16" t="s">
        <v>2915</v>
      </c>
      <c r="C311" s="16" t="s">
        <v>2916</v>
      </c>
      <c r="D311" s="17">
        <v>46061.0</v>
      </c>
      <c r="E311" s="18">
        <v>142.65</v>
      </c>
      <c r="F311" s="16" t="s">
        <v>117</v>
      </c>
      <c r="G311" s="21">
        <v>22.095</v>
      </c>
      <c r="H311" s="21">
        <v>6.4562</v>
      </c>
      <c r="I311" s="17">
        <v>46059.0</v>
      </c>
      <c r="J311" s="18">
        <v>143.0</v>
      </c>
      <c r="K311" s="16">
        <v>1128.0</v>
      </c>
      <c r="L311" s="16" t="s">
        <v>2608</v>
      </c>
      <c r="M311" s="19">
        <v>0.25</v>
      </c>
      <c r="N311" s="16" t="s">
        <v>2995</v>
      </c>
      <c r="O311" s="16">
        <v>2194.0</v>
      </c>
      <c r="P311" s="19">
        <v>30.6934</v>
      </c>
      <c r="Q311" s="16" t="s">
        <v>2918</v>
      </c>
      <c r="R311" s="19">
        <v>0.4931</v>
      </c>
      <c r="S311" s="20">
        <v>5027175.0</v>
      </c>
      <c r="T311" s="20">
        <v>1.76982936203E11</v>
      </c>
      <c r="U311" s="21">
        <v>3.5635</v>
      </c>
      <c r="V311" s="21">
        <v>40.5348</v>
      </c>
      <c r="W311" s="21">
        <v>39.0204</v>
      </c>
      <c r="X311" s="21">
        <v>2.7624</v>
      </c>
      <c r="Y311" s="21">
        <v>1.1579</v>
      </c>
      <c r="Z311" s="21">
        <v>1.4534</v>
      </c>
      <c r="AA311" s="16" t="s">
        <v>2620</v>
      </c>
      <c r="AB311" s="18">
        <f>IFERROR(__xludf.DUMMYFUNCTION("IFERROR(GOOGLEFINANCE(B311,""price""),"""")"),139.03)</f>
        <v>139.03</v>
      </c>
    </row>
    <row r="312">
      <c r="A312" s="7">
        <v>46055.62781646904</v>
      </c>
      <c r="B312" s="8" t="s">
        <v>1570</v>
      </c>
      <c r="C312" s="8" t="s">
        <v>1571</v>
      </c>
      <c r="D312" s="9">
        <v>46061.0</v>
      </c>
      <c r="E312" s="10">
        <v>47.115</v>
      </c>
      <c r="F312" s="8" t="s">
        <v>917</v>
      </c>
      <c r="G312" s="13">
        <v>20.4661</v>
      </c>
      <c r="H312" s="13">
        <v>2.3021</v>
      </c>
      <c r="I312" s="9">
        <v>46073.0</v>
      </c>
      <c r="J312" s="10">
        <v>48.0</v>
      </c>
      <c r="K312" s="8">
        <v>2066.0</v>
      </c>
      <c r="L312" s="8" t="s">
        <v>2608</v>
      </c>
      <c r="M312" s="11">
        <v>1.88</v>
      </c>
      <c r="N312" s="8" t="s">
        <v>2930</v>
      </c>
      <c r="O312" s="8">
        <v>2066.0</v>
      </c>
      <c r="P312" s="11">
        <v>30.9824</v>
      </c>
      <c r="Q312" s="8" t="s">
        <v>1572</v>
      </c>
      <c r="R312" s="11">
        <v>-0.4753</v>
      </c>
      <c r="S312" s="12">
        <v>2083208.0</v>
      </c>
      <c r="T312" s="12">
        <v>2.7216714284E10</v>
      </c>
      <c r="U312" s="13">
        <v>0.7275</v>
      </c>
      <c r="V312" s="13">
        <v>10.5451</v>
      </c>
      <c r="W312" s="13">
        <v>19.6489</v>
      </c>
      <c r="X312" s="13">
        <v>7.6402</v>
      </c>
      <c r="Y312" s="13">
        <v>2.1464</v>
      </c>
      <c r="Z312" s="13">
        <v>0.7474</v>
      </c>
      <c r="AA312" s="8" t="s">
        <v>2620</v>
      </c>
      <c r="AB312" s="10">
        <f>IFERROR(__xludf.DUMMYFUNCTION("IFERROR(GOOGLEFINANCE(B312,""price""),"""")"),51.43)</f>
        <v>51.43</v>
      </c>
    </row>
    <row r="313">
      <c r="A313" s="15">
        <v>46055.62781646904</v>
      </c>
      <c r="B313" s="16" t="s">
        <v>2621</v>
      </c>
      <c r="C313" s="16" t="s">
        <v>2622</v>
      </c>
      <c r="D313" s="17">
        <v>46061.0</v>
      </c>
      <c r="E313" s="18">
        <v>60.525</v>
      </c>
      <c r="F313" s="16" t="s">
        <v>335</v>
      </c>
      <c r="G313" s="21">
        <v>39.9769</v>
      </c>
      <c r="H313" s="21">
        <v>1.514</v>
      </c>
      <c r="I313" s="17">
        <v>46059.0</v>
      </c>
      <c r="J313" s="18">
        <v>60.0</v>
      </c>
      <c r="K313" s="16">
        <v>1990.0</v>
      </c>
      <c r="L313" s="16" t="s">
        <v>2627</v>
      </c>
      <c r="M313" s="19">
        <v>0.87</v>
      </c>
      <c r="N313" s="16" t="s">
        <v>2996</v>
      </c>
      <c r="O313" s="16">
        <v>1990.0</v>
      </c>
      <c r="P313" s="19">
        <v>43.5167</v>
      </c>
      <c r="Q313" s="16" t="s">
        <v>2624</v>
      </c>
      <c r="R313" s="19">
        <v>0.4898</v>
      </c>
      <c r="S313" s="20">
        <v>1.8093789E7</v>
      </c>
      <c r="T313" s="20">
        <v>8.6909702782E10</v>
      </c>
      <c r="U313" s="21">
        <v>2.6437</v>
      </c>
      <c r="V313" s="21">
        <v>11.9792</v>
      </c>
      <c r="W313" s="21">
        <v>23.7569</v>
      </c>
      <c r="X313" s="21">
        <v>1.5155</v>
      </c>
      <c r="Y313" s="21">
        <v>0.5497</v>
      </c>
      <c r="Z313" s="21">
        <v>2.2911</v>
      </c>
      <c r="AA313" s="16" t="s">
        <v>2611</v>
      </c>
      <c r="AB313" s="18">
        <f>IFERROR(__xludf.DUMMYFUNCTION("IFERROR(GOOGLEFINANCE(B313,""price""),"""")"),67.8)</f>
        <v>67.8</v>
      </c>
    </row>
    <row r="314">
      <c r="A314" s="7">
        <v>46055.62781646904</v>
      </c>
      <c r="B314" s="8" t="s">
        <v>2650</v>
      </c>
      <c r="C314" s="8" t="s">
        <v>2651</v>
      </c>
      <c r="D314" s="9">
        <v>46061.0</v>
      </c>
      <c r="E314" s="10">
        <v>221.755</v>
      </c>
      <c r="F314" s="8" t="s">
        <v>308</v>
      </c>
      <c r="G314" s="13">
        <v>319.5777</v>
      </c>
      <c r="H314" s="13">
        <v>0.6939</v>
      </c>
      <c r="I314" s="9">
        <v>46059.0</v>
      </c>
      <c r="J314" s="10">
        <v>217.5</v>
      </c>
      <c r="K314" s="8">
        <v>1911.0</v>
      </c>
      <c r="L314" s="8" t="s">
        <v>2627</v>
      </c>
      <c r="M314" s="11">
        <v>1.92</v>
      </c>
      <c r="N314" s="8" t="s">
        <v>2997</v>
      </c>
      <c r="O314" s="8">
        <v>1911.0</v>
      </c>
      <c r="P314" s="11">
        <v>23.7488</v>
      </c>
      <c r="Q314" s="8" t="s">
        <v>2653</v>
      </c>
      <c r="R314" s="11">
        <v>4.5127</v>
      </c>
      <c r="S314" s="12">
        <v>4456686.0</v>
      </c>
      <c r="T314" s="12">
        <v>3.4849597633E10</v>
      </c>
      <c r="U314" s="13">
        <v>15.056</v>
      </c>
      <c r="V314" s="13">
        <v>3.0782</v>
      </c>
      <c r="W314" s="13">
        <v>11.161</v>
      </c>
      <c r="X314" s="13">
        <v>20.7993</v>
      </c>
      <c r="Y314" s="13">
        <v>0.4206</v>
      </c>
      <c r="Z314" s="13">
        <v>2.3283</v>
      </c>
      <c r="AA314" s="8" t="s">
        <v>2611</v>
      </c>
      <c r="AB314" s="10">
        <f>IFERROR(__xludf.DUMMYFUNCTION("IFERROR(GOOGLEFINANCE(B314,""price""),"""")"),307.5)</f>
        <v>307.5</v>
      </c>
    </row>
    <row r="315">
      <c r="A315" s="15">
        <v>46055.62781646904</v>
      </c>
      <c r="B315" s="16" t="s">
        <v>2718</v>
      </c>
      <c r="C315" s="16" t="s">
        <v>2719</v>
      </c>
      <c r="D315" s="17">
        <v>46061.0</v>
      </c>
      <c r="E315" s="18">
        <v>145.54</v>
      </c>
      <c r="F315" s="16" t="s">
        <v>308</v>
      </c>
      <c r="G315" s="21">
        <v>43.554</v>
      </c>
      <c r="H315" s="21">
        <v>3.3416</v>
      </c>
      <c r="I315" s="17">
        <v>46073.0</v>
      </c>
      <c r="J315" s="18">
        <v>145.0</v>
      </c>
      <c r="K315" s="16">
        <v>1831.0</v>
      </c>
      <c r="L315" s="16" t="s">
        <v>2627</v>
      </c>
      <c r="M315" s="19">
        <v>0.37</v>
      </c>
      <c r="N315" s="16" t="s">
        <v>2998</v>
      </c>
      <c r="O315" s="16">
        <v>1831.0</v>
      </c>
      <c r="P315" s="19">
        <v>16.6858</v>
      </c>
      <c r="Q315" s="16" t="s">
        <v>2721</v>
      </c>
      <c r="R315" s="19">
        <v>1.0133</v>
      </c>
      <c r="S315" s="20">
        <v>7300870.0</v>
      </c>
      <c r="T315" s="20">
        <v>1.78149045846E11</v>
      </c>
      <c r="U315" s="21">
        <v>6.7314</v>
      </c>
      <c r="V315" s="21">
        <v>36.8048</v>
      </c>
      <c r="W315" s="21">
        <v>25.8587</v>
      </c>
      <c r="X315" s="21">
        <v>51.7122</v>
      </c>
      <c r="Y315" s="21">
        <v>1.1557</v>
      </c>
      <c r="Z315" s="21">
        <v>2.9792</v>
      </c>
      <c r="AA315" s="16" t="s">
        <v>2611</v>
      </c>
      <c r="AB315" s="18">
        <f>IFERROR(__xludf.DUMMYFUNCTION("IFERROR(GOOGLEFINANCE(B315,""price""),"""")"),140.75)</f>
        <v>140.75</v>
      </c>
    </row>
    <row r="316">
      <c r="A316" s="7">
        <v>46055.62781646904</v>
      </c>
      <c r="B316" s="8" t="s">
        <v>2852</v>
      </c>
      <c r="C316" s="8" t="s">
        <v>2853</v>
      </c>
      <c r="D316" s="9">
        <v>46061.0</v>
      </c>
      <c r="E316" s="10">
        <v>207.74</v>
      </c>
      <c r="F316" s="8" t="s">
        <v>102</v>
      </c>
      <c r="G316" s="13">
        <v>26.1588</v>
      </c>
      <c r="H316" s="13">
        <v>7.9415</v>
      </c>
      <c r="I316" s="9">
        <v>46073.0</v>
      </c>
      <c r="J316" s="10">
        <v>210.0</v>
      </c>
      <c r="K316" s="8">
        <v>1642.0</v>
      </c>
      <c r="L316" s="8" t="s">
        <v>2608</v>
      </c>
      <c r="M316" s="11">
        <v>1.09</v>
      </c>
      <c r="N316" s="8" t="s">
        <v>2999</v>
      </c>
      <c r="O316" s="8">
        <v>1642.0</v>
      </c>
      <c r="P316" s="11">
        <v>24.1733</v>
      </c>
      <c r="Q316" s="8" t="s">
        <v>2855</v>
      </c>
      <c r="R316" s="11">
        <v>3.1019</v>
      </c>
      <c r="S316" s="12">
        <v>1278234.0</v>
      </c>
      <c r="T316" s="12">
        <v>2.849220935E10</v>
      </c>
      <c r="U316" s="13">
        <v>4.4634</v>
      </c>
      <c r="V316" s="13">
        <v>15.2854</v>
      </c>
      <c r="W316" s="13">
        <v>17.3715</v>
      </c>
      <c r="X316" s="13">
        <v>-1.1366</v>
      </c>
      <c r="Y316" s="13">
        <v>0.4494</v>
      </c>
      <c r="Z316" s="13">
        <v>1.7895</v>
      </c>
      <c r="AA316" s="8" t="s">
        <v>2620</v>
      </c>
      <c r="AB316" s="10">
        <f>IFERROR(__xludf.DUMMYFUNCTION("IFERROR(GOOGLEFINANCE(B316,""price""),"""")"),217.12)</f>
        <v>217.12</v>
      </c>
    </row>
    <row r="317">
      <c r="A317" s="15">
        <v>46055.62781646904</v>
      </c>
      <c r="B317" s="16" t="s">
        <v>3000</v>
      </c>
      <c r="C317" s="16" t="s">
        <v>3001</v>
      </c>
      <c r="D317" s="17">
        <v>46061.0</v>
      </c>
      <c r="E317" s="18">
        <v>132.34</v>
      </c>
      <c r="F317" s="16" t="s">
        <v>93</v>
      </c>
      <c r="G317" s="21">
        <v>14.0617</v>
      </c>
      <c r="H317" s="21">
        <v>9.4114</v>
      </c>
      <c r="I317" s="17">
        <v>46073.0</v>
      </c>
      <c r="J317" s="18">
        <v>130.0</v>
      </c>
      <c r="K317" s="16">
        <v>1614.0</v>
      </c>
      <c r="L317" s="16" t="s">
        <v>2608</v>
      </c>
      <c r="M317" s="19">
        <v>1.77</v>
      </c>
      <c r="N317" s="16" t="s">
        <v>3002</v>
      </c>
      <c r="O317" s="16">
        <v>1614.0</v>
      </c>
      <c r="P317" s="19">
        <v>17.4177</v>
      </c>
      <c r="Q317" s="16" t="s">
        <v>3003</v>
      </c>
      <c r="R317" s="19">
        <v>1.131</v>
      </c>
      <c r="S317" s="20">
        <v>1297469.0</v>
      </c>
      <c r="T317" s="20">
        <v>3.6933170964E10</v>
      </c>
      <c r="U317" s="21">
        <v>2.869</v>
      </c>
      <c r="V317" s="21">
        <v>11.0708</v>
      </c>
      <c r="W317" s="21">
        <v>17.1678</v>
      </c>
      <c r="X317" s="21">
        <v>3.2025</v>
      </c>
      <c r="Y317" s="21">
        <v>1.0705</v>
      </c>
      <c r="Z317" s="21">
        <v>3.5913</v>
      </c>
      <c r="AA317" s="16" t="s">
        <v>2611</v>
      </c>
      <c r="AB317" s="18">
        <f>IFERROR(__xludf.DUMMYFUNCTION("IFERROR(GOOGLEFINANCE(B317,""price""),"""")"),139.42)</f>
        <v>139.42</v>
      </c>
    </row>
    <row r="318">
      <c r="A318" s="7">
        <v>46055.62781646904</v>
      </c>
      <c r="B318" s="8" t="s">
        <v>2521</v>
      </c>
      <c r="C318" s="8" t="s">
        <v>2522</v>
      </c>
      <c r="D318" s="9">
        <v>46061.0</v>
      </c>
      <c r="E318" s="10">
        <v>316.3</v>
      </c>
      <c r="F318" s="8" t="s">
        <v>308</v>
      </c>
      <c r="G318" s="13">
        <v>69.2229</v>
      </c>
      <c r="H318" s="13">
        <v>4.5693</v>
      </c>
      <c r="I318" s="9">
        <v>46059.0</v>
      </c>
      <c r="J318" s="10">
        <v>310.0</v>
      </c>
      <c r="K318" s="8">
        <v>1484.0</v>
      </c>
      <c r="L318" s="8" t="s">
        <v>2627</v>
      </c>
      <c r="M318" s="11">
        <v>1.99</v>
      </c>
      <c r="N318" s="8" t="s">
        <v>3004</v>
      </c>
      <c r="O318" s="8">
        <v>1484.0</v>
      </c>
      <c r="P318" s="11">
        <v>36.3604</v>
      </c>
      <c r="Q318" s="8" t="s">
        <v>2523</v>
      </c>
      <c r="R318" s="11">
        <v>1.7434</v>
      </c>
      <c r="S318" s="12">
        <v>2268247.0</v>
      </c>
      <c r="T318" s="12">
        <v>1.54553228947E11</v>
      </c>
      <c r="U318" s="13">
        <v>8.3141</v>
      </c>
      <c r="V318" s="13">
        <v>6.5728</v>
      </c>
      <c r="W318" s="13">
        <v>27.2724</v>
      </c>
      <c r="X318" s="13">
        <v>16.8932</v>
      </c>
      <c r="Y318" s="13">
        <v>0.2646</v>
      </c>
      <c r="Z318" s="13">
        <v>2.1899</v>
      </c>
      <c r="AA318" s="8" t="s">
        <v>2611</v>
      </c>
      <c r="AB318" s="10">
        <f>IFERROR(__xludf.DUMMYFUNCTION("IFERROR(GOOGLEFINANCE(B318,""price""),"""")"),350.14)</f>
        <v>350.14</v>
      </c>
    </row>
    <row r="319">
      <c r="A319" s="15">
        <v>46055.62781646904</v>
      </c>
      <c r="B319" s="16" t="s">
        <v>2646</v>
      </c>
      <c r="C319" s="16" t="s">
        <v>2647</v>
      </c>
      <c r="D319" s="17">
        <v>46061.0</v>
      </c>
      <c r="E319" s="18">
        <v>33.125</v>
      </c>
      <c r="F319" s="16" t="s">
        <v>270</v>
      </c>
      <c r="G319" s="21">
        <v>12.536</v>
      </c>
      <c r="H319" s="21">
        <v>2.6424</v>
      </c>
      <c r="I319" s="17">
        <v>46059.0</v>
      </c>
      <c r="J319" s="18">
        <v>33.5</v>
      </c>
      <c r="K319" s="16">
        <v>1347.0</v>
      </c>
      <c r="L319" s="16" t="s">
        <v>2608</v>
      </c>
      <c r="M319" s="19">
        <v>1.13</v>
      </c>
      <c r="N319" s="16" t="s">
        <v>3005</v>
      </c>
      <c r="O319" s="16">
        <v>1347.0</v>
      </c>
      <c r="P319" s="19">
        <v>27.7824</v>
      </c>
      <c r="Q319" s="16" t="s">
        <v>2649</v>
      </c>
      <c r="R319" s="19">
        <v>-0.1958</v>
      </c>
      <c r="S319" s="20">
        <v>4373060.0</v>
      </c>
      <c r="T319" s="20">
        <v>7.1660006648E10</v>
      </c>
      <c r="U319" s="21">
        <v>0.525</v>
      </c>
      <c r="V319" s="21">
        <v>19.9798</v>
      </c>
      <c r="W319" s="21">
        <v>12.2627</v>
      </c>
      <c r="X319" s="21">
        <v>-6.4585</v>
      </c>
      <c r="Y319" s="21">
        <v>1.1659</v>
      </c>
      <c r="Z319" s="21">
        <v>0.8795</v>
      </c>
      <c r="AA319" s="16" t="s">
        <v>2620</v>
      </c>
      <c r="AB319" s="18">
        <f>IFERROR(__xludf.DUMMYFUNCTION("IFERROR(GOOGLEFINANCE(B319,""price""),"""")"),37.35)</f>
        <v>37.35</v>
      </c>
    </row>
    <row r="320">
      <c r="A320" s="7">
        <v>46055.62781646904</v>
      </c>
      <c r="B320" s="8" t="s">
        <v>2726</v>
      </c>
      <c r="C320" s="8" t="s">
        <v>2727</v>
      </c>
      <c r="D320" s="9">
        <v>46061.0</v>
      </c>
      <c r="E320" s="10">
        <v>81.08</v>
      </c>
      <c r="F320" s="8" t="s">
        <v>286</v>
      </c>
      <c r="G320" s="13">
        <v>46.1573</v>
      </c>
      <c r="H320" s="13">
        <v>1.7566</v>
      </c>
      <c r="I320" s="9">
        <v>46073.0</v>
      </c>
      <c r="J320" s="10">
        <v>82.5</v>
      </c>
      <c r="K320" s="8">
        <v>1246.0</v>
      </c>
      <c r="L320" s="8" t="s">
        <v>2608</v>
      </c>
      <c r="M320" s="11">
        <v>1.75</v>
      </c>
      <c r="N320" s="8" t="s">
        <v>3006</v>
      </c>
      <c r="O320" s="8">
        <v>1246.0</v>
      </c>
      <c r="P320" s="11">
        <v>36.001</v>
      </c>
      <c r="Q320" s="8" t="s">
        <v>2729</v>
      </c>
      <c r="R320" s="11">
        <v>0.3962</v>
      </c>
      <c r="S320" s="12">
        <v>6405368.0</v>
      </c>
      <c r="T320" s="12">
        <v>7.9216879305E10</v>
      </c>
      <c r="U320" s="13">
        <v>1.5</v>
      </c>
      <c r="V320" s="13">
        <v>25.538</v>
      </c>
      <c r="W320" s="13">
        <v>29.9505</v>
      </c>
      <c r="X320" s="13">
        <v>7.618</v>
      </c>
      <c r="Y320" s="13">
        <v>0.0</v>
      </c>
      <c r="Z320" s="13">
        <v>3.1855</v>
      </c>
      <c r="AA320" s="8" t="s">
        <v>2620</v>
      </c>
      <c r="AB320" s="10">
        <f>IFERROR(__xludf.DUMMYFUNCTION("IFERROR(GOOGLEFINANCE(B320,""price""),"""")"),75.72)</f>
        <v>75.72</v>
      </c>
    </row>
    <row r="321">
      <c r="A321" s="15">
        <v>46055.62781646904</v>
      </c>
      <c r="B321" s="16" t="s">
        <v>2684</v>
      </c>
      <c r="C321" s="16" t="s">
        <v>2685</v>
      </c>
      <c r="D321" s="17">
        <v>46061.0</v>
      </c>
      <c r="E321" s="18">
        <v>326.95</v>
      </c>
      <c r="F321" s="16" t="s">
        <v>102</v>
      </c>
      <c r="G321" s="21">
        <v>37.6931</v>
      </c>
      <c r="H321" s="21">
        <v>8.674</v>
      </c>
      <c r="I321" s="17">
        <v>46059.0</v>
      </c>
      <c r="J321" s="18">
        <v>325.0</v>
      </c>
      <c r="K321" s="16">
        <v>1225.0</v>
      </c>
      <c r="L321" s="16" t="s">
        <v>2627</v>
      </c>
      <c r="M321" s="19">
        <v>0.6</v>
      </c>
      <c r="N321" s="16" t="s">
        <v>3007</v>
      </c>
      <c r="O321" s="16">
        <v>1225.0</v>
      </c>
      <c r="P321" s="19">
        <v>36.2114</v>
      </c>
      <c r="Q321" s="16" t="s">
        <v>2687</v>
      </c>
      <c r="R321" s="19">
        <v>1.4365</v>
      </c>
      <c r="S321" s="20">
        <v>4871971.0</v>
      </c>
      <c r="T321" s="20">
        <v>2.59252837238E11</v>
      </c>
      <c r="U321" s="21">
        <v>12.2392</v>
      </c>
      <c r="V321" s="21">
        <v>35.5084</v>
      </c>
      <c r="W321" s="21">
        <v>29.8576</v>
      </c>
      <c r="X321" s="21">
        <v>4.4669</v>
      </c>
      <c r="Y321" s="21">
        <v>0.3453</v>
      </c>
      <c r="Z321" s="21">
        <v>2.6105</v>
      </c>
      <c r="AA321" s="16" t="s">
        <v>2611</v>
      </c>
      <c r="AB321" s="18">
        <f>IFERROR(__xludf.DUMMYFUNCTION("IFERROR(GOOGLEFINANCE(B321,""price""),"""")"),399.5)</f>
        <v>399.5</v>
      </c>
    </row>
    <row r="322">
      <c r="A322" s="7">
        <v>46055.62781646904</v>
      </c>
      <c r="B322" s="8" t="s">
        <v>2710</v>
      </c>
      <c r="C322" s="8" t="s">
        <v>2711</v>
      </c>
      <c r="D322" s="9">
        <v>46061.0</v>
      </c>
      <c r="E322" s="10">
        <v>118.72</v>
      </c>
      <c r="F322" s="8" t="s">
        <v>917</v>
      </c>
      <c r="G322" s="13">
        <v>17.3702</v>
      </c>
      <c r="H322" s="13">
        <v>6.8347</v>
      </c>
      <c r="I322" s="9">
        <v>46073.0</v>
      </c>
      <c r="J322" s="10">
        <v>120.0</v>
      </c>
      <c r="K322" s="8">
        <v>1198.0</v>
      </c>
      <c r="L322" s="8" t="s">
        <v>2608</v>
      </c>
      <c r="M322" s="11">
        <v>1.08</v>
      </c>
      <c r="N322" s="8" t="s">
        <v>3008</v>
      </c>
      <c r="O322" s="8">
        <v>1198.0</v>
      </c>
      <c r="P322" s="11">
        <v>17.7507</v>
      </c>
      <c r="Q322" s="8" t="s">
        <v>2713</v>
      </c>
      <c r="R322" s="11">
        <v>-0.8808</v>
      </c>
      <c r="S322" s="12">
        <v>1521072.0</v>
      </c>
      <c r="T322" s="12">
        <v>6.3407697761E10</v>
      </c>
      <c r="U322" s="13">
        <v>1.9684</v>
      </c>
      <c r="V322" s="13">
        <v>12.848</v>
      </c>
      <c r="W322" s="13">
        <v>25.4789</v>
      </c>
      <c r="X322" s="13">
        <v>7.6587</v>
      </c>
      <c r="Y322" s="13">
        <v>1.5759</v>
      </c>
      <c r="Z322" s="13">
        <v>0.6862</v>
      </c>
      <c r="AA322" s="8" t="s">
        <v>2620</v>
      </c>
      <c r="AB322" s="10">
        <f>IFERROR(__xludf.DUMMYFUNCTION("IFERROR(GOOGLEFINANCE(B322,""price""),"""")"),136.3)</f>
        <v>136.3</v>
      </c>
    </row>
    <row r="323">
      <c r="A323" s="15">
        <v>46055.62781646904</v>
      </c>
      <c r="B323" s="16" t="s">
        <v>2505</v>
      </c>
      <c r="C323" s="16" t="s">
        <v>2506</v>
      </c>
      <c r="D323" s="17">
        <v>46061.0</v>
      </c>
      <c r="E323" s="18">
        <v>181.01</v>
      </c>
      <c r="F323" s="16" t="s">
        <v>335</v>
      </c>
      <c r="G323" s="21">
        <v>24.0143</v>
      </c>
      <c r="H323" s="21">
        <v>7.5376</v>
      </c>
      <c r="I323" s="17">
        <v>46073.0</v>
      </c>
      <c r="J323" s="18">
        <v>180.0</v>
      </c>
      <c r="K323" s="16">
        <v>1194.0</v>
      </c>
      <c r="L323" s="16" t="s">
        <v>2608</v>
      </c>
      <c r="M323" s="19">
        <v>0.56</v>
      </c>
      <c r="N323" s="16" t="s">
        <v>3009</v>
      </c>
      <c r="O323" s="16">
        <v>1194.0</v>
      </c>
      <c r="P323" s="19">
        <v>23.0274</v>
      </c>
      <c r="Q323" s="16" t="s">
        <v>2507</v>
      </c>
      <c r="R323" s="19">
        <v>1.8512</v>
      </c>
      <c r="S323" s="20">
        <v>1562784.0</v>
      </c>
      <c r="T323" s="20">
        <v>4.1425705939E10</v>
      </c>
      <c r="U323" s="21">
        <v>5.098</v>
      </c>
      <c r="V323" s="21">
        <v>8.4356</v>
      </c>
      <c r="W323" s="21">
        <v>8.2261</v>
      </c>
      <c r="X323" s="21">
        <v>5.7251</v>
      </c>
      <c r="Y323" s="21">
        <v>0.3401</v>
      </c>
      <c r="Z323" s="21">
        <v>2.9383</v>
      </c>
      <c r="AA323" s="16" t="s">
        <v>2611</v>
      </c>
      <c r="AB323" s="18">
        <f>IFERROR(__xludf.DUMMYFUNCTION("IFERROR(GOOGLEFINANCE(B323,""price""),"""")"),186.12)</f>
        <v>186.12</v>
      </c>
    </row>
    <row r="324">
      <c r="A324" s="7">
        <v>46055.62781646904</v>
      </c>
      <c r="B324" s="8" t="s">
        <v>2688</v>
      </c>
      <c r="C324" s="8" t="s">
        <v>2689</v>
      </c>
      <c r="D324" s="9">
        <v>46061.0</v>
      </c>
      <c r="E324" s="10">
        <v>228.44</v>
      </c>
      <c r="F324" s="8" t="s">
        <v>102</v>
      </c>
      <c r="G324" s="13">
        <v>36.0367</v>
      </c>
      <c r="H324" s="13">
        <v>6.3391</v>
      </c>
      <c r="I324" s="9">
        <v>46073.0</v>
      </c>
      <c r="J324" s="10">
        <v>230.0</v>
      </c>
      <c r="K324" s="8">
        <v>1149.0</v>
      </c>
      <c r="L324" s="8" t="s">
        <v>2608</v>
      </c>
      <c r="M324" s="11">
        <v>0.68</v>
      </c>
      <c r="N324" s="8" t="s">
        <v>3010</v>
      </c>
      <c r="O324" s="8">
        <v>1149.0</v>
      </c>
      <c r="P324" s="11">
        <v>41.1442</v>
      </c>
      <c r="Q324" s="8" t="s">
        <v>2691</v>
      </c>
      <c r="R324" s="11">
        <v>1.9912</v>
      </c>
      <c r="S324" s="12">
        <v>1648566.0</v>
      </c>
      <c r="T324" s="12">
        <v>5.2587771672E10</v>
      </c>
      <c r="U324" s="13">
        <v>4.1022</v>
      </c>
      <c r="V324" s="13">
        <v>14.6316</v>
      </c>
      <c r="W324" s="13">
        <v>26.2639</v>
      </c>
      <c r="X324" s="13">
        <v>3.6728</v>
      </c>
      <c r="Y324" s="13">
        <v>0.2609</v>
      </c>
      <c r="Z324" s="13">
        <v>1.1554</v>
      </c>
      <c r="AA324" s="8" t="s">
        <v>2620</v>
      </c>
      <c r="AB324" s="10">
        <f>IFERROR(__xludf.DUMMYFUNCTION("IFERROR(GOOGLEFINANCE(B324,""price""),"""")"),234.91)</f>
        <v>234.91</v>
      </c>
    </row>
    <row r="325">
      <c r="A325" s="15">
        <v>46055.62781646904</v>
      </c>
      <c r="B325" s="16" t="s">
        <v>1626</v>
      </c>
      <c r="C325" s="16" t="s">
        <v>1627</v>
      </c>
      <c r="D325" s="17">
        <v>46061.0</v>
      </c>
      <c r="E325" s="18">
        <v>44.155</v>
      </c>
      <c r="F325" s="16" t="s">
        <v>917</v>
      </c>
      <c r="G325" s="21">
        <v>23.3217</v>
      </c>
      <c r="H325" s="21">
        <v>1.8933</v>
      </c>
      <c r="I325" s="17">
        <v>46073.0</v>
      </c>
      <c r="J325" s="18">
        <v>45.0</v>
      </c>
      <c r="K325" s="16">
        <v>1120.0</v>
      </c>
      <c r="L325" s="16" t="s">
        <v>2608</v>
      </c>
      <c r="M325" s="19">
        <v>1.91</v>
      </c>
      <c r="N325" s="16" t="s">
        <v>3011</v>
      </c>
      <c r="O325" s="16">
        <v>1120.0</v>
      </c>
      <c r="P325" s="19">
        <v>27.7813</v>
      </c>
      <c r="Q325" s="16" t="s">
        <v>1628</v>
      </c>
      <c r="R325" s="19">
        <v>-0.3048</v>
      </c>
      <c r="S325" s="20">
        <v>3266377.0</v>
      </c>
      <c r="T325" s="20">
        <v>2.1070568892E10</v>
      </c>
      <c r="U325" s="21">
        <v>0.7378</v>
      </c>
      <c r="V325" s="21">
        <v>10.2329</v>
      </c>
      <c r="W325" s="21">
        <v>27.5403</v>
      </c>
      <c r="X325" s="21">
        <v>19.6207</v>
      </c>
      <c r="Y325" s="21">
        <v>1.7288</v>
      </c>
      <c r="Z325" s="21">
        <v>0.5231</v>
      </c>
      <c r="AA325" s="16" t="s">
        <v>2620</v>
      </c>
      <c r="AB325" s="18">
        <f>IFERROR(__xludf.DUMMYFUNCTION("IFERROR(GOOGLEFINANCE(B325,""price""),"""")"),48.05)</f>
        <v>48.05</v>
      </c>
    </row>
    <row r="326">
      <c r="A326" s="7">
        <v>46055.62781646904</v>
      </c>
      <c r="B326" s="8" t="s">
        <v>1512</v>
      </c>
      <c r="C326" s="8" t="s">
        <v>1513</v>
      </c>
      <c r="D326" s="9">
        <v>46061.0</v>
      </c>
      <c r="E326" s="10">
        <v>76.045</v>
      </c>
      <c r="F326" s="8" t="s">
        <v>917</v>
      </c>
      <c r="G326" s="13">
        <v>20.8697</v>
      </c>
      <c r="H326" s="13">
        <v>3.6438</v>
      </c>
      <c r="I326" s="9">
        <v>46073.0</v>
      </c>
      <c r="J326" s="10">
        <v>77.5</v>
      </c>
      <c r="K326" s="8">
        <v>1106.0</v>
      </c>
      <c r="L326" s="8" t="s">
        <v>2608</v>
      </c>
      <c r="M326" s="11">
        <v>1.91</v>
      </c>
      <c r="N326" s="8" t="s">
        <v>2734</v>
      </c>
      <c r="O326" s="8">
        <v>1106.0</v>
      </c>
      <c r="P326" s="11">
        <v>22.1828</v>
      </c>
      <c r="Q326" s="8" t="s">
        <v>1514</v>
      </c>
      <c r="R326" s="11">
        <v>-0.8927</v>
      </c>
      <c r="S326" s="12">
        <v>2059194.0</v>
      </c>
      <c r="T326" s="12">
        <v>1.7506635183E10</v>
      </c>
      <c r="U326" s="13">
        <v>1.144</v>
      </c>
      <c r="V326" s="13">
        <v>8.3636</v>
      </c>
      <c r="W326" s="13">
        <v>24.8419</v>
      </c>
      <c r="X326" s="13">
        <v>0.1069</v>
      </c>
      <c r="Y326" s="13">
        <v>1.4305</v>
      </c>
      <c r="Z326" s="13">
        <v>0.5156</v>
      </c>
      <c r="AA326" s="8" t="s">
        <v>2620</v>
      </c>
      <c r="AB326" s="10">
        <f>IFERROR(__xludf.DUMMYFUNCTION("IFERROR(GOOGLEFINANCE(B326,""price""),"""")"),83.58)</f>
        <v>83.58</v>
      </c>
    </row>
    <row r="327">
      <c r="A327" s="7">
        <v>46056.626666992815</v>
      </c>
      <c r="B327" s="8" t="s">
        <v>2630</v>
      </c>
      <c r="C327" s="8" t="s">
        <v>2631</v>
      </c>
      <c r="D327" s="9">
        <v>46061.0</v>
      </c>
      <c r="E327" s="10">
        <v>416.685</v>
      </c>
      <c r="F327" s="8" t="s">
        <v>308</v>
      </c>
      <c r="G327" s="13">
        <v>39.6088</v>
      </c>
      <c r="H327" s="13">
        <v>10.52</v>
      </c>
      <c r="I327" s="9">
        <v>46059.0</v>
      </c>
      <c r="J327" s="10">
        <v>425.0</v>
      </c>
      <c r="K327" s="8">
        <v>3450.0</v>
      </c>
      <c r="L327" s="8" t="s">
        <v>2608</v>
      </c>
      <c r="M327" s="11">
        <v>2.0</v>
      </c>
      <c r="N327" s="8" t="s">
        <v>3012</v>
      </c>
      <c r="O327" s="8">
        <v>19748.0</v>
      </c>
      <c r="P327" s="11">
        <v>46.146</v>
      </c>
      <c r="Q327" s="8" t="s">
        <v>2633</v>
      </c>
      <c r="R327" s="11">
        <v>-4.823</v>
      </c>
      <c r="S327" s="12">
        <v>3.7011285E7</v>
      </c>
      <c r="T327" s="12">
        <v>4.68982820154E11</v>
      </c>
      <c r="U327" s="13">
        <v>23.5104</v>
      </c>
      <c r="V327" s="13">
        <v>22.5543</v>
      </c>
      <c r="W327" s="13">
        <v>32.9221</v>
      </c>
      <c r="X327" s="13">
        <v>45.432</v>
      </c>
      <c r="Y327" s="13">
        <v>0.2124</v>
      </c>
      <c r="Z327" s="13">
        <v>2.4598</v>
      </c>
      <c r="AA327" s="8" t="s">
        <v>2620</v>
      </c>
      <c r="AB327" s="14">
        <f>IFERROR(__xludf.DUMMYFUNCTION("IFERROR(GOOGLEFINANCE(B327,""price""),"""")"),420.59)</f>
        <v>420.59</v>
      </c>
    </row>
    <row r="328">
      <c r="A328" s="15">
        <v>46056.626666992815</v>
      </c>
      <c r="B328" s="16" t="s">
        <v>1489</v>
      </c>
      <c r="C328" s="16" t="s">
        <v>1490</v>
      </c>
      <c r="D328" s="17">
        <v>46061.0</v>
      </c>
      <c r="E328" s="18">
        <v>83.135</v>
      </c>
      <c r="F328" s="16" t="s">
        <v>308</v>
      </c>
      <c r="G328" s="21">
        <v>31.3469</v>
      </c>
      <c r="H328" s="21">
        <v>2.6521</v>
      </c>
      <c r="I328" s="17">
        <v>46059.0</v>
      </c>
      <c r="J328" s="18">
        <v>83.0</v>
      </c>
      <c r="K328" s="16">
        <v>10620.0</v>
      </c>
      <c r="L328" s="16" t="s">
        <v>2608</v>
      </c>
      <c r="M328" s="19">
        <v>0.16</v>
      </c>
      <c r="N328" s="16" t="s">
        <v>3013</v>
      </c>
      <c r="O328" s="16">
        <v>18823.0</v>
      </c>
      <c r="P328" s="19">
        <v>26.7456</v>
      </c>
      <c r="Q328" s="16" t="s">
        <v>1491</v>
      </c>
      <c r="R328" s="19">
        <v>3.094</v>
      </c>
      <c r="S328" s="20">
        <v>2.4948145E7</v>
      </c>
      <c r="T328" s="20">
        <v>3.2847423731E11</v>
      </c>
      <c r="U328" s="21">
        <v>1.6518</v>
      </c>
      <c r="V328" s="21">
        <v>23.0103</v>
      </c>
      <c r="W328" s="21">
        <v>22.9895</v>
      </c>
      <c r="X328" s="21">
        <v>8.9097</v>
      </c>
      <c r="Y328" s="21">
        <v>0.6323</v>
      </c>
      <c r="Z328" s="21">
        <v>0.9274</v>
      </c>
      <c r="AA328" s="16" t="s">
        <v>2611</v>
      </c>
      <c r="AB328" s="22">
        <f>IFERROR(__xludf.DUMMYFUNCTION("IFERROR(GOOGLEFINANCE(B328,""price""),"""")"),82.22)</f>
        <v>82.22</v>
      </c>
    </row>
    <row r="329">
      <c r="A329" s="7">
        <v>46056.626666992815</v>
      </c>
      <c r="B329" s="8" t="s">
        <v>2612</v>
      </c>
      <c r="C329" s="8" t="s">
        <v>2613</v>
      </c>
      <c r="D329" s="9">
        <v>46061.0</v>
      </c>
      <c r="E329" s="10">
        <v>244.67</v>
      </c>
      <c r="F329" s="8" t="s">
        <v>308</v>
      </c>
      <c r="G329" s="13">
        <v>120.9202</v>
      </c>
      <c r="H329" s="13">
        <v>2.0234</v>
      </c>
      <c r="I329" s="9">
        <v>46059.0</v>
      </c>
      <c r="J329" s="10">
        <v>245.0</v>
      </c>
      <c r="K329" s="8">
        <v>3729.0</v>
      </c>
      <c r="L329" s="8" t="s">
        <v>2608</v>
      </c>
      <c r="M329" s="11">
        <v>0.13</v>
      </c>
      <c r="N329" s="8" t="s">
        <v>3014</v>
      </c>
      <c r="O329" s="8">
        <v>17225.0</v>
      </c>
      <c r="P329" s="11">
        <v>23.7878</v>
      </c>
      <c r="Q329" s="8" t="s">
        <v>2615</v>
      </c>
      <c r="R329" s="11">
        <v>-0.6497</v>
      </c>
      <c r="S329" s="12">
        <v>3.4486081E7</v>
      </c>
      <c r="T329" s="12">
        <v>3.98332921672E11</v>
      </c>
      <c r="U329" s="13">
        <v>11.798</v>
      </c>
      <c r="V329" s="13">
        <v>5.3169</v>
      </c>
      <c r="W329" s="13">
        <v>9.4733</v>
      </c>
      <c r="X329" s="13">
        <v>31.8255</v>
      </c>
      <c r="Y329" s="13">
        <v>0.0637</v>
      </c>
      <c r="Z329" s="13">
        <v>2.3077</v>
      </c>
      <c r="AA329" s="8" t="s">
        <v>2620</v>
      </c>
      <c r="AB329" s="14">
        <f>IFERROR(__xludf.DUMMYFUNCTION("IFERROR(GOOGLEFINANCE(B329,""price""),"""")"),245.04)</f>
        <v>245.04</v>
      </c>
    </row>
    <row r="330">
      <c r="A330" s="15">
        <v>46056.626666992815</v>
      </c>
      <c r="B330" s="16" t="s">
        <v>2638</v>
      </c>
      <c r="C330" s="16" t="s">
        <v>2639</v>
      </c>
      <c r="D330" s="17">
        <v>46061.0</v>
      </c>
      <c r="E330" s="18">
        <v>144.23</v>
      </c>
      <c r="F330" s="16" t="s">
        <v>245</v>
      </c>
      <c r="G330" s="21">
        <v>21.5561</v>
      </c>
      <c r="H330" s="21">
        <v>6.6909</v>
      </c>
      <c r="I330" s="17">
        <v>46059.0</v>
      </c>
      <c r="J330" s="18">
        <v>145.0</v>
      </c>
      <c r="K330" s="16">
        <v>2817.0</v>
      </c>
      <c r="L330" s="16" t="s">
        <v>2608</v>
      </c>
      <c r="M330" s="19">
        <v>0.53</v>
      </c>
      <c r="N330" s="16" t="s">
        <v>3015</v>
      </c>
      <c r="O330" s="16">
        <v>7574.0</v>
      </c>
      <c r="P330" s="19">
        <v>48.0823</v>
      </c>
      <c r="Q330" s="16" t="s">
        <v>2641</v>
      </c>
      <c r="R330" s="19">
        <v>4.2124</v>
      </c>
      <c r="S330" s="20">
        <v>3.0445369E7</v>
      </c>
      <c r="T330" s="20">
        <v>6.08241757185E11</v>
      </c>
      <c r="U330" s="21">
        <v>3.0564</v>
      </c>
      <c r="V330" s="21">
        <v>11.0283</v>
      </c>
      <c r="W330" s="21">
        <v>10.3419</v>
      </c>
      <c r="X330" s="21">
        <v>-4.856</v>
      </c>
      <c r="Y330" s="21">
        <v>0.1678</v>
      </c>
      <c r="Z330" s="21">
        <v>1.1528</v>
      </c>
      <c r="AA330" s="16" t="s">
        <v>2620</v>
      </c>
      <c r="AB330" s="22">
        <f>IFERROR(__xludf.DUMMYFUNCTION("IFERROR(GOOGLEFINANCE(B330,""price""),"""")"),152.51)</f>
        <v>152.51</v>
      </c>
    </row>
    <row r="331">
      <c r="A331" s="7">
        <v>46056.626666992815</v>
      </c>
      <c r="B331" s="8" t="s">
        <v>2634</v>
      </c>
      <c r="C331" s="8" t="s">
        <v>2635</v>
      </c>
      <c r="D331" s="9">
        <v>46061.0</v>
      </c>
      <c r="E331" s="10">
        <v>178.32</v>
      </c>
      <c r="F331" s="8" t="s">
        <v>245</v>
      </c>
      <c r="G331" s="13">
        <v>26.8114</v>
      </c>
      <c r="H331" s="13">
        <v>6.6509</v>
      </c>
      <c r="I331" s="9">
        <v>46059.0</v>
      </c>
      <c r="J331" s="10">
        <v>180.0</v>
      </c>
      <c r="K331" s="8">
        <v>2491.0</v>
      </c>
      <c r="L331" s="8" t="s">
        <v>2608</v>
      </c>
      <c r="M331" s="11">
        <v>0.94</v>
      </c>
      <c r="N331" s="8" t="s">
        <v>3016</v>
      </c>
      <c r="O331" s="8">
        <v>6304.0</v>
      </c>
      <c r="P331" s="11">
        <v>48.663</v>
      </c>
      <c r="Q331" s="8" t="s">
        <v>2637</v>
      </c>
      <c r="R331" s="11">
        <v>2.4651</v>
      </c>
      <c r="S331" s="12">
        <v>1.419341E7</v>
      </c>
      <c r="T331" s="12">
        <v>3.59051170343E11</v>
      </c>
      <c r="U331" s="13">
        <v>3.4529</v>
      </c>
      <c r="V331" s="13">
        <v>7.261</v>
      </c>
      <c r="W331" s="13">
        <v>8.9022</v>
      </c>
      <c r="X331" s="13">
        <v>-4.6053</v>
      </c>
      <c r="Y331" s="13">
        <v>0.2186</v>
      </c>
      <c r="Z331" s="23"/>
      <c r="AA331" s="8" t="s">
        <v>2620</v>
      </c>
      <c r="AB331" s="14">
        <f>IFERROR(__xludf.DUMMYFUNCTION("IFERROR(GOOGLEFINANCE(B331,""price""),"""")"),188.55)</f>
        <v>188.55</v>
      </c>
    </row>
    <row r="332">
      <c r="A332" s="15">
        <v>46056.626666992815</v>
      </c>
      <c r="B332" s="16" t="s">
        <v>2621</v>
      </c>
      <c r="C332" s="16" t="s">
        <v>2622</v>
      </c>
      <c r="D332" s="17">
        <v>46061.0</v>
      </c>
      <c r="E332" s="18">
        <v>64.405</v>
      </c>
      <c r="F332" s="16" t="s">
        <v>335</v>
      </c>
      <c r="G332" s="21">
        <v>42.5396</v>
      </c>
      <c r="H332" s="21">
        <v>1.514</v>
      </c>
      <c r="I332" s="17">
        <v>46059.0</v>
      </c>
      <c r="J332" s="18">
        <v>65.0</v>
      </c>
      <c r="K332" s="16">
        <v>3208.0</v>
      </c>
      <c r="L332" s="16" t="s">
        <v>2608</v>
      </c>
      <c r="M332" s="19">
        <v>0.92</v>
      </c>
      <c r="N332" s="16" t="s">
        <v>3017</v>
      </c>
      <c r="O332" s="16">
        <v>5857.0</v>
      </c>
      <c r="P332" s="19">
        <v>43.5176</v>
      </c>
      <c r="Q332" s="16" t="s">
        <v>2624</v>
      </c>
      <c r="R332" s="19">
        <v>5.999</v>
      </c>
      <c r="S332" s="20">
        <v>2.669665E7</v>
      </c>
      <c r="T332" s="20">
        <v>9.2481111864E10</v>
      </c>
      <c r="U332" s="21">
        <v>2.7549</v>
      </c>
      <c r="V332" s="21">
        <v>11.9792</v>
      </c>
      <c r="W332" s="21">
        <v>23.7569</v>
      </c>
      <c r="X332" s="21">
        <v>1.5155</v>
      </c>
      <c r="Y332" s="21">
        <v>0.5497</v>
      </c>
      <c r="Z332" s="21">
        <v>2.2911</v>
      </c>
      <c r="AA332" s="16" t="s">
        <v>2620</v>
      </c>
      <c r="AB332" s="22">
        <f>IFERROR(__xludf.DUMMYFUNCTION("IFERROR(GOOGLEFINANCE(B332,""price""),"""")"),67.8)</f>
        <v>67.8</v>
      </c>
    </row>
    <row r="333">
      <c r="A333" s="7">
        <v>46056.626666992815</v>
      </c>
      <c r="B333" s="8" t="s">
        <v>2658</v>
      </c>
      <c r="C333" s="8" t="s">
        <v>2659</v>
      </c>
      <c r="D333" s="9">
        <v>46061.0</v>
      </c>
      <c r="E333" s="10">
        <v>88.435</v>
      </c>
      <c r="F333" s="8" t="s">
        <v>917</v>
      </c>
      <c r="G333" s="13">
        <v>26.796</v>
      </c>
      <c r="H333" s="13">
        <v>3.3003</v>
      </c>
      <c r="I333" s="9">
        <v>46059.0</v>
      </c>
      <c r="J333" s="10">
        <v>87.0</v>
      </c>
      <c r="K333" s="8">
        <v>2589.0</v>
      </c>
      <c r="L333" s="8" t="s">
        <v>2627</v>
      </c>
      <c r="M333" s="11">
        <v>1.62</v>
      </c>
      <c r="N333" s="8" t="s">
        <v>3018</v>
      </c>
      <c r="O333" s="8">
        <v>5843.0</v>
      </c>
      <c r="P333" s="11">
        <v>29.8161</v>
      </c>
      <c r="Q333" s="8" t="s">
        <v>2661</v>
      </c>
      <c r="R333" s="11">
        <v>2.4383</v>
      </c>
      <c r="S333" s="12">
        <v>6569681.0</v>
      </c>
      <c r="T333" s="12">
        <v>1.84175585575E11</v>
      </c>
      <c r="U333" s="13">
        <v>1.838</v>
      </c>
      <c r="V333" s="13">
        <v>13.0533</v>
      </c>
      <c r="W333" s="13">
        <v>26.0656</v>
      </c>
      <c r="X333" s="13">
        <v>7.4736</v>
      </c>
      <c r="Y333" s="13">
        <v>1.751</v>
      </c>
      <c r="Z333" s="13">
        <v>0.5953</v>
      </c>
      <c r="AA333" s="8" t="s">
        <v>2611</v>
      </c>
      <c r="AB333" s="14">
        <f>IFERROR(__xludf.DUMMYFUNCTION("IFERROR(GOOGLEFINANCE(B333,""price""),"""")"),94.08)</f>
        <v>94.08</v>
      </c>
    </row>
    <row r="334">
      <c r="A334" s="15">
        <v>46056.626666992815</v>
      </c>
      <c r="B334" s="16" t="s">
        <v>2616</v>
      </c>
      <c r="C334" s="16" t="s">
        <v>2617</v>
      </c>
      <c r="D334" s="17">
        <v>46061.0</v>
      </c>
      <c r="E334" s="18">
        <v>77.01</v>
      </c>
      <c r="F334" s="16" t="s">
        <v>286</v>
      </c>
      <c r="G334" s="21">
        <v>25.4966</v>
      </c>
      <c r="H334" s="21">
        <v>3.0204</v>
      </c>
      <c r="I334" s="17">
        <v>46059.0</v>
      </c>
      <c r="J334" s="18">
        <v>77.0</v>
      </c>
      <c r="K334" s="16">
        <v>3141.0</v>
      </c>
      <c r="L334" s="16" t="s">
        <v>2608</v>
      </c>
      <c r="M334" s="19">
        <v>0.01</v>
      </c>
      <c r="N334" s="16" t="s">
        <v>3019</v>
      </c>
      <c r="O334" s="16">
        <v>5842.0</v>
      </c>
      <c r="P334" s="19">
        <v>31.1757</v>
      </c>
      <c r="Q334" s="16" t="s">
        <v>2619</v>
      </c>
      <c r="R334" s="19">
        <v>2.2302</v>
      </c>
      <c r="S334" s="20">
        <v>1.9541078E7</v>
      </c>
      <c r="T334" s="20">
        <v>3.31266908418E11</v>
      </c>
      <c r="U334" s="21">
        <v>1.1655</v>
      </c>
      <c r="V334" s="21">
        <v>45.1173</v>
      </c>
      <c r="W334" s="21">
        <v>31.1024</v>
      </c>
      <c r="X334" s="21">
        <v>2.9315</v>
      </c>
      <c r="Y334" s="21">
        <v>1.5175</v>
      </c>
      <c r="Z334" s="21">
        <v>1.211</v>
      </c>
      <c r="AA334" s="16" t="s">
        <v>2611</v>
      </c>
      <c r="AB334" s="22">
        <f>IFERROR(__xludf.DUMMYFUNCTION("IFERROR(GOOGLEFINANCE(B334,""price""),"""")"),77.47)</f>
        <v>77.47</v>
      </c>
    </row>
    <row r="335">
      <c r="A335" s="7">
        <v>46056.626666992815</v>
      </c>
      <c r="B335" s="8" t="s">
        <v>2676</v>
      </c>
      <c r="C335" s="8" t="s">
        <v>2677</v>
      </c>
      <c r="D335" s="9">
        <v>46061.0</v>
      </c>
      <c r="E335" s="10">
        <v>29.76</v>
      </c>
      <c r="F335" s="8" t="s">
        <v>93</v>
      </c>
      <c r="G335" s="13">
        <v>12.9543</v>
      </c>
      <c r="H335" s="13">
        <v>2.2973</v>
      </c>
      <c r="I335" s="9">
        <v>46073.0</v>
      </c>
      <c r="J335" s="10">
        <v>30.0</v>
      </c>
      <c r="K335" s="8">
        <v>4566.0</v>
      </c>
      <c r="L335" s="8" t="s">
        <v>2608</v>
      </c>
      <c r="M335" s="11">
        <v>0.81</v>
      </c>
      <c r="N335" s="8" t="s">
        <v>3020</v>
      </c>
      <c r="O335" s="8">
        <v>4566.0</v>
      </c>
      <c r="P335" s="11">
        <v>18.9046</v>
      </c>
      <c r="Q335" s="8" t="s">
        <v>2679</v>
      </c>
      <c r="R335" s="11">
        <v>2.1978</v>
      </c>
      <c r="S335" s="12">
        <v>1.502667E7</v>
      </c>
      <c r="T335" s="12">
        <v>2.6095846162E10</v>
      </c>
      <c r="U335" s="13">
        <v>0.6461</v>
      </c>
      <c r="V335" s="13">
        <v>11.6787</v>
      </c>
      <c r="W335" s="13">
        <v>28.7373</v>
      </c>
      <c r="X335" s="13">
        <v>2.137</v>
      </c>
      <c r="Y335" s="13">
        <v>0.2565</v>
      </c>
      <c r="Z335" s="13">
        <v>0.1084</v>
      </c>
      <c r="AA335" s="8" t="s">
        <v>2620</v>
      </c>
      <c r="AB335" s="14">
        <f>IFERROR(__xludf.DUMMYFUNCTION("IFERROR(GOOGLEFINANCE(B335,""price""),"""")"),27.5)</f>
        <v>27.5</v>
      </c>
    </row>
    <row r="336">
      <c r="A336" s="15">
        <v>46056.626666992815</v>
      </c>
      <c r="B336" s="16" t="s">
        <v>2654</v>
      </c>
      <c r="C336" s="16" t="s">
        <v>2655</v>
      </c>
      <c r="D336" s="17">
        <v>46061.0</v>
      </c>
      <c r="E336" s="18">
        <v>40.015</v>
      </c>
      <c r="F336" s="16" t="s">
        <v>917</v>
      </c>
      <c r="G336" s="21">
        <v>25.2652</v>
      </c>
      <c r="H336" s="21">
        <v>1.5838</v>
      </c>
      <c r="I336" s="17">
        <v>46073.0</v>
      </c>
      <c r="J336" s="18">
        <v>40.0</v>
      </c>
      <c r="K336" s="16">
        <v>4473.0</v>
      </c>
      <c r="L336" s="16" t="s">
        <v>2608</v>
      </c>
      <c r="M336" s="19">
        <v>0.04</v>
      </c>
      <c r="N336" s="16" t="s">
        <v>3021</v>
      </c>
      <c r="O336" s="16">
        <v>4473.0</v>
      </c>
      <c r="P336" s="19">
        <v>16.3052</v>
      </c>
      <c r="Q336" s="16" t="s">
        <v>2657</v>
      </c>
      <c r="R336" s="19">
        <v>1.6125</v>
      </c>
      <c r="S336" s="20">
        <v>3076683.0</v>
      </c>
      <c r="T336" s="20">
        <v>2.6124522736E10</v>
      </c>
      <c r="U336" s="21">
        <v>0.6374</v>
      </c>
      <c r="V336" s="21">
        <v>9.6059</v>
      </c>
      <c r="W336" s="21">
        <v>22.5038</v>
      </c>
      <c r="X336" s="21">
        <v>6.4347</v>
      </c>
      <c r="Y336" s="21">
        <v>2.0787</v>
      </c>
      <c r="Z336" s="21">
        <v>0.5135</v>
      </c>
      <c r="AA336" s="16" t="s">
        <v>2611</v>
      </c>
      <c r="AB336" s="22">
        <f>IFERROR(__xludf.DUMMYFUNCTION("IFERROR(GOOGLEFINANCE(B336,""price""),"""")"),43.39)</f>
        <v>43.39</v>
      </c>
    </row>
    <row r="337">
      <c r="A337" s="7">
        <v>46056.626666992815</v>
      </c>
      <c r="B337" s="8" t="s">
        <v>3022</v>
      </c>
      <c r="C337" s="8" t="s">
        <v>3023</v>
      </c>
      <c r="D337" s="9">
        <v>46061.0</v>
      </c>
      <c r="E337" s="10">
        <v>701.27</v>
      </c>
      <c r="F337" s="8" t="s">
        <v>102</v>
      </c>
      <c r="G337" s="13">
        <v>37.2521</v>
      </c>
      <c r="H337" s="13">
        <v>18.825</v>
      </c>
      <c r="I337" s="9">
        <v>46059.0</v>
      </c>
      <c r="J337" s="10">
        <v>715.0</v>
      </c>
      <c r="K337" s="8">
        <v>3746.0</v>
      </c>
      <c r="L337" s="8" t="s">
        <v>2608</v>
      </c>
      <c r="M337" s="11">
        <v>1.96</v>
      </c>
      <c r="N337" s="8" t="s">
        <v>3024</v>
      </c>
      <c r="O337" s="8">
        <v>3746.0</v>
      </c>
      <c r="P337" s="11">
        <v>24.5667</v>
      </c>
      <c r="Q337" s="8" t="s">
        <v>3025</v>
      </c>
      <c r="R337" s="11">
        <v>1.4995</v>
      </c>
      <c r="S337" s="12">
        <v>2243642.0</v>
      </c>
      <c r="T337" s="12">
        <v>3.28180029933E11</v>
      </c>
      <c r="U337" s="13">
        <v>19.9246</v>
      </c>
      <c r="V337" s="13">
        <v>43.5394</v>
      </c>
      <c r="W337" s="13">
        <v>16.6891</v>
      </c>
      <c r="X337" s="13">
        <v>4.2895</v>
      </c>
      <c r="Y337" s="13">
        <v>2.0326</v>
      </c>
      <c r="Z337" s="13">
        <v>1.4357</v>
      </c>
      <c r="AA337" s="8" t="s">
        <v>2620</v>
      </c>
      <c r="AB337" s="14">
        <f>IFERROR(__xludf.DUMMYFUNCTION("IFERROR(GOOGLEFINANCE(B337,""price""),"""")"),790.66)</f>
        <v>790.66</v>
      </c>
    </row>
    <row r="338">
      <c r="A338" s="15">
        <v>46056.626666992815</v>
      </c>
      <c r="B338" s="16" t="s">
        <v>2704</v>
      </c>
      <c r="C338" s="16" t="s">
        <v>2705</v>
      </c>
      <c r="D338" s="17">
        <v>46061.0</v>
      </c>
      <c r="E338" s="18">
        <v>36.265</v>
      </c>
      <c r="F338" s="16" t="s">
        <v>88</v>
      </c>
      <c r="G338" s="24"/>
      <c r="H338" s="21">
        <v>-0.5438</v>
      </c>
      <c r="I338" s="17">
        <v>46059.0</v>
      </c>
      <c r="J338" s="18">
        <v>36.0</v>
      </c>
      <c r="K338" s="16">
        <v>2091.0</v>
      </c>
      <c r="L338" s="16" t="s">
        <v>2608</v>
      </c>
      <c r="M338" s="19">
        <v>0.73</v>
      </c>
      <c r="N338" s="16" t="s">
        <v>3026</v>
      </c>
      <c r="O338" s="16">
        <v>3358.0</v>
      </c>
      <c r="P338" s="19">
        <v>23.386</v>
      </c>
      <c r="Q338" s="16" t="s">
        <v>2707</v>
      </c>
      <c r="R338" s="19">
        <v>4.2098</v>
      </c>
      <c r="S338" s="20">
        <v>2.3812698E7</v>
      </c>
      <c r="T338" s="20">
        <v>1.0139179375E10</v>
      </c>
      <c r="U338" s="21">
        <v>3.5634</v>
      </c>
      <c r="V338" s="21">
        <v>-11.4029</v>
      </c>
      <c r="W338" s="21">
        <v>-26.4624</v>
      </c>
      <c r="X338" s="21">
        <v>33.135</v>
      </c>
      <c r="Y338" s="21">
        <v>1.6778</v>
      </c>
      <c r="Z338" s="21">
        <v>4.8227</v>
      </c>
      <c r="AA338" s="16" t="s">
        <v>2611</v>
      </c>
      <c r="AB338" s="22">
        <f>IFERROR(__xludf.DUMMYFUNCTION("IFERROR(GOOGLEFINANCE(B338,""price""),"""")"),26.24)</f>
        <v>26.24</v>
      </c>
    </row>
    <row r="339">
      <c r="A339" s="7">
        <v>46056.626666992815</v>
      </c>
      <c r="B339" s="8" t="s">
        <v>2915</v>
      </c>
      <c r="C339" s="8" t="s">
        <v>2916</v>
      </c>
      <c r="D339" s="9">
        <v>46061.0</v>
      </c>
      <c r="E339" s="10">
        <v>144.15</v>
      </c>
      <c r="F339" s="8" t="s">
        <v>117</v>
      </c>
      <c r="G339" s="13">
        <v>22.3274</v>
      </c>
      <c r="H339" s="13">
        <v>6.4562</v>
      </c>
      <c r="I339" s="9">
        <v>46059.0</v>
      </c>
      <c r="J339" s="10">
        <v>143.0</v>
      </c>
      <c r="K339" s="8">
        <v>1114.0</v>
      </c>
      <c r="L339" s="8" t="s">
        <v>2608</v>
      </c>
      <c r="M339" s="11">
        <v>0.8</v>
      </c>
      <c r="N339" s="8" t="s">
        <v>3027</v>
      </c>
      <c r="O339" s="8">
        <v>3212.0</v>
      </c>
      <c r="P339" s="11">
        <v>33.0745</v>
      </c>
      <c r="Q339" s="8" t="s">
        <v>2918</v>
      </c>
      <c r="R339" s="11">
        <v>0.8818</v>
      </c>
      <c r="S339" s="12">
        <v>4363071.0</v>
      </c>
      <c r="T339" s="12">
        <v>1.78843958593E11</v>
      </c>
      <c r="U339" s="13">
        <v>3.5883</v>
      </c>
      <c r="V339" s="13">
        <v>40.5348</v>
      </c>
      <c r="W339" s="13">
        <v>39.0204</v>
      </c>
      <c r="X339" s="13">
        <v>2.7624</v>
      </c>
      <c r="Y339" s="13">
        <v>1.1579</v>
      </c>
      <c r="Z339" s="13">
        <v>1.4534</v>
      </c>
      <c r="AA339" s="8" t="s">
        <v>2611</v>
      </c>
      <c r="AB339" s="14">
        <f>IFERROR(__xludf.DUMMYFUNCTION("IFERROR(GOOGLEFINANCE(B339,""price""),"""")"),139.03)</f>
        <v>139.03</v>
      </c>
    </row>
    <row r="340">
      <c r="A340" s="15">
        <v>46056.626666992815</v>
      </c>
      <c r="B340" s="16" t="s">
        <v>1467</v>
      </c>
      <c r="C340" s="16" t="s">
        <v>1468</v>
      </c>
      <c r="D340" s="17">
        <v>46061.0</v>
      </c>
      <c r="E340" s="18">
        <v>124.285</v>
      </c>
      <c r="F340" s="16" t="s">
        <v>102</v>
      </c>
      <c r="G340" s="21">
        <v>24.406</v>
      </c>
      <c r="H340" s="21">
        <v>5.0924</v>
      </c>
      <c r="I340" s="17">
        <v>46073.0</v>
      </c>
      <c r="J340" s="18">
        <v>125.0</v>
      </c>
      <c r="K340" s="16">
        <v>3133.0</v>
      </c>
      <c r="L340" s="16" t="s">
        <v>2608</v>
      </c>
      <c r="M340" s="19">
        <v>0.58</v>
      </c>
      <c r="N340" s="16" t="s">
        <v>3028</v>
      </c>
      <c r="O340" s="16">
        <v>3133.0</v>
      </c>
      <c r="P340" s="19">
        <v>22.1535</v>
      </c>
      <c r="Q340" s="16" t="s">
        <v>1469</v>
      </c>
      <c r="R340" s="19">
        <v>1.0611</v>
      </c>
      <c r="S340" s="20">
        <v>5264805.0</v>
      </c>
      <c r="T340" s="20">
        <v>7.6070645034E10</v>
      </c>
      <c r="U340" s="21">
        <v>2.6847</v>
      </c>
      <c r="V340" s="21">
        <v>11.8587</v>
      </c>
      <c r="W340" s="21">
        <v>11.9215</v>
      </c>
      <c r="X340" s="21">
        <v>-10.1857</v>
      </c>
      <c r="Y340" s="21">
        <v>0.8656</v>
      </c>
      <c r="Z340" s="21">
        <v>0.8989</v>
      </c>
      <c r="AA340" s="16" t="s">
        <v>2620</v>
      </c>
      <c r="AB340" s="22">
        <f>IFERROR(__xludf.DUMMYFUNCTION("IFERROR(GOOGLEFINANCE(B340,""price""),"""")"),142.53)</f>
        <v>142.53</v>
      </c>
    </row>
    <row r="341">
      <c r="A341" s="7">
        <v>46056.626666992815</v>
      </c>
      <c r="B341" s="8" t="s">
        <v>2226</v>
      </c>
      <c r="C341" s="8" t="s">
        <v>2227</v>
      </c>
      <c r="D341" s="9">
        <v>46061.0</v>
      </c>
      <c r="E341" s="10">
        <v>198.72</v>
      </c>
      <c r="F341" s="8" t="s">
        <v>102</v>
      </c>
      <c r="G341" s="13">
        <v>57.4402</v>
      </c>
      <c r="H341" s="13">
        <v>3.4596</v>
      </c>
      <c r="I341" s="9">
        <v>46073.0</v>
      </c>
      <c r="J341" s="10">
        <v>195.0</v>
      </c>
      <c r="K341" s="8">
        <v>1926.0</v>
      </c>
      <c r="L341" s="8" t="s">
        <v>2608</v>
      </c>
      <c r="M341" s="11">
        <v>1.87</v>
      </c>
      <c r="N341" s="8" t="s">
        <v>3029</v>
      </c>
      <c r="O341" s="8">
        <v>2977.0</v>
      </c>
      <c r="P341" s="11">
        <v>28.0668</v>
      </c>
      <c r="Q341" s="8" t="s">
        <v>2228</v>
      </c>
      <c r="R341" s="11">
        <v>1.3516</v>
      </c>
      <c r="S341" s="12">
        <v>2209987.0</v>
      </c>
      <c r="T341" s="12">
        <v>1.0462323664E10</v>
      </c>
      <c r="U341" s="13">
        <v>10.848</v>
      </c>
      <c r="V341" s="13">
        <v>19.4739</v>
      </c>
      <c r="W341" s="13">
        <v>11.6692</v>
      </c>
      <c r="X341" s="13">
        <v>8.1026</v>
      </c>
      <c r="Y341" s="13">
        <v>0.6545</v>
      </c>
      <c r="Z341" s="13">
        <v>2.0002</v>
      </c>
      <c r="AA341" s="8" t="s">
        <v>2611</v>
      </c>
      <c r="AB341" s="14">
        <f>IFERROR(__xludf.DUMMYFUNCTION("IFERROR(GOOGLEFINANCE(B341,""price""),"""")"),241.46)</f>
        <v>241.46</v>
      </c>
    </row>
    <row r="342">
      <c r="A342" s="15">
        <v>46056.626666992815</v>
      </c>
      <c r="B342" s="16" t="s">
        <v>2983</v>
      </c>
      <c r="C342" s="16" t="s">
        <v>2984</v>
      </c>
      <c r="D342" s="17">
        <v>46061.0</v>
      </c>
      <c r="E342" s="18">
        <v>103.66</v>
      </c>
      <c r="F342" s="16" t="s">
        <v>93</v>
      </c>
      <c r="G342" s="21">
        <v>22.2537</v>
      </c>
      <c r="H342" s="21">
        <v>4.6581</v>
      </c>
      <c r="I342" s="17">
        <v>46059.0</v>
      </c>
      <c r="J342" s="18">
        <v>104.0</v>
      </c>
      <c r="K342" s="16">
        <v>2904.0</v>
      </c>
      <c r="L342" s="16" t="s">
        <v>2627</v>
      </c>
      <c r="M342" s="19">
        <v>0.33</v>
      </c>
      <c r="N342" s="16" t="s">
        <v>3030</v>
      </c>
      <c r="O342" s="16">
        <v>2904.0</v>
      </c>
      <c r="P342" s="19">
        <v>24.2366</v>
      </c>
      <c r="Q342" s="16" t="s">
        <v>2986</v>
      </c>
      <c r="R342" s="19">
        <v>-1.4358</v>
      </c>
      <c r="S342" s="20">
        <v>1.0576389E7</v>
      </c>
      <c r="T342" s="20">
        <v>1.84197262121E11</v>
      </c>
      <c r="U342" s="21">
        <v>2.2254</v>
      </c>
      <c r="V342" s="21">
        <v>18.1069</v>
      </c>
      <c r="W342" s="21">
        <v>47.6387</v>
      </c>
      <c r="X342" s="21">
        <v>6.4464</v>
      </c>
      <c r="Y342" s="21">
        <v>0.6275</v>
      </c>
      <c r="Z342" s="24"/>
      <c r="AA342" s="16" t="s">
        <v>2620</v>
      </c>
      <c r="AB342" s="22">
        <f>IFERROR(__xludf.DUMMYFUNCTION("IFERROR(GOOGLEFINANCE(B342,""price""),"""")"),94.8)</f>
        <v>94.8</v>
      </c>
    </row>
    <row r="343">
      <c r="A343" s="7">
        <v>46056.626666992815</v>
      </c>
      <c r="B343" s="8" t="s">
        <v>2672</v>
      </c>
      <c r="C343" s="8" t="s">
        <v>2673</v>
      </c>
      <c r="D343" s="9">
        <v>46061.0</v>
      </c>
      <c r="E343" s="10">
        <v>45.245</v>
      </c>
      <c r="F343" s="8" t="s">
        <v>107</v>
      </c>
      <c r="G343" s="23"/>
      <c r="H343" s="13">
        <v>-1.8425</v>
      </c>
      <c r="I343" s="9">
        <v>46073.0</v>
      </c>
      <c r="J343" s="10">
        <v>45.0</v>
      </c>
      <c r="K343" s="8">
        <v>2330.0</v>
      </c>
      <c r="L343" s="8" t="s">
        <v>2608</v>
      </c>
      <c r="M343" s="11">
        <v>0.54</v>
      </c>
      <c r="N343" s="8" t="s">
        <v>3031</v>
      </c>
      <c r="O343" s="8">
        <v>2330.0</v>
      </c>
      <c r="P343" s="11">
        <v>30.4248</v>
      </c>
      <c r="Q343" s="8" t="s">
        <v>2675</v>
      </c>
      <c r="R343" s="11">
        <v>1.8343</v>
      </c>
      <c r="S343" s="12">
        <v>3776526.0</v>
      </c>
      <c r="T343" s="12">
        <v>1.8956538089E10</v>
      </c>
      <c r="U343" s="13">
        <v>1.0267</v>
      </c>
      <c r="V343" s="13">
        <v>-0.4628</v>
      </c>
      <c r="W343" s="13">
        <v>16.4011</v>
      </c>
      <c r="X343" s="13">
        <v>2.4196</v>
      </c>
      <c r="Y343" s="13">
        <v>0.4045</v>
      </c>
      <c r="Z343" s="13">
        <v>2.0022</v>
      </c>
      <c r="AA343" s="8" t="s">
        <v>2611</v>
      </c>
      <c r="AB343" s="14">
        <f>IFERROR(__xludf.DUMMYFUNCTION("IFERROR(GOOGLEFINANCE(B343,""price""),"""")"),47.25)</f>
        <v>47.25</v>
      </c>
    </row>
    <row r="344">
      <c r="A344" s="15">
        <v>46056.626666992815</v>
      </c>
      <c r="B344" s="16" t="s">
        <v>1570</v>
      </c>
      <c r="C344" s="16" t="s">
        <v>1571</v>
      </c>
      <c r="D344" s="17">
        <v>46061.0</v>
      </c>
      <c r="E344" s="18">
        <v>46.74</v>
      </c>
      <c r="F344" s="16" t="s">
        <v>917</v>
      </c>
      <c r="G344" s="21">
        <v>20.3032</v>
      </c>
      <c r="H344" s="21">
        <v>2.3021</v>
      </c>
      <c r="I344" s="17">
        <v>46073.0</v>
      </c>
      <c r="J344" s="18">
        <v>46.0</v>
      </c>
      <c r="K344" s="16">
        <v>2232.0</v>
      </c>
      <c r="L344" s="16" t="s">
        <v>2608</v>
      </c>
      <c r="M344" s="19">
        <v>1.58</v>
      </c>
      <c r="N344" s="16" t="s">
        <v>3032</v>
      </c>
      <c r="O344" s="16">
        <v>2232.0</v>
      </c>
      <c r="P344" s="19">
        <v>30.8744</v>
      </c>
      <c r="Q344" s="16" t="s">
        <v>1572</v>
      </c>
      <c r="R344" s="19">
        <v>-0.532</v>
      </c>
      <c r="S344" s="20">
        <v>5442184.0</v>
      </c>
      <c r="T344" s="20">
        <v>2.7000090566E10</v>
      </c>
      <c r="U344" s="21">
        <v>0.7584</v>
      </c>
      <c r="V344" s="21">
        <v>10.5451</v>
      </c>
      <c r="W344" s="21">
        <v>19.6489</v>
      </c>
      <c r="X344" s="21">
        <v>7.6402</v>
      </c>
      <c r="Y344" s="21">
        <v>2.1464</v>
      </c>
      <c r="Z344" s="21">
        <v>0.7474</v>
      </c>
      <c r="AA344" s="16" t="s">
        <v>2611</v>
      </c>
      <c r="AB344" s="22">
        <f>IFERROR(__xludf.DUMMYFUNCTION("IFERROR(GOOGLEFINANCE(B344,""price""),"""")"),51.43)</f>
        <v>51.43</v>
      </c>
    </row>
    <row r="345">
      <c r="A345" s="7">
        <v>46056.626666992815</v>
      </c>
      <c r="B345" s="8" t="s">
        <v>2987</v>
      </c>
      <c r="C345" s="8" t="s">
        <v>2988</v>
      </c>
      <c r="D345" s="9">
        <v>46061.0</v>
      </c>
      <c r="E345" s="10">
        <v>92.05</v>
      </c>
      <c r="F345" s="8" t="s">
        <v>137</v>
      </c>
      <c r="G345" s="13">
        <v>20.0318</v>
      </c>
      <c r="H345" s="13">
        <v>4.5952</v>
      </c>
      <c r="I345" s="9">
        <v>46059.0</v>
      </c>
      <c r="J345" s="10">
        <v>93.0</v>
      </c>
      <c r="K345" s="8">
        <v>2158.0</v>
      </c>
      <c r="L345" s="8" t="s">
        <v>2608</v>
      </c>
      <c r="M345" s="11">
        <v>1.03</v>
      </c>
      <c r="N345" s="8" t="s">
        <v>3033</v>
      </c>
      <c r="O345" s="8">
        <v>2158.0</v>
      </c>
      <c r="P345" s="11">
        <v>26.591</v>
      </c>
      <c r="Q345" s="8" t="s">
        <v>2990</v>
      </c>
      <c r="R345" s="11">
        <v>-1.8447</v>
      </c>
      <c r="S345" s="12">
        <v>2708502.0</v>
      </c>
      <c r="T345" s="12">
        <v>4.1606599458E10</v>
      </c>
      <c r="U345" s="13">
        <v>2.4255</v>
      </c>
      <c r="V345" s="13">
        <v>42.4302</v>
      </c>
      <c r="W345" s="13">
        <v>21.2717</v>
      </c>
      <c r="X345" s="13">
        <v>4.8901</v>
      </c>
      <c r="Y345" s="13">
        <v>1.5115</v>
      </c>
      <c r="Z345" s="13">
        <v>0.9249</v>
      </c>
      <c r="AA345" s="8" t="s">
        <v>2620</v>
      </c>
      <c r="AB345" s="14">
        <f>IFERROR(__xludf.DUMMYFUNCTION("IFERROR(GOOGLEFINANCE(B345,""price""),"""")"),95.4)</f>
        <v>95.4</v>
      </c>
    </row>
    <row r="346">
      <c r="A346" s="15">
        <v>46056.626666992815</v>
      </c>
      <c r="B346" s="16" t="s">
        <v>2843</v>
      </c>
      <c r="C346" s="16" t="s">
        <v>2844</v>
      </c>
      <c r="D346" s="17">
        <v>46061.0</v>
      </c>
      <c r="E346" s="18">
        <v>203.96</v>
      </c>
      <c r="F346" s="16" t="s">
        <v>308</v>
      </c>
      <c r="G346" s="21">
        <v>41.1102</v>
      </c>
      <c r="H346" s="21">
        <v>4.9613</v>
      </c>
      <c r="I346" s="17">
        <v>46059.0</v>
      </c>
      <c r="J346" s="18">
        <v>205.0</v>
      </c>
      <c r="K346" s="16">
        <v>2085.0</v>
      </c>
      <c r="L346" s="16" t="s">
        <v>2608</v>
      </c>
      <c r="M346" s="19">
        <v>0.51</v>
      </c>
      <c r="N346" s="16" t="s">
        <v>3034</v>
      </c>
      <c r="O346" s="16">
        <v>2085.0</v>
      </c>
      <c r="P346" s="19">
        <v>47.5834</v>
      </c>
      <c r="Q346" s="16" t="s">
        <v>2846</v>
      </c>
      <c r="R346" s="19">
        <v>1.4272</v>
      </c>
      <c r="S346" s="20">
        <v>5834366.0</v>
      </c>
      <c r="T346" s="20">
        <v>2.73463846562E11</v>
      </c>
      <c r="U346" s="21">
        <v>4.455</v>
      </c>
      <c r="V346" s="21">
        <v>10.7368</v>
      </c>
      <c r="W346" s="21">
        <v>10.0301</v>
      </c>
      <c r="X346" s="21">
        <v>9.7414</v>
      </c>
      <c r="Y346" s="21">
        <v>0.6055</v>
      </c>
      <c r="Z346" s="21">
        <v>1.0263</v>
      </c>
      <c r="AA346" s="16" t="s">
        <v>2620</v>
      </c>
      <c r="AB346" s="22">
        <f>IFERROR(__xludf.DUMMYFUNCTION("IFERROR(GOOGLEFINANCE(B346,""price""),"""")"),201.56)</f>
        <v>201.56</v>
      </c>
    </row>
    <row r="347">
      <c r="A347" s="7">
        <v>46056.626666992815</v>
      </c>
      <c r="B347" s="8" t="s">
        <v>3035</v>
      </c>
      <c r="C347" s="8" t="s">
        <v>3036</v>
      </c>
      <c r="D347" s="9">
        <v>46061.0</v>
      </c>
      <c r="E347" s="10">
        <v>25.135</v>
      </c>
      <c r="F347" s="8" t="s">
        <v>117</v>
      </c>
      <c r="G347" s="13">
        <v>14.6671</v>
      </c>
      <c r="H347" s="13">
        <v>1.7137</v>
      </c>
      <c r="I347" s="9">
        <v>46073.0</v>
      </c>
      <c r="J347" s="10">
        <v>25.0</v>
      </c>
      <c r="K347" s="8">
        <v>1982.0</v>
      </c>
      <c r="L347" s="8" t="s">
        <v>2608</v>
      </c>
      <c r="M347" s="11">
        <v>0.54</v>
      </c>
      <c r="N347" s="8" t="s">
        <v>3037</v>
      </c>
      <c r="O347" s="8">
        <v>1982.0</v>
      </c>
      <c r="P347" s="11">
        <v>16.2105</v>
      </c>
      <c r="Q347" s="8" t="s">
        <v>3038</v>
      </c>
      <c r="R347" s="11">
        <v>0.54</v>
      </c>
      <c r="S347" s="12">
        <v>1432830.0</v>
      </c>
      <c r="T347" s="12">
        <v>3.089402965E9</v>
      </c>
      <c r="U347" s="13">
        <v>0.7642</v>
      </c>
      <c r="V347" s="13">
        <v>27.5191</v>
      </c>
      <c r="W347" s="13">
        <v>44.7556</v>
      </c>
      <c r="X347" s="13">
        <v>25.5632</v>
      </c>
      <c r="Y347" s="13">
        <v>0.0031</v>
      </c>
      <c r="Z347" s="13">
        <v>6.6218</v>
      </c>
      <c r="AA347" s="8" t="s">
        <v>2611</v>
      </c>
      <c r="AB347" s="14">
        <f>IFERROR(__xludf.DUMMYFUNCTION("IFERROR(GOOGLEFINANCE(B347,""price""),"""")"),24.94)</f>
        <v>24.94</v>
      </c>
    </row>
    <row r="348">
      <c r="A348" s="15">
        <v>46056.626666992815</v>
      </c>
      <c r="B348" s="16" t="s">
        <v>3039</v>
      </c>
      <c r="C348" s="16" t="s">
        <v>3040</v>
      </c>
      <c r="D348" s="17">
        <v>46061.0</v>
      </c>
      <c r="E348" s="18">
        <v>280.47</v>
      </c>
      <c r="F348" s="16" t="s">
        <v>308</v>
      </c>
      <c r="G348" s="21">
        <v>80.5624</v>
      </c>
      <c r="H348" s="21">
        <v>3.4814</v>
      </c>
      <c r="I348" s="17">
        <v>46059.0</v>
      </c>
      <c r="J348" s="18">
        <v>280.0</v>
      </c>
      <c r="K348" s="16">
        <v>1931.0</v>
      </c>
      <c r="L348" s="16" t="s">
        <v>2608</v>
      </c>
      <c r="M348" s="19">
        <v>0.17</v>
      </c>
      <c r="N348" s="16" t="s">
        <v>3041</v>
      </c>
      <c r="O348" s="16">
        <v>1931.0</v>
      </c>
      <c r="P348" s="19">
        <v>42.6127</v>
      </c>
      <c r="Q348" s="16" t="s">
        <v>3042</v>
      </c>
      <c r="R348" s="19">
        <v>12.3993</v>
      </c>
      <c r="S348" s="20">
        <v>1.0082365E7</v>
      </c>
      <c r="T348" s="20">
        <v>4.3923927337E10</v>
      </c>
      <c r="U348" s="21">
        <v>11.8137</v>
      </c>
      <c r="V348" s="21">
        <v>19.7343</v>
      </c>
      <c r="W348" s="21">
        <v>21.7539</v>
      </c>
      <c r="X348" s="21">
        <v>13.314</v>
      </c>
      <c r="Y348" s="21">
        <v>0.1013</v>
      </c>
      <c r="Z348" s="21">
        <v>1.757</v>
      </c>
      <c r="AA348" s="16" t="s">
        <v>2611</v>
      </c>
      <c r="AB348" s="22">
        <f>IFERROR(__xludf.DUMMYFUNCTION("IFERROR(GOOGLEFINANCE(B348,""price""),"""")"),367.99)</f>
        <v>367.99</v>
      </c>
    </row>
    <row r="349">
      <c r="A349" s="7">
        <v>46056.626666992815</v>
      </c>
      <c r="B349" s="8" t="s">
        <v>2700</v>
      </c>
      <c r="C349" s="8" t="s">
        <v>2701</v>
      </c>
      <c r="D349" s="9">
        <v>46061.0</v>
      </c>
      <c r="E349" s="10">
        <v>229.7389</v>
      </c>
      <c r="F349" s="8" t="s">
        <v>102</v>
      </c>
      <c r="G349" s="13">
        <v>47.0844</v>
      </c>
      <c r="H349" s="13">
        <v>4.8793</v>
      </c>
      <c r="I349" s="9">
        <v>46059.0</v>
      </c>
      <c r="J349" s="10">
        <v>230.0</v>
      </c>
      <c r="K349" s="8">
        <v>1813.0</v>
      </c>
      <c r="L349" s="8" t="s">
        <v>2627</v>
      </c>
      <c r="M349" s="11">
        <v>0.11</v>
      </c>
      <c r="N349" s="8" t="s">
        <v>3043</v>
      </c>
      <c r="O349" s="8">
        <v>1813.0</v>
      </c>
      <c r="P349" s="11">
        <v>42.8677</v>
      </c>
      <c r="Q349" s="8" t="s">
        <v>2703</v>
      </c>
      <c r="R349" s="11">
        <v>-3.2678</v>
      </c>
      <c r="S349" s="12">
        <v>8763147.0</v>
      </c>
      <c r="T349" s="12">
        <v>2.86891274994E11</v>
      </c>
      <c r="U349" s="13">
        <v>11.6022</v>
      </c>
      <c r="V349" s="13">
        <v>65.5649</v>
      </c>
      <c r="W349" s="13">
        <v>33.7646</v>
      </c>
      <c r="X349" s="13">
        <v>26.8457</v>
      </c>
      <c r="Y349" s="13">
        <v>0.4419</v>
      </c>
      <c r="Z349" s="13">
        <v>2.2562</v>
      </c>
      <c r="AA349" s="8" t="s">
        <v>2620</v>
      </c>
      <c r="AB349" s="14">
        <f>IFERROR(__xludf.DUMMYFUNCTION("IFERROR(GOOGLEFINANCE(B349,""price""),"""")"),263.66)</f>
        <v>263.66</v>
      </c>
    </row>
    <row r="350">
      <c r="A350" s="15">
        <v>46056.626666992815</v>
      </c>
      <c r="B350" s="16" t="s">
        <v>2718</v>
      </c>
      <c r="C350" s="16" t="s">
        <v>2719</v>
      </c>
      <c r="D350" s="17">
        <v>46061.0</v>
      </c>
      <c r="E350" s="18">
        <v>146.81</v>
      </c>
      <c r="F350" s="16" t="s">
        <v>308</v>
      </c>
      <c r="G350" s="21">
        <v>43.934</v>
      </c>
      <c r="H350" s="21">
        <v>3.3416</v>
      </c>
      <c r="I350" s="17">
        <v>46073.0</v>
      </c>
      <c r="J350" s="18">
        <v>145.0</v>
      </c>
      <c r="K350" s="16">
        <v>1768.0</v>
      </c>
      <c r="L350" s="16" t="s">
        <v>2627</v>
      </c>
      <c r="M350" s="19">
        <v>1.23</v>
      </c>
      <c r="N350" s="16" t="s">
        <v>3044</v>
      </c>
      <c r="O350" s="16">
        <v>1768.0</v>
      </c>
      <c r="P350" s="19">
        <v>15.8966</v>
      </c>
      <c r="Q350" s="16" t="s">
        <v>2721</v>
      </c>
      <c r="R350" s="19">
        <v>1.2972</v>
      </c>
      <c r="S350" s="20">
        <v>7990829.0</v>
      </c>
      <c r="T350" s="20">
        <v>1.79703585039E11</v>
      </c>
      <c r="U350" s="21">
        <v>6.8406</v>
      </c>
      <c r="V350" s="21">
        <v>36.8048</v>
      </c>
      <c r="W350" s="21">
        <v>25.8587</v>
      </c>
      <c r="X350" s="21">
        <v>51.7122</v>
      </c>
      <c r="Y350" s="21">
        <v>1.1557</v>
      </c>
      <c r="Z350" s="21">
        <v>2.9792</v>
      </c>
      <c r="AA350" s="16" t="s">
        <v>2611</v>
      </c>
      <c r="AB350" s="22">
        <f>IFERROR(__xludf.DUMMYFUNCTION("IFERROR(GOOGLEFINANCE(B350,""price""),"""")"),140.75)</f>
        <v>140.75</v>
      </c>
    </row>
    <row r="351">
      <c r="A351" s="7">
        <v>46056.626666992815</v>
      </c>
      <c r="B351" s="8" t="s">
        <v>2973</v>
      </c>
      <c r="C351" s="8" t="s">
        <v>2974</v>
      </c>
      <c r="D351" s="9">
        <v>46061.0</v>
      </c>
      <c r="E351" s="10">
        <v>53.945</v>
      </c>
      <c r="F351" s="8" t="s">
        <v>93</v>
      </c>
      <c r="G351" s="13">
        <v>14.1313</v>
      </c>
      <c r="H351" s="13">
        <v>3.8174</v>
      </c>
      <c r="I351" s="9">
        <v>46073.0</v>
      </c>
      <c r="J351" s="10">
        <v>55.0</v>
      </c>
      <c r="K351" s="8">
        <v>1721.0</v>
      </c>
      <c r="L351" s="8" t="s">
        <v>2608</v>
      </c>
      <c r="M351" s="11">
        <v>1.96</v>
      </c>
      <c r="N351" s="8" t="s">
        <v>3045</v>
      </c>
      <c r="O351" s="8">
        <v>1721.0</v>
      </c>
      <c r="P351" s="11">
        <v>22.4461</v>
      </c>
      <c r="Q351" s="8" t="s">
        <v>2976</v>
      </c>
      <c r="R351" s="11">
        <v>2.4402</v>
      </c>
      <c r="S351" s="12">
        <v>1.3069349E7</v>
      </c>
      <c r="T351" s="12">
        <v>6.9008936913E10</v>
      </c>
      <c r="U351" s="13">
        <v>1.0733</v>
      </c>
      <c r="V351" s="13">
        <v>8.2363</v>
      </c>
      <c r="W351" s="13">
        <v>21.1616</v>
      </c>
      <c r="X351" s="13">
        <v>24.2886</v>
      </c>
      <c r="Y351" s="13">
        <v>1.0708</v>
      </c>
      <c r="Z351" s="13">
        <v>0.3413</v>
      </c>
      <c r="AA351" s="8" t="s">
        <v>2620</v>
      </c>
      <c r="AB351" s="14">
        <f>IFERROR(__xludf.DUMMYFUNCTION("IFERROR(GOOGLEFINANCE(B351,""price""),"""")"),49.6)</f>
        <v>49.6</v>
      </c>
    </row>
    <row r="352">
      <c r="A352" s="15">
        <v>46056.626666992815</v>
      </c>
      <c r="B352" s="16" t="s">
        <v>2852</v>
      </c>
      <c r="C352" s="16" t="s">
        <v>2853</v>
      </c>
      <c r="D352" s="17">
        <v>46061.0</v>
      </c>
      <c r="E352" s="18">
        <v>210.855</v>
      </c>
      <c r="F352" s="16" t="s">
        <v>102</v>
      </c>
      <c r="G352" s="21">
        <v>26.551</v>
      </c>
      <c r="H352" s="21">
        <v>7.9415</v>
      </c>
      <c r="I352" s="17">
        <v>46073.0</v>
      </c>
      <c r="J352" s="18">
        <v>210.0</v>
      </c>
      <c r="K352" s="16">
        <v>1644.0</v>
      </c>
      <c r="L352" s="16" t="s">
        <v>2608</v>
      </c>
      <c r="M352" s="19">
        <v>0.41</v>
      </c>
      <c r="N352" s="16" t="s">
        <v>3046</v>
      </c>
      <c r="O352" s="16">
        <v>1644.0</v>
      </c>
      <c r="P352" s="19">
        <v>23.0091</v>
      </c>
      <c r="Q352" s="16" t="s">
        <v>2855</v>
      </c>
      <c r="R352" s="19">
        <v>1.7051</v>
      </c>
      <c r="S352" s="20">
        <v>1337009.0</v>
      </c>
      <c r="T352" s="20">
        <v>2.8919441855E10</v>
      </c>
      <c r="U352" s="21">
        <v>4.4703</v>
      </c>
      <c r="V352" s="21">
        <v>15.2854</v>
      </c>
      <c r="W352" s="21">
        <v>17.3715</v>
      </c>
      <c r="X352" s="21">
        <v>-1.1366</v>
      </c>
      <c r="Y352" s="21">
        <v>0.4494</v>
      </c>
      <c r="Z352" s="21">
        <v>1.7895</v>
      </c>
      <c r="AA352" s="16" t="s">
        <v>2611</v>
      </c>
      <c r="AB352" s="22">
        <f>IFERROR(__xludf.DUMMYFUNCTION("IFERROR(GOOGLEFINANCE(B352,""price""),"""")"),217.12)</f>
        <v>217.12</v>
      </c>
    </row>
    <row r="353">
      <c r="A353" s="7">
        <v>46056.626666992815</v>
      </c>
      <c r="B353" s="8" t="s">
        <v>3000</v>
      </c>
      <c r="C353" s="8" t="s">
        <v>3001</v>
      </c>
      <c r="D353" s="9">
        <v>46061.0</v>
      </c>
      <c r="E353" s="10">
        <v>130.445</v>
      </c>
      <c r="F353" s="8" t="s">
        <v>93</v>
      </c>
      <c r="G353" s="13">
        <v>13.8603</v>
      </c>
      <c r="H353" s="13">
        <v>9.4114</v>
      </c>
      <c r="I353" s="9">
        <v>46073.0</v>
      </c>
      <c r="J353" s="10">
        <v>130.0</v>
      </c>
      <c r="K353" s="8">
        <v>1616.0</v>
      </c>
      <c r="L353" s="8" t="s">
        <v>2608</v>
      </c>
      <c r="M353" s="11">
        <v>0.34</v>
      </c>
      <c r="N353" s="8" t="s">
        <v>3047</v>
      </c>
      <c r="O353" s="8">
        <v>1616.0</v>
      </c>
      <c r="P353" s="11">
        <v>17.1173</v>
      </c>
      <c r="Q353" s="8" t="s">
        <v>3003</v>
      </c>
      <c r="R353" s="11">
        <v>-1.6103</v>
      </c>
      <c r="S353" s="12">
        <v>1184290.0</v>
      </c>
      <c r="T353" s="12">
        <v>3.6404318652E10</v>
      </c>
      <c r="U353" s="13">
        <v>3.0484</v>
      </c>
      <c r="V353" s="13">
        <v>11.0708</v>
      </c>
      <c r="W353" s="13">
        <v>17.1678</v>
      </c>
      <c r="X353" s="13">
        <v>3.2025</v>
      </c>
      <c r="Y353" s="13">
        <v>1.0705</v>
      </c>
      <c r="Z353" s="13">
        <v>3.5913</v>
      </c>
      <c r="AA353" s="8" t="s">
        <v>2611</v>
      </c>
      <c r="AB353" s="14">
        <f>IFERROR(__xludf.DUMMYFUNCTION("IFERROR(GOOGLEFINANCE(B353,""price""),"""")"),139.42)</f>
        <v>139.42</v>
      </c>
    </row>
    <row r="354">
      <c r="A354" s="15">
        <v>46056.626666992815</v>
      </c>
      <c r="B354" s="16" t="s">
        <v>2521</v>
      </c>
      <c r="C354" s="16" t="s">
        <v>2522</v>
      </c>
      <c r="D354" s="17">
        <v>46061.0</v>
      </c>
      <c r="E354" s="18">
        <v>311.36</v>
      </c>
      <c r="F354" s="16" t="s">
        <v>308</v>
      </c>
      <c r="G354" s="21">
        <v>68.1417</v>
      </c>
      <c r="H354" s="21">
        <v>4.5693</v>
      </c>
      <c r="I354" s="17">
        <v>46059.0</v>
      </c>
      <c r="J354" s="18">
        <v>310.0</v>
      </c>
      <c r="K354" s="16">
        <v>1491.0</v>
      </c>
      <c r="L354" s="16" t="s">
        <v>2627</v>
      </c>
      <c r="M354" s="19">
        <v>0.44</v>
      </c>
      <c r="N354" s="16" t="s">
        <v>3048</v>
      </c>
      <c r="O354" s="16">
        <v>1491.0</v>
      </c>
      <c r="P354" s="19">
        <v>36.646</v>
      </c>
      <c r="Q354" s="16" t="s">
        <v>2523</v>
      </c>
      <c r="R354" s="19">
        <v>-1.7358</v>
      </c>
      <c r="S354" s="20">
        <v>3018773.0</v>
      </c>
      <c r="T354" s="20">
        <v>1.52139394197E11</v>
      </c>
      <c r="U354" s="21">
        <v>8.597</v>
      </c>
      <c r="V354" s="21">
        <v>6.5728</v>
      </c>
      <c r="W354" s="21">
        <v>27.2724</v>
      </c>
      <c r="X354" s="21">
        <v>16.8932</v>
      </c>
      <c r="Y354" s="21">
        <v>0.2646</v>
      </c>
      <c r="Z354" s="21">
        <v>2.1899</v>
      </c>
      <c r="AA354" s="16" t="s">
        <v>2611</v>
      </c>
      <c r="AB354" s="22">
        <f>IFERROR(__xludf.DUMMYFUNCTION("IFERROR(GOOGLEFINANCE(B354,""price""),"""")"),350.14)</f>
        <v>350.14</v>
      </c>
    </row>
    <row r="355">
      <c r="A355" s="7">
        <v>46056.626666992815</v>
      </c>
      <c r="B355" s="8" t="s">
        <v>3049</v>
      </c>
      <c r="C355" s="8" t="s">
        <v>3050</v>
      </c>
      <c r="D355" s="9">
        <v>46061.0</v>
      </c>
      <c r="E355" s="10">
        <v>74.95</v>
      </c>
      <c r="F355" s="8" t="s">
        <v>93</v>
      </c>
      <c r="G355" s="13">
        <v>33.8972</v>
      </c>
      <c r="H355" s="13">
        <v>2.2111</v>
      </c>
      <c r="I355" s="9">
        <v>46059.0</v>
      </c>
      <c r="J355" s="10">
        <v>75.0</v>
      </c>
      <c r="K355" s="8">
        <v>1361.0</v>
      </c>
      <c r="L355" s="8" t="s">
        <v>2608</v>
      </c>
      <c r="M355" s="11">
        <v>0.07</v>
      </c>
      <c r="N355" s="8" t="s">
        <v>3051</v>
      </c>
      <c r="O355" s="8">
        <v>1361.0</v>
      </c>
      <c r="P355" s="11">
        <v>30.8935</v>
      </c>
      <c r="Q355" s="8" t="s">
        <v>3052</v>
      </c>
      <c r="R355" s="11">
        <v>-0.4251</v>
      </c>
      <c r="S355" s="12">
        <v>3795413.0</v>
      </c>
      <c r="T355" s="12">
        <v>1.27120343818E11</v>
      </c>
      <c r="U355" s="13">
        <v>2.5357</v>
      </c>
      <c r="V355" s="13">
        <v>20.4086</v>
      </c>
      <c r="W355" s="13">
        <v>86.2403</v>
      </c>
      <c r="X355" s="13">
        <v>11.0531</v>
      </c>
      <c r="Y355" s="13">
        <v>4.6187</v>
      </c>
      <c r="Z355" s="13">
        <v>1.2729</v>
      </c>
      <c r="AA355" s="8" t="s">
        <v>2620</v>
      </c>
      <c r="AB355" s="14">
        <f>IFERROR(__xludf.DUMMYFUNCTION("IFERROR(GOOGLEFINANCE(B355,""price""),"""")"),71.21)</f>
        <v>71.21</v>
      </c>
    </row>
    <row r="356">
      <c r="A356" s="15">
        <v>46056.626666992815</v>
      </c>
      <c r="B356" s="16" t="s">
        <v>2692</v>
      </c>
      <c r="C356" s="16" t="s">
        <v>2693</v>
      </c>
      <c r="D356" s="17">
        <v>46061.0</v>
      </c>
      <c r="E356" s="18">
        <v>233.72</v>
      </c>
      <c r="F356" s="16" t="s">
        <v>117</v>
      </c>
      <c r="G356" s="21">
        <v>21.1592</v>
      </c>
      <c r="H356" s="21">
        <v>11.0458</v>
      </c>
      <c r="I356" s="17">
        <v>46059.0</v>
      </c>
      <c r="J356" s="18">
        <v>230.0</v>
      </c>
      <c r="K356" s="16">
        <v>1337.0</v>
      </c>
      <c r="L356" s="16" t="s">
        <v>2608</v>
      </c>
      <c r="M356" s="19">
        <v>1.59</v>
      </c>
      <c r="N356" s="16" t="s">
        <v>3053</v>
      </c>
      <c r="O356" s="16">
        <v>1337.0</v>
      </c>
      <c r="P356" s="19">
        <v>28.2525</v>
      </c>
      <c r="Q356" s="16" t="s">
        <v>2695</v>
      </c>
      <c r="R356" s="19">
        <v>1.2871</v>
      </c>
      <c r="S356" s="20">
        <v>6926634.0</v>
      </c>
      <c r="T356" s="20">
        <v>5.63100409141E11</v>
      </c>
      <c r="U356" s="21">
        <v>3.8537</v>
      </c>
      <c r="V356" s="24"/>
      <c r="W356" s="21">
        <v>27.4326</v>
      </c>
      <c r="X356" s="21">
        <v>6.0483</v>
      </c>
      <c r="Y356" s="24"/>
      <c r="Z356" s="24"/>
      <c r="AA356" s="16" t="s">
        <v>2611</v>
      </c>
      <c r="AB356" s="22">
        <f>IFERROR(__xludf.DUMMYFUNCTION("IFERROR(GOOGLEFINANCE(B356,""price""),"""")"),238.46)</f>
        <v>238.46</v>
      </c>
    </row>
    <row r="357">
      <c r="A357" s="7">
        <v>46056.626666992815</v>
      </c>
      <c r="B357" s="8" t="s">
        <v>2710</v>
      </c>
      <c r="C357" s="8" t="s">
        <v>2711</v>
      </c>
      <c r="D357" s="9">
        <v>46061.0</v>
      </c>
      <c r="E357" s="10">
        <v>120.4301</v>
      </c>
      <c r="F357" s="8" t="s">
        <v>917</v>
      </c>
      <c r="G357" s="13">
        <v>17.6204</v>
      </c>
      <c r="H357" s="13">
        <v>6.8347</v>
      </c>
      <c r="I357" s="9">
        <v>46073.0</v>
      </c>
      <c r="J357" s="10">
        <v>120.0</v>
      </c>
      <c r="K357" s="8">
        <v>1331.0</v>
      </c>
      <c r="L357" s="8" t="s">
        <v>2608</v>
      </c>
      <c r="M357" s="11">
        <v>0.36</v>
      </c>
      <c r="N357" s="8" t="s">
        <v>3054</v>
      </c>
      <c r="O357" s="8">
        <v>1331.0</v>
      </c>
      <c r="P357" s="11">
        <v>18.3301</v>
      </c>
      <c r="Q357" s="8" t="s">
        <v>2713</v>
      </c>
      <c r="R357" s="11">
        <v>1.7748</v>
      </c>
      <c r="S357" s="12">
        <v>2228578.0</v>
      </c>
      <c r="T357" s="12">
        <v>6.4321052923E10</v>
      </c>
      <c r="U357" s="13">
        <v>2.0551</v>
      </c>
      <c r="V357" s="13">
        <v>12.848</v>
      </c>
      <c r="W357" s="13">
        <v>25.4789</v>
      </c>
      <c r="X357" s="13">
        <v>7.6587</v>
      </c>
      <c r="Y357" s="13">
        <v>1.5759</v>
      </c>
      <c r="Z357" s="13">
        <v>0.6862</v>
      </c>
      <c r="AA357" s="8" t="s">
        <v>2611</v>
      </c>
      <c r="AB357" s="14">
        <f>IFERROR(__xludf.DUMMYFUNCTION("IFERROR(GOOGLEFINANCE(B357,""price""),"""")"),136.3)</f>
        <v>136.3</v>
      </c>
    </row>
    <row r="358">
      <c r="A358" s="15">
        <v>46056.626666992815</v>
      </c>
      <c r="B358" s="16" t="s">
        <v>2625</v>
      </c>
      <c r="C358" s="16" t="s">
        <v>2626</v>
      </c>
      <c r="D358" s="17">
        <v>46061.0</v>
      </c>
      <c r="E358" s="18">
        <v>127.79</v>
      </c>
      <c r="F358" s="16" t="s">
        <v>137</v>
      </c>
      <c r="G358" s="21">
        <v>44.8229</v>
      </c>
      <c r="H358" s="21">
        <v>2.851</v>
      </c>
      <c r="I358" s="17">
        <v>46059.0</v>
      </c>
      <c r="J358" s="18">
        <v>130.0</v>
      </c>
      <c r="K358" s="16">
        <v>1328.0</v>
      </c>
      <c r="L358" s="16" t="s">
        <v>2608</v>
      </c>
      <c r="M358" s="19">
        <v>1.73</v>
      </c>
      <c r="N358" s="16" t="s">
        <v>3055</v>
      </c>
      <c r="O358" s="16">
        <v>1328.0</v>
      </c>
      <c r="P358" s="19">
        <v>23.1828</v>
      </c>
      <c r="Q358" s="16" t="s">
        <v>2629</v>
      </c>
      <c r="R358" s="19">
        <v>3.0066</v>
      </c>
      <c r="S358" s="20">
        <v>2.4667052E7</v>
      </c>
      <c r="T358" s="20">
        <v>1.018507619888E12</v>
      </c>
      <c r="U358" s="21">
        <v>2.6188</v>
      </c>
      <c r="V358" s="21">
        <v>24.8749</v>
      </c>
      <c r="W358" s="21">
        <v>4.1214</v>
      </c>
      <c r="X358" s="21">
        <v>4.3397</v>
      </c>
      <c r="Y358" s="21">
        <v>0.7121</v>
      </c>
      <c r="Z358" s="21">
        <v>0.8029</v>
      </c>
      <c r="AA358" s="16" t="s">
        <v>2620</v>
      </c>
      <c r="AB358" s="22">
        <f>IFERROR(__xludf.DUMMYFUNCTION("IFERROR(GOOGLEFINANCE(B358,""price""),"""")"),126.79)</f>
        <v>126.79</v>
      </c>
    </row>
    <row r="359">
      <c r="A359" s="7">
        <v>46056.626666992815</v>
      </c>
      <c r="B359" s="8" t="s">
        <v>2684</v>
      </c>
      <c r="C359" s="8" t="s">
        <v>2685</v>
      </c>
      <c r="D359" s="9">
        <v>46061.0</v>
      </c>
      <c r="E359" s="10">
        <v>317.58</v>
      </c>
      <c r="F359" s="8" t="s">
        <v>102</v>
      </c>
      <c r="G359" s="13">
        <v>36.6129</v>
      </c>
      <c r="H359" s="13">
        <v>8.674</v>
      </c>
      <c r="I359" s="9">
        <v>46059.0</v>
      </c>
      <c r="J359" s="10">
        <v>317.5</v>
      </c>
      <c r="K359" s="8">
        <v>1284.0</v>
      </c>
      <c r="L359" s="8" t="s">
        <v>2627</v>
      </c>
      <c r="M359" s="11">
        <v>0.03</v>
      </c>
      <c r="N359" s="8" t="s">
        <v>3056</v>
      </c>
      <c r="O359" s="8">
        <v>1284.0</v>
      </c>
      <c r="P359" s="11">
        <v>36.3243</v>
      </c>
      <c r="Q359" s="8" t="s">
        <v>2687</v>
      </c>
      <c r="R359" s="11">
        <v>-3.2948</v>
      </c>
      <c r="S359" s="12">
        <v>6528413.0</v>
      </c>
      <c r="T359" s="12">
        <v>2.5182294739E11</v>
      </c>
      <c r="U359" s="13">
        <v>13.2571</v>
      </c>
      <c r="V359" s="13">
        <v>35.5084</v>
      </c>
      <c r="W359" s="13">
        <v>29.8576</v>
      </c>
      <c r="X359" s="13">
        <v>4.4669</v>
      </c>
      <c r="Y359" s="13">
        <v>0.3453</v>
      </c>
      <c r="Z359" s="13">
        <v>2.6105</v>
      </c>
      <c r="AA359" s="8" t="s">
        <v>2611</v>
      </c>
      <c r="AB359" s="14">
        <f>IFERROR(__xludf.DUMMYFUNCTION("IFERROR(GOOGLEFINANCE(B359,""price""),"""")"),399.5)</f>
        <v>399.5</v>
      </c>
    </row>
    <row r="360">
      <c r="A360" s="15">
        <v>46056.626666992815</v>
      </c>
      <c r="B360" s="16" t="s">
        <v>2726</v>
      </c>
      <c r="C360" s="16" t="s">
        <v>2727</v>
      </c>
      <c r="D360" s="17">
        <v>46061.0</v>
      </c>
      <c r="E360" s="18">
        <v>81.75</v>
      </c>
      <c r="F360" s="16" t="s">
        <v>286</v>
      </c>
      <c r="G360" s="21">
        <v>46.5388</v>
      </c>
      <c r="H360" s="21">
        <v>1.7566</v>
      </c>
      <c r="I360" s="17">
        <v>46073.0</v>
      </c>
      <c r="J360" s="18">
        <v>82.5</v>
      </c>
      <c r="K360" s="16">
        <v>1262.0</v>
      </c>
      <c r="L360" s="16" t="s">
        <v>2608</v>
      </c>
      <c r="M360" s="19">
        <v>0.92</v>
      </c>
      <c r="N360" s="16" t="s">
        <v>3057</v>
      </c>
      <c r="O360" s="16">
        <v>1262.0</v>
      </c>
      <c r="P360" s="19">
        <v>36.6137</v>
      </c>
      <c r="Q360" s="16" t="s">
        <v>2729</v>
      </c>
      <c r="R360" s="19">
        <v>0.8015</v>
      </c>
      <c r="S360" s="20">
        <v>7973068.0</v>
      </c>
      <c r="T360" s="20">
        <v>7.9871479897E10</v>
      </c>
      <c r="U360" s="21">
        <v>1.4879</v>
      </c>
      <c r="V360" s="21">
        <v>25.538</v>
      </c>
      <c r="W360" s="21">
        <v>29.9505</v>
      </c>
      <c r="X360" s="21">
        <v>7.618</v>
      </c>
      <c r="Y360" s="21">
        <v>0.0</v>
      </c>
      <c r="Z360" s="21">
        <v>3.1855</v>
      </c>
      <c r="AA360" s="16" t="s">
        <v>2620</v>
      </c>
      <c r="AB360" s="22">
        <f>IFERROR(__xludf.DUMMYFUNCTION("IFERROR(GOOGLEFINANCE(B360,""price""),"""")"),75.72)</f>
        <v>75.72</v>
      </c>
    </row>
    <row r="361">
      <c r="A361" s="7">
        <v>46056.626666992815</v>
      </c>
      <c r="B361" s="8" t="s">
        <v>2688</v>
      </c>
      <c r="C361" s="8" t="s">
        <v>2689</v>
      </c>
      <c r="D361" s="9">
        <v>46061.0</v>
      </c>
      <c r="E361" s="10">
        <v>229.055</v>
      </c>
      <c r="F361" s="8" t="s">
        <v>102</v>
      </c>
      <c r="G361" s="13">
        <v>36.1337</v>
      </c>
      <c r="H361" s="13">
        <v>6.3391</v>
      </c>
      <c r="I361" s="9">
        <v>46073.0</v>
      </c>
      <c r="J361" s="10">
        <v>230.0</v>
      </c>
      <c r="K361" s="8">
        <v>1234.0</v>
      </c>
      <c r="L361" s="8" t="s">
        <v>2608</v>
      </c>
      <c r="M361" s="11">
        <v>0.41</v>
      </c>
      <c r="N361" s="8" t="s">
        <v>3058</v>
      </c>
      <c r="O361" s="8">
        <v>1234.0</v>
      </c>
      <c r="P361" s="11">
        <v>42.5633</v>
      </c>
      <c r="Q361" s="8" t="s">
        <v>2691</v>
      </c>
      <c r="R361" s="11">
        <v>0.5862</v>
      </c>
      <c r="S361" s="12">
        <v>2325515.0</v>
      </c>
      <c r="T361" s="12">
        <v>5.272934834E10</v>
      </c>
      <c r="U361" s="13">
        <v>4.5085</v>
      </c>
      <c r="V361" s="13">
        <v>14.6316</v>
      </c>
      <c r="W361" s="13">
        <v>26.2639</v>
      </c>
      <c r="X361" s="13">
        <v>3.6728</v>
      </c>
      <c r="Y361" s="13">
        <v>0.2609</v>
      </c>
      <c r="Z361" s="13">
        <v>1.1554</v>
      </c>
      <c r="AA361" s="8" t="s">
        <v>2620</v>
      </c>
      <c r="AB361" s="14">
        <f>IFERROR(__xludf.DUMMYFUNCTION("IFERROR(GOOGLEFINANCE(B361,""price""),"""")"),234.91)</f>
        <v>234.91</v>
      </c>
    </row>
    <row r="362">
      <c r="A362" s="15">
        <v>46056.626666992815</v>
      </c>
      <c r="B362" s="16" t="s">
        <v>1077</v>
      </c>
      <c r="C362" s="16" t="s">
        <v>1078</v>
      </c>
      <c r="D362" s="17">
        <v>46061.0</v>
      </c>
      <c r="E362" s="18">
        <v>9.485</v>
      </c>
      <c r="F362" s="16" t="s">
        <v>335</v>
      </c>
      <c r="G362" s="24"/>
      <c r="H362" s="21">
        <v>-0.041</v>
      </c>
      <c r="I362" s="17">
        <v>46059.0</v>
      </c>
      <c r="J362" s="18">
        <v>9.5</v>
      </c>
      <c r="K362" s="16">
        <v>1218.0</v>
      </c>
      <c r="L362" s="16" t="s">
        <v>2608</v>
      </c>
      <c r="M362" s="19">
        <v>0.16</v>
      </c>
      <c r="N362" s="16" t="s">
        <v>3059</v>
      </c>
      <c r="O362" s="16">
        <v>1218.0</v>
      </c>
      <c r="P362" s="19">
        <v>24.8632</v>
      </c>
      <c r="Q362" s="16" t="s">
        <v>1079</v>
      </c>
      <c r="R362" s="19">
        <v>20.6743</v>
      </c>
      <c r="S362" s="20">
        <v>2.210357E7</v>
      </c>
      <c r="T362" s="20">
        <v>1.328237822E9</v>
      </c>
      <c r="U362" s="21">
        <v>1.2237</v>
      </c>
      <c r="V362" s="21">
        <v>-10.5913</v>
      </c>
      <c r="W362" s="21">
        <v>-18.9471</v>
      </c>
      <c r="X362" s="21">
        <v>240.123</v>
      </c>
      <c r="Y362" s="21">
        <v>0.0037</v>
      </c>
      <c r="Z362" s="21">
        <v>5.0784</v>
      </c>
      <c r="AA362" s="16" t="s">
        <v>2620</v>
      </c>
      <c r="AB362" s="22">
        <f>IFERROR(__xludf.DUMMYFUNCTION("IFERROR(GOOGLEFINANCE(B362,""price""),"""")"),8.36)</f>
        <v>8.36</v>
      </c>
    </row>
    <row r="363">
      <c r="A363" s="7">
        <v>46056.626666992815</v>
      </c>
      <c r="B363" s="8" t="s">
        <v>2642</v>
      </c>
      <c r="C363" s="8" t="s">
        <v>2643</v>
      </c>
      <c r="D363" s="9">
        <v>46061.0</v>
      </c>
      <c r="E363" s="10">
        <v>193.575</v>
      </c>
      <c r="F363" s="8" t="s">
        <v>335</v>
      </c>
      <c r="G363" s="13">
        <v>24.196</v>
      </c>
      <c r="H363" s="13">
        <v>8.0003</v>
      </c>
      <c r="I363" s="9">
        <v>46073.0</v>
      </c>
      <c r="J363" s="10">
        <v>195.0</v>
      </c>
      <c r="K363" s="8">
        <v>1194.0</v>
      </c>
      <c r="L363" s="8" t="s">
        <v>2608</v>
      </c>
      <c r="M363" s="11">
        <v>0.74</v>
      </c>
      <c r="N363" s="8" t="s">
        <v>3060</v>
      </c>
      <c r="O363" s="8">
        <v>1194.0</v>
      </c>
      <c r="P363" s="11">
        <v>25.0095</v>
      </c>
      <c r="Q363" s="8" t="s">
        <v>2645</v>
      </c>
      <c r="R363" s="11">
        <v>3.7657</v>
      </c>
      <c r="S363" s="12">
        <v>1201944.0</v>
      </c>
      <c r="T363" s="12">
        <v>2.8268699713E10</v>
      </c>
      <c r="U363" s="13">
        <v>5.8252</v>
      </c>
      <c r="V363" s="13">
        <v>13.2532</v>
      </c>
      <c r="W363" s="13">
        <v>8.1203</v>
      </c>
      <c r="X363" s="13">
        <v>3.627</v>
      </c>
      <c r="Y363" s="13">
        <v>0.4701</v>
      </c>
      <c r="Z363" s="13">
        <v>3.0553</v>
      </c>
      <c r="AA363" s="8" t="s">
        <v>2620</v>
      </c>
      <c r="AB363" s="14">
        <f>IFERROR(__xludf.DUMMYFUNCTION("IFERROR(GOOGLEFINANCE(B363,""price""),"""")"),190.57)</f>
        <v>190.57</v>
      </c>
    </row>
    <row r="364">
      <c r="A364" s="15">
        <v>46056.626666992815</v>
      </c>
      <c r="B364" s="16" t="s">
        <v>2714</v>
      </c>
      <c r="C364" s="16" t="s">
        <v>2715</v>
      </c>
      <c r="D364" s="17">
        <v>46061.0</v>
      </c>
      <c r="E364" s="18">
        <v>17.81</v>
      </c>
      <c r="F364" s="16" t="s">
        <v>335</v>
      </c>
      <c r="G364" s="24"/>
      <c r="H364" s="21">
        <v>-0.1778</v>
      </c>
      <c r="I364" s="17">
        <v>46059.0</v>
      </c>
      <c r="J364" s="18">
        <v>18.0</v>
      </c>
      <c r="K364" s="16">
        <v>1185.0</v>
      </c>
      <c r="L364" s="16" t="s">
        <v>2608</v>
      </c>
      <c r="M364" s="19">
        <v>1.07</v>
      </c>
      <c r="N364" s="16" t="s">
        <v>3061</v>
      </c>
      <c r="O364" s="16">
        <v>1185.0</v>
      </c>
      <c r="P364" s="19">
        <v>36.6625</v>
      </c>
      <c r="Q364" s="16" t="s">
        <v>2717</v>
      </c>
      <c r="R364" s="19">
        <v>9.1299</v>
      </c>
      <c r="S364" s="20">
        <v>9691603.0</v>
      </c>
      <c r="T364" s="20">
        <v>8.608951527E9</v>
      </c>
      <c r="U364" s="21">
        <v>1.4155</v>
      </c>
      <c r="V364" s="21">
        <v>-7.2866</v>
      </c>
      <c r="W364" s="21">
        <v>-180.4947</v>
      </c>
      <c r="X364" s="21">
        <v>189.1937</v>
      </c>
      <c r="Y364" s="21">
        <v>0.0</v>
      </c>
      <c r="Z364" s="21">
        <v>27.716</v>
      </c>
      <c r="AA364" s="16" t="s">
        <v>2620</v>
      </c>
      <c r="AB364" s="22">
        <f>IFERROR(__xludf.DUMMYFUNCTION("IFERROR(GOOGLEFINANCE(B364,""price""),"""")"),13.53)</f>
        <v>13.53</v>
      </c>
    </row>
    <row r="365">
      <c r="A365" s="7">
        <v>46056.626666992815</v>
      </c>
      <c r="B365" s="8" t="s">
        <v>1512</v>
      </c>
      <c r="C365" s="8" t="s">
        <v>1513</v>
      </c>
      <c r="D365" s="9">
        <v>46061.0</v>
      </c>
      <c r="E365" s="10">
        <v>77.45</v>
      </c>
      <c r="F365" s="8" t="s">
        <v>917</v>
      </c>
      <c r="G365" s="13">
        <v>21.2553</v>
      </c>
      <c r="H365" s="13">
        <v>3.6438</v>
      </c>
      <c r="I365" s="9">
        <v>46073.0</v>
      </c>
      <c r="J365" s="10">
        <v>77.5</v>
      </c>
      <c r="K365" s="8">
        <v>1113.0</v>
      </c>
      <c r="L365" s="8" t="s">
        <v>2608</v>
      </c>
      <c r="M365" s="11">
        <v>0.06</v>
      </c>
      <c r="N365" s="8" t="s">
        <v>3062</v>
      </c>
      <c r="O365" s="8">
        <v>1113.0</v>
      </c>
      <c r="P365" s="11">
        <v>22.672</v>
      </c>
      <c r="Q365" s="8" t="s">
        <v>1514</v>
      </c>
      <c r="R365" s="11">
        <v>1.9616</v>
      </c>
      <c r="S365" s="12">
        <v>1956057.0</v>
      </c>
      <c r="T365" s="12">
        <v>1.7830085071E10</v>
      </c>
      <c r="U365" s="13">
        <v>1.2202</v>
      </c>
      <c r="V365" s="13">
        <v>8.3636</v>
      </c>
      <c r="W365" s="13">
        <v>24.8419</v>
      </c>
      <c r="X365" s="13">
        <v>0.1069</v>
      </c>
      <c r="Y365" s="13">
        <v>1.4305</v>
      </c>
      <c r="Z365" s="13">
        <v>0.5156</v>
      </c>
      <c r="AA365" s="8" t="s">
        <v>2620</v>
      </c>
      <c r="AB365" s="14">
        <f>IFERROR(__xludf.DUMMYFUNCTION("IFERROR(GOOGLEFINANCE(B365,""price""),"""")"),83.58)</f>
        <v>83.58</v>
      </c>
    </row>
    <row r="366">
      <c r="A366" s="15">
        <v>46056.626666992815</v>
      </c>
      <c r="B366" s="16" t="s">
        <v>2646</v>
      </c>
      <c r="C366" s="16" t="s">
        <v>2647</v>
      </c>
      <c r="D366" s="17">
        <v>46061.0</v>
      </c>
      <c r="E366" s="18">
        <v>34.615</v>
      </c>
      <c r="F366" s="16" t="s">
        <v>270</v>
      </c>
      <c r="G366" s="21">
        <v>13.0998</v>
      </c>
      <c r="H366" s="21">
        <v>2.6424</v>
      </c>
      <c r="I366" s="17">
        <v>46059.0</v>
      </c>
      <c r="J366" s="18">
        <v>34.0</v>
      </c>
      <c r="K366" s="16">
        <v>1006.0</v>
      </c>
      <c r="L366" s="16" t="s">
        <v>2608</v>
      </c>
      <c r="M366" s="19">
        <v>1.78</v>
      </c>
      <c r="N366" s="16" t="s">
        <v>3063</v>
      </c>
      <c r="O366" s="16">
        <v>1006.0</v>
      </c>
      <c r="P366" s="19">
        <v>29.0788</v>
      </c>
      <c r="Q366" s="16" t="s">
        <v>2649</v>
      </c>
      <c r="R366" s="19">
        <v>4.577</v>
      </c>
      <c r="S366" s="20">
        <v>1.3637401E7</v>
      </c>
      <c r="T366" s="20">
        <v>7.4883354518E10</v>
      </c>
      <c r="U366" s="21">
        <v>0.6289</v>
      </c>
      <c r="V366" s="21">
        <v>19.9798</v>
      </c>
      <c r="W366" s="21">
        <v>12.2627</v>
      </c>
      <c r="X366" s="21">
        <v>-6.4585</v>
      </c>
      <c r="Y366" s="21">
        <v>1.1659</v>
      </c>
      <c r="Z366" s="21">
        <v>0.8795</v>
      </c>
      <c r="AA366" s="16" t="s">
        <v>2611</v>
      </c>
      <c r="AB366" s="22">
        <f>IFERROR(__xludf.DUMMYFUNCTION("IFERROR(GOOGLEFINANCE(B366,""price""),"""")"),37.35)</f>
        <v>37.35</v>
      </c>
    </row>
    <row r="367">
      <c r="A367" s="7">
        <v>46057.4547318623</v>
      </c>
      <c r="B367" s="8" t="s">
        <v>2630</v>
      </c>
      <c r="C367" s="8" t="s">
        <v>2631</v>
      </c>
      <c r="D367" s="9">
        <v>46061.0</v>
      </c>
      <c r="E367" s="10">
        <v>382.54</v>
      </c>
      <c r="F367" s="8" t="s">
        <v>308</v>
      </c>
      <c r="G367" s="13">
        <v>36.3631</v>
      </c>
      <c r="H367" s="13">
        <v>10.52</v>
      </c>
      <c r="I367" s="9">
        <v>46059.0</v>
      </c>
      <c r="J367" s="10">
        <v>390.0</v>
      </c>
      <c r="K367" s="8">
        <v>4577.0</v>
      </c>
      <c r="L367" s="8" t="s">
        <v>2627</v>
      </c>
      <c r="M367" s="11">
        <v>1.95</v>
      </c>
      <c r="N367" s="8" t="s">
        <v>3064</v>
      </c>
      <c r="O367" s="8">
        <v>18406.0</v>
      </c>
      <c r="P367" s="11">
        <v>45.2381</v>
      </c>
      <c r="Q367" s="8" t="s">
        <v>2633</v>
      </c>
      <c r="R367" s="11">
        <v>-8.7974</v>
      </c>
      <c r="S367" s="12">
        <v>2.4111257E7</v>
      </c>
      <c r="T367" s="12">
        <v>4.30552321461E11</v>
      </c>
      <c r="U367" s="13">
        <v>24.6354</v>
      </c>
      <c r="V367" s="13">
        <v>22.5543</v>
      </c>
      <c r="W367" s="13">
        <v>32.9221</v>
      </c>
      <c r="X367" s="13">
        <v>45.432</v>
      </c>
      <c r="Y367" s="13">
        <v>0.2124</v>
      </c>
      <c r="Z367" s="13">
        <v>2.4598</v>
      </c>
      <c r="AA367" s="8" t="s">
        <v>2620</v>
      </c>
      <c r="AB367" s="14">
        <f>IFERROR(__xludf.DUMMYFUNCTION("IFERROR(GOOGLEFINANCE(B367,""price""),"""")"),420.59)</f>
        <v>420.59</v>
      </c>
    </row>
    <row r="368">
      <c r="A368" s="15">
        <v>46057.4547318623</v>
      </c>
      <c r="B368" s="16" t="s">
        <v>1489</v>
      </c>
      <c r="C368" s="16" t="s">
        <v>1490</v>
      </c>
      <c r="D368" s="17">
        <v>46061.0</v>
      </c>
      <c r="E368" s="18">
        <v>82.76</v>
      </c>
      <c r="F368" s="16" t="s">
        <v>308</v>
      </c>
      <c r="G368" s="21">
        <v>31.2055</v>
      </c>
      <c r="H368" s="21">
        <v>2.6521</v>
      </c>
      <c r="I368" s="17">
        <v>46059.0</v>
      </c>
      <c r="J368" s="18">
        <v>84.0</v>
      </c>
      <c r="K368" s="16">
        <v>7487.0</v>
      </c>
      <c r="L368" s="16" t="s">
        <v>2608</v>
      </c>
      <c r="M368" s="19">
        <v>1.5</v>
      </c>
      <c r="N368" s="16" t="s">
        <v>3065</v>
      </c>
      <c r="O368" s="16">
        <v>15439.0</v>
      </c>
      <c r="P368" s="19">
        <v>29.0714</v>
      </c>
      <c r="Q368" s="16" t="s">
        <v>1491</v>
      </c>
      <c r="R368" s="19">
        <v>-0.4211</v>
      </c>
      <c r="S368" s="20">
        <v>1.5353141E7</v>
      </c>
      <c r="T368" s="20">
        <v>3.26992581767E11</v>
      </c>
      <c r="U368" s="21">
        <v>1.6524</v>
      </c>
      <c r="V368" s="21">
        <v>23.0103</v>
      </c>
      <c r="W368" s="21">
        <v>22.9895</v>
      </c>
      <c r="X368" s="21">
        <v>8.9097</v>
      </c>
      <c r="Y368" s="21">
        <v>0.6323</v>
      </c>
      <c r="Z368" s="21">
        <v>0.9274</v>
      </c>
      <c r="AA368" s="16" t="s">
        <v>2620</v>
      </c>
      <c r="AB368" s="22">
        <f>IFERROR(__xludf.DUMMYFUNCTION("IFERROR(GOOGLEFINANCE(B368,""price""),"""")"),82.22)</f>
        <v>82.22</v>
      </c>
    </row>
    <row r="369">
      <c r="A369" s="7">
        <v>46057.4547318623</v>
      </c>
      <c r="B369" s="8" t="s">
        <v>2612</v>
      </c>
      <c r="C369" s="8" t="s">
        <v>2613</v>
      </c>
      <c r="D369" s="9">
        <v>46061.0</v>
      </c>
      <c r="E369" s="10">
        <v>202.43</v>
      </c>
      <c r="F369" s="8" t="s">
        <v>308</v>
      </c>
      <c r="G369" s="13">
        <v>76.4319</v>
      </c>
      <c r="H369" s="13">
        <v>2.6485</v>
      </c>
      <c r="I369" s="9">
        <v>46059.0</v>
      </c>
      <c r="J369" s="10">
        <v>200.0</v>
      </c>
      <c r="K369" s="8">
        <v>6699.0</v>
      </c>
      <c r="L369" s="8" t="s">
        <v>2627</v>
      </c>
      <c r="M369" s="11">
        <v>1.2</v>
      </c>
      <c r="N369" s="8" t="s">
        <v>3066</v>
      </c>
      <c r="O369" s="8">
        <v>14560.0</v>
      </c>
      <c r="P369" s="11">
        <v>23.49</v>
      </c>
      <c r="Q369" s="8" t="s">
        <v>2615</v>
      </c>
      <c r="R369" s="11">
        <v>-16.3892</v>
      </c>
      <c r="S369" s="12">
        <v>5.3230221E7</v>
      </c>
      <c r="T369" s="12">
        <v>3.29564442466E11</v>
      </c>
      <c r="U369" s="13">
        <v>13.7975</v>
      </c>
      <c r="V369" s="13">
        <v>7.0815</v>
      </c>
      <c r="W369" s="13">
        <v>10.6672</v>
      </c>
      <c r="X369" s="13">
        <v>34.3378</v>
      </c>
      <c r="Y369" s="13">
        <v>0.0611</v>
      </c>
      <c r="Z369" s="13">
        <v>2.85</v>
      </c>
      <c r="AA369" s="8" t="s">
        <v>2611</v>
      </c>
      <c r="AB369" s="14">
        <f>IFERROR(__xludf.DUMMYFUNCTION("IFERROR(GOOGLEFINANCE(B369,""price""),"""")"),245.04)</f>
        <v>245.04</v>
      </c>
    </row>
    <row r="370">
      <c r="A370" s="15">
        <v>46057.4547318623</v>
      </c>
      <c r="B370" s="16" t="s">
        <v>3067</v>
      </c>
      <c r="C370" s="16" t="s">
        <v>3068</v>
      </c>
      <c r="D370" s="17">
        <v>46061.0</v>
      </c>
      <c r="E370" s="18">
        <v>19.025</v>
      </c>
      <c r="F370" s="16" t="s">
        <v>93</v>
      </c>
      <c r="G370" s="21">
        <v>13.7206</v>
      </c>
      <c r="H370" s="21">
        <v>1.3866</v>
      </c>
      <c r="I370" s="17">
        <v>46073.0</v>
      </c>
      <c r="J370" s="18">
        <v>19.0</v>
      </c>
      <c r="K370" s="16">
        <v>12727.0</v>
      </c>
      <c r="L370" s="16" t="s">
        <v>2608</v>
      </c>
      <c r="M370" s="19">
        <v>0.13</v>
      </c>
      <c r="N370" s="16" t="s">
        <v>3069</v>
      </c>
      <c r="O370" s="16">
        <v>13727.0</v>
      </c>
      <c r="P370" s="19">
        <v>18.2074</v>
      </c>
      <c r="Q370" s="16" t="s">
        <v>3070</v>
      </c>
      <c r="R370" s="19">
        <v>3.453</v>
      </c>
      <c r="S370" s="20">
        <v>1.7092639E7</v>
      </c>
      <c r="T370" s="20">
        <v>3.8750177703E10</v>
      </c>
      <c r="U370" s="21">
        <v>0.5067</v>
      </c>
      <c r="V370" s="21">
        <v>10.0313</v>
      </c>
      <c r="W370" s="21">
        <v>21.9353</v>
      </c>
      <c r="X370" s="21">
        <v>4.0422</v>
      </c>
      <c r="Y370" s="21">
        <v>0.7593</v>
      </c>
      <c r="Z370" s="21">
        <v>0.0962</v>
      </c>
      <c r="AA370" s="16" t="s">
        <v>2611</v>
      </c>
      <c r="AB370" s="22">
        <f>IFERROR(__xludf.DUMMYFUNCTION("IFERROR(GOOGLEFINANCE(B370,""price""),"""")"),16.38)</f>
        <v>16.38</v>
      </c>
    </row>
    <row r="371">
      <c r="A371" s="7">
        <v>46057.4547318623</v>
      </c>
      <c r="B371" s="8" t="s">
        <v>1467</v>
      </c>
      <c r="C371" s="8" t="s">
        <v>1468</v>
      </c>
      <c r="D371" s="9">
        <v>46061.0</v>
      </c>
      <c r="E371" s="10">
        <v>132.45</v>
      </c>
      <c r="F371" s="8" t="s">
        <v>102</v>
      </c>
      <c r="G371" s="13">
        <v>26.0093</v>
      </c>
      <c r="H371" s="13">
        <v>5.0924</v>
      </c>
      <c r="I371" s="9">
        <v>46073.0</v>
      </c>
      <c r="J371" s="10">
        <v>130.0</v>
      </c>
      <c r="K371" s="8">
        <v>6677.0</v>
      </c>
      <c r="L371" s="8" t="s">
        <v>2608</v>
      </c>
      <c r="M371" s="11">
        <v>1.85</v>
      </c>
      <c r="N371" s="8" t="s">
        <v>3071</v>
      </c>
      <c r="O371" s="8">
        <v>11540.0</v>
      </c>
      <c r="P371" s="11">
        <v>24.85</v>
      </c>
      <c r="Q371" s="8" t="s">
        <v>1469</v>
      </c>
      <c r="R371" s="11">
        <v>6.8059</v>
      </c>
      <c r="S371" s="12">
        <v>6877920.0</v>
      </c>
      <c r="T371" s="12">
        <v>8.1068164568E10</v>
      </c>
      <c r="U371" s="13">
        <v>3.3665</v>
      </c>
      <c r="V371" s="13">
        <v>11.8587</v>
      </c>
      <c r="W371" s="13">
        <v>11.9215</v>
      </c>
      <c r="X371" s="13">
        <v>-10.1857</v>
      </c>
      <c r="Y371" s="13">
        <v>0.8656</v>
      </c>
      <c r="Z371" s="13">
        <v>0.8989</v>
      </c>
      <c r="AA371" s="8" t="s">
        <v>2611</v>
      </c>
      <c r="AB371" s="14">
        <f>IFERROR(__xludf.DUMMYFUNCTION("IFERROR(GOOGLEFINANCE(B371,""price""),"""")"),142.53)</f>
        <v>142.53</v>
      </c>
    </row>
    <row r="372">
      <c r="A372" s="15">
        <v>46057.4547318623</v>
      </c>
      <c r="B372" s="16" t="s">
        <v>2625</v>
      </c>
      <c r="C372" s="16" t="s">
        <v>2626</v>
      </c>
      <c r="D372" s="17">
        <v>46061.0</v>
      </c>
      <c r="E372" s="18">
        <v>128.405</v>
      </c>
      <c r="F372" s="16" t="s">
        <v>137</v>
      </c>
      <c r="G372" s="21">
        <v>45.0386</v>
      </c>
      <c r="H372" s="21">
        <v>2.851</v>
      </c>
      <c r="I372" s="17">
        <v>46059.0</v>
      </c>
      <c r="J372" s="18">
        <v>127.0</v>
      </c>
      <c r="K372" s="16">
        <v>3230.0</v>
      </c>
      <c r="L372" s="16" t="s">
        <v>2608</v>
      </c>
      <c r="M372" s="19">
        <v>1.09</v>
      </c>
      <c r="N372" s="16" t="s">
        <v>3072</v>
      </c>
      <c r="O372" s="16">
        <v>10103.0</v>
      </c>
      <c r="P372" s="19">
        <v>25.5479</v>
      </c>
      <c r="Q372" s="16" t="s">
        <v>2629</v>
      </c>
      <c r="R372" s="19">
        <v>0.5442</v>
      </c>
      <c r="S372" s="20">
        <v>8362558.0</v>
      </c>
      <c r="T372" s="20">
        <v>1.023409285295E12</v>
      </c>
      <c r="U372" s="21">
        <v>2.5546</v>
      </c>
      <c r="V372" s="21">
        <v>24.8749</v>
      </c>
      <c r="W372" s="21">
        <v>4.1214</v>
      </c>
      <c r="X372" s="21">
        <v>4.3397</v>
      </c>
      <c r="Y372" s="21">
        <v>0.7121</v>
      </c>
      <c r="Z372" s="21">
        <v>0.8029</v>
      </c>
      <c r="AA372" s="16" t="s">
        <v>2611</v>
      </c>
      <c r="AB372" s="22">
        <f>IFERROR(__xludf.DUMMYFUNCTION("IFERROR(GOOGLEFINANCE(B372,""price""),"""")"),126.79)</f>
        <v>126.79</v>
      </c>
    </row>
    <row r="373">
      <c r="A373" s="7">
        <v>46057.4547318623</v>
      </c>
      <c r="B373" s="8" t="s">
        <v>2621</v>
      </c>
      <c r="C373" s="8" t="s">
        <v>2622</v>
      </c>
      <c r="D373" s="9">
        <v>46061.0</v>
      </c>
      <c r="E373" s="10">
        <v>63.05</v>
      </c>
      <c r="F373" s="8" t="s">
        <v>335</v>
      </c>
      <c r="G373" s="13">
        <v>41.6446</v>
      </c>
      <c r="H373" s="13">
        <v>1.514</v>
      </c>
      <c r="I373" s="9">
        <v>46059.0</v>
      </c>
      <c r="J373" s="10">
        <v>62.0</v>
      </c>
      <c r="K373" s="8">
        <v>2660.0</v>
      </c>
      <c r="L373" s="8" t="s">
        <v>2608</v>
      </c>
      <c r="M373" s="11">
        <v>1.67</v>
      </c>
      <c r="N373" s="8" t="s">
        <v>3073</v>
      </c>
      <c r="O373" s="8">
        <v>9114.0</v>
      </c>
      <c r="P373" s="11">
        <v>43.6417</v>
      </c>
      <c r="Q373" s="8" t="s">
        <v>2624</v>
      </c>
      <c r="R373" s="11">
        <v>-2.505</v>
      </c>
      <c r="S373" s="12">
        <v>9653791.0</v>
      </c>
      <c r="T373" s="12">
        <v>9.0535425806E10</v>
      </c>
      <c r="U373" s="13">
        <v>2.7538</v>
      </c>
      <c r="V373" s="13">
        <v>11.9792</v>
      </c>
      <c r="W373" s="13">
        <v>23.7569</v>
      </c>
      <c r="X373" s="13">
        <v>1.5155</v>
      </c>
      <c r="Y373" s="13">
        <v>0.5497</v>
      </c>
      <c r="Z373" s="13">
        <v>2.2911</v>
      </c>
      <c r="AA373" s="8" t="s">
        <v>2611</v>
      </c>
      <c r="AB373" s="14">
        <f>IFERROR(__xludf.DUMMYFUNCTION("IFERROR(GOOGLEFINANCE(B373,""price""),"""")"),67.8)</f>
        <v>67.8</v>
      </c>
    </row>
    <row r="374">
      <c r="A374" s="15">
        <v>46057.4547318623</v>
      </c>
      <c r="B374" s="16" t="s">
        <v>2638</v>
      </c>
      <c r="C374" s="16" t="s">
        <v>2639</v>
      </c>
      <c r="D374" s="17">
        <v>46061.0</v>
      </c>
      <c r="E374" s="18">
        <v>146.67</v>
      </c>
      <c r="F374" s="16" t="s">
        <v>245</v>
      </c>
      <c r="G374" s="21">
        <v>21.9208</v>
      </c>
      <c r="H374" s="21">
        <v>6.6909</v>
      </c>
      <c r="I374" s="17">
        <v>46059.0</v>
      </c>
      <c r="J374" s="18">
        <v>145.0</v>
      </c>
      <c r="K374" s="16">
        <v>2961.0</v>
      </c>
      <c r="L374" s="16" t="s">
        <v>2608</v>
      </c>
      <c r="M374" s="19">
        <v>1.14</v>
      </c>
      <c r="N374" s="16" t="s">
        <v>3074</v>
      </c>
      <c r="O374" s="16">
        <v>7854.0</v>
      </c>
      <c r="P374" s="19">
        <v>49.8485</v>
      </c>
      <c r="Q374" s="16" t="s">
        <v>2641</v>
      </c>
      <c r="R374" s="19">
        <v>2.0455</v>
      </c>
      <c r="S374" s="20">
        <v>9188805.0</v>
      </c>
      <c r="T374" s="20">
        <v>6.18531649509E11</v>
      </c>
      <c r="U374" s="21">
        <v>3.058</v>
      </c>
      <c r="V374" s="21">
        <v>11.0283</v>
      </c>
      <c r="W374" s="21">
        <v>10.3419</v>
      </c>
      <c r="X374" s="21">
        <v>-4.856</v>
      </c>
      <c r="Y374" s="21">
        <v>0.1678</v>
      </c>
      <c r="Z374" s="21">
        <v>1.1528</v>
      </c>
      <c r="AA374" s="16" t="s">
        <v>2611</v>
      </c>
      <c r="AB374" s="22">
        <f>IFERROR(__xludf.DUMMYFUNCTION("IFERROR(GOOGLEFINANCE(B374,""price""),"""")"),152.51)</f>
        <v>152.51</v>
      </c>
    </row>
    <row r="375">
      <c r="A375" s="7">
        <v>46057.4547318623</v>
      </c>
      <c r="B375" s="8" t="s">
        <v>2616</v>
      </c>
      <c r="C375" s="8" t="s">
        <v>2617</v>
      </c>
      <c r="D375" s="9">
        <v>46061.0</v>
      </c>
      <c r="E375" s="10">
        <v>77.81</v>
      </c>
      <c r="F375" s="8" t="s">
        <v>286</v>
      </c>
      <c r="G375" s="13">
        <v>25.7615</v>
      </c>
      <c r="H375" s="13">
        <v>3.0204</v>
      </c>
      <c r="I375" s="9">
        <v>46059.0</v>
      </c>
      <c r="J375" s="10">
        <v>77.0</v>
      </c>
      <c r="K375" s="8">
        <v>3922.0</v>
      </c>
      <c r="L375" s="8" t="s">
        <v>2608</v>
      </c>
      <c r="M375" s="11">
        <v>1.04</v>
      </c>
      <c r="N375" s="8" t="s">
        <v>3075</v>
      </c>
      <c r="O375" s="8">
        <v>5807.0</v>
      </c>
      <c r="P375" s="11">
        <v>33.6135</v>
      </c>
      <c r="Q375" s="8" t="s">
        <v>2619</v>
      </c>
      <c r="R375" s="11">
        <v>1.1965</v>
      </c>
      <c r="S375" s="12">
        <v>9009065.0</v>
      </c>
      <c r="T375" s="12">
        <v>3.34708184818E11</v>
      </c>
      <c r="U375" s="13">
        <v>1.1644</v>
      </c>
      <c r="V375" s="13">
        <v>45.1173</v>
      </c>
      <c r="W375" s="13">
        <v>31.1024</v>
      </c>
      <c r="X375" s="13">
        <v>2.9315</v>
      </c>
      <c r="Y375" s="13">
        <v>1.5175</v>
      </c>
      <c r="Z375" s="13">
        <v>1.211</v>
      </c>
      <c r="AA375" s="8" t="s">
        <v>2611</v>
      </c>
      <c r="AB375" s="14">
        <f>IFERROR(__xludf.DUMMYFUNCTION("IFERROR(GOOGLEFINANCE(B375,""price""),"""")"),77.47)</f>
        <v>77.47</v>
      </c>
    </row>
    <row r="376">
      <c r="A376" s="15">
        <v>46057.4547318623</v>
      </c>
      <c r="B376" s="16" t="s">
        <v>2634</v>
      </c>
      <c r="C376" s="16" t="s">
        <v>2635</v>
      </c>
      <c r="D376" s="17">
        <v>46061.0</v>
      </c>
      <c r="E376" s="18">
        <v>181.17</v>
      </c>
      <c r="F376" s="16" t="s">
        <v>245</v>
      </c>
      <c r="G376" s="21">
        <v>27.2399</v>
      </c>
      <c r="H376" s="21">
        <v>6.6509</v>
      </c>
      <c r="I376" s="17">
        <v>46059.0</v>
      </c>
      <c r="J376" s="18">
        <v>180.0</v>
      </c>
      <c r="K376" s="16">
        <v>3389.0</v>
      </c>
      <c r="L376" s="16" t="s">
        <v>2608</v>
      </c>
      <c r="M376" s="19">
        <v>0.65</v>
      </c>
      <c r="N376" s="16" t="s">
        <v>3076</v>
      </c>
      <c r="O376" s="16">
        <v>4989.0</v>
      </c>
      <c r="P376" s="19">
        <v>50.7361</v>
      </c>
      <c r="Q376" s="16" t="s">
        <v>2637</v>
      </c>
      <c r="R376" s="19">
        <v>1.758</v>
      </c>
      <c r="S376" s="20">
        <v>5436338.0</v>
      </c>
      <c r="T376" s="20">
        <v>3.64789695684E11</v>
      </c>
      <c r="U376" s="21">
        <v>3.4456</v>
      </c>
      <c r="V376" s="21">
        <v>7.261</v>
      </c>
      <c r="W376" s="21">
        <v>8.9022</v>
      </c>
      <c r="X376" s="21">
        <v>-4.6053</v>
      </c>
      <c r="Y376" s="21">
        <v>0.2186</v>
      </c>
      <c r="Z376" s="24"/>
      <c r="AA376" s="16" t="s">
        <v>2611</v>
      </c>
      <c r="AB376" s="22">
        <f>IFERROR(__xludf.DUMMYFUNCTION("IFERROR(GOOGLEFINANCE(B376,""price""),"""")"),188.55)</f>
        <v>188.55</v>
      </c>
    </row>
    <row r="377">
      <c r="A377" s="7">
        <v>46057.4547318623</v>
      </c>
      <c r="B377" s="8" t="s">
        <v>2654</v>
      </c>
      <c r="C377" s="8" t="s">
        <v>2655</v>
      </c>
      <c r="D377" s="9">
        <v>46061.0</v>
      </c>
      <c r="E377" s="10">
        <v>40.615</v>
      </c>
      <c r="F377" s="8" t="s">
        <v>917</v>
      </c>
      <c r="G377" s="13">
        <v>25.644</v>
      </c>
      <c r="H377" s="13">
        <v>1.5838</v>
      </c>
      <c r="I377" s="9">
        <v>46073.0</v>
      </c>
      <c r="J377" s="10">
        <v>40.0</v>
      </c>
      <c r="K377" s="8">
        <v>4473.0</v>
      </c>
      <c r="L377" s="8" t="s">
        <v>2608</v>
      </c>
      <c r="M377" s="11">
        <v>1.51</v>
      </c>
      <c r="N377" s="8" t="s">
        <v>3021</v>
      </c>
      <c r="O377" s="8">
        <v>4473.0</v>
      </c>
      <c r="P377" s="11">
        <v>16.9435</v>
      </c>
      <c r="Q377" s="8" t="s">
        <v>2657</v>
      </c>
      <c r="R377" s="11">
        <v>1.0575</v>
      </c>
      <c r="S377" s="12">
        <v>1900993.0</v>
      </c>
      <c r="T377" s="12">
        <v>2.6516242056E10</v>
      </c>
      <c r="U377" s="13">
        <v>0.6291</v>
      </c>
      <c r="V377" s="13">
        <v>9.6059</v>
      </c>
      <c r="W377" s="13">
        <v>22.5038</v>
      </c>
      <c r="X377" s="13">
        <v>6.4347</v>
      </c>
      <c r="Y377" s="13">
        <v>2.0787</v>
      </c>
      <c r="Z377" s="13">
        <v>0.5135</v>
      </c>
      <c r="AA377" s="8" t="s">
        <v>2611</v>
      </c>
      <c r="AB377" s="14">
        <f>IFERROR(__xludf.DUMMYFUNCTION("IFERROR(GOOGLEFINANCE(B377,""price""),"""")"),43.39)</f>
        <v>43.39</v>
      </c>
    </row>
    <row r="378">
      <c r="A378" s="15">
        <v>46057.4547318623</v>
      </c>
      <c r="B378" s="16" t="s">
        <v>2700</v>
      </c>
      <c r="C378" s="16" t="s">
        <v>2701</v>
      </c>
      <c r="D378" s="17">
        <v>46061.0</v>
      </c>
      <c r="E378" s="18">
        <v>211.975</v>
      </c>
      <c r="F378" s="16" t="s">
        <v>102</v>
      </c>
      <c r="G378" s="21">
        <v>43.4437</v>
      </c>
      <c r="H378" s="21">
        <v>4.8793</v>
      </c>
      <c r="I378" s="17">
        <v>46059.0</v>
      </c>
      <c r="J378" s="18">
        <v>212.5</v>
      </c>
      <c r="K378" s="16">
        <v>3097.0</v>
      </c>
      <c r="L378" s="16" t="s">
        <v>2608</v>
      </c>
      <c r="M378" s="19">
        <v>0.25</v>
      </c>
      <c r="N378" s="16" t="s">
        <v>3077</v>
      </c>
      <c r="O378" s="16">
        <v>4179.0</v>
      </c>
      <c r="P378" s="19">
        <v>40.8091</v>
      </c>
      <c r="Q378" s="16" t="s">
        <v>2703</v>
      </c>
      <c r="R378" s="19">
        <v>-7.877</v>
      </c>
      <c r="S378" s="20">
        <v>6020778.0</v>
      </c>
      <c r="T378" s="20">
        <v>2.64708238918E11</v>
      </c>
      <c r="U378" s="21">
        <v>12.1884</v>
      </c>
      <c r="V378" s="21">
        <v>65.5649</v>
      </c>
      <c r="W378" s="21">
        <v>33.7646</v>
      </c>
      <c r="X378" s="21">
        <v>26.8457</v>
      </c>
      <c r="Y378" s="21">
        <v>0.4419</v>
      </c>
      <c r="Z378" s="21">
        <v>2.2562</v>
      </c>
      <c r="AA378" s="16" t="s">
        <v>2620</v>
      </c>
      <c r="AB378" s="22">
        <f>IFERROR(__xludf.DUMMYFUNCTION("IFERROR(GOOGLEFINANCE(B378,""price""),"""")"),263.66)</f>
        <v>263.66</v>
      </c>
    </row>
    <row r="379">
      <c r="A379" s="7">
        <v>46057.4547318623</v>
      </c>
      <c r="B379" s="8" t="s">
        <v>3022</v>
      </c>
      <c r="C379" s="8" t="s">
        <v>3023</v>
      </c>
      <c r="D379" s="9">
        <v>46061.0</v>
      </c>
      <c r="E379" s="10">
        <v>701.37</v>
      </c>
      <c r="F379" s="8" t="s">
        <v>102</v>
      </c>
      <c r="G379" s="13">
        <v>37.2574</v>
      </c>
      <c r="H379" s="13">
        <v>18.825</v>
      </c>
      <c r="I379" s="9">
        <v>46059.0</v>
      </c>
      <c r="J379" s="10">
        <v>715.0</v>
      </c>
      <c r="K379" s="8">
        <v>3752.0</v>
      </c>
      <c r="L379" s="8" t="s">
        <v>2608</v>
      </c>
      <c r="M379" s="11">
        <v>1.94</v>
      </c>
      <c r="N379" s="8" t="s">
        <v>3078</v>
      </c>
      <c r="O379" s="8">
        <v>3752.0</v>
      </c>
      <c r="P379" s="11">
        <v>26.3469</v>
      </c>
      <c r="Q379" s="8" t="s">
        <v>3025</v>
      </c>
      <c r="R379" s="11">
        <v>-0.2163</v>
      </c>
      <c r="S379" s="12">
        <v>1702354.0</v>
      </c>
      <c r="T379" s="12">
        <v>3.28226847488E11</v>
      </c>
      <c r="U379" s="13">
        <v>20.3457</v>
      </c>
      <c r="V379" s="13">
        <v>43.5394</v>
      </c>
      <c r="W379" s="13">
        <v>16.6891</v>
      </c>
      <c r="X379" s="13">
        <v>4.2895</v>
      </c>
      <c r="Y379" s="13">
        <v>2.0326</v>
      </c>
      <c r="Z379" s="13">
        <v>1.4357</v>
      </c>
      <c r="AA379" s="8" t="s">
        <v>2620</v>
      </c>
      <c r="AB379" s="14">
        <f>IFERROR(__xludf.DUMMYFUNCTION("IFERROR(GOOGLEFINANCE(B379,""price""),"""")"),790.66)</f>
        <v>790.66</v>
      </c>
    </row>
    <row r="380">
      <c r="A380" s="15">
        <v>46057.4547318623</v>
      </c>
      <c r="B380" s="16" t="s">
        <v>2646</v>
      </c>
      <c r="C380" s="16" t="s">
        <v>2647</v>
      </c>
      <c r="D380" s="17">
        <v>46061.0</v>
      </c>
      <c r="E380" s="18">
        <v>34.885</v>
      </c>
      <c r="F380" s="16" t="s">
        <v>270</v>
      </c>
      <c r="G380" s="21">
        <v>13.1369</v>
      </c>
      <c r="H380" s="21">
        <v>2.6555</v>
      </c>
      <c r="I380" s="17">
        <v>46059.0</v>
      </c>
      <c r="J380" s="18">
        <v>35.0</v>
      </c>
      <c r="K380" s="16">
        <v>3320.0</v>
      </c>
      <c r="L380" s="16" t="s">
        <v>2608</v>
      </c>
      <c r="M380" s="19">
        <v>0.33</v>
      </c>
      <c r="N380" s="16" t="s">
        <v>3079</v>
      </c>
      <c r="O380" s="16">
        <v>3320.0</v>
      </c>
      <c r="P380" s="19">
        <v>30.3188</v>
      </c>
      <c r="Q380" s="16" t="s">
        <v>2649</v>
      </c>
      <c r="R380" s="19">
        <v>0.7364</v>
      </c>
      <c r="S380" s="20">
        <v>2544271.0</v>
      </c>
      <c r="T380" s="20">
        <v>7.5467456979E10</v>
      </c>
      <c r="U380" s="21">
        <v>0.6304</v>
      </c>
      <c r="V380" s="24"/>
      <c r="W380" s="21">
        <v>13.037</v>
      </c>
      <c r="X380" s="21">
        <v>-5.779</v>
      </c>
      <c r="Y380" s="24"/>
      <c r="Z380" s="24"/>
      <c r="AA380" s="16" t="s">
        <v>2620</v>
      </c>
      <c r="AB380" s="22">
        <f>IFERROR(__xludf.DUMMYFUNCTION("IFERROR(GOOGLEFINANCE(B380,""price""),"""")"),37.35)</f>
        <v>37.35</v>
      </c>
    </row>
    <row r="381">
      <c r="A381" s="7">
        <v>46057.4547318623</v>
      </c>
      <c r="B381" s="8" t="s">
        <v>3080</v>
      </c>
      <c r="C381" s="8" t="s">
        <v>3081</v>
      </c>
      <c r="D381" s="9">
        <v>46061.0</v>
      </c>
      <c r="E381" s="10">
        <v>93.78</v>
      </c>
      <c r="F381" s="8" t="s">
        <v>93</v>
      </c>
      <c r="G381" s="13">
        <v>14.9749</v>
      </c>
      <c r="H381" s="13">
        <v>6.2625</v>
      </c>
      <c r="I381" s="9">
        <v>46059.0</v>
      </c>
      <c r="J381" s="10">
        <v>92.0</v>
      </c>
      <c r="K381" s="8">
        <v>2156.0</v>
      </c>
      <c r="L381" s="8" t="s">
        <v>2608</v>
      </c>
      <c r="M381" s="11">
        <v>1.9</v>
      </c>
      <c r="N381" s="8" t="s">
        <v>3082</v>
      </c>
      <c r="O381" s="8">
        <v>3309.0</v>
      </c>
      <c r="P381" s="11">
        <v>22.5072</v>
      </c>
      <c r="Q381" s="8" t="s">
        <v>3083</v>
      </c>
      <c r="R381" s="11">
        <v>1.5925</v>
      </c>
      <c r="S381" s="12">
        <v>3596940.0</v>
      </c>
      <c r="T381" s="12">
        <v>2.90024029487E11</v>
      </c>
      <c r="U381" s="13">
        <v>2.0917</v>
      </c>
      <c r="V381" s="13">
        <v>11.8466</v>
      </c>
      <c r="W381" s="13">
        <v>20.6965</v>
      </c>
      <c r="X381" s="13">
        <v>-1.9497</v>
      </c>
      <c r="Y381" s="13">
        <v>2.3505</v>
      </c>
      <c r="Z381" s="13">
        <v>0.9006</v>
      </c>
      <c r="AA381" s="8" t="s">
        <v>2611</v>
      </c>
      <c r="AB381" s="14">
        <f>IFERROR(__xludf.DUMMYFUNCTION("IFERROR(GOOGLEFINANCE(B381,""price""),"""")"),85.4)</f>
        <v>85.4</v>
      </c>
    </row>
    <row r="382">
      <c r="A382" s="15">
        <v>46057.4547318623</v>
      </c>
      <c r="B382" s="16" t="s">
        <v>2139</v>
      </c>
      <c r="C382" s="16" t="s">
        <v>2140</v>
      </c>
      <c r="D382" s="17">
        <v>46061.0</v>
      </c>
      <c r="E382" s="18">
        <v>59.09</v>
      </c>
      <c r="F382" s="16" t="s">
        <v>270</v>
      </c>
      <c r="G382" s="21">
        <v>22.6946</v>
      </c>
      <c r="H382" s="21">
        <v>2.6037</v>
      </c>
      <c r="I382" s="17">
        <v>46073.0</v>
      </c>
      <c r="J382" s="18">
        <v>60.0</v>
      </c>
      <c r="K382" s="16">
        <v>2916.0</v>
      </c>
      <c r="L382" s="16" t="s">
        <v>2608</v>
      </c>
      <c r="M382" s="19">
        <v>1.54</v>
      </c>
      <c r="N382" s="16" t="s">
        <v>3084</v>
      </c>
      <c r="O382" s="16">
        <v>2916.0</v>
      </c>
      <c r="P382" s="19">
        <v>39.7192</v>
      </c>
      <c r="Q382" s="16" t="s">
        <v>2141</v>
      </c>
      <c r="R382" s="19">
        <v>1.8793</v>
      </c>
      <c r="S382" s="20">
        <v>3330208.0</v>
      </c>
      <c r="T382" s="20">
        <v>5.8308467668E10</v>
      </c>
      <c r="U382" s="21">
        <v>1.6359</v>
      </c>
      <c r="V382" s="21">
        <v>14.4158</v>
      </c>
      <c r="W382" s="21">
        <v>12.8259</v>
      </c>
      <c r="X382" s="21">
        <v>-0.345</v>
      </c>
      <c r="Y382" s="21">
        <v>0.3202</v>
      </c>
      <c r="Z382" s="21">
        <v>1.3568</v>
      </c>
      <c r="AA382" s="16" t="s">
        <v>2620</v>
      </c>
      <c r="AB382" s="22">
        <f>IFERROR(__xludf.DUMMYFUNCTION("IFERROR(GOOGLEFINANCE(B382,""price""),"""")"),62.83)</f>
        <v>62.83</v>
      </c>
    </row>
    <row r="383">
      <c r="A383" s="7">
        <v>46057.4547318623</v>
      </c>
      <c r="B383" s="8" t="s">
        <v>2983</v>
      </c>
      <c r="C383" s="8" t="s">
        <v>2984</v>
      </c>
      <c r="D383" s="9">
        <v>46061.0</v>
      </c>
      <c r="E383" s="10">
        <v>104.16</v>
      </c>
      <c r="F383" s="8" t="s">
        <v>93</v>
      </c>
      <c r="G383" s="13">
        <v>22.361</v>
      </c>
      <c r="H383" s="13">
        <v>4.6581</v>
      </c>
      <c r="I383" s="9">
        <v>46059.0</v>
      </c>
      <c r="J383" s="10">
        <v>104.0</v>
      </c>
      <c r="K383" s="8">
        <v>2880.0</v>
      </c>
      <c r="L383" s="8" t="s">
        <v>2627</v>
      </c>
      <c r="M383" s="11">
        <v>0.15</v>
      </c>
      <c r="N383" s="8" t="s">
        <v>3085</v>
      </c>
      <c r="O383" s="8">
        <v>2880.0</v>
      </c>
      <c r="P383" s="11">
        <v>23.8222</v>
      </c>
      <c r="Q383" s="8" t="s">
        <v>2986</v>
      </c>
      <c r="R383" s="11">
        <v>0.4145</v>
      </c>
      <c r="S383" s="12">
        <v>3157618.0</v>
      </c>
      <c r="T383" s="12">
        <v>1.85085739701E11</v>
      </c>
      <c r="U383" s="13">
        <v>2.1957</v>
      </c>
      <c r="V383" s="13">
        <v>18.1069</v>
      </c>
      <c r="W383" s="13">
        <v>47.6387</v>
      </c>
      <c r="X383" s="13">
        <v>6.4464</v>
      </c>
      <c r="Y383" s="13">
        <v>0.6275</v>
      </c>
      <c r="Z383" s="23"/>
      <c r="AA383" s="8" t="s">
        <v>2611</v>
      </c>
      <c r="AB383" s="14">
        <f>IFERROR(__xludf.DUMMYFUNCTION("IFERROR(GOOGLEFINANCE(B383,""price""),"""")"),94.8)</f>
        <v>94.8</v>
      </c>
    </row>
    <row r="384">
      <c r="A384" s="15">
        <v>46057.4547318623</v>
      </c>
      <c r="B384" s="16" t="s">
        <v>3086</v>
      </c>
      <c r="C384" s="16" t="s">
        <v>3087</v>
      </c>
      <c r="D384" s="17">
        <v>46061.0</v>
      </c>
      <c r="E384" s="18">
        <v>70.835</v>
      </c>
      <c r="F384" s="16" t="s">
        <v>162</v>
      </c>
      <c r="G384" s="21">
        <v>9.2455</v>
      </c>
      <c r="H384" s="21">
        <v>7.6616</v>
      </c>
      <c r="I384" s="17">
        <v>46059.0</v>
      </c>
      <c r="J384" s="18">
        <v>72.0</v>
      </c>
      <c r="K384" s="16">
        <v>1723.0</v>
      </c>
      <c r="L384" s="16" t="s">
        <v>2608</v>
      </c>
      <c r="M384" s="19">
        <v>1.64</v>
      </c>
      <c r="N384" s="16" t="s">
        <v>3088</v>
      </c>
      <c r="O384" s="16">
        <v>2827.0</v>
      </c>
      <c r="P384" s="19">
        <v>19.2134</v>
      </c>
      <c r="Q384" s="16" t="s">
        <v>3089</v>
      </c>
      <c r="R384" s="19">
        <v>0.5608</v>
      </c>
      <c r="S384" s="20">
        <v>2841849.0</v>
      </c>
      <c r="T384" s="20">
        <v>4.6252619314E10</v>
      </c>
      <c r="U384" s="21">
        <v>2.1612</v>
      </c>
      <c r="V384" s="21">
        <v>27.7756</v>
      </c>
      <c r="W384" s="21">
        <v>9.1882</v>
      </c>
      <c r="X384" s="21">
        <v>2.7935</v>
      </c>
      <c r="Y384" s="21">
        <v>0.9769</v>
      </c>
      <c r="Z384" s="21">
        <v>0.3964</v>
      </c>
      <c r="AA384" s="16" t="s">
        <v>2620</v>
      </c>
      <c r="AB384" s="22">
        <f>IFERROR(__xludf.DUMMYFUNCTION("IFERROR(GOOGLEFINANCE(B384,""price""),"""")"),67.82)</f>
        <v>67.82</v>
      </c>
    </row>
    <row r="385">
      <c r="A385" s="7">
        <v>46057.4547318623</v>
      </c>
      <c r="B385" s="8" t="s">
        <v>2606</v>
      </c>
      <c r="C385" s="8" t="s">
        <v>2607</v>
      </c>
      <c r="D385" s="9">
        <v>46061.0</v>
      </c>
      <c r="E385" s="10">
        <v>54.8373</v>
      </c>
      <c r="F385" s="8" t="s">
        <v>93</v>
      </c>
      <c r="G385" s="13">
        <v>15.5136</v>
      </c>
      <c r="H385" s="13">
        <v>3.5348</v>
      </c>
      <c r="I385" s="9">
        <v>46073.0</v>
      </c>
      <c r="J385" s="10">
        <v>55.0</v>
      </c>
      <c r="K385" s="8">
        <v>2804.0</v>
      </c>
      <c r="L385" s="8" t="s">
        <v>2608</v>
      </c>
      <c r="M385" s="11">
        <v>0.3</v>
      </c>
      <c r="N385" s="8" t="s">
        <v>3090</v>
      </c>
      <c r="O385" s="8">
        <v>2804.0</v>
      </c>
      <c r="P385" s="11">
        <v>38.8998</v>
      </c>
      <c r="Q385" s="8" t="s">
        <v>2610</v>
      </c>
      <c r="R385" s="11">
        <v>3.957</v>
      </c>
      <c r="S385" s="12">
        <v>5675996.0</v>
      </c>
      <c r="T385" s="12">
        <v>4.9978204467E10</v>
      </c>
      <c r="U385" s="13">
        <v>1.3843</v>
      </c>
      <c r="V385" s="13">
        <v>12.1975</v>
      </c>
      <c r="W385" s="13">
        <v>23.4205</v>
      </c>
      <c r="X385" s="13">
        <v>2.2457</v>
      </c>
      <c r="Y385" s="13">
        <v>0.6682</v>
      </c>
      <c r="Z385" s="13">
        <v>0.2832</v>
      </c>
      <c r="AA385" s="8" t="s">
        <v>2620</v>
      </c>
      <c r="AB385" s="14">
        <f>IFERROR(__xludf.DUMMYFUNCTION("IFERROR(GOOGLEFINANCE(B385,""price""),"""")"),49.31)</f>
        <v>49.31</v>
      </c>
    </row>
    <row r="386">
      <c r="A386" s="15">
        <v>46057.4547318623</v>
      </c>
      <c r="B386" s="16" t="s">
        <v>2704</v>
      </c>
      <c r="C386" s="16" t="s">
        <v>2705</v>
      </c>
      <c r="D386" s="17">
        <v>46061.0</v>
      </c>
      <c r="E386" s="18">
        <v>31.485</v>
      </c>
      <c r="F386" s="16" t="s">
        <v>88</v>
      </c>
      <c r="G386" s="24"/>
      <c r="H386" s="21">
        <v>-0.5438</v>
      </c>
      <c r="I386" s="17">
        <v>46059.0</v>
      </c>
      <c r="J386" s="18">
        <v>32.0</v>
      </c>
      <c r="K386" s="16">
        <v>1628.0</v>
      </c>
      <c r="L386" s="16" t="s">
        <v>2627</v>
      </c>
      <c r="M386" s="19">
        <v>1.64</v>
      </c>
      <c r="N386" s="16" t="s">
        <v>3091</v>
      </c>
      <c r="O386" s="16">
        <v>2760.0</v>
      </c>
      <c r="P386" s="19">
        <v>22.4</v>
      </c>
      <c r="Q386" s="16" t="s">
        <v>2707</v>
      </c>
      <c r="R386" s="19">
        <v>-14.2098</v>
      </c>
      <c r="S386" s="20">
        <v>1.5447188E7</v>
      </c>
      <c r="T386" s="20">
        <v>8.802759582E9</v>
      </c>
      <c r="U386" s="21">
        <v>3.6955</v>
      </c>
      <c r="V386" s="21">
        <v>-11.4029</v>
      </c>
      <c r="W386" s="21">
        <v>-26.4624</v>
      </c>
      <c r="X386" s="21">
        <v>33.135</v>
      </c>
      <c r="Y386" s="21">
        <v>1.6778</v>
      </c>
      <c r="Z386" s="21">
        <v>4.8227</v>
      </c>
      <c r="AA386" s="16" t="s">
        <v>2620</v>
      </c>
      <c r="AB386" s="22">
        <f>IFERROR(__xludf.DUMMYFUNCTION("IFERROR(GOOGLEFINANCE(B386,""price""),"""")"),26.24)</f>
        <v>26.24</v>
      </c>
    </row>
    <row r="387">
      <c r="A387" s="7">
        <v>46057.4547318623</v>
      </c>
      <c r="B387" s="8" t="s">
        <v>3049</v>
      </c>
      <c r="C387" s="8" t="s">
        <v>3050</v>
      </c>
      <c r="D387" s="9">
        <v>46061.0</v>
      </c>
      <c r="E387" s="10">
        <v>73.825</v>
      </c>
      <c r="F387" s="8" t="s">
        <v>93</v>
      </c>
      <c r="G387" s="13">
        <v>33.3884</v>
      </c>
      <c r="H387" s="13">
        <v>2.2111</v>
      </c>
      <c r="I387" s="9">
        <v>46059.0</v>
      </c>
      <c r="J387" s="10">
        <v>75.0</v>
      </c>
      <c r="K387" s="8">
        <v>1340.0</v>
      </c>
      <c r="L387" s="8" t="s">
        <v>2627</v>
      </c>
      <c r="M387" s="11">
        <v>1.59</v>
      </c>
      <c r="N387" s="8" t="s">
        <v>3092</v>
      </c>
      <c r="O387" s="8">
        <v>2663.0</v>
      </c>
      <c r="P387" s="11">
        <v>30.1812</v>
      </c>
      <c r="Q387" s="8" t="s">
        <v>3052</v>
      </c>
      <c r="R387" s="11">
        <v>-1.4747</v>
      </c>
      <c r="S387" s="12">
        <v>2724538.0</v>
      </c>
      <c r="T387" s="12">
        <v>1.2521226661E11</v>
      </c>
      <c r="U387" s="13">
        <v>2.541</v>
      </c>
      <c r="V387" s="13">
        <v>20.4086</v>
      </c>
      <c r="W387" s="13">
        <v>86.2403</v>
      </c>
      <c r="X387" s="13">
        <v>11.0531</v>
      </c>
      <c r="Y387" s="13">
        <v>4.6187</v>
      </c>
      <c r="Z387" s="13">
        <v>1.2729</v>
      </c>
      <c r="AA387" s="8" t="s">
        <v>2620</v>
      </c>
      <c r="AB387" s="14">
        <f>IFERROR(__xludf.DUMMYFUNCTION("IFERROR(GOOGLEFINANCE(B387,""price""),"""")"),71.21)</f>
        <v>71.21</v>
      </c>
    </row>
    <row r="388">
      <c r="A388" s="15">
        <v>46057.4547318623</v>
      </c>
      <c r="B388" s="16" t="s">
        <v>2804</v>
      </c>
      <c r="C388" s="16" t="s">
        <v>2805</v>
      </c>
      <c r="D388" s="17">
        <v>46061.0</v>
      </c>
      <c r="E388" s="18">
        <v>108.67</v>
      </c>
      <c r="F388" s="16" t="s">
        <v>308</v>
      </c>
      <c r="G388" s="21">
        <v>59.0951</v>
      </c>
      <c r="H388" s="21">
        <v>1.8389</v>
      </c>
      <c r="I388" s="17">
        <v>46059.0</v>
      </c>
      <c r="J388" s="18">
        <v>109.0</v>
      </c>
      <c r="K388" s="16">
        <v>2554.0</v>
      </c>
      <c r="L388" s="16" t="s">
        <v>2608</v>
      </c>
      <c r="M388" s="19">
        <v>0.3</v>
      </c>
      <c r="N388" s="16" t="s">
        <v>3093</v>
      </c>
      <c r="O388" s="16">
        <v>2554.0</v>
      </c>
      <c r="P388" s="19">
        <v>36.4583</v>
      </c>
      <c r="Q388" s="16" t="s">
        <v>2807</v>
      </c>
      <c r="R388" s="19">
        <v>-3.6528</v>
      </c>
      <c r="S388" s="20">
        <v>5285201.0</v>
      </c>
      <c r="T388" s="20">
        <v>9.3169350161E10</v>
      </c>
      <c r="U388" s="21">
        <v>5.4081</v>
      </c>
      <c r="V388" s="21">
        <v>14.1911</v>
      </c>
      <c r="W388" s="21">
        <v>15.3497</v>
      </c>
      <c r="X388" s="21">
        <v>19.1416</v>
      </c>
      <c r="Y388" s="21">
        <v>0.7143</v>
      </c>
      <c r="Z388" s="21">
        <v>1.5878</v>
      </c>
      <c r="AA388" s="16" t="s">
        <v>2620</v>
      </c>
      <c r="AB388" s="22">
        <f>IFERROR(__xludf.DUMMYFUNCTION("IFERROR(GOOGLEFINANCE(B388,""price""),"""")"),171.24)</f>
        <v>171.24</v>
      </c>
    </row>
    <row r="389">
      <c r="A389" s="7">
        <v>46057.4547318623</v>
      </c>
      <c r="B389" s="8" t="s">
        <v>2676</v>
      </c>
      <c r="C389" s="8" t="s">
        <v>2677</v>
      </c>
      <c r="D389" s="9">
        <v>46061.0</v>
      </c>
      <c r="E389" s="10">
        <v>30.6501</v>
      </c>
      <c r="F389" s="8" t="s">
        <v>93</v>
      </c>
      <c r="G389" s="13">
        <v>13.3418</v>
      </c>
      <c r="H389" s="13">
        <v>2.2973</v>
      </c>
      <c r="I389" s="9">
        <v>46073.0</v>
      </c>
      <c r="J389" s="10">
        <v>31.0</v>
      </c>
      <c r="K389" s="8">
        <v>2398.0</v>
      </c>
      <c r="L389" s="8" t="s">
        <v>2608</v>
      </c>
      <c r="M389" s="11">
        <v>1.14</v>
      </c>
      <c r="N389" s="8" t="s">
        <v>3094</v>
      </c>
      <c r="O389" s="8">
        <v>2398.0</v>
      </c>
      <c r="P389" s="11">
        <v>20.6794</v>
      </c>
      <c r="Q389" s="8" t="s">
        <v>2679</v>
      </c>
      <c r="R389" s="11">
        <v>2.7492</v>
      </c>
      <c r="S389" s="12">
        <v>4163704.0</v>
      </c>
      <c r="T389" s="12">
        <v>2.6876353137E10</v>
      </c>
      <c r="U389" s="13">
        <v>0.6708</v>
      </c>
      <c r="V389" s="13">
        <v>11.6787</v>
      </c>
      <c r="W389" s="13">
        <v>28.7373</v>
      </c>
      <c r="X389" s="13">
        <v>2.137</v>
      </c>
      <c r="Y389" s="13">
        <v>0.2565</v>
      </c>
      <c r="Z389" s="13">
        <v>0.1084</v>
      </c>
      <c r="AA389" s="8" t="s">
        <v>2620</v>
      </c>
      <c r="AB389" s="14">
        <f>IFERROR(__xludf.DUMMYFUNCTION("IFERROR(GOOGLEFINANCE(B389,""price""),"""")"),27.5)</f>
        <v>27.5</v>
      </c>
    </row>
    <row r="390">
      <c r="A390" s="15">
        <v>46057.4547318623</v>
      </c>
      <c r="B390" s="16" t="s">
        <v>2117</v>
      </c>
      <c r="C390" s="16" t="s">
        <v>2118</v>
      </c>
      <c r="D390" s="17">
        <v>46061.0</v>
      </c>
      <c r="E390" s="18">
        <v>158.905</v>
      </c>
      <c r="F390" s="16" t="s">
        <v>149</v>
      </c>
      <c r="G390" s="21">
        <v>30.9419</v>
      </c>
      <c r="H390" s="21">
        <v>5.1356</v>
      </c>
      <c r="I390" s="17">
        <v>46073.0</v>
      </c>
      <c r="J390" s="18">
        <v>160.0</v>
      </c>
      <c r="K390" s="16">
        <v>2303.0</v>
      </c>
      <c r="L390" s="16" t="s">
        <v>2608</v>
      </c>
      <c r="M390" s="19">
        <v>0.69</v>
      </c>
      <c r="N390" s="16" t="s">
        <v>3095</v>
      </c>
      <c r="O390" s="16">
        <v>2303.0</v>
      </c>
      <c r="P390" s="19">
        <v>19.7823</v>
      </c>
      <c r="Q390" s="16" t="s">
        <v>2119</v>
      </c>
      <c r="R390" s="19">
        <v>0.1039</v>
      </c>
      <c r="S390" s="20">
        <v>1019115.0</v>
      </c>
      <c r="T390" s="20">
        <v>4.4120424801E10</v>
      </c>
      <c r="U390" s="21">
        <v>3.1443</v>
      </c>
      <c r="V390" s="24"/>
      <c r="W390" s="21">
        <v>30.6165</v>
      </c>
      <c r="X390" s="21">
        <v>11.6018</v>
      </c>
      <c r="Y390" s="24"/>
      <c r="Z390" s="21">
        <v>1.6941</v>
      </c>
      <c r="AA390" s="16" t="s">
        <v>2620</v>
      </c>
      <c r="AB390" s="22">
        <f>IFERROR(__xludf.DUMMYFUNCTION("IFERROR(GOOGLEFINANCE(B390,""price""),"""")"),161.76)</f>
        <v>161.76</v>
      </c>
    </row>
    <row r="391">
      <c r="A391" s="7">
        <v>46057.4547318623</v>
      </c>
      <c r="B391" s="8" t="s">
        <v>1570</v>
      </c>
      <c r="C391" s="8" t="s">
        <v>1571</v>
      </c>
      <c r="D391" s="9">
        <v>46061.0</v>
      </c>
      <c r="E391" s="10">
        <v>46.58</v>
      </c>
      <c r="F391" s="8" t="s">
        <v>917</v>
      </c>
      <c r="G391" s="13">
        <v>20.2337</v>
      </c>
      <c r="H391" s="13">
        <v>2.3021</v>
      </c>
      <c r="I391" s="9">
        <v>46073.0</v>
      </c>
      <c r="J391" s="10">
        <v>46.0</v>
      </c>
      <c r="K391" s="8">
        <v>2200.0</v>
      </c>
      <c r="L391" s="8" t="s">
        <v>2608</v>
      </c>
      <c r="M391" s="11">
        <v>1.25</v>
      </c>
      <c r="N391" s="8" t="s">
        <v>3096</v>
      </c>
      <c r="O391" s="8">
        <v>2200.0</v>
      </c>
      <c r="P391" s="11">
        <v>29.255</v>
      </c>
      <c r="Q391" s="8" t="s">
        <v>1572</v>
      </c>
      <c r="R391" s="11">
        <v>-0.6611</v>
      </c>
      <c r="S391" s="12">
        <v>3382431.0</v>
      </c>
      <c r="T391" s="12">
        <v>2.6907662757E10</v>
      </c>
      <c r="U391" s="13">
        <v>0.7877</v>
      </c>
      <c r="V391" s="13">
        <v>10.5451</v>
      </c>
      <c r="W391" s="13">
        <v>19.6489</v>
      </c>
      <c r="X391" s="13">
        <v>7.6402</v>
      </c>
      <c r="Y391" s="13">
        <v>2.1464</v>
      </c>
      <c r="Z391" s="13">
        <v>0.7474</v>
      </c>
      <c r="AA391" s="8" t="s">
        <v>2611</v>
      </c>
      <c r="AB391" s="14">
        <f>IFERROR(__xludf.DUMMYFUNCTION("IFERROR(GOOGLEFINANCE(B391,""price""),"""")"),51.43)</f>
        <v>51.43</v>
      </c>
    </row>
    <row r="392">
      <c r="A392" s="15">
        <v>46057.4547318623</v>
      </c>
      <c r="B392" s="16" t="s">
        <v>2915</v>
      </c>
      <c r="C392" s="16" t="s">
        <v>2916</v>
      </c>
      <c r="D392" s="17">
        <v>46061.0</v>
      </c>
      <c r="E392" s="18">
        <v>145.74</v>
      </c>
      <c r="F392" s="16" t="s">
        <v>117</v>
      </c>
      <c r="G392" s="21">
        <v>22.5737</v>
      </c>
      <c r="H392" s="21">
        <v>6.4562</v>
      </c>
      <c r="I392" s="17">
        <v>46059.0</v>
      </c>
      <c r="J392" s="18">
        <v>143.0</v>
      </c>
      <c r="K392" s="16">
        <v>1074.0</v>
      </c>
      <c r="L392" s="16" t="s">
        <v>2608</v>
      </c>
      <c r="M392" s="19">
        <v>1.88</v>
      </c>
      <c r="N392" s="16" t="s">
        <v>3097</v>
      </c>
      <c r="O392" s="16">
        <v>2143.0</v>
      </c>
      <c r="P392" s="19">
        <v>35.3103</v>
      </c>
      <c r="Q392" s="16" t="s">
        <v>2918</v>
      </c>
      <c r="R392" s="19">
        <v>1.7169</v>
      </c>
      <c r="S392" s="20">
        <v>1601740.0</v>
      </c>
      <c r="T392" s="20">
        <v>1.80816638325E11</v>
      </c>
      <c r="U392" s="21">
        <v>3.5362</v>
      </c>
      <c r="V392" s="21">
        <v>40.5348</v>
      </c>
      <c r="W392" s="21">
        <v>39.0204</v>
      </c>
      <c r="X392" s="21">
        <v>2.7624</v>
      </c>
      <c r="Y392" s="21">
        <v>1.1579</v>
      </c>
      <c r="Z392" s="21">
        <v>1.4534</v>
      </c>
      <c r="AA392" s="16" t="s">
        <v>2611</v>
      </c>
      <c r="AB392" s="22">
        <f>IFERROR(__xludf.DUMMYFUNCTION("IFERROR(GOOGLEFINANCE(B392,""price""),"""")"),139.03)</f>
        <v>139.03</v>
      </c>
    </row>
    <row r="393">
      <c r="A393" s="7">
        <v>46057.4547318623</v>
      </c>
      <c r="B393" s="8" t="s">
        <v>3039</v>
      </c>
      <c r="C393" s="8" t="s">
        <v>3040</v>
      </c>
      <c r="D393" s="9">
        <v>46061.0</v>
      </c>
      <c r="E393" s="10">
        <v>274.75</v>
      </c>
      <c r="F393" s="8" t="s">
        <v>308</v>
      </c>
      <c r="G393" s="13">
        <v>78.9194</v>
      </c>
      <c r="H393" s="13">
        <v>3.4814</v>
      </c>
      <c r="I393" s="9">
        <v>46059.0</v>
      </c>
      <c r="J393" s="10">
        <v>280.0</v>
      </c>
      <c r="K393" s="8">
        <v>1992.0</v>
      </c>
      <c r="L393" s="8" t="s">
        <v>2608</v>
      </c>
      <c r="M393" s="11">
        <v>1.91</v>
      </c>
      <c r="N393" s="8" t="s">
        <v>3098</v>
      </c>
      <c r="O393" s="8">
        <v>1992.0</v>
      </c>
      <c r="P393" s="11">
        <v>45.1145</v>
      </c>
      <c r="Q393" s="8" t="s">
        <v>3042</v>
      </c>
      <c r="R393" s="11">
        <v>-2.9083</v>
      </c>
      <c r="S393" s="12">
        <v>2919942.0</v>
      </c>
      <c r="T393" s="12">
        <v>4.3028129795E10</v>
      </c>
      <c r="U393" s="13">
        <v>12.8406</v>
      </c>
      <c r="V393" s="13">
        <v>19.7343</v>
      </c>
      <c r="W393" s="13">
        <v>21.7539</v>
      </c>
      <c r="X393" s="13">
        <v>13.314</v>
      </c>
      <c r="Y393" s="13">
        <v>0.1013</v>
      </c>
      <c r="Z393" s="13">
        <v>1.757</v>
      </c>
      <c r="AA393" s="8" t="s">
        <v>2620</v>
      </c>
      <c r="AB393" s="14">
        <f>IFERROR(__xludf.DUMMYFUNCTION("IFERROR(GOOGLEFINANCE(B393,""price""),"""")"),367.99)</f>
        <v>367.99</v>
      </c>
    </row>
    <row r="394">
      <c r="A394" s="15">
        <v>46057.4547318623</v>
      </c>
      <c r="B394" s="16" t="s">
        <v>2973</v>
      </c>
      <c r="C394" s="16" t="s">
        <v>2974</v>
      </c>
      <c r="D394" s="17">
        <v>46061.0</v>
      </c>
      <c r="E394" s="18">
        <v>55.52</v>
      </c>
      <c r="F394" s="16" t="s">
        <v>93</v>
      </c>
      <c r="G394" s="21">
        <v>14.5439</v>
      </c>
      <c r="H394" s="21">
        <v>3.8174</v>
      </c>
      <c r="I394" s="17">
        <v>46073.0</v>
      </c>
      <c r="J394" s="18">
        <v>55.0</v>
      </c>
      <c r="K394" s="16">
        <v>1977.0</v>
      </c>
      <c r="L394" s="16" t="s">
        <v>2608</v>
      </c>
      <c r="M394" s="19">
        <v>0.94</v>
      </c>
      <c r="N394" s="16" t="s">
        <v>3099</v>
      </c>
      <c r="O394" s="16">
        <v>1977.0</v>
      </c>
      <c r="P394" s="19">
        <v>23.8249</v>
      </c>
      <c r="Q394" s="16" t="s">
        <v>2976</v>
      </c>
      <c r="R394" s="19">
        <v>2.7577</v>
      </c>
      <c r="S394" s="20">
        <v>4195169.0</v>
      </c>
      <c r="T394" s="20">
        <v>7.1023748298E10</v>
      </c>
      <c r="U394" s="21">
        <v>1.1257</v>
      </c>
      <c r="V394" s="21">
        <v>8.2363</v>
      </c>
      <c r="W394" s="21">
        <v>21.1616</v>
      </c>
      <c r="X394" s="21">
        <v>24.2886</v>
      </c>
      <c r="Y394" s="21">
        <v>1.0708</v>
      </c>
      <c r="Z394" s="21">
        <v>0.3413</v>
      </c>
      <c r="AA394" s="16" t="s">
        <v>2611</v>
      </c>
      <c r="AB394" s="22">
        <f>IFERROR(__xludf.DUMMYFUNCTION("IFERROR(GOOGLEFINANCE(B394,""price""),"""")"),49.6)</f>
        <v>49.6</v>
      </c>
    </row>
    <row r="395">
      <c r="A395" s="7">
        <v>46057.4547318623</v>
      </c>
      <c r="B395" s="8" t="s">
        <v>3100</v>
      </c>
      <c r="C395" s="8" t="s">
        <v>3101</v>
      </c>
      <c r="D395" s="9">
        <v>46061.0</v>
      </c>
      <c r="E395" s="10">
        <v>264.21</v>
      </c>
      <c r="F395" s="8" t="s">
        <v>308</v>
      </c>
      <c r="G395" s="13">
        <v>311.0549</v>
      </c>
      <c r="H395" s="13">
        <v>0.8494</v>
      </c>
      <c r="I395" s="9">
        <v>46059.0</v>
      </c>
      <c r="J395" s="10">
        <v>265.0</v>
      </c>
      <c r="K395" s="8">
        <v>1537.0</v>
      </c>
      <c r="L395" s="8" t="s">
        <v>2608</v>
      </c>
      <c r="M395" s="11">
        <v>0.3</v>
      </c>
      <c r="N395" s="8" t="s">
        <v>3102</v>
      </c>
      <c r="O395" s="8">
        <v>1537.0</v>
      </c>
      <c r="P395" s="11">
        <v>15.363</v>
      </c>
      <c r="Q395" s="8" t="s">
        <v>3103</v>
      </c>
      <c r="R395" s="11">
        <v>-4.4518</v>
      </c>
      <c r="S395" s="12">
        <v>1709126.0</v>
      </c>
      <c r="T395" s="12">
        <v>3.7215228407E10</v>
      </c>
      <c r="U395" s="13">
        <v>17.4485</v>
      </c>
      <c r="V395" s="13">
        <v>4.4483</v>
      </c>
      <c r="W395" s="13">
        <v>6.5162</v>
      </c>
      <c r="X395" s="13">
        <v>18.7935</v>
      </c>
      <c r="Y395" s="13">
        <v>0.5956</v>
      </c>
      <c r="Z395" s="13">
        <v>2.6962</v>
      </c>
      <c r="AA395" s="8" t="s">
        <v>2620</v>
      </c>
      <c r="AB395" s="14">
        <f>IFERROR(__xludf.DUMMYFUNCTION("IFERROR(GOOGLEFINANCE(B395,""price""),"""")"),496.02)</f>
        <v>496.02</v>
      </c>
    </row>
    <row r="396">
      <c r="A396" s="15">
        <v>46057.4547318623</v>
      </c>
      <c r="B396" s="16" t="s">
        <v>2521</v>
      </c>
      <c r="C396" s="16" t="s">
        <v>2522</v>
      </c>
      <c r="D396" s="17">
        <v>46061.0</v>
      </c>
      <c r="E396" s="18">
        <v>314.575</v>
      </c>
      <c r="F396" s="16" t="s">
        <v>308</v>
      </c>
      <c r="G396" s="21">
        <v>68.8453</v>
      </c>
      <c r="H396" s="21">
        <v>4.5693</v>
      </c>
      <c r="I396" s="17">
        <v>46059.0</v>
      </c>
      <c r="J396" s="18">
        <v>310.0</v>
      </c>
      <c r="K396" s="16">
        <v>1491.0</v>
      </c>
      <c r="L396" s="16" t="s">
        <v>2627</v>
      </c>
      <c r="M396" s="19">
        <v>1.45</v>
      </c>
      <c r="N396" s="16" t="s">
        <v>3048</v>
      </c>
      <c r="O396" s="16">
        <v>1491.0</v>
      </c>
      <c r="P396" s="19">
        <v>36.9299</v>
      </c>
      <c r="Q396" s="16" t="s">
        <v>2523</v>
      </c>
      <c r="R396" s="19">
        <v>1.0553</v>
      </c>
      <c r="S396" s="20">
        <v>1244513.0</v>
      </c>
      <c r="T396" s="20">
        <v>1.53710346403E11</v>
      </c>
      <c r="U396" s="21">
        <v>8.7072</v>
      </c>
      <c r="V396" s="21">
        <v>6.5728</v>
      </c>
      <c r="W396" s="21">
        <v>27.2724</v>
      </c>
      <c r="X396" s="21">
        <v>16.8932</v>
      </c>
      <c r="Y396" s="21">
        <v>0.2646</v>
      </c>
      <c r="Z396" s="21">
        <v>2.1899</v>
      </c>
      <c r="AA396" s="16" t="s">
        <v>2611</v>
      </c>
      <c r="AB396" s="22">
        <f>IFERROR(__xludf.DUMMYFUNCTION("IFERROR(GOOGLEFINANCE(B396,""price""),"""")"),350.14)</f>
        <v>350.14</v>
      </c>
    </row>
    <row r="397">
      <c r="A397" s="7">
        <v>46057.4547318623</v>
      </c>
      <c r="B397" s="8" t="s">
        <v>2726</v>
      </c>
      <c r="C397" s="8" t="s">
        <v>2727</v>
      </c>
      <c r="D397" s="9">
        <v>46061.0</v>
      </c>
      <c r="E397" s="10">
        <v>81.94</v>
      </c>
      <c r="F397" s="8" t="s">
        <v>286</v>
      </c>
      <c r="G397" s="13">
        <v>46.6469</v>
      </c>
      <c r="H397" s="13">
        <v>1.7566</v>
      </c>
      <c r="I397" s="9">
        <v>46073.0</v>
      </c>
      <c r="J397" s="10">
        <v>82.5</v>
      </c>
      <c r="K397" s="8">
        <v>1354.0</v>
      </c>
      <c r="L397" s="8" t="s">
        <v>2608</v>
      </c>
      <c r="M397" s="11">
        <v>0.68</v>
      </c>
      <c r="N397" s="8" t="s">
        <v>3104</v>
      </c>
      <c r="O397" s="8">
        <v>1354.0</v>
      </c>
      <c r="P397" s="11">
        <v>37.4549</v>
      </c>
      <c r="Q397" s="8" t="s">
        <v>2729</v>
      </c>
      <c r="R397" s="11">
        <v>-0.0366</v>
      </c>
      <c r="S397" s="12">
        <v>2129157.0</v>
      </c>
      <c r="T397" s="12">
        <v>8.0057116616E10</v>
      </c>
      <c r="U397" s="13">
        <v>1.4952</v>
      </c>
      <c r="V397" s="13">
        <v>25.538</v>
      </c>
      <c r="W397" s="13">
        <v>29.9505</v>
      </c>
      <c r="X397" s="13">
        <v>7.618</v>
      </c>
      <c r="Y397" s="13">
        <v>0.0</v>
      </c>
      <c r="Z397" s="13">
        <v>3.1855</v>
      </c>
      <c r="AA397" s="8" t="s">
        <v>2620</v>
      </c>
      <c r="AB397" s="14">
        <f>IFERROR(__xludf.DUMMYFUNCTION("IFERROR(GOOGLEFINANCE(B397,""price""),"""")"),75.72)</f>
        <v>75.72</v>
      </c>
    </row>
    <row r="398">
      <c r="A398" s="15">
        <v>46057.4547318623</v>
      </c>
      <c r="B398" s="16" t="s">
        <v>2428</v>
      </c>
      <c r="C398" s="16" t="s">
        <v>2429</v>
      </c>
      <c r="D398" s="17">
        <v>46061.0</v>
      </c>
      <c r="E398" s="18">
        <v>130.18</v>
      </c>
      <c r="F398" s="16" t="s">
        <v>102</v>
      </c>
      <c r="G398" s="21">
        <v>28.8635</v>
      </c>
      <c r="H398" s="21">
        <v>4.5102</v>
      </c>
      <c r="I398" s="17">
        <v>46073.0</v>
      </c>
      <c r="J398" s="18">
        <v>130.0</v>
      </c>
      <c r="K398" s="16">
        <v>1262.0</v>
      </c>
      <c r="L398" s="16" t="s">
        <v>2608</v>
      </c>
      <c r="M398" s="19">
        <v>0.14</v>
      </c>
      <c r="N398" s="16" t="s">
        <v>3105</v>
      </c>
      <c r="O398" s="16">
        <v>1262.0</v>
      </c>
      <c r="P398" s="19">
        <v>41.4503</v>
      </c>
      <c r="Q398" s="16" t="s">
        <v>2430</v>
      </c>
      <c r="R398" s="19">
        <v>1.7826</v>
      </c>
      <c r="S398" s="20">
        <v>1317098.0</v>
      </c>
      <c r="T398" s="20">
        <v>6.8371102539E10</v>
      </c>
      <c r="U398" s="21">
        <v>2.9629</v>
      </c>
      <c r="V398" s="21">
        <v>12.9222</v>
      </c>
      <c r="W398" s="21">
        <v>10.9587</v>
      </c>
      <c r="X398" s="21">
        <v>-15.5047</v>
      </c>
      <c r="Y398" s="24"/>
      <c r="Z398" s="21">
        <v>1.701</v>
      </c>
      <c r="AA398" s="16" t="s">
        <v>2611</v>
      </c>
      <c r="AB398" s="22">
        <f>IFERROR(__xludf.DUMMYFUNCTION("IFERROR(GOOGLEFINANCE(B398,""price""),"""")"),127.19)</f>
        <v>127.19</v>
      </c>
    </row>
    <row r="399">
      <c r="A399" s="7">
        <v>46057.4547318623</v>
      </c>
      <c r="B399" s="8" t="s">
        <v>2843</v>
      </c>
      <c r="C399" s="8" t="s">
        <v>2844</v>
      </c>
      <c r="D399" s="9">
        <v>46061.0</v>
      </c>
      <c r="E399" s="10">
        <v>196.625</v>
      </c>
      <c r="F399" s="8" t="s">
        <v>308</v>
      </c>
      <c r="G399" s="13">
        <v>39.6317</v>
      </c>
      <c r="H399" s="13">
        <v>4.9613</v>
      </c>
      <c r="I399" s="9">
        <v>46059.0</v>
      </c>
      <c r="J399" s="10">
        <v>200.0</v>
      </c>
      <c r="K399" s="8">
        <v>1238.0</v>
      </c>
      <c r="L399" s="8" t="s">
        <v>2608</v>
      </c>
      <c r="M399" s="11">
        <v>1.72</v>
      </c>
      <c r="N399" s="8" t="s">
        <v>3106</v>
      </c>
      <c r="O399" s="8">
        <v>1238.0</v>
      </c>
      <c r="P399" s="11">
        <v>46.3513</v>
      </c>
      <c r="Q399" s="8" t="s">
        <v>2846</v>
      </c>
      <c r="R399" s="11">
        <v>-3.3784</v>
      </c>
      <c r="S399" s="12">
        <v>2496580.0</v>
      </c>
      <c r="T399" s="12">
        <v>2.63629289124E11</v>
      </c>
      <c r="U399" s="13">
        <v>4.861</v>
      </c>
      <c r="V399" s="13">
        <v>10.7368</v>
      </c>
      <c r="W399" s="13">
        <v>10.0301</v>
      </c>
      <c r="X399" s="13">
        <v>9.7414</v>
      </c>
      <c r="Y399" s="13">
        <v>0.6055</v>
      </c>
      <c r="Z399" s="13">
        <v>1.0263</v>
      </c>
      <c r="AA399" s="8" t="s">
        <v>2620</v>
      </c>
      <c r="AB399" s="14">
        <f>IFERROR(__xludf.DUMMYFUNCTION("IFERROR(GOOGLEFINANCE(B399,""price""),"""")"),201.56)</f>
        <v>201.56</v>
      </c>
    </row>
    <row r="400">
      <c r="A400" s="15">
        <v>46057.4547318623</v>
      </c>
      <c r="B400" s="16" t="s">
        <v>1626</v>
      </c>
      <c r="C400" s="16" t="s">
        <v>1627</v>
      </c>
      <c r="D400" s="17">
        <v>46061.0</v>
      </c>
      <c r="E400" s="18">
        <v>44.23</v>
      </c>
      <c r="F400" s="16" t="s">
        <v>917</v>
      </c>
      <c r="G400" s="21">
        <v>23.3613</v>
      </c>
      <c r="H400" s="21">
        <v>1.8933</v>
      </c>
      <c r="I400" s="17">
        <v>46073.0</v>
      </c>
      <c r="J400" s="18">
        <v>45.0</v>
      </c>
      <c r="K400" s="16">
        <v>1139.0</v>
      </c>
      <c r="L400" s="16" t="s">
        <v>2608</v>
      </c>
      <c r="M400" s="19">
        <v>1.74</v>
      </c>
      <c r="N400" s="16" t="s">
        <v>3107</v>
      </c>
      <c r="O400" s="16">
        <v>1139.0</v>
      </c>
      <c r="P400" s="19">
        <v>28.0064</v>
      </c>
      <c r="Q400" s="16" t="s">
        <v>1628</v>
      </c>
      <c r="R400" s="19">
        <v>0.6142</v>
      </c>
      <c r="S400" s="20">
        <v>1843805.0</v>
      </c>
      <c r="T400" s="20">
        <v>2.110635768E10</v>
      </c>
      <c r="U400" s="21">
        <v>0.7243</v>
      </c>
      <c r="V400" s="21">
        <v>10.2329</v>
      </c>
      <c r="W400" s="21">
        <v>27.5403</v>
      </c>
      <c r="X400" s="21">
        <v>19.6207</v>
      </c>
      <c r="Y400" s="21">
        <v>1.7288</v>
      </c>
      <c r="Z400" s="21">
        <v>0.5231</v>
      </c>
      <c r="AA400" s="16" t="s">
        <v>2620</v>
      </c>
      <c r="AB400" s="22">
        <f>IFERROR(__xludf.DUMMYFUNCTION("IFERROR(GOOGLEFINANCE(B400,""price""),"""")"),48.05)</f>
        <v>48.05</v>
      </c>
    </row>
    <row r="401">
      <c r="A401" s="7">
        <v>46057.4547318623</v>
      </c>
      <c r="B401" s="8" t="s">
        <v>2692</v>
      </c>
      <c r="C401" s="8" t="s">
        <v>2693</v>
      </c>
      <c r="D401" s="9">
        <v>46061.0</v>
      </c>
      <c r="E401" s="10">
        <v>234.495</v>
      </c>
      <c r="F401" s="8" t="s">
        <v>117</v>
      </c>
      <c r="G401" s="13">
        <v>21.2293</v>
      </c>
      <c r="H401" s="13">
        <v>11.0458</v>
      </c>
      <c r="I401" s="9">
        <v>46059.0</v>
      </c>
      <c r="J401" s="10">
        <v>230.0</v>
      </c>
      <c r="K401" s="8">
        <v>1080.0</v>
      </c>
      <c r="L401" s="8" t="s">
        <v>2608</v>
      </c>
      <c r="M401" s="11">
        <v>1.92</v>
      </c>
      <c r="N401" s="8" t="s">
        <v>3108</v>
      </c>
      <c r="O401" s="8">
        <v>1080.0</v>
      </c>
      <c r="P401" s="11">
        <v>29.5712</v>
      </c>
      <c r="Q401" s="8" t="s">
        <v>2695</v>
      </c>
      <c r="R401" s="11">
        <v>0.5985</v>
      </c>
      <c r="S401" s="12">
        <v>2661128.0</v>
      </c>
      <c r="T401" s="12">
        <v>5.64967627498E11</v>
      </c>
      <c r="U401" s="13">
        <v>3.7684</v>
      </c>
      <c r="V401" s="23"/>
      <c r="W401" s="13">
        <v>27.4326</v>
      </c>
      <c r="X401" s="13">
        <v>6.0483</v>
      </c>
      <c r="Y401" s="23"/>
      <c r="Z401" s="23"/>
      <c r="AA401" s="8" t="s">
        <v>2611</v>
      </c>
      <c r="AB401" s="14">
        <f>IFERROR(__xludf.DUMMYFUNCTION("IFERROR(GOOGLEFINANCE(B401,""price""),"""")"),238.46)</f>
        <v>238.46</v>
      </c>
    </row>
    <row r="402">
      <c r="A402" s="15">
        <v>46057.4547318623</v>
      </c>
      <c r="B402" s="16" t="s">
        <v>2658</v>
      </c>
      <c r="C402" s="16" t="s">
        <v>2659</v>
      </c>
      <c r="D402" s="17">
        <v>46061.0</v>
      </c>
      <c r="E402" s="18">
        <v>89.24</v>
      </c>
      <c r="F402" s="16" t="s">
        <v>917</v>
      </c>
      <c r="G402" s="21">
        <v>27.04</v>
      </c>
      <c r="H402" s="21">
        <v>3.3003</v>
      </c>
      <c r="I402" s="17">
        <v>46059.0</v>
      </c>
      <c r="J402" s="18">
        <v>90.0</v>
      </c>
      <c r="K402" s="16">
        <v>1038.0</v>
      </c>
      <c r="L402" s="16" t="s">
        <v>2608</v>
      </c>
      <c r="M402" s="19">
        <v>0.85</v>
      </c>
      <c r="N402" s="16" t="s">
        <v>3109</v>
      </c>
      <c r="O402" s="16">
        <v>1038.0</v>
      </c>
      <c r="P402" s="19">
        <v>31.0893</v>
      </c>
      <c r="Q402" s="16" t="s">
        <v>2661</v>
      </c>
      <c r="R402" s="19">
        <v>0.4729</v>
      </c>
      <c r="S402" s="20">
        <v>3473098.0</v>
      </c>
      <c r="T402" s="20">
        <v>1.85852081774E11</v>
      </c>
      <c r="U402" s="21">
        <v>1.8449</v>
      </c>
      <c r="V402" s="21">
        <v>13.0533</v>
      </c>
      <c r="W402" s="21">
        <v>26.0656</v>
      </c>
      <c r="X402" s="21">
        <v>7.4736</v>
      </c>
      <c r="Y402" s="21">
        <v>1.751</v>
      </c>
      <c r="Z402" s="21">
        <v>0.5953</v>
      </c>
      <c r="AA402" s="16" t="s">
        <v>2620</v>
      </c>
      <c r="AB402" s="22">
        <f>IFERROR(__xludf.DUMMYFUNCTION("IFERROR(GOOGLEFINANCE(B402,""price""),"""")"),94.08)</f>
        <v>94.08</v>
      </c>
    </row>
    <row r="403">
      <c r="A403" s="7">
        <v>46057.62710395225</v>
      </c>
      <c r="B403" s="8" t="s">
        <v>1489</v>
      </c>
      <c r="C403" s="8" t="s">
        <v>1490</v>
      </c>
      <c r="D403" s="9">
        <v>46061.0</v>
      </c>
      <c r="E403" s="10">
        <v>81.595</v>
      </c>
      <c r="F403" s="8" t="s">
        <v>308</v>
      </c>
      <c r="G403" s="13">
        <v>30.7662</v>
      </c>
      <c r="H403" s="13">
        <v>2.6521</v>
      </c>
      <c r="I403" s="9">
        <v>46059.0</v>
      </c>
      <c r="J403" s="10">
        <v>81.0</v>
      </c>
      <c r="K403" s="8">
        <v>7899.0</v>
      </c>
      <c r="L403" s="8" t="s">
        <v>2608</v>
      </c>
      <c r="M403" s="11">
        <v>0.73</v>
      </c>
      <c r="N403" s="8" t="s">
        <v>3110</v>
      </c>
      <c r="O403" s="8">
        <v>17569.0</v>
      </c>
      <c r="P403" s="11">
        <v>29.0714</v>
      </c>
      <c r="Q403" s="8" t="s">
        <v>1491</v>
      </c>
      <c r="R403" s="11">
        <v>-1.8229</v>
      </c>
      <c r="S403" s="12">
        <v>3.1305227E7</v>
      </c>
      <c r="T403" s="12">
        <v>3.22389556661E11</v>
      </c>
      <c r="U403" s="13">
        <v>1.7534</v>
      </c>
      <c r="V403" s="13">
        <v>23.0103</v>
      </c>
      <c r="W403" s="13">
        <v>22.9895</v>
      </c>
      <c r="X403" s="13">
        <v>8.9097</v>
      </c>
      <c r="Y403" s="13">
        <v>0.6323</v>
      </c>
      <c r="Z403" s="13">
        <v>0.9274</v>
      </c>
      <c r="AA403" s="8" t="s">
        <v>2611</v>
      </c>
      <c r="AB403" s="14">
        <f>IFERROR(__xludf.DUMMYFUNCTION("IFERROR(GOOGLEFINANCE(B403,""price""),"""")"),82.22)</f>
        <v>82.22</v>
      </c>
    </row>
    <row r="404">
      <c r="A404" s="15">
        <v>46057.62710395225</v>
      </c>
      <c r="B404" s="16" t="s">
        <v>2612</v>
      </c>
      <c r="C404" s="16" t="s">
        <v>2613</v>
      </c>
      <c r="D404" s="17">
        <v>46061.0</v>
      </c>
      <c r="E404" s="18">
        <v>202.71</v>
      </c>
      <c r="F404" s="16" t="s">
        <v>308</v>
      </c>
      <c r="G404" s="21">
        <v>76.5377</v>
      </c>
      <c r="H404" s="21">
        <v>2.6485</v>
      </c>
      <c r="I404" s="17">
        <v>46059.0</v>
      </c>
      <c r="J404" s="18">
        <v>200.0</v>
      </c>
      <c r="K404" s="16">
        <v>6699.0</v>
      </c>
      <c r="L404" s="16" t="s">
        <v>2627</v>
      </c>
      <c r="M404" s="19">
        <v>1.34</v>
      </c>
      <c r="N404" s="16" t="s">
        <v>3111</v>
      </c>
      <c r="O404" s="16">
        <v>14560.0</v>
      </c>
      <c r="P404" s="19">
        <v>23.6607</v>
      </c>
      <c r="Q404" s="16" t="s">
        <v>2615</v>
      </c>
      <c r="R404" s="19">
        <v>-16.2736</v>
      </c>
      <c r="S404" s="20">
        <v>9.5488155E7</v>
      </c>
      <c r="T404" s="20">
        <v>3.30020294088E11</v>
      </c>
      <c r="U404" s="21">
        <v>14.0239</v>
      </c>
      <c r="V404" s="21">
        <v>7.0815</v>
      </c>
      <c r="W404" s="21">
        <v>10.6672</v>
      </c>
      <c r="X404" s="21">
        <v>34.3378</v>
      </c>
      <c r="Y404" s="21">
        <v>0.0611</v>
      </c>
      <c r="Z404" s="21">
        <v>2.85</v>
      </c>
      <c r="AA404" s="16" t="s">
        <v>2611</v>
      </c>
      <c r="AB404" s="22">
        <f>IFERROR(__xludf.DUMMYFUNCTION("IFERROR(GOOGLEFINANCE(B404,""price""),"""")"),245.04)</f>
        <v>245.04</v>
      </c>
    </row>
    <row r="405">
      <c r="A405" s="7">
        <v>46057.62710395225</v>
      </c>
      <c r="B405" s="8" t="s">
        <v>2630</v>
      </c>
      <c r="C405" s="8" t="s">
        <v>2631</v>
      </c>
      <c r="D405" s="9">
        <v>46061.0</v>
      </c>
      <c r="E405" s="10">
        <v>378.19</v>
      </c>
      <c r="F405" s="8" t="s">
        <v>308</v>
      </c>
      <c r="G405" s="13">
        <v>35.9496</v>
      </c>
      <c r="H405" s="13">
        <v>10.52</v>
      </c>
      <c r="I405" s="9">
        <v>46059.0</v>
      </c>
      <c r="J405" s="10">
        <v>380.0</v>
      </c>
      <c r="K405" s="8">
        <v>4461.0</v>
      </c>
      <c r="L405" s="8" t="s">
        <v>2627</v>
      </c>
      <c r="M405" s="11">
        <v>0.48</v>
      </c>
      <c r="N405" s="8" t="s">
        <v>3112</v>
      </c>
      <c r="O405" s="8">
        <v>13813.0</v>
      </c>
      <c r="P405" s="11">
        <v>44.2805</v>
      </c>
      <c r="Q405" s="8" t="s">
        <v>2633</v>
      </c>
      <c r="R405" s="11">
        <v>-9.8345</v>
      </c>
      <c r="S405" s="12">
        <v>5.0053888E7</v>
      </c>
      <c r="T405" s="12">
        <v>4.25656356076E11</v>
      </c>
      <c r="U405" s="13">
        <v>25.7982</v>
      </c>
      <c r="V405" s="13">
        <v>22.5543</v>
      </c>
      <c r="W405" s="13">
        <v>32.9221</v>
      </c>
      <c r="X405" s="13">
        <v>45.432</v>
      </c>
      <c r="Y405" s="13">
        <v>0.2124</v>
      </c>
      <c r="Z405" s="13">
        <v>2.4598</v>
      </c>
      <c r="AA405" s="8" t="s">
        <v>2620</v>
      </c>
      <c r="AB405" s="14">
        <f>IFERROR(__xludf.DUMMYFUNCTION("IFERROR(GOOGLEFINANCE(B405,""price""),"""")"),420.59)</f>
        <v>420.59</v>
      </c>
    </row>
    <row r="406">
      <c r="A406" s="15">
        <v>46057.62710395225</v>
      </c>
      <c r="B406" s="16" t="s">
        <v>3067</v>
      </c>
      <c r="C406" s="16" t="s">
        <v>3068</v>
      </c>
      <c r="D406" s="17">
        <v>46061.0</v>
      </c>
      <c r="E406" s="18">
        <v>19.127</v>
      </c>
      <c r="F406" s="16" t="s">
        <v>93</v>
      </c>
      <c r="G406" s="21">
        <v>13.7942</v>
      </c>
      <c r="H406" s="21">
        <v>1.3866</v>
      </c>
      <c r="I406" s="17">
        <v>46073.0</v>
      </c>
      <c r="J406" s="18">
        <v>19.0</v>
      </c>
      <c r="K406" s="16">
        <v>12727.0</v>
      </c>
      <c r="L406" s="16" t="s">
        <v>2608</v>
      </c>
      <c r="M406" s="19">
        <v>0.66</v>
      </c>
      <c r="N406" s="16" t="s">
        <v>3069</v>
      </c>
      <c r="O406" s="16">
        <v>13727.0</v>
      </c>
      <c r="P406" s="19">
        <v>18.3284</v>
      </c>
      <c r="Q406" s="16" t="s">
        <v>3070</v>
      </c>
      <c r="R406" s="19">
        <v>4.0076</v>
      </c>
      <c r="S406" s="20">
        <v>4.4667019E7</v>
      </c>
      <c r="T406" s="20">
        <v>3.8957931612E10</v>
      </c>
      <c r="U406" s="21">
        <v>0.5139</v>
      </c>
      <c r="V406" s="21">
        <v>10.0313</v>
      </c>
      <c r="W406" s="21">
        <v>21.9353</v>
      </c>
      <c r="X406" s="21">
        <v>4.0422</v>
      </c>
      <c r="Y406" s="21">
        <v>0.7593</v>
      </c>
      <c r="Z406" s="21">
        <v>0.0962</v>
      </c>
      <c r="AA406" s="16" t="s">
        <v>2611</v>
      </c>
      <c r="AB406" s="22">
        <f>IFERROR(__xludf.DUMMYFUNCTION("IFERROR(GOOGLEFINANCE(B406,""price""),"""")"),16.38)</f>
        <v>16.38</v>
      </c>
    </row>
    <row r="407">
      <c r="A407" s="7">
        <v>46057.62710395225</v>
      </c>
      <c r="B407" s="8" t="s">
        <v>2625</v>
      </c>
      <c r="C407" s="8" t="s">
        <v>2626</v>
      </c>
      <c r="D407" s="9">
        <v>46061.0</v>
      </c>
      <c r="E407" s="10">
        <v>128.005</v>
      </c>
      <c r="F407" s="8" t="s">
        <v>137</v>
      </c>
      <c r="G407" s="13">
        <v>44.8983</v>
      </c>
      <c r="H407" s="13">
        <v>2.851</v>
      </c>
      <c r="I407" s="9">
        <v>46059.0</v>
      </c>
      <c r="J407" s="10">
        <v>127.0</v>
      </c>
      <c r="K407" s="8">
        <v>3230.0</v>
      </c>
      <c r="L407" s="8" t="s">
        <v>2608</v>
      </c>
      <c r="M407" s="11">
        <v>0.79</v>
      </c>
      <c r="N407" s="8" t="s">
        <v>3072</v>
      </c>
      <c r="O407" s="8">
        <v>10103.0</v>
      </c>
      <c r="P407" s="11">
        <v>25.6453</v>
      </c>
      <c r="Q407" s="8" t="s">
        <v>2629</v>
      </c>
      <c r="R407" s="11">
        <v>0.231</v>
      </c>
      <c r="S407" s="12">
        <v>1.8803236E7</v>
      </c>
      <c r="T407" s="12">
        <v>1.020221218521E12</v>
      </c>
      <c r="U407" s="13">
        <v>2.5975</v>
      </c>
      <c r="V407" s="13">
        <v>24.8749</v>
      </c>
      <c r="W407" s="13">
        <v>4.1214</v>
      </c>
      <c r="X407" s="13">
        <v>4.3397</v>
      </c>
      <c r="Y407" s="13">
        <v>0.7121</v>
      </c>
      <c r="Z407" s="13">
        <v>0.8029</v>
      </c>
      <c r="AA407" s="8" t="s">
        <v>2611</v>
      </c>
      <c r="AB407" s="14">
        <f>IFERROR(__xludf.DUMMYFUNCTION("IFERROR(GOOGLEFINANCE(B407,""price""),"""")"),126.79)</f>
        <v>126.79</v>
      </c>
    </row>
    <row r="408">
      <c r="A408" s="15">
        <v>46057.62710395225</v>
      </c>
      <c r="B408" s="16" t="s">
        <v>2621</v>
      </c>
      <c r="C408" s="16" t="s">
        <v>2622</v>
      </c>
      <c r="D408" s="17">
        <v>46061.0</v>
      </c>
      <c r="E408" s="18">
        <v>62.14</v>
      </c>
      <c r="F408" s="16" t="s">
        <v>335</v>
      </c>
      <c r="G408" s="21">
        <v>41.0436</v>
      </c>
      <c r="H408" s="21">
        <v>1.514</v>
      </c>
      <c r="I408" s="17">
        <v>46059.0</v>
      </c>
      <c r="J408" s="18">
        <v>62.0</v>
      </c>
      <c r="K408" s="16">
        <v>2660.0</v>
      </c>
      <c r="L408" s="16" t="s">
        <v>2608</v>
      </c>
      <c r="M408" s="19">
        <v>0.23</v>
      </c>
      <c r="N408" s="16" t="s">
        <v>3113</v>
      </c>
      <c r="O408" s="16">
        <v>8801.0</v>
      </c>
      <c r="P408" s="19">
        <v>42.8117</v>
      </c>
      <c r="Q408" s="16" t="s">
        <v>2624</v>
      </c>
      <c r="R408" s="19">
        <v>-3.9122</v>
      </c>
      <c r="S408" s="20">
        <v>2.3074131E7</v>
      </c>
      <c r="T408" s="20">
        <v>8.9228728939E10</v>
      </c>
      <c r="U408" s="21">
        <v>2.8917</v>
      </c>
      <c r="V408" s="21">
        <v>11.9792</v>
      </c>
      <c r="W408" s="21">
        <v>23.7569</v>
      </c>
      <c r="X408" s="21">
        <v>1.5155</v>
      </c>
      <c r="Y408" s="21">
        <v>0.5497</v>
      </c>
      <c r="Z408" s="21">
        <v>2.2911</v>
      </c>
      <c r="AA408" s="16" t="s">
        <v>2611</v>
      </c>
      <c r="AB408" s="22">
        <f>IFERROR(__xludf.DUMMYFUNCTION("IFERROR(GOOGLEFINANCE(B408,""price""),"""")"),67.8)</f>
        <v>67.8</v>
      </c>
    </row>
    <row r="409">
      <c r="A409" s="7">
        <v>46057.62710395225</v>
      </c>
      <c r="B409" s="8" t="s">
        <v>2616</v>
      </c>
      <c r="C409" s="8" t="s">
        <v>2617</v>
      </c>
      <c r="D409" s="9">
        <v>46061.0</v>
      </c>
      <c r="E409" s="10">
        <v>77.43</v>
      </c>
      <c r="F409" s="8" t="s">
        <v>286</v>
      </c>
      <c r="G409" s="13">
        <v>25.6357</v>
      </c>
      <c r="H409" s="13">
        <v>3.0204</v>
      </c>
      <c r="I409" s="9">
        <v>46059.0</v>
      </c>
      <c r="J409" s="10">
        <v>77.0</v>
      </c>
      <c r="K409" s="8">
        <v>3922.0</v>
      </c>
      <c r="L409" s="8" t="s">
        <v>2608</v>
      </c>
      <c r="M409" s="11">
        <v>0.56</v>
      </c>
      <c r="N409" s="8" t="s">
        <v>3114</v>
      </c>
      <c r="O409" s="8">
        <v>8389.0</v>
      </c>
      <c r="P409" s="11">
        <v>33.6334</v>
      </c>
      <c r="Q409" s="8" t="s">
        <v>2619</v>
      </c>
      <c r="R409" s="11">
        <v>0.7023</v>
      </c>
      <c r="S409" s="12">
        <v>1.9697708E7</v>
      </c>
      <c r="T409" s="12">
        <v>3.33073573454E11</v>
      </c>
      <c r="U409" s="13">
        <v>1.1691</v>
      </c>
      <c r="V409" s="13">
        <v>45.1173</v>
      </c>
      <c r="W409" s="13">
        <v>31.1024</v>
      </c>
      <c r="X409" s="13">
        <v>2.9315</v>
      </c>
      <c r="Y409" s="13">
        <v>1.5175</v>
      </c>
      <c r="Z409" s="13">
        <v>1.211</v>
      </c>
      <c r="AA409" s="8" t="s">
        <v>2611</v>
      </c>
      <c r="AB409" s="14">
        <f>IFERROR(__xludf.DUMMYFUNCTION("IFERROR(GOOGLEFINANCE(B409,""price""),"""")"),77.47)</f>
        <v>77.47</v>
      </c>
    </row>
    <row r="410">
      <c r="A410" s="15">
        <v>46057.62710395225</v>
      </c>
      <c r="B410" s="16" t="s">
        <v>2638</v>
      </c>
      <c r="C410" s="16" t="s">
        <v>2639</v>
      </c>
      <c r="D410" s="17">
        <v>46061.0</v>
      </c>
      <c r="E410" s="18">
        <v>147.66</v>
      </c>
      <c r="F410" s="16" t="s">
        <v>245</v>
      </c>
      <c r="G410" s="21">
        <v>22.0688</v>
      </c>
      <c r="H410" s="21">
        <v>6.6909</v>
      </c>
      <c r="I410" s="17">
        <v>46059.0</v>
      </c>
      <c r="J410" s="18">
        <v>145.0</v>
      </c>
      <c r="K410" s="16">
        <v>2961.0</v>
      </c>
      <c r="L410" s="16" t="s">
        <v>2608</v>
      </c>
      <c r="M410" s="19">
        <v>1.8</v>
      </c>
      <c r="N410" s="16" t="s">
        <v>3115</v>
      </c>
      <c r="O410" s="16">
        <v>7810.0</v>
      </c>
      <c r="P410" s="19">
        <v>49.9286</v>
      </c>
      <c r="Q410" s="16" t="s">
        <v>2641</v>
      </c>
      <c r="R410" s="19">
        <v>2.7343</v>
      </c>
      <c r="S410" s="20">
        <v>2.2273543E7</v>
      </c>
      <c r="T410" s="20">
        <v>6.22706643257E11</v>
      </c>
      <c r="U410" s="21">
        <v>3.128</v>
      </c>
      <c r="V410" s="21">
        <v>11.0283</v>
      </c>
      <c r="W410" s="21">
        <v>10.3419</v>
      </c>
      <c r="X410" s="21">
        <v>-4.856</v>
      </c>
      <c r="Y410" s="21">
        <v>0.1678</v>
      </c>
      <c r="Z410" s="21">
        <v>1.1528</v>
      </c>
      <c r="AA410" s="16" t="s">
        <v>2611</v>
      </c>
      <c r="AB410" s="22">
        <f>IFERROR(__xludf.DUMMYFUNCTION("IFERROR(GOOGLEFINANCE(B410,""price""),"""")"),152.51)</f>
        <v>152.51</v>
      </c>
    </row>
    <row r="411">
      <c r="A411" s="7">
        <v>46057.62710395225</v>
      </c>
      <c r="B411" s="8" t="s">
        <v>2676</v>
      </c>
      <c r="C411" s="8" t="s">
        <v>2677</v>
      </c>
      <c r="D411" s="9">
        <v>46061.0</v>
      </c>
      <c r="E411" s="10">
        <v>30.545</v>
      </c>
      <c r="F411" s="8" t="s">
        <v>93</v>
      </c>
      <c r="G411" s="13">
        <v>13.296</v>
      </c>
      <c r="H411" s="13">
        <v>2.2973</v>
      </c>
      <c r="I411" s="9">
        <v>46073.0</v>
      </c>
      <c r="J411" s="10">
        <v>30.0</v>
      </c>
      <c r="K411" s="8">
        <v>4539.0</v>
      </c>
      <c r="L411" s="8" t="s">
        <v>2608</v>
      </c>
      <c r="M411" s="11">
        <v>1.78</v>
      </c>
      <c r="N411" s="8" t="s">
        <v>3116</v>
      </c>
      <c r="O411" s="8">
        <v>6937.0</v>
      </c>
      <c r="P411" s="11">
        <v>20.8072</v>
      </c>
      <c r="Q411" s="8" t="s">
        <v>2679</v>
      </c>
      <c r="R411" s="11">
        <v>2.3969</v>
      </c>
      <c r="S411" s="12">
        <v>1.5232985E7</v>
      </c>
      <c r="T411" s="12">
        <v>2.6784193414E10</v>
      </c>
      <c r="U411" s="13">
        <v>0.6826</v>
      </c>
      <c r="V411" s="13">
        <v>11.6787</v>
      </c>
      <c r="W411" s="13">
        <v>28.7373</v>
      </c>
      <c r="X411" s="13">
        <v>2.137</v>
      </c>
      <c r="Y411" s="13">
        <v>0.2565</v>
      </c>
      <c r="Z411" s="13">
        <v>0.1084</v>
      </c>
      <c r="AA411" s="8" t="s">
        <v>2611</v>
      </c>
      <c r="AB411" s="14">
        <f>IFERROR(__xludf.DUMMYFUNCTION("IFERROR(GOOGLEFINANCE(B411,""price""),"""")"),27.5)</f>
        <v>27.5</v>
      </c>
    </row>
    <row r="412">
      <c r="A412" s="15">
        <v>46057.62710395225</v>
      </c>
      <c r="B412" s="16" t="s">
        <v>1467</v>
      </c>
      <c r="C412" s="16" t="s">
        <v>1468</v>
      </c>
      <c r="D412" s="17">
        <v>46061.0</v>
      </c>
      <c r="E412" s="18">
        <v>128.99</v>
      </c>
      <c r="F412" s="16" t="s">
        <v>102</v>
      </c>
      <c r="G412" s="21">
        <v>25.3299</v>
      </c>
      <c r="H412" s="21">
        <v>5.0924</v>
      </c>
      <c r="I412" s="17">
        <v>46073.0</v>
      </c>
      <c r="J412" s="18">
        <v>130.0</v>
      </c>
      <c r="K412" s="16">
        <v>6677.0</v>
      </c>
      <c r="L412" s="16" t="s">
        <v>2608</v>
      </c>
      <c r="M412" s="19">
        <v>0.78</v>
      </c>
      <c r="N412" s="16" t="s">
        <v>3117</v>
      </c>
      <c r="O412" s="16">
        <v>6677.0</v>
      </c>
      <c r="P412" s="19">
        <v>24.85</v>
      </c>
      <c r="Q412" s="16" t="s">
        <v>1469</v>
      </c>
      <c r="R412" s="19">
        <v>4.0158</v>
      </c>
      <c r="S412" s="20">
        <v>1.2211736E7</v>
      </c>
      <c r="T412" s="20">
        <v>7.8950415611E10</v>
      </c>
      <c r="U412" s="21">
        <v>3.3665</v>
      </c>
      <c r="V412" s="21">
        <v>11.8587</v>
      </c>
      <c r="W412" s="21">
        <v>11.9215</v>
      </c>
      <c r="X412" s="21">
        <v>-10.1857</v>
      </c>
      <c r="Y412" s="21">
        <v>0.8656</v>
      </c>
      <c r="Z412" s="21">
        <v>0.8989</v>
      </c>
      <c r="AA412" s="16" t="s">
        <v>2620</v>
      </c>
      <c r="AB412" s="22">
        <f>IFERROR(__xludf.DUMMYFUNCTION("IFERROR(GOOGLEFINANCE(B412,""price""),"""")"),142.53)</f>
        <v>142.53</v>
      </c>
    </row>
    <row r="413">
      <c r="A413" s="7">
        <v>46057.62710395225</v>
      </c>
      <c r="B413" s="8" t="s">
        <v>2634</v>
      </c>
      <c r="C413" s="8" t="s">
        <v>2635</v>
      </c>
      <c r="D413" s="9">
        <v>46061.0</v>
      </c>
      <c r="E413" s="10">
        <v>181.815</v>
      </c>
      <c r="F413" s="8" t="s">
        <v>245</v>
      </c>
      <c r="G413" s="13">
        <v>27.3369</v>
      </c>
      <c r="H413" s="13">
        <v>6.6509</v>
      </c>
      <c r="I413" s="9">
        <v>46059.0</v>
      </c>
      <c r="J413" s="10">
        <v>180.0</v>
      </c>
      <c r="K413" s="8">
        <v>3389.0</v>
      </c>
      <c r="L413" s="8" t="s">
        <v>2608</v>
      </c>
      <c r="M413" s="11">
        <v>1.0</v>
      </c>
      <c r="N413" s="8" t="s">
        <v>3118</v>
      </c>
      <c r="O413" s="8">
        <v>6523.0</v>
      </c>
      <c r="P413" s="11">
        <v>50.8176</v>
      </c>
      <c r="Q413" s="8" t="s">
        <v>2637</v>
      </c>
      <c r="R413" s="11">
        <v>2.1203</v>
      </c>
      <c r="S413" s="12">
        <v>1.2827272E7</v>
      </c>
      <c r="T413" s="12">
        <v>3.66088417071E11</v>
      </c>
      <c r="U413" s="13">
        <v>3.5313</v>
      </c>
      <c r="V413" s="13">
        <v>7.261</v>
      </c>
      <c r="W413" s="13">
        <v>8.9022</v>
      </c>
      <c r="X413" s="13">
        <v>-4.6053</v>
      </c>
      <c r="Y413" s="13">
        <v>0.2186</v>
      </c>
      <c r="Z413" s="23"/>
      <c r="AA413" s="8" t="s">
        <v>2611</v>
      </c>
      <c r="AB413" s="14">
        <f>IFERROR(__xludf.DUMMYFUNCTION("IFERROR(GOOGLEFINANCE(B413,""price""),"""")"),188.55)</f>
        <v>188.55</v>
      </c>
    </row>
    <row r="414">
      <c r="A414" s="15">
        <v>46057.62710395225</v>
      </c>
      <c r="B414" s="16" t="s">
        <v>2654</v>
      </c>
      <c r="C414" s="16" t="s">
        <v>2655</v>
      </c>
      <c r="D414" s="17">
        <v>46061.0</v>
      </c>
      <c r="E414" s="18">
        <v>40.315</v>
      </c>
      <c r="F414" s="16" t="s">
        <v>917</v>
      </c>
      <c r="G414" s="21">
        <v>25.4546</v>
      </c>
      <c r="H414" s="21">
        <v>1.5838</v>
      </c>
      <c r="I414" s="17">
        <v>46073.0</v>
      </c>
      <c r="J414" s="18">
        <v>40.0</v>
      </c>
      <c r="K414" s="16">
        <v>4473.0</v>
      </c>
      <c r="L414" s="16" t="s">
        <v>2608</v>
      </c>
      <c r="M414" s="19">
        <v>0.78</v>
      </c>
      <c r="N414" s="16" t="s">
        <v>3021</v>
      </c>
      <c r="O414" s="16">
        <v>4473.0</v>
      </c>
      <c r="P414" s="19">
        <v>17.1179</v>
      </c>
      <c r="Q414" s="16" t="s">
        <v>2657</v>
      </c>
      <c r="R414" s="19">
        <v>0.311</v>
      </c>
      <c r="S414" s="20">
        <v>5065309.0</v>
      </c>
      <c r="T414" s="20">
        <v>2.6320381595E10</v>
      </c>
      <c r="U414" s="21">
        <v>0.6384</v>
      </c>
      <c r="V414" s="21">
        <v>9.6059</v>
      </c>
      <c r="W414" s="21">
        <v>22.5038</v>
      </c>
      <c r="X414" s="21">
        <v>6.4347</v>
      </c>
      <c r="Y414" s="21">
        <v>2.0787</v>
      </c>
      <c r="Z414" s="21">
        <v>0.5135</v>
      </c>
      <c r="AA414" s="16" t="s">
        <v>2611</v>
      </c>
      <c r="AB414" s="22">
        <f>IFERROR(__xludf.DUMMYFUNCTION("IFERROR(GOOGLEFINANCE(B414,""price""),"""")"),43.39)</f>
        <v>43.39</v>
      </c>
    </row>
    <row r="415">
      <c r="A415" s="7">
        <v>46057.62710395225</v>
      </c>
      <c r="B415" s="8" t="s">
        <v>2700</v>
      </c>
      <c r="C415" s="8" t="s">
        <v>2701</v>
      </c>
      <c r="D415" s="9">
        <v>46061.0</v>
      </c>
      <c r="E415" s="10">
        <v>209.91</v>
      </c>
      <c r="F415" s="8" t="s">
        <v>102</v>
      </c>
      <c r="G415" s="13">
        <v>43.0205</v>
      </c>
      <c r="H415" s="13">
        <v>4.8793</v>
      </c>
      <c r="I415" s="9">
        <v>46059.0</v>
      </c>
      <c r="J415" s="10">
        <v>212.5</v>
      </c>
      <c r="K415" s="8">
        <v>3097.0</v>
      </c>
      <c r="L415" s="8" t="s">
        <v>2608</v>
      </c>
      <c r="M415" s="11">
        <v>1.23</v>
      </c>
      <c r="N415" s="8" t="s">
        <v>3119</v>
      </c>
      <c r="O415" s="8">
        <v>4179.0</v>
      </c>
      <c r="P415" s="11">
        <v>40.2422</v>
      </c>
      <c r="Q415" s="8" t="s">
        <v>2703</v>
      </c>
      <c r="R415" s="11">
        <v>-8.7744</v>
      </c>
      <c r="S415" s="12">
        <v>1.4229631E7</v>
      </c>
      <c r="T415" s="12">
        <v>2.62129526743E11</v>
      </c>
      <c r="U415" s="13">
        <v>12.6306</v>
      </c>
      <c r="V415" s="13">
        <v>65.5649</v>
      </c>
      <c r="W415" s="13">
        <v>33.7646</v>
      </c>
      <c r="X415" s="13">
        <v>26.8457</v>
      </c>
      <c r="Y415" s="13">
        <v>0.4419</v>
      </c>
      <c r="Z415" s="13">
        <v>2.2562</v>
      </c>
      <c r="AA415" s="8" t="s">
        <v>2620</v>
      </c>
      <c r="AB415" s="14">
        <f>IFERROR(__xludf.DUMMYFUNCTION("IFERROR(GOOGLEFINANCE(B415,""price""),"""")"),263.66)</f>
        <v>263.66</v>
      </c>
    </row>
    <row r="416">
      <c r="A416" s="15">
        <v>46057.62710395225</v>
      </c>
      <c r="B416" s="16" t="s">
        <v>2650</v>
      </c>
      <c r="C416" s="16" t="s">
        <v>2651</v>
      </c>
      <c r="D416" s="17">
        <v>46061.0</v>
      </c>
      <c r="E416" s="18">
        <v>211.14</v>
      </c>
      <c r="F416" s="16" t="s">
        <v>308</v>
      </c>
      <c r="G416" s="21">
        <v>304.2802</v>
      </c>
      <c r="H416" s="21">
        <v>0.6939</v>
      </c>
      <c r="I416" s="17">
        <v>46059.0</v>
      </c>
      <c r="J416" s="18">
        <v>207.5</v>
      </c>
      <c r="K416" s="16">
        <v>3740.0</v>
      </c>
      <c r="L416" s="16" t="s">
        <v>2627</v>
      </c>
      <c r="M416" s="19">
        <v>1.72</v>
      </c>
      <c r="N416" s="16" t="s">
        <v>3120</v>
      </c>
      <c r="O416" s="16">
        <v>3740.0</v>
      </c>
      <c r="P416" s="19">
        <v>24.6692</v>
      </c>
      <c r="Q416" s="16" t="s">
        <v>2653</v>
      </c>
      <c r="R416" s="19">
        <v>-7.8715</v>
      </c>
      <c r="S416" s="20">
        <v>1.0702853E7</v>
      </c>
      <c r="T416" s="20">
        <v>3.3181412203E10</v>
      </c>
      <c r="U416" s="21">
        <v>16.9855</v>
      </c>
      <c r="V416" s="21">
        <v>3.0782</v>
      </c>
      <c r="W416" s="21">
        <v>11.161</v>
      </c>
      <c r="X416" s="21">
        <v>20.7993</v>
      </c>
      <c r="Y416" s="21">
        <v>0.4206</v>
      </c>
      <c r="Z416" s="21">
        <v>2.3283</v>
      </c>
      <c r="AA416" s="16" t="s">
        <v>2611</v>
      </c>
      <c r="AB416" s="22">
        <f>IFERROR(__xludf.DUMMYFUNCTION("IFERROR(GOOGLEFINANCE(B416,""price""),"""")"),307.5)</f>
        <v>307.5</v>
      </c>
    </row>
    <row r="417">
      <c r="A417" s="7">
        <v>46057.62710395225</v>
      </c>
      <c r="B417" s="8" t="s">
        <v>2646</v>
      </c>
      <c r="C417" s="8" t="s">
        <v>2647</v>
      </c>
      <c r="D417" s="9">
        <v>46061.0</v>
      </c>
      <c r="E417" s="10">
        <v>35.1962</v>
      </c>
      <c r="F417" s="8" t="s">
        <v>270</v>
      </c>
      <c r="G417" s="13">
        <v>13.2541</v>
      </c>
      <c r="H417" s="13">
        <v>2.6555</v>
      </c>
      <c r="I417" s="9">
        <v>46059.0</v>
      </c>
      <c r="J417" s="10">
        <v>35.0</v>
      </c>
      <c r="K417" s="8">
        <v>3320.0</v>
      </c>
      <c r="L417" s="8" t="s">
        <v>2608</v>
      </c>
      <c r="M417" s="11">
        <v>0.56</v>
      </c>
      <c r="N417" s="8" t="s">
        <v>3121</v>
      </c>
      <c r="O417" s="8">
        <v>3320.0</v>
      </c>
      <c r="P417" s="11">
        <v>30.509</v>
      </c>
      <c r="Q417" s="8" t="s">
        <v>2649</v>
      </c>
      <c r="R417" s="11">
        <v>1.635</v>
      </c>
      <c r="S417" s="12">
        <v>7867937.0</v>
      </c>
      <c r="T417" s="12">
        <v>7.6140682509E10</v>
      </c>
      <c r="U417" s="13">
        <v>0.6465</v>
      </c>
      <c r="V417" s="23"/>
      <c r="W417" s="13">
        <v>13.037</v>
      </c>
      <c r="X417" s="13">
        <v>-5.779</v>
      </c>
      <c r="Y417" s="23"/>
      <c r="Z417" s="23"/>
      <c r="AA417" s="8" t="s">
        <v>2611</v>
      </c>
      <c r="AB417" s="14">
        <f>IFERROR(__xludf.DUMMYFUNCTION("IFERROR(GOOGLEFINANCE(B417,""price""),"""")"),37.35)</f>
        <v>37.35</v>
      </c>
    </row>
    <row r="418">
      <c r="A418" s="15">
        <v>46057.62710395225</v>
      </c>
      <c r="B418" s="16" t="s">
        <v>3080</v>
      </c>
      <c r="C418" s="16" t="s">
        <v>3081</v>
      </c>
      <c r="D418" s="17">
        <v>46061.0</v>
      </c>
      <c r="E418" s="18">
        <v>93.46</v>
      </c>
      <c r="F418" s="16" t="s">
        <v>93</v>
      </c>
      <c r="G418" s="21">
        <v>14.9238</v>
      </c>
      <c r="H418" s="21">
        <v>6.2625</v>
      </c>
      <c r="I418" s="17">
        <v>46059.0</v>
      </c>
      <c r="J418" s="18">
        <v>92.0</v>
      </c>
      <c r="K418" s="16">
        <v>2156.0</v>
      </c>
      <c r="L418" s="16" t="s">
        <v>2608</v>
      </c>
      <c r="M418" s="19">
        <v>1.56</v>
      </c>
      <c r="N418" s="16" t="s">
        <v>3082</v>
      </c>
      <c r="O418" s="16">
        <v>3309.0</v>
      </c>
      <c r="P418" s="19">
        <v>22.5072</v>
      </c>
      <c r="Q418" s="16" t="s">
        <v>3083</v>
      </c>
      <c r="R418" s="19">
        <v>1.2458</v>
      </c>
      <c r="S418" s="20">
        <v>8409127.0</v>
      </c>
      <c r="T418" s="20">
        <v>2.89034397482E11</v>
      </c>
      <c r="U418" s="21">
        <v>2.0917</v>
      </c>
      <c r="V418" s="21">
        <v>11.8466</v>
      </c>
      <c r="W418" s="21">
        <v>20.6965</v>
      </c>
      <c r="X418" s="21">
        <v>-1.9497</v>
      </c>
      <c r="Y418" s="21">
        <v>2.3505</v>
      </c>
      <c r="Z418" s="21">
        <v>0.9006</v>
      </c>
      <c r="AA418" s="16" t="s">
        <v>2611</v>
      </c>
      <c r="AB418" s="22">
        <f>IFERROR(__xludf.DUMMYFUNCTION("IFERROR(GOOGLEFINANCE(B418,""price""),"""")"),85.4)</f>
        <v>85.4</v>
      </c>
    </row>
    <row r="419">
      <c r="A419" s="7">
        <v>46057.62710395225</v>
      </c>
      <c r="B419" s="8" t="s">
        <v>2139</v>
      </c>
      <c r="C419" s="8" t="s">
        <v>2140</v>
      </c>
      <c r="D419" s="9">
        <v>46061.0</v>
      </c>
      <c r="E419" s="10">
        <v>59.445</v>
      </c>
      <c r="F419" s="8" t="s">
        <v>270</v>
      </c>
      <c r="G419" s="13">
        <v>22.831</v>
      </c>
      <c r="H419" s="13">
        <v>2.6037</v>
      </c>
      <c r="I419" s="9">
        <v>46073.0</v>
      </c>
      <c r="J419" s="10">
        <v>60.0</v>
      </c>
      <c r="K419" s="8">
        <v>2916.0</v>
      </c>
      <c r="L419" s="8" t="s">
        <v>2608</v>
      </c>
      <c r="M419" s="11">
        <v>0.93</v>
      </c>
      <c r="N419" s="8" t="s">
        <v>3084</v>
      </c>
      <c r="O419" s="8">
        <v>2916.0</v>
      </c>
      <c r="P419" s="11">
        <v>39.7477</v>
      </c>
      <c r="Q419" s="8" t="s">
        <v>2141</v>
      </c>
      <c r="R419" s="11">
        <v>2.4914</v>
      </c>
      <c r="S419" s="12">
        <v>8095469.0</v>
      </c>
      <c r="T419" s="12">
        <v>5.865877239E10</v>
      </c>
      <c r="U419" s="13">
        <v>1.6438</v>
      </c>
      <c r="V419" s="13">
        <v>14.4158</v>
      </c>
      <c r="W419" s="13">
        <v>12.8259</v>
      </c>
      <c r="X419" s="13">
        <v>-0.345</v>
      </c>
      <c r="Y419" s="13">
        <v>0.3202</v>
      </c>
      <c r="Z419" s="13">
        <v>1.3568</v>
      </c>
      <c r="AA419" s="8" t="s">
        <v>2620</v>
      </c>
      <c r="AB419" s="14">
        <f>IFERROR(__xludf.DUMMYFUNCTION("IFERROR(GOOGLEFINANCE(B419,""price""),"""")"),62.83)</f>
        <v>62.83</v>
      </c>
    </row>
    <row r="420">
      <c r="A420" s="15">
        <v>46057.62710395225</v>
      </c>
      <c r="B420" s="16" t="s">
        <v>2983</v>
      </c>
      <c r="C420" s="16" t="s">
        <v>2984</v>
      </c>
      <c r="D420" s="17">
        <v>46061.0</v>
      </c>
      <c r="E420" s="18">
        <v>103.91</v>
      </c>
      <c r="F420" s="16" t="s">
        <v>93</v>
      </c>
      <c r="G420" s="21">
        <v>22.3074</v>
      </c>
      <c r="H420" s="21">
        <v>4.6581</v>
      </c>
      <c r="I420" s="17">
        <v>46059.0</v>
      </c>
      <c r="J420" s="18">
        <v>104.0</v>
      </c>
      <c r="K420" s="16">
        <v>2880.0</v>
      </c>
      <c r="L420" s="16" t="s">
        <v>2627</v>
      </c>
      <c r="M420" s="19">
        <v>0.09</v>
      </c>
      <c r="N420" s="16" t="s">
        <v>3122</v>
      </c>
      <c r="O420" s="16">
        <v>2880.0</v>
      </c>
      <c r="P420" s="19">
        <v>23.8222</v>
      </c>
      <c r="Q420" s="16" t="s">
        <v>2986</v>
      </c>
      <c r="R420" s="19">
        <v>0.1735</v>
      </c>
      <c r="S420" s="20">
        <v>8222938.0</v>
      </c>
      <c r="T420" s="20">
        <v>1.84641505495E11</v>
      </c>
      <c r="U420" s="21">
        <v>2.215</v>
      </c>
      <c r="V420" s="21">
        <v>18.1069</v>
      </c>
      <c r="W420" s="21">
        <v>47.6387</v>
      </c>
      <c r="X420" s="21">
        <v>6.4464</v>
      </c>
      <c r="Y420" s="21">
        <v>0.6275</v>
      </c>
      <c r="Z420" s="24"/>
      <c r="AA420" s="16" t="s">
        <v>2620</v>
      </c>
      <c r="AB420" s="22">
        <f>IFERROR(__xludf.DUMMYFUNCTION("IFERROR(GOOGLEFINANCE(B420,""price""),"""")"),94.8)</f>
        <v>94.8</v>
      </c>
    </row>
    <row r="421">
      <c r="A421" s="7">
        <v>46057.62710395225</v>
      </c>
      <c r="B421" s="8" t="s">
        <v>3086</v>
      </c>
      <c r="C421" s="8" t="s">
        <v>3087</v>
      </c>
      <c r="D421" s="9">
        <v>46061.0</v>
      </c>
      <c r="E421" s="10">
        <v>70.925</v>
      </c>
      <c r="F421" s="8" t="s">
        <v>162</v>
      </c>
      <c r="G421" s="13">
        <v>9.2572</v>
      </c>
      <c r="H421" s="13">
        <v>7.6616</v>
      </c>
      <c r="I421" s="9">
        <v>46059.0</v>
      </c>
      <c r="J421" s="10">
        <v>72.0</v>
      </c>
      <c r="K421" s="8">
        <v>1723.0</v>
      </c>
      <c r="L421" s="8" t="s">
        <v>2608</v>
      </c>
      <c r="M421" s="11">
        <v>1.52</v>
      </c>
      <c r="N421" s="8" t="s">
        <v>3088</v>
      </c>
      <c r="O421" s="8">
        <v>2827.0</v>
      </c>
      <c r="P421" s="11">
        <v>18.397</v>
      </c>
      <c r="Q421" s="8" t="s">
        <v>3089</v>
      </c>
      <c r="R421" s="11">
        <v>0.6885</v>
      </c>
      <c r="S421" s="12">
        <v>8225040.0</v>
      </c>
      <c r="T421" s="12">
        <v>4.6311385965E10</v>
      </c>
      <c r="U421" s="13">
        <v>2.2969</v>
      </c>
      <c r="V421" s="13">
        <v>27.7756</v>
      </c>
      <c r="W421" s="13">
        <v>9.1882</v>
      </c>
      <c r="X421" s="13">
        <v>2.7935</v>
      </c>
      <c r="Y421" s="13">
        <v>0.9769</v>
      </c>
      <c r="Z421" s="13">
        <v>0.3964</v>
      </c>
      <c r="AA421" s="8" t="s">
        <v>2620</v>
      </c>
      <c r="AB421" s="14">
        <f>IFERROR(__xludf.DUMMYFUNCTION("IFERROR(GOOGLEFINANCE(B421,""price""),"""")"),67.82)</f>
        <v>67.82</v>
      </c>
    </row>
    <row r="422">
      <c r="A422" s="15">
        <v>46057.62710395225</v>
      </c>
      <c r="B422" s="16" t="s">
        <v>2606</v>
      </c>
      <c r="C422" s="16" t="s">
        <v>2607</v>
      </c>
      <c r="D422" s="17">
        <v>46061.0</v>
      </c>
      <c r="E422" s="18">
        <v>54.325</v>
      </c>
      <c r="F422" s="16" t="s">
        <v>93</v>
      </c>
      <c r="G422" s="21">
        <v>15.3686</v>
      </c>
      <c r="H422" s="21">
        <v>3.5348</v>
      </c>
      <c r="I422" s="17">
        <v>46073.0</v>
      </c>
      <c r="J422" s="18">
        <v>55.0</v>
      </c>
      <c r="K422" s="16">
        <v>2804.0</v>
      </c>
      <c r="L422" s="16" t="s">
        <v>2608</v>
      </c>
      <c r="M422" s="19">
        <v>1.24</v>
      </c>
      <c r="N422" s="16" t="s">
        <v>3090</v>
      </c>
      <c r="O422" s="16">
        <v>2804.0</v>
      </c>
      <c r="P422" s="19">
        <v>39.0362</v>
      </c>
      <c r="Q422" s="16" t="s">
        <v>2610</v>
      </c>
      <c r="R422" s="19">
        <v>2.9858</v>
      </c>
      <c r="S422" s="20">
        <v>1.3269148E7</v>
      </c>
      <c r="T422" s="20">
        <v>4.9511299018E10</v>
      </c>
      <c r="U422" s="21">
        <v>1.4147</v>
      </c>
      <c r="V422" s="21">
        <v>12.1975</v>
      </c>
      <c r="W422" s="21">
        <v>23.4205</v>
      </c>
      <c r="X422" s="21">
        <v>2.2457</v>
      </c>
      <c r="Y422" s="21">
        <v>0.6682</v>
      </c>
      <c r="Z422" s="21">
        <v>0.2832</v>
      </c>
      <c r="AA422" s="16" t="s">
        <v>2620</v>
      </c>
      <c r="AB422" s="22">
        <f>IFERROR(__xludf.DUMMYFUNCTION("IFERROR(GOOGLEFINANCE(B422,""price""),"""")"),49.31)</f>
        <v>49.31</v>
      </c>
    </row>
    <row r="423">
      <c r="A423" s="7">
        <v>46057.62710395225</v>
      </c>
      <c r="B423" s="8" t="s">
        <v>2804</v>
      </c>
      <c r="C423" s="8" t="s">
        <v>2805</v>
      </c>
      <c r="D423" s="9">
        <v>46061.0</v>
      </c>
      <c r="E423" s="10">
        <v>110.195</v>
      </c>
      <c r="F423" s="8" t="s">
        <v>308</v>
      </c>
      <c r="G423" s="13">
        <v>59.9244</v>
      </c>
      <c r="H423" s="13">
        <v>1.8389</v>
      </c>
      <c r="I423" s="9">
        <v>46059.0</v>
      </c>
      <c r="J423" s="10">
        <v>109.0</v>
      </c>
      <c r="K423" s="8">
        <v>2554.0</v>
      </c>
      <c r="L423" s="8" t="s">
        <v>2608</v>
      </c>
      <c r="M423" s="11">
        <v>1.08</v>
      </c>
      <c r="N423" s="8" t="s">
        <v>3123</v>
      </c>
      <c r="O423" s="8">
        <v>2554.0</v>
      </c>
      <c r="P423" s="11">
        <v>36.4583</v>
      </c>
      <c r="Q423" s="8" t="s">
        <v>2807</v>
      </c>
      <c r="R423" s="11">
        <v>-2.3007</v>
      </c>
      <c r="S423" s="12">
        <v>1.0622442E7</v>
      </c>
      <c r="T423" s="12">
        <v>9.4476824708E10</v>
      </c>
      <c r="U423" s="13">
        <v>5.4081</v>
      </c>
      <c r="V423" s="13">
        <v>14.1911</v>
      </c>
      <c r="W423" s="13">
        <v>15.3497</v>
      </c>
      <c r="X423" s="13">
        <v>19.1416</v>
      </c>
      <c r="Y423" s="13">
        <v>0.7143</v>
      </c>
      <c r="Z423" s="13">
        <v>1.5878</v>
      </c>
      <c r="AA423" s="8" t="s">
        <v>2611</v>
      </c>
      <c r="AB423" s="14">
        <f>IFERROR(__xludf.DUMMYFUNCTION("IFERROR(GOOGLEFINANCE(B423,""price""),"""")"),171.24)</f>
        <v>171.24</v>
      </c>
    </row>
    <row r="424">
      <c r="A424" s="15">
        <v>46057.62710395225</v>
      </c>
      <c r="B424" s="16" t="s">
        <v>2117</v>
      </c>
      <c r="C424" s="16" t="s">
        <v>2118</v>
      </c>
      <c r="D424" s="17">
        <v>46061.0</v>
      </c>
      <c r="E424" s="18">
        <v>158.4</v>
      </c>
      <c r="F424" s="16" t="s">
        <v>149</v>
      </c>
      <c r="G424" s="21">
        <v>30.8435</v>
      </c>
      <c r="H424" s="21">
        <v>5.1356</v>
      </c>
      <c r="I424" s="17">
        <v>46073.0</v>
      </c>
      <c r="J424" s="18">
        <v>160.0</v>
      </c>
      <c r="K424" s="16">
        <v>2303.0</v>
      </c>
      <c r="L424" s="16" t="s">
        <v>2608</v>
      </c>
      <c r="M424" s="19">
        <v>1.01</v>
      </c>
      <c r="N424" s="16" t="s">
        <v>3095</v>
      </c>
      <c r="O424" s="16">
        <v>2303.0</v>
      </c>
      <c r="P424" s="19">
        <v>19.8411</v>
      </c>
      <c r="Q424" s="16" t="s">
        <v>2119</v>
      </c>
      <c r="R424" s="19">
        <v>-0.2142</v>
      </c>
      <c r="S424" s="20">
        <v>3019930.0</v>
      </c>
      <c r="T424" s="20">
        <v>4.3980210116E10</v>
      </c>
      <c r="U424" s="21">
        <v>3.1586</v>
      </c>
      <c r="V424" s="24"/>
      <c r="W424" s="21">
        <v>30.6165</v>
      </c>
      <c r="X424" s="21">
        <v>11.6018</v>
      </c>
      <c r="Y424" s="24"/>
      <c r="Z424" s="21">
        <v>1.6941</v>
      </c>
      <c r="AA424" s="16" t="s">
        <v>2620</v>
      </c>
      <c r="AB424" s="22">
        <f>IFERROR(__xludf.DUMMYFUNCTION("IFERROR(GOOGLEFINANCE(B424,""price""),"""")"),161.76)</f>
        <v>161.76</v>
      </c>
    </row>
    <row r="425">
      <c r="A425" s="7">
        <v>46057.62710395225</v>
      </c>
      <c r="B425" s="8" t="s">
        <v>1570</v>
      </c>
      <c r="C425" s="8" t="s">
        <v>1571</v>
      </c>
      <c r="D425" s="9">
        <v>46061.0</v>
      </c>
      <c r="E425" s="10">
        <v>46.265</v>
      </c>
      <c r="F425" s="8" t="s">
        <v>917</v>
      </c>
      <c r="G425" s="13">
        <v>20.0969</v>
      </c>
      <c r="H425" s="13">
        <v>2.3021</v>
      </c>
      <c r="I425" s="9">
        <v>46073.0</v>
      </c>
      <c r="J425" s="10">
        <v>46.0</v>
      </c>
      <c r="K425" s="8">
        <v>2200.0</v>
      </c>
      <c r="L425" s="8" t="s">
        <v>2608</v>
      </c>
      <c r="M425" s="11">
        <v>0.57</v>
      </c>
      <c r="N425" s="8" t="s">
        <v>3096</v>
      </c>
      <c r="O425" s="8">
        <v>2200.0</v>
      </c>
      <c r="P425" s="11">
        <v>29.255</v>
      </c>
      <c r="Q425" s="8" t="s">
        <v>1572</v>
      </c>
      <c r="R425" s="11">
        <v>-1.3329</v>
      </c>
      <c r="S425" s="12">
        <v>7605149.0</v>
      </c>
      <c r="T425" s="12">
        <v>2.6725698099E10</v>
      </c>
      <c r="U425" s="13">
        <v>0.7877</v>
      </c>
      <c r="V425" s="13">
        <v>10.5451</v>
      </c>
      <c r="W425" s="13">
        <v>19.6489</v>
      </c>
      <c r="X425" s="13">
        <v>7.6402</v>
      </c>
      <c r="Y425" s="13">
        <v>2.1464</v>
      </c>
      <c r="Z425" s="13">
        <v>0.7474</v>
      </c>
      <c r="AA425" s="8" t="s">
        <v>2611</v>
      </c>
      <c r="AB425" s="14">
        <f>IFERROR(__xludf.DUMMYFUNCTION("IFERROR(GOOGLEFINANCE(B425,""price""),"""")"),51.43)</f>
        <v>51.43</v>
      </c>
    </row>
    <row r="426">
      <c r="A426" s="15">
        <v>46057.62710395225</v>
      </c>
      <c r="B426" s="16" t="s">
        <v>2973</v>
      </c>
      <c r="C426" s="16" t="s">
        <v>2974</v>
      </c>
      <c r="D426" s="17">
        <v>46061.0</v>
      </c>
      <c r="E426" s="18">
        <v>55.345</v>
      </c>
      <c r="F426" s="16" t="s">
        <v>93</v>
      </c>
      <c r="G426" s="21">
        <v>14.4981</v>
      </c>
      <c r="H426" s="21">
        <v>3.8174</v>
      </c>
      <c r="I426" s="17">
        <v>46073.0</v>
      </c>
      <c r="J426" s="18">
        <v>55.0</v>
      </c>
      <c r="K426" s="16">
        <v>1977.0</v>
      </c>
      <c r="L426" s="16" t="s">
        <v>2608</v>
      </c>
      <c r="M426" s="19">
        <v>0.62</v>
      </c>
      <c r="N426" s="16" t="s">
        <v>3099</v>
      </c>
      <c r="O426" s="16">
        <v>1977.0</v>
      </c>
      <c r="P426" s="19">
        <v>23.8684</v>
      </c>
      <c r="Q426" s="16" t="s">
        <v>2976</v>
      </c>
      <c r="R426" s="19">
        <v>2.4338</v>
      </c>
      <c r="S426" s="20">
        <v>9333787.0</v>
      </c>
      <c r="T426" s="20">
        <v>7.0799880215E10</v>
      </c>
      <c r="U426" s="21">
        <v>1.1317</v>
      </c>
      <c r="V426" s="21">
        <v>8.2363</v>
      </c>
      <c r="W426" s="21">
        <v>21.1616</v>
      </c>
      <c r="X426" s="21">
        <v>24.2886</v>
      </c>
      <c r="Y426" s="21">
        <v>1.0708</v>
      </c>
      <c r="Z426" s="21">
        <v>0.3413</v>
      </c>
      <c r="AA426" s="16" t="s">
        <v>2611</v>
      </c>
      <c r="AB426" s="22">
        <f>IFERROR(__xludf.DUMMYFUNCTION("IFERROR(GOOGLEFINANCE(B426,""price""),"""")"),49.6)</f>
        <v>49.6</v>
      </c>
    </row>
    <row r="427">
      <c r="A427" s="7">
        <v>46057.62710395225</v>
      </c>
      <c r="B427" s="8" t="s">
        <v>2521</v>
      </c>
      <c r="C427" s="8" t="s">
        <v>2522</v>
      </c>
      <c r="D427" s="9">
        <v>46061.0</v>
      </c>
      <c r="E427" s="10">
        <v>321.62</v>
      </c>
      <c r="F427" s="8" t="s">
        <v>308</v>
      </c>
      <c r="G427" s="13">
        <v>70.3871</v>
      </c>
      <c r="H427" s="13">
        <v>4.5693</v>
      </c>
      <c r="I427" s="9">
        <v>46059.0</v>
      </c>
      <c r="J427" s="10">
        <v>325.0</v>
      </c>
      <c r="K427" s="8">
        <v>1831.0</v>
      </c>
      <c r="L427" s="8" t="s">
        <v>2608</v>
      </c>
      <c r="M427" s="11">
        <v>1.05</v>
      </c>
      <c r="N427" s="8" t="s">
        <v>3124</v>
      </c>
      <c r="O427" s="8">
        <v>1831.0</v>
      </c>
      <c r="P427" s="11">
        <v>37.0797</v>
      </c>
      <c r="Q427" s="8" t="s">
        <v>2523</v>
      </c>
      <c r="R427" s="11">
        <v>3.3184</v>
      </c>
      <c r="S427" s="12">
        <v>4134679.0</v>
      </c>
      <c r="T427" s="12">
        <v>1.57152734992E11</v>
      </c>
      <c r="U427" s="13">
        <v>8.8258</v>
      </c>
      <c r="V427" s="13">
        <v>6.5728</v>
      </c>
      <c r="W427" s="13">
        <v>27.2724</v>
      </c>
      <c r="X427" s="13">
        <v>16.8932</v>
      </c>
      <c r="Y427" s="13">
        <v>0.2646</v>
      </c>
      <c r="Z427" s="13">
        <v>2.1899</v>
      </c>
      <c r="AA427" s="8" t="s">
        <v>2620</v>
      </c>
      <c r="AB427" s="14">
        <f>IFERROR(__xludf.DUMMYFUNCTION("IFERROR(GOOGLEFINANCE(B427,""price""),"""")"),350.14)</f>
        <v>350.14</v>
      </c>
    </row>
    <row r="428">
      <c r="A428" s="15">
        <v>46057.62710395225</v>
      </c>
      <c r="B428" s="16" t="s">
        <v>3125</v>
      </c>
      <c r="C428" s="16" t="s">
        <v>3126</v>
      </c>
      <c r="D428" s="17">
        <v>46061.0</v>
      </c>
      <c r="E428" s="18">
        <v>55.095</v>
      </c>
      <c r="F428" s="16" t="s">
        <v>93</v>
      </c>
      <c r="G428" s="21">
        <v>25.3555</v>
      </c>
      <c r="H428" s="21">
        <v>2.1729</v>
      </c>
      <c r="I428" s="17">
        <v>46073.0</v>
      </c>
      <c r="J428" s="18">
        <v>55.0</v>
      </c>
      <c r="K428" s="16">
        <v>1825.0</v>
      </c>
      <c r="L428" s="16" t="s">
        <v>2608</v>
      </c>
      <c r="M428" s="19">
        <v>0.17</v>
      </c>
      <c r="N428" s="16" t="s">
        <v>3127</v>
      </c>
      <c r="O428" s="16">
        <v>1825.0</v>
      </c>
      <c r="P428" s="19">
        <v>17.8636</v>
      </c>
      <c r="Q428" s="16" t="s">
        <v>3128</v>
      </c>
      <c r="R428" s="19">
        <v>5.2436</v>
      </c>
      <c r="S428" s="20">
        <v>1099032.0</v>
      </c>
      <c r="T428" s="20">
        <v>5.227293078E9</v>
      </c>
      <c r="U428" s="21">
        <v>2.0353</v>
      </c>
      <c r="V428" s="21">
        <v>30.8051</v>
      </c>
      <c r="W428" s="21">
        <v>12.9947</v>
      </c>
      <c r="X428" s="21">
        <v>1.5382</v>
      </c>
      <c r="Y428" s="21">
        <v>2.4875</v>
      </c>
      <c r="Z428" s="21">
        <v>2.2818</v>
      </c>
      <c r="AA428" s="16" t="s">
        <v>2611</v>
      </c>
      <c r="AB428" s="22">
        <f>IFERROR(__xludf.DUMMYFUNCTION("IFERROR(GOOGLEFINANCE(B428,""price""),"""")"),46.68)</f>
        <v>46.68</v>
      </c>
    </row>
    <row r="429">
      <c r="A429" s="7">
        <v>46057.62710395225</v>
      </c>
      <c r="B429" s="8" t="s">
        <v>3129</v>
      </c>
      <c r="C429" s="8" t="s">
        <v>3130</v>
      </c>
      <c r="D429" s="9">
        <v>46061.0</v>
      </c>
      <c r="E429" s="10">
        <v>467.225</v>
      </c>
      <c r="F429" s="8" t="s">
        <v>270</v>
      </c>
      <c r="G429" s="13">
        <v>69.313</v>
      </c>
      <c r="H429" s="13">
        <v>6.7408</v>
      </c>
      <c r="I429" s="9">
        <v>46073.0</v>
      </c>
      <c r="J429" s="10">
        <v>460.0</v>
      </c>
      <c r="K429" s="8">
        <v>1781.0</v>
      </c>
      <c r="L429" s="8" t="s">
        <v>2608</v>
      </c>
      <c r="M429" s="11">
        <v>1.55</v>
      </c>
      <c r="N429" s="8" t="s">
        <v>3131</v>
      </c>
      <c r="O429" s="8">
        <v>1781.0</v>
      </c>
      <c r="P429" s="11">
        <v>23.5945</v>
      </c>
      <c r="Q429" s="8" t="s">
        <v>3132</v>
      </c>
      <c r="R429" s="11">
        <v>-4.3747</v>
      </c>
      <c r="S429" s="12">
        <v>1132736.0</v>
      </c>
      <c r="T429" s="12">
        <v>6.9670672811E10</v>
      </c>
      <c r="U429" s="13">
        <v>17.109</v>
      </c>
      <c r="V429" s="13">
        <v>13.1646</v>
      </c>
      <c r="W429" s="13">
        <v>5.9682</v>
      </c>
      <c r="X429" s="13">
        <v>18.7215</v>
      </c>
      <c r="Y429" s="13">
        <v>0.7168</v>
      </c>
      <c r="Z429" s="13">
        <v>1.3442</v>
      </c>
      <c r="AA429" s="8" t="s">
        <v>2611</v>
      </c>
      <c r="AB429" s="14">
        <f>IFERROR(__xludf.DUMMYFUNCTION("IFERROR(GOOGLEFINANCE(B429,""price""),"""")"),585.36)</f>
        <v>585.36</v>
      </c>
    </row>
    <row r="430">
      <c r="A430" s="15">
        <v>46057.62710395225</v>
      </c>
      <c r="B430" s="16" t="s">
        <v>2704</v>
      </c>
      <c r="C430" s="16" t="s">
        <v>2705</v>
      </c>
      <c r="D430" s="17">
        <v>46061.0</v>
      </c>
      <c r="E430" s="18">
        <v>31.855</v>
      </c>
      <c r="F430" s="16" t="s">
        <v>88</v>
      </c>
      <c r="G430" s="24"/>
      <c r="H430" s="21">
        <v>-0.5438</v>
      </c>
      <c r="I430" s="17">
        <v>46059.0</v>
      </c>
      <c r="J430" s="18">
        <v>32.0</v>
      </c>
      <c r="K430" s="16">
        <v>1628.0</v>
      </c>
      <c r="L430" s="16" t="s">
        <v>2627</v>
      </c>
      <c r="M430" s="19">
        <v>0.46</v>
      </c>
      <c r="N430" s="16" t="s">
        <v>3133</v>
      </c>
      <c r="O430" s="16">
        <v>1628.0</v>
      </c>
      <c r="P430" s="19">
        <v>22.8707</v>
      </c>
      <c r="Q430" s="16" t="s">
        <v>2707</v>
      </c>
      <c r="R430" s="19">
        <v>-13.2016</v>
      </c>
      <c r="S430" s="20">
        <v>3.4483587E7</v>
      </c>
      <c r="T430" s="20">
        <v>8.906206336E9</v>
      </c>
      <c r="U430" s="21">
        <v>3.8112</v>
      </c>
      <c r="V430" s="21">
        <v>-11.4029</v>
      </c>
      <c r="W430" s="21">
        <v>-26.4624</v>
      </c>
      <c r="X430" s="21">
        <v>33.135</v>
      </c>
      <c r="Y430" s="21">
        <v>1.6778</v>
      </c>
      <c r="Z430" s="21">
        <v>4.8227</v>
      </c>
      <c r="AA430" s="16" t="s">
        <v>2620</v>
      </c>
      <c r="AB430" s="22">
        <f>IFERROR(__xludf.DUMMYFUNCTION("IFERROR(GOOGLEFINANCE(B430,""price""),"""")"),26.24)</f>
        <v>26.24</v>
      </c>
    </row>
    <row r="431">
      <c r="A431" s="7">
        <v>46057.62710395225</v>
      </c>
      <c r="B431" s="8" t="s">
        <v>3000</v>
      </c>
      <c r="C431" s="8" t="s">
        <v>3001</v>
      </c>
      <c r="D431" s="9">
        <v>46061.0</v>
      </c>
      <c r="E431" s="10">
        <v>132.44</v>
      </c>
      <c r="F431" s="8" t="s">
        <v>93</v>
      </c>
      <c r="G431" s="13">
        <v>14.0723</v>
      </c>
      <c r="H431" s="13">
        <v>9.4114</v>
      </c>
      <c r="I431" s="9">
        <v>46073.0</v>
      </c>
      <c r="J431" s="10">
        <v>130.0</v>
      </c>
      <c r="K431" s="8">
        <v>1616.0</v>
      </c>
      <c r="L431" s="8" t="s">
        <v>2608</v>
      </c>
      <c r="M431" s="11">
        <v>1.84</v>
      </c>
      <c r="N431" s="8" t="s">
        <v>3047</v>
      </c>
      <c r="O431" s="8">
        <v>1616.0</v>
      </c>
      <c r="P431" s="11">
        <v>16.8383</v>
      </c>
      <c r="Q431" s="8" t="s">
        <v>3003</v>
      </c>
      <c r="R431" s="11">
        <v>1.8064</v>
      </c>
      <c r="S431" s="12">
        <v>1045076.0</v>
      </c>
      <c r="T431" s="12">
        <v>3.6961077542E10</v>
      </c>
      <c r="U431" s="13">
        <v>3.0196</v>
      </c>
      <c r="V431" s="13">
        <v>11.0708</v>
      </c>
      <c r="W431" s="13">
        <v>17.1678</v>
      </c>
      <c r="X431" s="13">
        <v>3.2025</v>
      </c>
      <c r="Y431" s="13">
        <v>1.0705</v>
      </c>
      <c r="Z431" s="13">
        <v>3.5913</v>
      </c>
      <c r="AA431" s="8" t="s">
        <v>2611</v>
      </c>
      <c r="AB431" s="14">
        <f>IFERROR(__xludf.DUMMYFUNCTION("IFERROR(GOOGLEFINANCE(B431,""price""),"""")"),139.42)</f>
        <v>139.42</v>
      </c>
    </row>
    <row r="432">
      <c r="A432" s="15">
        <v>46057.62710395225</v>
      </c>
      <c r="B432" s="16" t="s">
        <v>3134</v>
      </c>
      <c r="C432" s="16" t="s">
        <v>3135</v>
      </c>
      <c r="D432" s="17">
        <v>46061.0</v>
      </c>
      <c r="E432" s="18">
        <v>140.85</v>
      </c>
      <c r="F432" s="16" t="s">
        <v>93</v>
      </c>
      <c r="G432" s="21">
        <v>10.5559</v>
      </c>
      <c r="H432" s="21">
        <v>13.3432</v>
      </c>
      <c r="I432" s="17">
        <v>46073.0</v>
      </c>
      <c r="J432" s="18">
        <v>140.0</v>
      </c>
      <c r="K432" s="16">
        <v>1606.0</v>
      </c>
      <c r="L432" s="16" t="s">
        <v>2608</v>
      </c>
      <c r="M432" s="19">
        <v>0.6</v>
      </c>
      <c r="N432" s="16" t="s">
        <v>3136</v>
      </c>
      <c r="O432" s="16">
        <v>1606.0</v>
      </c>
      <c r="P432" s="19">
        <v>26.7337</v>
      </c>
      <c r="Q432" s="16" t="s">
        <v>3137</v>
      </c>
      <c r="R432" s="19">
        <v>1.7408</v>
      </c>
      <c r="S432" s="20">
        <v>1374398.0</v>
      </c>
      <c r="T432" s="20">
        <v>3.9247891018E10</v>
      </c>
      <c r="U432" s="21">
        <v>2.3797</v>
      </c>
      <c r="V432" s="21">
        <v>21.6564</v>
      </c>
      <c r="W432" s="21">
        <v>17.4023</v>
      </c>
      <c r="X432" s="21">
        <v>6.8061</v>
      </c>
      <c r="Y432" s="21">
        <v>0.2303</v>
      </c>
      <c r="Z432" s="21">
        <v>0.2897</v>
      </c>
      <c r="AA432" s="16" t="s">
        <v>2611</v>
      </c>
      <c r="AB432" s="22">
        <f>IFERROR(__xludf.DUMMYFUNCTION("IFERROR(GOOGLEFINANCE(B432,""price""),"""")"),137.23)</f>
        <v>137.23</v>
      </c>
    </row>
    <row r="433">
      <c r="A433" s="7">
        <v>46057.62710395225</v>
      </c>
      <c r="B433" s="8" t="s">
        <v>2528</v>
      </c>
      <c r="C433" s="8" t="s">
        <v>2529</v>
      </c>
      <c r="D433" s="9">
        <v>46061.0</v>
      </c>
      <c r="E433" s="10">
        <v>63.95</v>
      </c>
      <c r="F433" s="8" t="s">
        <v>93</v>
      </c>
      <c r="G433" s="13">
        <v>10.6461</v>
      </c>
      <c r="H433" s="13">
        <v>6.0069</v>
      </c>
      <c r="I433" s="9">
        <v>46073.0</v>
      </c>
      <c r="J433" s="10">
        <v>65.0</v>
      </c>
      <c r="K433" s="8">
        <v>1439.0</v>
      </c>
      <c r="L433" s="8" t="s">
        <v>2608</v>
      </c>
      <c r="M433" s="11">
        <v>1.64</v>
      </c>
      <c r="N433" s="8" t="s">
        <v>3138</v>
      </c>
      <c r="O433" s="8">
        <v>1439.0</v>
      </c>
      <c r="P433" s="11">
        <v>21.7362</v>
      </c>
      <c r="Q433" s="8" t="s">
        <v>2530</v>
      </c>
      <c r="R433" s="11">
        <v>2.5497</v>
      </c>
      <c r="S433" s="12">
        <v>2057133.0</v>
      </c>
      <c r="T433" s="12">
        <v>9.441644408E9</v>
      </c>
      <c r="U433" s="13">
        <v>1.5001</v>
      </c>
      <c r="V433" s="13">
        <v>13.3945</v>
      </c>
      <c r="W433" s="13">
        <v>23.7662</v>
      </c>
      <c r="X433" s="13">
        <v>-1.0012</v>
      </c>
      <c r="Y433" s="13">
        <v>0.6373</v>
      </c>
      <c r="Z433" s="13">
        <v>0.1512</v>
      </c>
      <c r="AA433" s="8" t="s">
        <v>2620</v>
      </c>
      <c r="AB433" s="14">
        <f>IFERROR(__xludf.DUMMYFUNCTION("IFERROR(GOOGLEFINANCE(B433,""price""),"""")"),61.05)</f>
        <v>61.05</v>
      </c>
    </row>
    <row r="434">
      <c r="A434" s="15">
        <v>46057.62710395225</v>
      </c>
      <c r="B434" s="16" t="s">
        <v>2726</v>
      </c>
      <c r="C434" s="16" t="s">
        <v>2727</v>
      </c>
      <c r="D434" s="17">
        <v>46061.0</v>
      </c>
      <c r="E434" s="18">
        <v>81.215</v>
      </c>
      <c r="F434" s="16" t="s">
        <v>286</v>
      </c>
      <c r="G434" s="21">
        <v>46.2342</v>
      </c>
      <c r="H434" s="21">
        <v>1.7566</v>
      </c>
      <c r="I434" s="17">
        <v>46073.0</v>
      </c>
      <c r="J434" s="18">
        <v>82.5</v>
      </c>
      <c r="K434" s="16">
        <v>1354.0</v>
      </c>
      <c r="L434" s="16" t="s">
        <v>2608</v>
      </c>
      <c r="M434" s="19">
        <v>1.58</v>
      </c>
      <c r="N434" s="16" t="s">
        <v>3104</v>
      </c>
      <c r="O434" s="16">
        <v>1354.0</v>
      </c>
      <c r="P434" s="19">
        <v>37.4549</v>
      </c>
      <c r="Q434" s="16" t="s">
        <v>2729</v>
      </c>
      <c r="R434" s="19">
        <v>-0.9211</v>
      </c>
      <c r="S434" s="20">
        <v>7658531.0</v>
      </c>
      <c r="T434" s="20">
        <v>7.9348776251E10</v>
      </c>
      <c r="U434" s="21">
        <v>1.5373</v>
      </c>
      <c r="V434" s="21">
        <v>25.538</v>
      </c>
      <c r="W434" s="21">
        <v>29.9505</v>
      </c>
      <c r="X434" s="21">
        <v>7.618</v>
      </c>
      <c r="Y434" s="21">
        <v>0.0</v>
      </c>
      <c r="Z434" s="21">
        <v>3.1855</v>
      </c>
      <c r="AA434" s="16" t="s">
        <v>2620</v>
      </c>
      <c r="AB434" s="22">
        <f>IFERROR(__xludf.DUMMYFUNCTION("IFERROR(GOOGLEFINANCE(B434,""price""),"""")"),75.72)</f>
        <v>75.72</v>
      </c>
    </row>
    <row r="435">
      <c r="A435" s="7">
        <v>46057.62710395225</v>
      </c>
      <c r="B435" s="8" t="s">
        <v>2428</v>
      </c>
      <c r="C435" s="8" t="s">
        <v>2429</v>
      </c>
      <c r="D435" s="9">
        <v>46061.0</v>
      </c>
      <c r="E435" s="10">
        <v>129.65</v>
      </c>
      <c r="F435" s="8" t="s">
        <v>102</v>
      </c>
      <c r="G435" s="13">
        <v>28.746</v>
      </c>
      <c r="H435" s="13">
        <v>4.5102</v>
      </c>
      <c r="I435" s="9">
        <v>46073.0</v>
      </c>
      <c r="J435" s="10">
        <v>130.0</v>
      </c>
      <c r="K435" s="8">
        <v>1262.0</v>
      </c>
      <c r="L435" s="8" t="s">
        <v>2608</v>
      </c>
      <c r="M435" s="11">
        <v>0.27</v>
      </c>
      <c r="N435" s="8" t="s">
        <v>3139</v>
      </c>
      <c r="O435" s="8">
        <v>1262.0</v>
      </c>
      <c r="P435" s="11">
        <v>41.4503</v>
      </c>
      <c r="Q435" s="8" t="s">
        <v>2430</v>
      </c>
      <c r="R435" s="11">
        <v>1.3683</v>
      </c>
      <c r="S435" s="12">
        <v>4069849.0</v>
      </c>
      <c r="T435" s="12">
        <v>6.8092744233E10</v>
      </c>
      <c r="U435" s="13">
        <v>2.9629</v>
      </c>
      <c r="V435" s="13">
        <v>12.9222</v>
      </c>
      <c r="W435" s="13">
        <v>10.9587</v>
      </c>
      <c r="X435" s="13">
        <v>-15.5047</v>
      </c>
      <c r="Y435" s="23"/>
      <c r="Z435" s="13">
        <v>1.701</v>
      </c>
      <c r="AA435" s="8" t="s">
        <v>2620</v>
      </c>
      <c r="AB435" s="14">
        <f>IFERROR(__xludf.DUMMYFUNCTION("IFERROR(GOOGLEFINANCE(B435,""price""),"""")"),127.19)</f>
        <v>127.19</v>
      </c>
    </row>
    <row r="436">
      <c r="A436" s="15">
        <v>46057.62710395225</v>
      </c>
      <c r="B436" s="16" t="s">
        <v>2710</v>
      </c>
      <c r="C436" s="16" t="s">
        <v>2711</v>
      </c>
      <c r="D436" s="17">
        <v>46061.0</v>
      </c>
      <c r="E436" s="18">
        <v>120.23</v>
      </c>
      <c r="F436" s="16" t="s">
        <v>917</v>
      </c>
      <c r="G436" s="21">
        <v>17.5911</v>
      </c>
      <c r="H436" s="21">
        <v>6.8347</v>
      </c>
      <c r="I436" s="17">
        <v>46073.0</v>
      </c>
      <c r="J436" s="18">
        <v>120.0</v>
      </c>
      <c r="K436" s="16">
        <v>1240.0</v>
      </c>
      <c r="L436" s="16" t="s">
        <v>2608</v>
      </c>
      <c r="M436" s="19">
        <v>0.19</v>
      </c>
      <c r="N436" s="16" t="s">
        <v>3140</v>
      </c>
      <c r="O436" s="16">
        <v>1240.0</v>
      </c>
      <c r="P436" s="19">
        <v>19.2523</v>
      </c>
      <c r="Q436" s="16" t="s">
        <v>2713</v>
      </c>
      <c r="R436" s="19">
        <v>-0.3646</v>
      </c>
      <c r="S436" s="20">
        <v>2928816.0</v>
      </c>
      <c r="T436" s="20">
        <v>6.4214178647E10</v>
      </c>
      <c r="U436" s="21">
        <v>2.0576</v>
      </c>
      <c r="V436" s="21">
        <v>12.848</v>
      </c>
      <c r="W436" s="21">
        <v>25.4789</v>
      </c>
      <c r="X436" s="21">
        <v>7.6587</v>
      </c>
      <c r="Y436" s="21">
        <v>1.5759</v>
      </c>
      <c r="Z436" s="21">
        <v>0.6862</v>
      </c>
      <c r="AA436" s="16" t="s">
        <v>2611</v>
      </c>
      <c r="AB436" s="22">
        <f>IFERROR(__xludf.DUMMYFUNCTION("IFERROR(GOOGLEFINANCE(B436,""price""),"""")"),136.3)</f>
        <v>136.3</v>
      </c>
    </row>
    <row r="437">
      <c r="A437" s="7">
        <v>46057.62710395225</v>
      </c>
      <c r="B437" s="8" t="s">
        <v>2843</v>
      </c>
      <c r="C437" s="8" t="s">
        <v>2844</v>
      </c>
      <c r="D437" s="9">
        <v>46061.0</v>
      </c>
      <c r="E437" s="10">
        <v>197.48</v>
      </c>
      <c r="F437" s="8" t="s">
        <v>308</v>
      </c>
      <c r="G437" s="13">
        <v>39.8041</v>
      </c>
      <c r="H437" s="13">
        <v>4.9613</v>
      </c>
      <c r="I437" s="9">
        <v>46059.0</v>
      </c>
      <c r="J437" s="10">
        <v>200.0</v>
      </c>
      <c r="K437" s="8">
        <v>1238.0</v>
      </c>
      <c r="L437" s="8" t="s">
        <v>2608</v>
      </c>
      <c r="M437" s="11">
        <v>1.28</v>
      </c>
      <c r="N437" s="8" t="s">
        <v>3106</v>
      </c>
      <c r="O437" s="8">
        <v>1238.0</v>
      </c>
      <c r="P437" s="11">
        <v>45.7496</v>
      </c>
      <c r="Q437" s="8" t="s">
        <v>2846</v>
      </c>
      <c r="R437" s="11">
        <v>-2.9582</v>
      </c>
      <c r="S437" s="12">
        <v>8570157.0</v>
      </c>
      <c r="T437" s="12">
        <v>2.64775649161E11</v>
      </c>
      <c r="U437" s="13">
        <v>5.0046</v>
      </c>
      <c r="V437" s="13">
        <v>10.7368</v>
      </c>
      <c r="W437" s="13">
        <v>10.0301</v>
      </c>
      <c r="X437" s="13">
        <v>9.7414</v>
      </c>
      <c r="Y437" s="13">
        <v>0.6055</v>
      </c>
      <c r="Z437" s="13">
        <v>1.0263</v>
      </c>
      <c r="AA437" s="8" t="s">
        <v>2620</v>
      </c>
      <c r="AB437" s="14">
        <f>IFERROR(__xludf.DUMMYFUNCTION("IFERROR(GOOGLEFINANCE(B437,""price""),"""")"),201.56)</f>
        <v>201.56</v>
      </c>
    </row>
    <row r="438">
      <c r="A438" s="15">
        <v>46057.62710395225</v>
      </c>
      <c r="B438" s="16" t="s">
        <v>3141</v>
      </c>
      <c r="C438" s="16" t="s">
        <v>3142</v>
      </c>
      <c r="D438" s="17">
        <v>46061.0</v>
      </c>
      <c r="E438" s="18">
        <v>328.7</v>
      </c>
      <c r="F438" s="16" t="s">
        <v>93</v>
      </c>
      <c r="G438" s="21">
        <v>12.7792</v>
      </c>
      <c r="H438" s="21">
        <v>25.7215</v>
      </c>
      <c r="I438" s="17">
        <v>46073.0</v>
      </c>
      <c r="J438" s="18">
        <v>325.0</v>
      </c>
      <c r="K438" s="16">
        <v>1225.0</v>
      </c>
      <c r="L438" s="16" t="s">
        <v>2608</v>
      </c>
      <c r="M438" s="19">
        <v>1.13</v>
      </c>
      <c r="N438" s="16" t="s">
        <v>3143</v>
      </c>
      <c r="O438" s="16">
        <v>1225.0</v>
      </c>
      <c r="P438" s="19">
        <v>18.2741</v>
      </c>
      <c r="Q438" s="16" t="s">
        <v>3144</v>
      </c>
      <c r="R438" s="19">
        <v>4.8886</v>
      </c>
      <c r="S438" s="20">
        <v>2407292.0</v>
      </c>
      <c r="T438" s="20">
        <v>1.29360163875E11</v>
      </c>
      <c r="U438" s="21">
        <v>5.9745</v>
      </c>
      <c r="V438" s="21">
        <v>14.9661</v>
      </c>
      <c r="W438" s="21">
        <v>21.2322</v>
      </c>
      <c r="X438" s="21">
        <v>6.9142</v>
      </c>
      <c r="Y438" s="24"/>
      <c r="Z438" s="21">
        <v>0.2721</v>
      </c>
      <c r="AA438" s="16" t="s">
        <v>2611</v>
      </c>
      <c r="AB438" s="22">
        <f>IFERROR(__xludf.DUMMYFUNCTION("IFERROR(GOOGLEFINANCE(B438,""price""),"""")"),327.91)</f>
        <v>327.91</v>
      </c>
    </row>
    <row r="439">
      <c r="A439" s="7">
        <v>46057.62710395225</v>
      </c>
      <c r="B439" s="8" t="s">
        <v>2642</v>
      </c>
      <c r="C439" s="8" t="s">
        <v>2643</v>
      </c>
      <c r="D439" s="9">
        <v>46061.0</v>
      </c>
      <c r="E439" s="10">
        <v>198.615</v>
      </c>
      <c r="F439" s="8" t="s">
        <v>335</v>
      </c>
      <c r="G439" s="13">
        <v>24.8259</v>
      </c>
      <c r="H439" s="13">
        <v>8.0003</v>
      </c>
      <c r="I439" s="9">
        <v>46073.0</v>
      </c>
      <c r="J439" s="10">
        <v>195.0</v>
      </c>
      <c r="K439" s="8">
        <v>1211.0</v>
      </c>
      <c r="L439" s="8" t="s">
        <v>2608</v>
      </c>
      <c r="M439" s="11">
        <v>1.82</v>
      </c>
      <c r="N439" s="8" t="s">
        <v>3145</v>
      </c>
      <c r="O439" s="8">
        <v>1211.0</v>
      </c>
      <c r="P439" s="11">
        <v>27.084</v>
      </c>
      <c r="Q439" s="8" t="s">
        <v>2645</v>
      </c>
      <c r="R439" s="11">
        <v>2.936</v>
      </c>
      <c r="S439" s="12">
        <v>1170730.0</v>
      </c>
      <c r="T439" s="12">
        <v>2.9004714518E10</v>
      </c>
      <c r="U439" s="13">
        <v>5.8993</v>
      </c>
      <c r="V439" s="13">
        <v>13.2532</v>
      </c>
      <c r="W439" s="13">
        <v>8.1203</v>
      </c>
      <c r="X439" s="13">
        <v>3.627</v>
      </c>
      <c r="Y439" s="13">
        <v>0.4701</v>
      </c>
      <c r="Z439" s="13">
        <v>3.0553</v>
      </c>
      <c r="AA439" s="8" t="s">
        <v>2611</v>
      </c>
      <c r="AB439" s="14">
        <f>IFERROR(__xludf.DUMMYFUNCTION("IFERROR(GOOGLEFINANCE(B439,""price""),"""")"),190.57)</f>
        <v>190.57</v>
      </c>
    </row>
    <row r="440">
      <c r="A440" s="15">
        <v>46057.62710395225</v>
      </c>
      <c r="B440" s="16" t="s">
        <v>2688</v>
      </c>
      <c r="C440" s="16" t="s">
        <v>2689</v>
      </c>
      <c r="D440" s="17">
        <v>46061.0</v>
      </c>
      <c r="E440" s="18">
        <v>228.96</v>
      </c>
      <c r="F440" s="16" t="s">
        <v>102</v>
      </c>
      <c r="G440" s="21">
        <v>35.7716</v>
      </c>
      <c r="H440" s="21">
        <v>6.4006</v>
      </c>
      <c r="I440" s="17">
        <v>46073.0</v>
      </c>
      <c r="J440" s="18">
        <v>230.0</v>
      </c>
      <c r="K440" s="16">
        <v>1200.0</v>
      </c>
      <c r="L440" s="16" t="s">
        <v>2608</v>
      </c>
      <c r="M440" s="19">
        <v>0.45</v>
      </c>
      <c r="N440" s="16" t="s">
        <v>3146</v>
      </c>
      <c r="O440" s="16">
        <v>1200.0</v>
      </c>
      <c r="P440" s="19">
        <v>44.0353</v>
      </c>
      <c r="Q440" s="16" t="s">
        <v>2691</v>
      </c>
      <c r="R440" s="19">
        <v>0.0175</v>
      </c>
      <c r="S440" s="20">
        <v>1955395.0</v>
      </c>
      <c r="T440" s="20">
        <v>5.2707478268E10</v>
      </c>
      <c r="U440" s="21">
        <v>4.8207</v>
      </c>
      <c r="V440" s="21">
        <v>14.5941</v>
      </c>
      <c r="W440" s="21">
        <v>26.1537</v>
      </c>
      <c r="X440" s="21">
        <v>6.6262</v>
      </c>
      <c r="Y440" s="21">
        <v>0.2148</v>
      </c>
      <c r="Z440" s="21">
        <v>1.0623</v>
      </c>
      <c r="AA440" s="16" t="s">
        <v>2620</v>
      </c>
      <c r="AB440" s="22">
        <f>IFERROR(__xludf.DUMMYFUNCTION("IFERROR(GOOGLEFINANCE(B440,""price""),"""")"),234.91)</f>
        <v>234.91</v>
      </c>
    </row>
    <row r="441">
      <c r="A441" s="7">
        <v>46057.62710395225</v>
      </c>
      <c r="B441" s="8" t="s">
        <v>1512</v>
      </c>
      <c r="C441" s="8" t="s">
        <v>1513</v>
      </c>
      <c r="D441" s="9">
        <v>46061.0</v>
      </c>
      <c r="E441" s="10">
        <v>77.24</v>
      </c>
      <c r="F441" s="8" t="s">
        <v>917</v>
      </c>
      <c r="G441" s="13">
        <v>21.1977</v>
      </c>
      <c r="H441" s="13">
        <v>3.6438</v>
      </c>
      <c r="I441" s="9">
        <v>46073.0</v>
      </c>
      <c r="J441" s="10">
        <v>77.5</v>
      </c>
      <c r="K441" s="8">
        <v>1110.0</v>
      </c>
      <c r="L441" s="8" t="s">
        <v>2608</v>
      </c>
      <c r="M441" s="11">
        <v>0.34</v>
      </c>
      <c r="N441" s="8" t="s">
        <v>3147</v>
      </c>
      <c r="O441" s="8">
        <v>1110.0</v>
      </c>
      <c r="P441" s="11">
        <v>23.3723</v>
      </c>
      <c r="Q441" s="8" t="s">
        <v>1514</v>
      </c>
      <c r="R441" s="11">
        <v>-0.7198</v>
      </c>
      <c r="S441" s="12">
        <v>1246239.0</v>
      </c>
      <c r="T441" s="12">
        <v>1.7781741014E10</v>
      </c>
      <c r="U441" s="13">
        <v>1.2244</v>
      </c>
      <c r="V441" s="13">
        <v>8.3636</v>
      </c>
      <c r="W441" s="13">
        <v>24.8419</v>
      </c>
      <c r="X441" s="13">
        <v>0.1069</v>
      </c>
      <c r="Y441" s="13">
        <v>1.4305</v>
      </c>
      <c r="Z441" s="13">
        <v>0.5156</v>
      </c>
      <c r="AA441" s="8" t="s">
        <v>2620</v>
      </c>
      <c r="AB441" s="14">
        <f>IFERROR(__xludf.DUMMYFUNCTION("IFERROR(GOOGLEFINANCE(B441,""price""),"""")"),83.58)</f>
        <v>83.58</v>
      </c>
    </row>
    <row r="442">
      <c r="A442" s="15">
        <v>46057.62710395225</v>
      </c>
      <c r="B442" s="16" t="s">
        <v>2226</v>
      </c>
      <c r="C442" s="16" t="s">
        <v>2227</v>
      </c>
      <c r="D442" s="17">
        <v>46061.0</v>
      </c>
      <c r="E442" s="18">
        <v>200.35</v>
      </c>
      <c r="F442" s="16" t="s">
        <v>102</v>
      </c>
      <c r="G442" s="21">
        <v>57.9113</v>
      </c>
      <c r="H442" s="21">
        <v>3.4596</v>
      </c>
      <c r="I442" s="17">
        <v>46073.0</v>
      </c>
      <c r="J442" s="18">
        <v>200.0</v>
      </c>
      <c r="K442" s="16">
        <v>1092.0</v>
      </c>
      <c r="L442" s="16" t="s">
        <v>2608</v>
      </c>
      <c r="M442" s="19">
        <v>0.17</v>
      </c>
      <c r="N442" s="16" t="s">
        <v>3148</v>
      </c>
      <c r="O442" s="16">
        <v>1092.0</v>
      </c>
      <c r="P442" s="19">
        <v>30.084</v>
      </c>
      <c r="Q442" s="16" t="s">
        <v>2228</v>
      </c>
      <c r="R442" s="19">
        <v>0.4361</v>
      </c>
      <c r="S442" s="20">
        <v>1999229.0</v>
      </c>
      <c r="T442" s="20">
        <v>1.0548140212E10</v>
      </c>
      <c r="U442" s="21">
        <v>10.872</v>
      </c>
      <c r="V442" s="21">
        <v>19.4739</v>
      </c>
      <c r="W442" s="21">
        <v>11.6692</v>
      </c>
      <c r="X442" s="21">
        <v>8.1026</v>
      </c>
      <c r="Y442" s="21">
        <v>0.6545</v>
      </c>
      <c r="Z442" s="21">
        <v>2.0002</v>
      </c>
      <c r="AA442" s="16" t="s">
        <v>2611</v>
      </c>
      <c r="AB442" s="22">
        <f>IFERROR(__xludf.DUMMYFUNCTION("IFERROR(GOOGLEFINANCE(B442,""price""),"""")"),241.46)</f>
        <v>241.46</v>
      </c>
    </row>
    <row r="443">
      <c r="A443" s="7">
        <v>46057.62710395225</v>
      </c>
      <c r="B443" s="8" t="s">
        <v>2915</v>
      </c>
      <c r="C443" s="8" t="s">
        <v>2916</v>
      </c>
      <c r="D443" s="9">
        <v>46061.0</v>
      </c>
      <c r="E443" s="10">
        <v>146.58</v>
      </c>
      <c r="F443" s="8" t="s">
        <v>117</v>
      </c>
      <c r="G443" s="13">
        <v>22.7038</v>
      </c>
      <c r="H443" s="13">
        <v>6.4562</v>
      </c>
      <c r="I443" s="9">
        <v>46059.0</v>
      </c>
      <c r="J443" s="10">
        <v>145.0</v>
      </c>
      <c r="K443" s="8">
        <v>1069.0</v>
      </c>
      <c r="L443" s="8" t="s">
        <v>2608</v>
      </c>
      <c r="M443" s="11">
        <v>1.08</v>
      </c>
      <c r="N443" s="8" t="s">
        <v>3149</v>
      </c>
      <c r="O443" s="8">
        <v>1069.0</v>
      </c>
      <c r="P443" s="11">
        <v>35.3807</v>
      </c>
      <c r="Q443" s="8" t="s">
        <v>2918</v>
      </c>
      <c r="R443" s="11">
        <v>2.3032</v>
      </c>
      <c r="S443" s="12">
        <v>4803340.0</v>
      </c>
      <c r="T443" s="12">
        <v>1.81858809151E11</v>
      </c>
      <c r="U443" s="13">
        <v>3.5784</v>
      </c>
      <c r="V443" s="13">
        <v>40.5348</v>
      </c>
      <c r="W443" s="13">
        <v>39.0204</v>
      </c>
      <c r="X443" s="13">
        <v>2.7624</v>
      </c>
      <c r="Y443" s="13">
        <v>1.1579</v>
      </c>
      <c r="Z443" s="13">
        <v>1.4534</v>
      </c>
      <c r="AA443" s="8" t="s">
        <v>2611</v>
      </c>
      <c r="AB443" s="14">
        <f>IFERROR(__xludf.DUMMYFUNCTION("IFERROR(GOOGLEFINANCE(B443,""price""),"""")"),139.03)</f>
        <v>139.03</v>
      </c>
    </row>
    <row r="444">
      <c r="A444" s="15">
        <v>46057.62710395225</v>
      </c>
      <c r="B444" s="16" t="s">
        <v>3150</v>
      </c>
      <c r="C444" s="16" t="s">
        <v>3151</v>
      </c>
      <c r="D444" s="17">
        <v>46061.0</v>
      </c>
      <c r="E444" s="18">
        <v>604.415</v>
      </c>
      <c r="F444" s="16" t="s">
        <v>308</v>
      </c>
      <c r="G444" s="21">
        <v>28.1312</v>
      </c>
      <c r="H444" s="21">
        <v>21.4856</v>
      </c>
      <c r="I444" s="17">
        <v>46059.0</v>
      </c>
      <c r="J444" s="18">
        <v>600.0</v>
      </c>
      <c r="K444" s="16">
        <v>1046.0</v>
      </c>
      <c r="L444" s="16" t="s">
        <v>2627</v>
      </c>
      <c r="M444" s="19">
        <v>0.73</v>
      </c>
      <c r="N444" s="16" t="s">
        <v>3152</v>
      </c>
      <c r="O444" s="16">
        <v>1046.0</v>
      </c>
      <c r="P444" s="19">
        <v>40.5218</v>
      </c>
      <c r="Q444" s="16" t="s">
        <v>3153</v>
      </c>
      <c r="R444" s="19">
        <v>-3.7954</v>
      </c>
      <c r="S444" s="20">
        <v>2054877.0</v>
      </c>
      <c r="T444" s="20">
        <v>1.39063944808E11</v>
      </c>
      <c r="U444" s="21">
        <v>20.7386</v>
      </c>
      <c r="V444" s="21">
        <v>76.8653</v>
      </c>
      <c r="W444" s="21">
        <v>10.1522</v>
      </c>
      <c r="X444" s="21">
        <v>5.6374</v>
      </c>
      <c r="Y444" s="21">
        <v>3.388</v>
      </c>
      <c r="Z444" s="21">
        <v>1.0869</v>
      </c>
      <c r="AA444" s="16" t="s">
        <v>2611</v>
      </c>
      <c r="AB444" s="22">
        <f>IFERROR(__xludf.DUMMYFUNCTION("IFERROR(GOOGLEFINANCE(B444,""price""),"""")"),613.72)</f>
        <v>613.72</v>
      </c>
    </row>
    <row r="445">
      <c r="A445" s="7">
        <v>46057.62710395225</v>
      </c>
      <c r="B445" s="8" t="s">
        <v>2658</v>
      </c>
      <c r="C445" s="8" t="s">
        <v>2659</v>
      </c>
      <c r="D445" s="9">
        <v>46061.0</v>
      </c>
      <c r="E445" s="10">
        <v>89.845</v>
      </c>
      <c r="F445" s="8" t="s">
        <v>917</v>
      </c>
      <c r="G445" s="13">
        <v>27.2233</v>
      </c>
      <c r="H445" s="13">
        <v>3.3003</v>
      </c>
      <c r="I445" s="9">
        <v>46059.0</v>
      </c>
      <c r="J445" s="10">
        <v>90.0</v>
      </c>
      <c r="K445" s="8">
        <v>1038.0</v>
      </c>
      <c r="L445" s="8" t="s">
        <v>2608</v>
      </c>
      <c r="M445" s="11">
        <v>0.17</v>
      </c>
      <c r="N445" s="8" t="s">
        <v>3109</v>
      </c>
      <c r="O445" s="8">
        <v>1038.0</v>
      </c>
      <c r="P445" s="11">
        <v>31.0893</v>
      </c>
      <c r="Q445" s="8" t="s">
        <v>2661</v>
      </c>
      <c r="R445" s="11">
        <v>1.154</v>
      </c>
      <c r="S445" s="12">
        <v>9121290.0</v>
      </c>
      <c r="T445" s="12">
        <v>1.87112060589E11</v>
      </c>
      <c r="U445" s="13">
        <v>1.8449</v>
      </c>
      <c r="V445" s="13">
        <v>13.0533</v>
      </c>
      <c r="W445" s="13">
        <v>26.0656</v>
      </c>
      <c r="X445" s="13">
        <v>7.4736</v>
      </c>
      <c r="Y445" s="13">
        <v>1.751</v>
      </c>
      <c r="Z445" s="13">
        <v>0.5953</v>
      </c>
      <c r="AA445" s="8" t="s">
        <v>2620</v>
      </c>
      <c r="AB445" s="14">
        <f>IFERROR(__xludf.DUMMYFUNCTION("IFERROR(GOOGLEFINANCE(B445,""price""),"""")"),94.08)</f>
        <v>94.08</v>
      </c>
    </row>
    <row r="446">
      <c r="A446" s="7">
        <v>46058.4442942301</v>
      </c>
      <c r="B446" s="8" t="s">
        <v>1489</v>
      </c>
      <c r="C446" s="8" t="s">
        <v>1490</v>
      </c>
      <c r="D446" s="9">
        <v>46061.0</v>
      </c>
      <c r="E446" s="10">
        <v>82.56</v>
      </c>
      <c r="F446" s="8" t="s">
        <v>308</v>
      </c>
      <c r="G446" s="13">
        <v>31.13</v>
      </c>
      <c r="H446" s="13">
        <v>2.6521</v>
      </c>
      <c r="I446" s="9">
        <v>46059.0</v>
      </c>
      <c r="J446" s="10">
        <v>81.0</v>
      </c>
      <c r="K446" s="8">
        <v>7813.0</v>
      </c>
      <c r="L446" s="8" t="s">
        <v>2608</v>
      </c>
      <c r="M446" s="11">
        <v>1.89</v>
      </c>
      <c r="N446" s="8" t="s">
        <v>3154</v>
      </c>
      <c r="O446" s="8">
        <v>27104.0</v>
      </c>
      <c r="P446" s="11">
        <v>30.902</v>
      </c>
      <c r="Q446" s="8" t="s">
        <v>1491</v>
      </c>
      <c r="R446" s="11">
        <v>1.725</v>
      </c>
      <c r="S446" s="12">
        <v>6590441.0</v>
      </c>
      <c r="T446" s="12">
        <v>3.26202375188E11</v>
      </c>
      <c r="U446" s="13">
        <v>1.7612</v>
      </c>
      <c r="V446" s="13">
        <v>23.0103</v>
      </c>
      <c r="W446" s="13">
        <v>22.9895</v>
      </c>
      <c r="X446" s="13">
        <v>8.9097</v>
      </c>
      <c r="Y446" s="13">
        <v>0.6323</v>
      </c>
      <c r="Z446" s="13">
        <v>0.9274</v>
      </c>
      <c r="AA446" s="8" t="s">
        <v>2611</v>
      </c>
      <c r="AB446" s="14">
        <f>IFERROR(__xludf.DUMMYFUNCTION("IFERROR(GOOGLEFINANCE(B446,""price""),"""")"),82.22)</f>
        <v>82.22</v>
      </c>
    </row>
    <row r="447">
      <c r="A447" s="15">
        <v>46058.4442942301</v>
      </c>
      <c r="B447" s="16" t="s">
        <v>2630</v>
      </c>
      <c r="C447" s="16" t="s">
        <v>2631</v>
      </c>
      <c r="D447" s="17">
        <v>46061.0</v>
      </c>
      <c r="E447" s="18">
        <v>377.135</v>
      </c>
      <c r="F447" s="16" t="s">
        <v>308</v>
      </c>
      <c r="G447" s="21">
        <v>35.8493</v>
      </c>
      <c r="H447" s="21">
        <v>10.52</v>
      </c>
      <c r="I447" s="17">
        <v>46059.0</v>
      </c>
      <c r="J447" s="18">
        <v>380.0</v>
      </c>
      <c r="K447" s="16">
        <v>4198.0</v>
      </c>
      <c r="L447" s="16" t="s">
        <v>2627</v>
      </c>
      <c r="M447" s="19">
        <v>0.76</v>
      </c>
      <c r="N447" s="16" t="s">
        <v>3155</v>
      </c>
      <c r="O447" s="16">
        <v>19093.0</v>
      </c>
      <c r="P447" s="19">
        <v>42.5483</v>
      </c>
      <c r="Q447" s="16" t="s">
        <v>2633</v>
      </c>
      <c r="R447" s="19">
        <v>-0.597</v>
      </c>
      <c r="S447" s="20">
        <v>2.0940252E7</v>
      </c>
      <c r="T447" s="20">
        <v>4.24468934483E11</v>
      </c>
      <c r="U447" s="21">
        <v>25.7361</v>
      </c>
      <c r="V447" s="21">
        <v>22.5543</v>
      </c>
      <c r="W447" s="21">
        <v>32.9221</v>
      </c>
      <c r="X447" s="21">
        <v>45.432</v>
      </c>
      <c r="Y447" s="21">
        <v>0.2124</v>
      </c>
      <c r="Z447" s="21">
        <v>2.4598</v>
      </c>
      <c r="AA447" s="16" t="s">
        <v>2620</v>
      </c>
      <c r="AB447" s="22">
        <f>IFERROR(__xludf.DUMMYFUNCTION("IFERROR(GOOGLEFINANCE(B447,""price""),"""")"),420.59)</f>
        <v>420.59</v>
      </c>
    </row>
    <row r="448">
      <c r="A448" s="7">
        <v>46058.4442942301</v>
      </c>
      <c r="B448" s="8" t="s">
        <v>2638</v>
      </c>
      <c r="C448" s="8" t="s">
        <v>2639</v>
      </c>
      <c r="D448" s="9">
        <v>46061.0</v>
      </c>
      <c r="E448" s="10">
        <v>144.64</v>
      </c>
      <c r="F448" s="8" t="s">
        <v>245</v>
      </c>
      <c r="G448" s="13">
        <v>21.6174</v>
      </c>
      <c r="H448" s="13">
        <v>6.6909</v>
      </c>
      <c r="I448" s="9">
        <v>46059.0</v>
      </c>
      <c r="J448" s="10">
        <v>142.0</v>
      </c>
      <c r="K448" s="8">
        <v>5630.0</v>
      </c>
      <c r="L448" s="8" t="s">
        <v>2627</v>
      </c>
      <c r="M448" s="11">
        <v>1.83</v>
      </c>
      <c r="N448" s="8" t="s">
        <v>3156</v>
      </c>
      <c r="O448" s="8">
        <v>15488.0</v>
      </c>
      <c r="P448" s="11">
        <v>51.6224</v>
      </c>
      <c r="Q448" s="8" t="s">
        <v>2641</v>
      </c>
      <c r="R448" s="11">
        <v>-1.9988</v>
      </c>
      <c r="S448" s="12">
        <v>5422718.0</v>
      </c>
      <c r="T448" s="12">
        <v>6.0997080674E11</v>
      </c>
      <c r="U448" s="13">
        <v>3.1597</v>
      </c>
      <c r="V448" s="13">
        <v>11.0283</v>
      </c>
      <c r="W448" s="13">
        <v>10.3419</v>
      </c>
      <c r="X448" s="13">
        <v>-4.856</v>
      </c>
      <c r="Y448" s="13">
        <v>0.1678</v>
      </c>
      <c r="Z448" s="13">
        <v>1.1528</v>
      </c>
      <c r="AA448" s="8" t="s">
        <v>2611</v>
      </c>
      <c r="AB448" s="14">
        <f>IFERROR(__xludf.DUMMYFUNCTION("IFERROR(GOOGLEFINANCE(B448,""price""),"""")"),152.51)</f>
        <v>152.51</v>
      </c>
    </row>
    <row r="449">
      <c r="A449" s="15">
        <v>46058.4442942301</v>
      </c>
      <c r="B449" s="16" t="s">
        <v>2625</v>
      </c>
      <c r="C449" s="16" t="s">
        <v>2626</v>
      </c>
      <c r="D449" s="17">
        <v>46061.0</v>
      </c>
      <c r="E449" s="18">
        <v>128.48</v>
      </c>
      <c r="F449" s="16" t="s">
        <v>137</v>
      </c>
      <c r="G449" s="21">
        <v>45.0649</v>
      </c>
      <c r="H449" s="21">
        <v>2.851</v>
      </c>
      <c r="I449" s="17">
        <v>46059.0</v>
      </c>
      <c r="J449" s="18">
        <v>127.0</v>
      </c>
      <c r="K449" s="16">
        <v>3036.0</v>
      </c>
      <c r="L449" s="16" t="s">
        <v>2608</v>
      </c>
      <c r="M449" s="19">
        <v>1.15</v>
      </c>
      <c r="N449" s="16" t="s">
        <v>3157</v>
      </c>
      <c r="O449" s="16">
        <v>14646.0</v>
      </c>
      <c r="P449" s="19">
        <v>27.9637</v>
      </c>
      <c r="Q449" s="16" t="s">
        <v>2629</v>
      </c>
      <c r="R449" s="19">
        <v>0.375</v>
      </c>
      <c r="S449" s="20">
        <v>1.1664443E7</v>
      </c>
      <c r="T449" s="20">
        <v>1.024007055156E12</v>
      </c>
      <c r="U449" s="21">
        <v>2.5327</v>
      </c>
      <c r="V449" s="21">
        <v>24.8749</v>
      </c>
      <c r="W449" s="21">
        <v>4.1214</v>
      </c>
      <c r="X449" s="21">
        <v>4.3397</v>
      </c>
      <c r="Y449" s="21">
        <v>0.7121</v>
      </c>
      <c r="Z449" s="21">
        <v>0.8029</v>
      </c>
      <c r="AA449" s="16" t="s">
        <v>2611</v>
      </c>
      <c r="AB449" s="22">
        <f>IFERROR(__xludf.DUMMYFUNCTION("IFERROR(GOOGLEFINANCE(B449,""price""),"""")"),126.79)</f>
        <v>126.79</v>
      </c>
    </row>
    <row r="450">
      <c r="A450" s="7">
        <v>46058.4442942301</v>
      </c>
      <c r="B450" s="8" t="s">
        <v>3067</v>
      </c>
      <c r="C450" s="8" t="s">
        <v>3068</v>
      </c>
      <c r="D450" s="9">
        <v>46061.0</v>
      </c>
      <c r="E450" s="10">
        <v>18.805</v>
      </c>
      <c r="F450" s="8" t="s">
        <v>93</v>
      </c>
      <c r="G450" s="13">
        <v>13.562</v>
      </c>
      <c r="H450" s="13">
        <v>1.3866</v>
      </c>
      <c r="I450" s="9">
        <v>46073.0</v>
      </c>
      <c r="J450" s="10">
        <v>19.0</v>
      </c>
      <c r="K450" s="8">
        <v>12808.0</v>
      </c>
      <c r="L450" s="8" t="s">
        <v>2608</v>
      </c>
      <c r="M450" s="11">
        <v>1.04</v>
      </c>
      <c r="N450" s="8" t="s">
        <v>3158</v>
      </c>
      <c r="O450" s="8">
        <v>13818.0</v>
      </c>
      <c r="P450" s="11">
        <v>19.4651</v>
      </c>
      <c r="Q450" s="8" t="s">
        <v>3070</v>
      </c>
      <c r="R450" s="11">
        <v>-1.1304</v>
      </c>
      <c r="S450" s="12">
        <v>9694415.0</v>
      </c>
      <c r="T450" s="12">
        <v>3.8302083229E10</v>
      </c>
      <c r="U450" s="13">
        <v>0.5064</v>
      </c>
      <c r="V450" s="13">
        <v>10.0313</v>
      </c>
      <c r="W450" s="13">
        <v>21.9353</v>
      </c>
      <c r="X450" s="13">
        <v>4.0422</v>
      </c>
      <c r="Y450" s="13">
        <v>0.7593</v>
      </c>
      <c r="Z450" s="13">
        <v>0.0962</v>
      </c>
      <c r="AA450" s="8" t="s">
        <v>2620</v>
      </c>
      <c r="AB450" s="14">
        <f>IFERROR(__xludf.DUMMYFUNCTION("IFERROR(GOOGLEFINANCE(B450,""price""),"""")"),16.38)</f>
        <v>16.38</v>
      </c>
    </row>
    <row r="451">
      <c r="A451" s="15">
        <v>46058.4442942301</v>
      </c>
      <c r="B451" s="16" t="s">
        <v>2621</v>
      </c>
      <c r="C451" s="16" t="s">
        <v>2622</v>
      </c>
      <c r="D451" s="17">
        <v>46061.0</v>
      </c>
      <c r="E451" s="18">
        <v>58.885</v>
      </c>
      <c r="F451" s="16" t="s">
        <v>335</v>
      </c>
      <c r="G451" s="21">
        <v>38.8937</v>
      </c>
      <c r="H451" s="21">
        <v>1.514</v>
      </c>
      <c r="I451" s="17">
        <v>46059.0</v>
      </c>
      <c r="J451" s="18">
        <v>59.0</v>
      </c>
      <c r="K451" s="16">
        <v>6264.0</v>
      </c>
      <c r="L451" s="16" t="s">
        <v>2627</v>
      </c>
      <c r="M451" s="19">
        <v>0.2</v>
      </c>
      <c r="N451" s="16" t="s">
        <v>3159</v>
      </c>
      <c r="O451" s="16">
        <v>9953.0</v>
      </c>
      <c r="P451" s="19">
        <v>41.0882</v>
      </c>
      <c r="Q451" s="16" t="s">
        <v>2624</v>
      </c>
      <c r="R451" s="19">
        <v>-4.8092</v>
      </c>
      <c r="S451" s="20">
        <v>8506374.0</v>
      </c>
      <c r="T451" s="20">
        <v>8.4554777987E10</v>
      </c>
      <c r="U451" s="21">
        <v>2.9444</v>
      </c>
      <c r="V451" s="21">
        <v>11.9792</v>
      </c>
      <c r="W451" s="21">
        <v>23.7569</v>
      </c>
      <c r="X451" s="21">
        <v>1.5155</v>
      </c>
      <c r="Y451" s="21">
        <v>0.5497</v>
      </c>
      <c r="Z451" s="21">
        <v>2.2911</v>
      </c>
      <c r="AA451" s="16" t="s">
        <v>2620</v>
      </c>
      <c r="AB451" s="22">
        <f>IFERROR(__xludf.DUMMYFUNCTION("IFERROR(GOOGLEFINANCE(B451,""price""),"""")"),67.8)</f>
        <v>67.8</v>
      </c>
    </row>
    <row r="452">
      <c r="A452" s="7">
        <v>46058.4442942301</v>
      </c>
      <c r="B452" s="8" t="s">
        <v>2634</v>
      </c>
      <c r="C452" s="8" t="s">
        <v>2635</v>
      </c>
      <c r="D452" s="9">
        <v>46061.0</v>
      </c>
      <c r="E452" s="10">
        <v>178.41</v>
      </c>
      <c r="F452" s="8" t="s">
        <v>245</v>
      </c>
      <c r="G452" s="13">
        <v>26.8249</v>
      </c>
      <c r="H452" s="13">
        <v>6.6509</v>
      </c>
      <c r="I452" s="9">
        <v>46059.0</v>
      </c>
      <c r="J452" s="10">
        <v>180.0</v>
      </c>
      <c r="K452" s="8">
        <v>3685.0</v>
      </c>
      <c r="L452" s="8" t="s">
        <v>2608</v>
      </c>
      <c r="M452" s="11">
        <v>0.89</v>
      </c>
      <c r="N452" s="8" t="s">
        <v>3160</v>
      </c>
      <c r="O452" s="8">
        <v>9022.0</v>
      </c>
      <c r="P452" s="11">
        <v>52.0112</v>
      </c>
      <c r="Q452" s="8" t="s">
        <v>2637</v>
      </c>
      <c r="R452" s="11">
        <v>-1.556</v>
      </c>
      <c r="S452" s="12">
        <v>3457547.0</v>
      </c>
      <c r="T452" s="12">
        <v>3.59232381337E11</v>
      </c>
      <c r="U452" s="13">
        <v>3.5519</v>
      </c>
      <c r="V452" s="13">
        <v>7.261</v>
      </c>
      <c r="W452" s="13">
        <v>8.9022</v>
      </c>
      <c r="X452" s="13">
        <v>-4.6053</v>
      </c>
      <c r="Y452" s="13">
        <v>0.2186</v>
      </c>
      <c r="Z452" s="23"/>
      <c r="AA452" s="8" t="s">
        <v>2620</v>
      </c>
      <c r="AB452" s="14">
        <f>IFERROR(__xludf.DUMMYFUNCTION("IFERROR(GOOGLEFINANCE(B452,""price""),"""")"),188.55)</f>
        <v>188.55</v>
      </c>
    </row>
    <row r="453">
      <c r="A453" s="15">
        <v>46058.4442942301</v>
      </c>
      <c r="B453" s="16" t="s">
        <v>1467</v>
      </c>
      <c r="C453" s="16" t="s">
        <v>1468</v>
      </c>
      <c r="D453" s="17">
        <v>46061.0</v>
      </c>
      <c r="E453" s="18">
        <v>131.83</v>
      </c>
      <c r="F453" s="16" t="s">
        <v>102</v>
      </c>
      <c r="G453" s="21">
        <v>24.7997</v>
      </c>
      <c r="H453" s="21">
        <v>5.3158</v>
      </c>
      <c r="I453" s="17">
        <v>46073.0</v>
      </c>
      <c r="J453" s="18">
        <v>130.0</v>
      </c>
      <c r="K453" s="16">
        <v>6289.0</v>
      </c>
      <c r="L453" s="16" t="s">
        <v>2608</v>
      </c>
      <c r="M453" s="19">
        <v>1.39</v>
      </c>
      <c r="N453" s="16" t="s">
        <v>3161</v>
      </c>
      <c r="O453" s="16">
        <v>6289.0</v>
      </c>
      <c r="P453" s="19">
        <v>27.3539</v>
      </c>
      <c r="Q453" s="16" t="s">
        <v>1469</v>
      </c>
      <c r="R453" s="19">
        <v>1.8071</v>
      </c>
      <c r="S453" s="20">
        <v>1947563.0</v>
      </c>
      <c r="T453" s="20">
        <v>8.0688685574E10</v>
      </c>
      <c r="U453" s="21">
        <v>3.3853</v>
      </c>
      <c r="V453" s="21">
        <v>13.146</v>
      </c>
      <c r="W453" s="21">
        <v>13.0805</v>
      </c>
      <c r="X453" s="21">
        <v>-6.3935</v>
      </c>
      <c r="Y453" s="21">
        <v>0.735</v>
      </c>
      <c r="Z453" s="21">
        <v>0.9638</v>
      </c>
      <c r="AA453" s="16" t="s">
        <v>2611</v>
      </c>
      <c r="AB453" s="22">
        <f>IFERROR(__xludf.DUMMYFUNCTION("IFERROR(GOOGLEFINANCE(B453,""price""),"""")"),142.53)</f>
        <v>142.53</v>
      </c>
    </row>
    <row r="454">
      <c r="A454" s="7">
        <v>46058.4442942301</v>
      </c>
      <c r="B454" s="8" t="s">
        <v>2616</v>
      </c>
      <c r="C454" s="8" t="s">
        <v>2617</v>
      </c>
      <c r="D454" s="9">
        <v>46061.0</v>
      </c>
      <c r="E454" s="10">
        <v>78.135</v>
      </c>
      <c r="F454" s="8" t="s">
        <v>286</v>
      </c>
      <c r="G454" s="13">
        <v>25.8691</v>
      </c>
      <c r="H454" s="13">
        <v>3.0204</v>
      </c>
      <c r="I454" s="9">
        <v>46059.0</v>
      </c>
      <c r="J454" s="10">
        <v>77.0</v>
      </c>
      <c r="K454" s="8">
        <v>3479.0</v>
      </c>
      <c r="L454" s="8" t="s">
        <v>2608</v>
      </c>
      <c r="M454" s="11">
        <v>1.45</v>
      </c>
      <c r="N454" s="8" t="s">
        <v>3162</v>
      </c>
      <c r="O454" s="8">
        <v>5666.0</v>
      </c>
      <c r="P454" s="11">
        <v>36.1195</v>
      </c>
      <c r="Q454" s="8" t="s">
        <v>2619</v>
      </c>
      <c r="R454" s="11">
        <v>1.0149</v>
      </c>
      <c r="S454" s="12">
        <v>7211253.0</v>
      </c>
      <c r="T454" s="12">
        <v>3.36106203733E11</v>
      </c>
      <c r="U454" s="13">
        <v>1.1881</v>
      </c>
      <c r="V454" s="13">
        <v>45.1173</v>
      </c>
      <c r="W454" s="13">
        <v>31.1024</v>
      </c>
      <c r="X454" s="13">
        <v>2.9315</v>
      </c>
      <c r="Y454" s="13">
        <v>1.5175</v>
      </c>
      <c r="Z454" s="13">
        <v>1.211</v>
      </c>
      <c r="AA454" s="8" t="s">
        <v>2611</v>
      </c>
      <c r="AB454" s="14">
        <f>IFERROR(__xludf.DUMMYFUNCTION("IFERROR(GOOGLEFINANCE(B454,""price""),"""")"),77.47)</f>
        <v>77.47</v>
      </c>
    </row>
    <row r="455">
      <c r="A455" s="15">
        <v>46058.4442942301</v>
      </c>
      <c r="B455" s="16" t="s">
        <v>2700</v>
      </c>
      <c r="C455" s="16" t="s">
        <v>2701</v>
      </c>
      <c r="D455" s="17">
        <v>46061.0</v>
      </c>
      <c r="E455" s="18">
        <v>212.09</v>
      </c>
      <c r="F455" s="16" t="s">
        <v>102</v>
      </c>
      <c r="G455" s="21">
        <v>43.4673</v>
      </c>
      <c r="H455" s="21">
        <v>4.8793</v>
      </c>
      <c r="I455" s="17">
        <v>46059.0</v>
      </c>
      <c r="J455" s="18">
        <v>212.5</v>
      </c>
      <c r="K455" s="16">
        <v>3108.0</v>
      </c>
      <c r="L455" s="16" t="s">
        <v>2608</v>
      </c>
      <c r="M455" s="19">
        <v>0.19</v>
      </c>
      <c r="N455" s="16" t="s">
        <v>3163</v>
      </c>
      <c r="O455" s="16">
        <v>5582.0</v>
      </c>
      <c r="P455" s="19">
        <v>37.755</v>
      </c>
      <c r="Q455" s="16" t="s">
        <v>2703</v>
      </c>
      <c r="R455" s="19">
        <v>1.1012</v>
      </c>
      <c r="S455" s="20">
        <v>4106743.0</v>
      </c>
      <c r="T455" s="20">
        <v>2.6485183902E11</v>
      </c>
      <c r="U455" s="21">
        <v>12.5305</v>
      </c>
      <c r="V455" s="21">
        <v>65.5649</v>
      </c>
      <c r="W455" s="21">
        <v>33.7646</v>
      </c>
      <c r="X455" s="21">
        <v>26.8457</v>
      </c>
      <c r="Y455" s="21">
        <v>0.4419</v>
      </c>
      <c r="Z455" s="21">
        <v>2.2562</v>
      </c>
      <c r="AA455" s="16" t="s">
        <v>2620</v>
      </c>
      <c r="AB455" s="22">
        <f>IFERROR(__xludf.DUMMYFUNCTION("IFERROR(GOOGLEFINANCE(B455,""price""),"""")"),263.66)</f>
        <v>263.66</v>
      </c>
    </row>
    <row r="456">
      <c r="A456" s="7">
        <v>46058.4442942301</v>
      </c>
      <c r="B456" s="8" t="s">
        <v>2646</v>
      </c>
      <c r="C456" s="8" t="s">
        <v>2647</v>
      </c>
      <c r="D456" s="9">
        <v>46061.0</v>
      </c>
      <c r="E456" s="10">
        <v>35.17</v>
      </c>
      <c r="F456" s="8" t="s">
        <v>270</v>
      </c>
      <c r="G456" s="13">
        <v>13.2442</v>
      </c>
      <c r="H456" s="13">
        <v>2.6555</v>
      </c>
      <c r="I456" s="9">
        <v>46059.0</v>
      </c>
      <c r="J456" s="10">
        <v>35.0</v>
      </c>
      <c r="K456" s="8">
        <v>2798.0</v>
      </c>
      <c r="L456" s="8" t="s">
        <v>2608</v>
      </c>
      <c r="M456" s="11">
        <v>0.48</v>
      </c>
      <c r="N456" s="8" t="s">
        <v>3164</v>
      </c>
      <c r="O456" s="8">
        <v>5181.0</v>
      </c>
      <c r="P456" s="11">
        <v>32.0061</v>
      </c>
      <c r="Q456" s="8" t="s">
        <v>2649</v>
      </c>
      <c r="R456" s="11">
        <v>-0.0852</v>
      </c>
      <c r="S456" s="12">
        <v>2314823.0</v>
      </c>
      <c r="T456" s="12">
        <v>7.6084002799E10</v>
      </c>
      <c r="U456" s="13">
        <v>0.6411</v>
      </c>
      <c r="V456" s="23"/>
      <c r="W456" s="13">
        <v>13.037</v>
      </c>
      <c r="X456" s="13">
        <v>-5.779</v>
      </c>
      <c r="Y456" s="23"/>
      <c r="Z456" s="23"/>
      <c r="AA456" s="8" t="s">
        <v>2611</v>
      </c>
      <c r="AB456" s="14">
        <f>IFERROR(__xludf.DUMMYFUNCTION("IFERROR(GOOGLEFINANCE(B456,""price""),"""")"),37.35)</f>
        <v>37.35</v>
      </c>
    </row>
    <row r="457">
      <c r="A457" s="15">
        <v>46058.4442942301</v>
      </c>
      <c r="B457" s="16" t="s">
        <v>2676</v>
      </c>
      <c r="C457" s="16" t="s">
        <v>2677</v>
      </c>
      <c r="D457" s="17">
        <v>46061.0</v>
      </c>
      <c r="E457" s="18">
        <v>30.115</v>
      </c>
      <c r="F457" s="16" t="s">
        <v>93</v>
      </c>
      <c r="G457" s="21">
        <v>13.1089</v>
      </c>
      <c r="H457" s="21">
        <v>2.2973</v>
      </c>
      <c r="I457" s="17">
        <v>46073.0</v>
      </c>
      <c r="J457" s="18">
        <v>30.0</v>
      </c>
      <c r="K457" s="16">
        <v>4528.0</v>
      </c>
      <c r="L457" s="16" t="s">
        <v>2608</v>
      </c>
      <c r="M457" s="19">
        <v>0.38</v>
      </c>
      <c r="N457" s="16" t="s">
        <v>3165</v>
      </c>
      <c r="O457" s="16">
        <v>4528.0</v>
      </c>
      <c r="P457" s="19">
        <v>22.4606</v>
      </c>
      <c r="Q457" s="16" t="s">
        <v>2679</v>
      </c>
      <c r="R457" s="19">
        <v>-1.0677</v>
      </c>
      <c r="S457" s="20">
        <v>4128618.0</v>
      </c>
      <c r="T457" s="20">
        <v>2.640713704E10</v>
      </c>
      <c r="U457" s="21">
        <v>0.6749</v>
      </c>
      <c r="V457" s="21">
        <v>11.6787</v>
      </c>
      <c r="W457" s="21">
        <v>28.7373</v>
      </c>
      <c r="X457" s="21">
        <v>2.137</v>
      </c>
      <c r="Y457" s="21">
        <v>0.2565</v>
      </c>
      <c r="Z457" s="21">
        <v>0.1084</v>
      </c>
      <c r="AA457" s="16" t="s">
        <v>2611</v>
      </c>
      <c r="AB457" s="22">
        <f>IFERROR(__xludf.DUMMYFUNCTION("IFERROR(GOOGLEFINANCE(B457,""price""),"""")"),27.5)</f>
        <v>27.5</v>
      </c>
    </row>
    <row r="458">
      <c r="A458" s="7">
        <v>46058.4442942301</v>
      </c>
      <c r="B458" s="8" t="s">
        <v>2654</v>
      </c>
      <c r="C458" s="8" t="s">
        <v>2655</v>
      </c>
      <c r="D458" s="9">
        <v>46061.0</v>
      </c>
      <c r="E458" s="10">
        <v>40.44</v>
      </c>
      <c r="F458" s="8" t="s">
        <v>917</v>
      </c>
      <c r="G458" s="13">
        <v>25.5335</v>
      </c>
      <c r="H458" s="13">
        <v>1.5838</v>
      </c>
      <c r="I458" s="9">
        <v>46073.0</v>
      </c>
      <c r="J458" s="10">
        <v>40.0</v>
      </c>
      <c r="K458" s="8">
        <v>4473.0</v>
      </c>
      <c r="L458" s="8" t="s">
        <v>2608</v>
      </c>
      <c r="M458" s="11">
        <v>1.09</v>
      </c>
      <c r="N458" s="8" t="s">
        <v>3021</v>
      </c>
      <c r="O458" s="8">
        <v>4473.0</v>
      </c>
      <c r="P458" s="11">
        <v>17.8029</v>
      </c>
      <c r="Q458" s="8" t="s">
        <v>2657</v>
      </c>
      <c r="R458" s="11">
        <v>0.223</v>
      </c>
      <c r="S458" s="12">
        <v>1540246.0</v>
      </c>
      <c r="T458" s="12">
        <v>2.6401990024E10</v>
      </c>
      <c r="U458" s="13">
        <v>0.6268</v>
      </c>
      <c r="V458" s="13">
        <v>9.6059</v>
      </c>
      <c r="W458" s="13">
        <v>22.5038</v>
      </c>
      <c r="X458" s="13">
        <v>6.4347</v>
      </c>
      <c r="Y458" s="13">
        <v>2.0787</v>
      </c>
      <c r="Z458" s="13">
        <v>0.5135</v>
      </c>
      <c r="AA458" s="8" t="s">
        <v>2611</v>
      </c>
      <c r="AB458" s="14">
        <f>IFERROR(__xludf.DUMMYFUNCTION("IFERROR(GOOGLEFINANCE(B458,""price""),"""")"),43.39)</f>
        <v>43.39</v>
      </c>
    </row>
    <row r="459">
      <c r="A459" s="15">
        <v>46058.4442942301</v>
      </c>
      <c r="B459" s="16" t="s">
        <v>3080</v>
      </c>
      <c r="C459" s="16" t="s">
        <v>3081</v>
      </c>
      <c r="D459" s="17">
        <v>46061.0</v>
      </c>
      <c r="E459" s="18">
        <v>91.305</v>
      </c>
      <c r="F459" s="16" t="s">
        <v>93</v>
      </c>
      <c r="G459" s="21">
        <v>14.5796</v>
      </c>
      <c r="H459" s="21">
        <v>6.2625</v>
      </c>
      <c r="I459" s="17">
        <v>46059.0</v>
      </c>
      <c r="J459" s="18">
        <v>92.0</v>
      </c>
      <c r="K459" s="16">
        <v>2012.0</v>
      </c>
      <c r="L459" s="16" t="s">
        <v>2608</v>
      </c>
      <c r="M459" s="19">
        <v>0.76</v>
      </c>
      <c r="N459" s="16" t="s">
        <v>3166</v>
      </c>
      <c r="O459" s="16">
        <v>4425.0</v>
      </c>
      <c r="P459" s="19">
        <v>21.5214</v>
      </c>
      <c r="Q459" s="16" t="s">
        <v>3083</v>
      </c>
      <c r="R459" s="19">
        <v>-1.9702</v>
      </c>
      <c r="S459" s="20">
        <v>3893628.0</v>
      </c>
      <c r="T459" s="20">
        <v>2.82369850066E11</v>
      </c>
      <c r="U459" s="21">
        <v>2.1016</v>
      </c>
      <c r="V459" s="21">
        <v>11.8466</v>
      </c>
      <c r="W459" s="21">
        <v>20.6965</v>
      </c>
      <c r="X459" s="21">
        <v>-1.9497</v>
      </c>
      <c r="Y459" s="21">
        <v>2.3505</v>
      </c>
      <c r="Z459" s="21">
        <v>0.9006</v>
      </c>
      <c r="AA459" s="16" t="s">
        <v>2620</v>
      </c>
      <c r="AB459" s="22">
        <f>IFERROR(__xludf.DUMMYFUNCTION("IFERROR(GOOGLEFINANCE(B459,""price""),"""")"),85.4)</f>
        <v>85.4</v>
      </c>
    </row>
    <row r="460">
      <c r="A460" s="7">
        <v>46058.4442942301</v>
      </c>
      <c r="B460" s="8" t="s">
        <v>2650</v>
      </c>
      <c r="C460" s="8" t="s">
        <v>2651</v>
      </c>
      <c r="D460" s="9">
        <v>46061.0</v>
      </c>
      <c r="E460" s="10">
        <v>206.14</v>
      </c>
      <c r="F460" s="8" t="s">
        <v>308</v>
      </c>
      <c r="G460" s="13">
        <v>204.0182</v>
      </c>
      <c r="H460" s="13">
        <v>1.0104</v>
      </c>
      <c r="I460" s="9">
        <v>46059.0</v>
      </c>
      <c r="J460" s="10">
        <v>207.5</v>
      </c>
      <c r="K460" s="8">
        <v>3783.0</v>
      </c>
      <c r="L460" s="8" t="s">
        <v>2627</v>
      </c>
      <c r="M460" s="11">
        <v>0.66</v>
      </c>
      <c r="N460" s="8" t="s">
        <v>3167</v>
      </c>
      <c r="O460" s="8">
        <v>3783.0</v>
      </c>
      <c r="P460" s="11">
        <v>23.431</v>
      </c>
      <c r="Q460" s="8" t="s">
        <v>2653</v>
      </c>
      <c r="R460" s="11">
        <v>-2.3033</v>
      </c>
      <c r="S460" s="12">
        <v>6842840.0</v>
      </c>
      <c r="T460" s="12">
        <v>3.2395645212E10</v>
      </c>
      <c r="U460" s="13">
        <v>18.3265</v>
      </c>
      <c r="V460" s="13">
        <v>3.6337</v>
      </c>
      <c r="W460" s="13">
        <v>11.7943</v>
      </c>
      <c r="X460" s="13">
        <v>18.6256</v>
      </c>
      <c r="Y460" s="13">
        <v>0.4153</v>
      </c>
      <c r="Z460" s="13">
        <v>2.2518</v>
      </c>
      <c r="AA460" s="8" t="s">
        <v>2620</v>
      </c>
      <c r="AB460" s="14">
        <f>IFERROR(__xludf.DUMMYFUNCTION("IFERROR(GOOGLEFINANCE(B460,""price""),"""")"),307.5)</f>
        <v>307.5</v>
      </c>
    </row>
    <row r="461">
      <c r="A461" s="15">
        <v>46058.4442942301</v>
      </c>
      <c r="B461" s="16" t="s">
        <v>2658</v>
      </c>
      <c r="C461" s="16" t="s">
        <v>2659</v>
      </c>
      <c r="D461" s="17">
        <v>46061.0</v>
      </c>
      <c r="E461" s="18">
        <v>88.305</v>
      </c>
      <c r="F461" s="16" t="s">
        <v>917</v>
      </c>
      <c r="G461" s="21">
        <v>26.7567</v>
      </c>
      <c r="H461" s="21">
        <v>3.3003</v>
      </c>
      <c r="I461" s="17">
        <v>46059.0</v>
      </c>
      <c r="J461" s="18">
        <v>87.0</v>
      </c>
      <c r="K461" s="16">
        <v>2620.0</v>
      </c>
      <c r="L461" s="16" t="s">
        <v>2627</v>
      </c>
      <c r="M461" s="19">
        <v>1.48</v>
      </c>
      <c r="N461" s="16" t="s">
        <v>3168</v>
      </c>
      <c r="O461" s="16">
        <v>3620.0</v>
      </c>
      <c r="P461" s="19">
        <v>31.5732</v>
      </c>
      <c r="Q461" s="16" t="s">
        <v>2661</v>
      </c>
      <c r="R461" s="19">
        <v>-1.8506</v>
      </c>
      <c r="S461" s="20">
        <v>3068127.0</v>
      </c>
      <c r="T461" s="20">
        <v>1.83904844913E11</v>
      </c>
      <c r="U461" s="21">
        <v>1.8703</v>
      </c>
      <c r="V461" s="21">
        <v>13.0533</v>
      </c>
      <c r="W461" s="21">
        <v>26.0656</v>
      </c>
      <c r="X461" s="21">
        <v>7.4736</v>
      </c>
      <c r="Y461" s="21">
        <v>1.751</v>
      </c>
      <c r="Z461" s="21">
        <v>0.5953</v>
      </c>
      <c r="AA461" s="16" t="s">
        <v>2611</v>
      </c>
      <c r="AB461" s="22">
        <f>IFERROR(__xludf.DUMMYFUNCTION("IFERROR(GOOGLEFINANCE(B461,""price""),"""")"),94.08)</f>
        <v>94.08</v>
      </c>
    </row>
    <row r="462">
      <c r="A462" s="7">
        <v>46058.4442942301</v>
      </c>
      <c r="B462" s="8" t="s">
        <v>3086</v>
      </c>
      <c r="C462" s="8" t="s">
        <v>3087</v>
      </c>
      <c r="D462" s="9">
        <v>46061.0</v>
      </c>
      <c r="E462" s="10">
        <v>69.67</v>
      </c>
      <c r="F462" s="8" t="s">
        <v>162</v>
      </c>
      <c r="G462" s="13">
        <v>9.0934</v>
      </c>
      <c r="H462" s="13">
        <v>7.6616</v>
      </c>
      <c r="I462" s="9">
        <v>46059.0</v>
      </c>
      <c r="J462" s="10">
        <v>69.0</v>
      </c>
      <c r="K462" s="8">
        <v>1161.0</v>
      </c>
      <c r="L462" s="8" t="s">
        <v>2608</v>
      </c>
      <c r="M462" s="11">
        <v>0.96</v>
      </c>
      <c r="N462" s="8" t="s">
        <v>3169</v>
      </c>
      <c r="O462" s="8">
        <v>3304.0</v>
      </c>
      <c r="P462" s="11">
        <v>17.1842</v>
      </c>
      <c r="Q462" s="8" t="s">
        <v>3089</v>
      </c>
      <c r="R462" s="11">
        <v>-1.6794</v>
      </c>
      <c r="S462" s="12">
        <v>1827185.0</v>
      </c>
      <c r="T462" s="12">
        <v>4.5491916477E10</v>
      </c>
      <c r="U462" s="13">
        <v>2.2607</v>
      </c>
      <c r="V462" s="13">
        <v>27.7756</v>
      </c>
      <c r="W462" s="13">
        <v>9.1882</v>
      </c>
      <c r="X462" s="13">
        <v>2.7935</v>
      </c>
      <c r="Y462" s="13">
        <v>0.9769</v>
      </c>
      <c r="Z462" s="13">
        <v>0.3964</v>
      </c>
      <c r="AA462" s="8" t="s">
        <v>2611</v>
      </c>
      <c r="AB462" s="14">
        <f>IFERROR(__xludf.DUMMYFUNCTION("IFERROR(GOOGLEFINANCE(B462,""price""),"""")"),67.82)</f>
        <v>67.82</v>
      </c>
    </row>
    <row r="463">
      <c r="A463" s="15">
        <v>46058.4442942301</v>
      </c>
      <c r="B463" s="16" t="s">
        <v>2983</v>
      </c>
      <c r="C463" s="16" t="s">
        <v>2984</v>
      </c>
      <c r="D463" s="17">
        <v>46061.0</v>
      </c>
      <c r="E463" s="18">
        <v>103.07</v>
      </c>
      <c r="F463" s="16" t="s">
        <v>93</v>
      </c>
      <c r="G463" s="21">
        <v>22.127</v>
      </c>
      <c r="H463" s="21">
        <v>4.6581</v>
      </c>
      <c r="I463" s="17">
        <v>46059.0</v>
      </c>
      <c r="J463" s="18">
        <v>104.0</v>
      </c>
      <c r="K463" s="16">
        <v>2415.0</v>
      </c>
      <c r="L463" s="16" t="s">
        <v>2627</v>
      </c>
      <c r="M463" s="19">
        <v>0.9</v>
      </c>
      <c r="N463" s="16" t="s">
        <v>3170</v>
      </c>
      <c r="O463" s="16">
        <v>2415.0</v>
      </c>
      <c r="P463" s="19">
        <v>22.3852</v>
      </c>
      <c r="Q463" s="16" t="s">
        <v>2986</v>
      </c>
      <c r="R463" s="19">
        <v>-0.7797</v>
      </c>
      <c r="S463" s="20">
        <v>2116490.0</v>
      </c>
      <c r="T463" s="20">
        <v>1.83148867792E11</v>
      </c>
      <c r="U463" s="21">
        <v>2.2204</v>
      </c>
      <c r="V463" s="21">
        <v>18.1069</v>
      </c>
      <c r="W463" s="21">
        <v>47.6387</v>
      </c>
      <c r="X463" s="21">
        <v>6.4464</v>
      </c>
      <c r="Y463" s="21">
        <v>0.6275</v>
      </c>
      <c r="Z463" s="24"/>
      <c r="AA463" s="16" t="s">
        <v>2620</v>
      </c>
      <c r="AB463" s="22">
        <f>IFERROR(__xludf.DUMMYFUNCTION("IFERROR(GOOGLEFINANCE(B463,""price""),"""")"),94.8)</f>
        <v>94.8</v>
      </c>
    </row>
    <row r="464">
      <c r="A464" s="7">
        <v>46058.4442942301</v>
      </c>
      <c r="B464" s="8" t="s">
        <v>2672</v>
      </c>
      <c r="C464" s="8" t="s">
        <v>2673</v>
      </c>
      <c r="D464" s="9">
        <v>46061.0</v>
      </c>
      <c r="E464" s="10">
        <v>45.8301</v>
      </c>
      <c r="F464" s="8" t="s">
        <v>107</v>
      </c>
      <c r="G464" s="23"/>
      <c r="H464" s="13">
        <v>-1.8425</v>
      </c>
      <c r="I464" s="9">
        <v>46073.0</v>
      </c>
      <c r="J464" s="10">
        <v>45.0</v>
      </c>
      <c r="K464" s="8">
        <v>2302.0</v>
      </c>
      <c r="L464" s="8" t="s">
        <v>2608</v>
      </c>
      <c r="M464" s="11">
        <v>1.81</v>
      </c>
      <c r="N464" s="8" t="s">
        <v>3171</v>
      </c>
      <c r="O464" s="8">
        <v>2302.0</v>
      </c>
      <c r="P464" s="11">
        <v>33.1904</v>
      </c>
      <c r="Q464" s="8" t="s">
        <v>2675</v>
      </c>
      <c r="R464" s="11">
        <v>-4.1813</v>
      </c>
      <c r="S464" s="12">
        <v>1404437.0</v>
      </c>
      <c r="T464" s="12">
        <v>1.9201681149E10</v>
      </c>
      <c r="U464" s="13">
        <v>1.2149</v>
      </c>
      <c r="V464" s="13">
        <v>-0.4628</v>
      </c>
      <c r="W464" s="13">
        <v>16.4011</v>
      </c>
      <c r="X464" s="13">
        <v>2.4196</v>
      </c>
      <c r="Y464" s="13">
        <v>0.4045</v>
      </c>
      <c r="Z464" s="13">
        <v>2.0022</v>
      </c>
      <c r="AA464" s="8" t="s">
        <v>2611</v>
      </c>
      <c r="AB464" s="14">
        <f>IFERROR(__xludf.DUMMYFUNCTION("IFERROR(GOOGLEFINANCE(B464,""price""),"""")"),47.25)</f>
        <v>47.25</v>
      </c>
    </row>
    <row r="465">
      <c r="A465" s="15">
        <v>46058.4442942301</v>
      </c>
      <c r="B465" s="16" t="s">
        <v>1570</v>
      </c>
      <c r="C465" s="16" t="s">
        <v>1571</v>
      </c>
      <c r="D465" s="17">
        <v>46061.0</v>
      </c>
      <c r="E465" s="18">
        <v>46.54</v>
      </c>
      <c r="F465" s="16" t="s">
        <v>917</v>
      </c>
      <c r="G465" s="21">
        <v>20.2163</v>
      </c>
      <c r="H465" s="21">
        <v>2.3021</v>
      </c>
      <c r="I465" s="17">
        <v>46073.0</v>
      </c>
      <c r="J465" s="18">
        <v>46.0</v>
      </c>
      <c r="K465" s="16">
        <v>2235.0</v>
      </c>
      <c r="L465" s="16" t="s">
        <v>2608</v>
      </c>
      <c r="M465" s="19">
        <v>1.16</v>
      </c>
      <c r="N465" s="16" t="s">
        <v>3172</v>
      </c>
      <c r="O465" s="16">
        <v>2235.0</v>
      </c>
      <c r="P465" s="19">
        <v>27.9262</v>
      </c>
      <c r="Q465" s="16" t="s">
        <v>1572</v>
      </c>
      <c r="R465" s="19">
        <v>0.3017</v>
      </c>
      <c r="S465" s="20">
        <v>1071749.0</v>
      </c>
      <c r="T465" s="20">
        <v>2.6884557367E10</v>
      </c>
      <c r="U465" s="21">
        <v>0.7786</v>
      </c>
      <c r="V465" s="21">
        <v>10.5451</v>
      </c>
      <c r="W465" s="21">
        <v>19.6489</v>
      </c>
      <c r="X465" s="21">
        <v>7.6402</v>
      </c>
      <c r="Y465" s="21">
        <v>2.1464</v>
      </c>
      <c r="Z465" s="21">
        <v>0.7474</v>
      </c>
      <c r="AA465" s="16" t="s">
        <v>2611</v>
      </c>
      <c r="AB465" s="22">
        <f>IFERROR(__xludf.DUMMYFUNCTION("IFERROR(GOOGLEFINANCE(B465,""price""),"""")"),51.43)</f>
        <v>51.43</v>
      </c>
    </row>
    <row r="466">
      <c r="A466" s="7">
        <v>46058.4442942301</v>
      </c>
      <c r="B466" s="8" t="s">
        <v>2973</v>
      </c>
      <c r="C466" s="8" t="s">
        <v>2974</v>
      </c>
      <c r="D466" s="9">
        <v>46061.0</v>
      </c>
      <c r="E466" s="10">
        <v>54.635</v>
      </c>
      <c r="F466" s="8" t="s">
        <v>93</v>
      </c>
      <c r="G466" s="13">
        <v>14.3121</v>
      </c>
      <c r="H466" s="13">
        <v>3.8174</v>
      </c>
      <c r="I466" s="9">
        <v>46073.0</v>
      </c>
      <c r="J466" s="10">
        <v>55.0</v>
      </c>
      <c r="K466" s="8">
        <v>1705.0</v>
      </c>
      <c r="L466" s="8" t="s">
        <v>2608</v>
      </c>
      <c r="M466" s="11">
        <v>0.67</v>
      </c>
      <c r="N466" s="8" t="s">
        <v>3173</v>
      </c>
      <c r="O466" s="8">
        <v>1705.0</v>
      </c>
      <c r="P466" s="11">
        <v>24.872</v>
      </c>
      <c r="Q466" s="8" t="s">
        <v>2976</v>
      </c>
      <c r="R466" s="11">
        <v>-0.8619</v>
      </c>
      <c r="S466" s="12">
        <v>2557528.0</v>
      </c>
      <c r="T466" s="12">
        <v>6.9891617776E10</v>
      </c>
      <c r="U466" s="13">
        <v>1.1102</v>
      </c>
      <c r="V466" s="13">
        <v>8.2363</v>
      </c>
      <c r="W466" s="13">
        <v>21.1616</v>
      </c>
      <c r="X466" s="13">
        <v>24.2886</v>
      </c>
      <c r="Y466" s="13">
        <v>1.0708</v>
      </c>
      <c r="Z466" s="13">
        <v>0.3413</v>
      </c>
      <c r="AA466" s="8" t="s">
        <v>2620</v>
      </c>
      <c r="AB466" s="14">
        <f>IFERROR(__xludf.DUMMYFUNCTION("IFERROR(GOOGLEFINANCE(B466,""price""),"""")"),49.6)</f>
        <v>49.6</v>
      </c>
    </row>
    <row r="467">
      <c r="A467" s="15">
        <v>46058.4442942301</v>
      </c>
      <c r="B467" s="16" t="s">
        <v>2428</v>
      </c>
      <c r="C467" s="16" t="s">
        <v>2429</v>
      </c>
      <c r="D467" s="17">
        <v>46061.0</v>
      </c>
      <c r="E467" s="18">
        <v>128.21</v>
      </c>
      <c r="F467" s="16" t="s">
        <v>102</v>
      </c>
      <c r="G467" s="21">
        <v>28.4267</v>
      </c>
      <c r="H467" s="21">
        <v>4.5102</v>
      </c>
      <c r="I467" s="17">
        <v>46073.0</v>
      </c>
      <c r="J467" s="18">
        <v>130.0</v>
      </c>
      <c r="K467" s="16">
        <v>1397.0</v>
      </c>
      <c r="L467" s="16" t="s">
        <v>2608</v>
      </c>
      <c r="M467" s="19">
        <v>1.4</v>
      </c>
      <c r="N467" s="16" t="s">
        <v>3174</v>
      </c>
      <c r="O467" s="16">
        <v>1397.0</v>
      </c>
      <c r="P467" s="19">
        <v>41.1405</v>
      </c>
      <c r="Q467" s="16" t="s">
        <v>2430</v>
      </c>
      <c r="R467" s="19">
        <v>-0.4426</v>
      </c>
      <c r="S467" s="20">
        <v>1075138.0</v>
      </c>
      <c r="T467" s="20">
        <v>6.7336448525E10</v>
      </c>
      <c r="U467" s="21">
        <v>2.9184</v>
      </c>
      <c r="V467" s="21">
        <v>12.9222</v>
      </c>
      <c r="W467" s="21">
        <v>10.9587</v>
      </c>
      <c r="X467" s="21">
        <v>-15.5047</v>
      </c>
      <c r="Y467" s="24"/>
      <c r="Z467" s="21">
        <v>1.701</v>
      </c>
      <c r="AA467" s="16" t="s">
        <v>2620</v>
      </c>
      <c r="AB467" s="22">
        <f>IFERROR(__xludf.DUMMYFUNCTION("IFERROR(GOOGLEFINANCE(B467,""price""),"""")"),127.19)</f>
        <v>127.19</v>
      </c>
    </row>
    <row r="468">
      <c r="A468" s="7">
        <v>46058.4442942301</v>
      </c>
      <c r="B468" s="8" t="s">
        <v>2726</v>
      </c>
      <c r="C468" s="8" t="s">
        <v>2727</v>
      </c>
      <c r="D468" s="9">
        <v>46061.0</v>
      </c>
      <c r="E468" s="10">
        <v>82.06</v>
      </c>
      <c r="F468" s="8" t="s">
        <v>286</v>
      </c>
      <c r="G468" s="13">
        <v>46.7152</v>
      </c>
      <c r="H468" s="13">
        <v>1.7566</v>
      </c>
      <c r="I468" s="9">
        <v>46073.0</v>
      </c>
      <c r="J468" s="10">
        <v>82.5</v>
      </c>
      <c r="K468" s="8">
        <v>1287.0</v>
      </c>
      <c r="L468" s="8" t="s">
        <v>2608</v>
      </c>
      <c r="M468" s="11">
        <v>0.54</v>
      </c>
      <c r="N468" s="8" t="s">
        <v>3175</v>
      </c>
      <c r="O468" s="8">
        <v>1287.0</v>
      </c>
      <c r="P468" s="11">
        <v>38.236</v>
      </c>
      <c r="Q468" s="8" t="s">
        <v>2729</v>
      </c>
      <c r="R468" s="11">
        <v>0.7613</v>
      </c>
      <c r="S468" s="12">
        <v>1536079.0</v>
      </c>
      <c r="T468" s="12">
        <v>8.0174360368E10</v>
      </c>
      <c r="U468" s="13">
        <v>1.5132</v>
      </c>
      <c r="V468" s="13">
        <v>25.538</v>
      </c>
      <c r="W468" s="13">
        <v>29.9505</v>
      </c>
      <c r="X468" s="13">
        <v>7.618</v>
      </c>
      <c r="Y468" s="13">
        <v>0.0</v>
      </c>
      <c r="Z468" s="13">
        <v>3.1855</v>
      </c>
      <c r="AA468" s="8" t="s">
        <v>2620</v>
      </c>
      <c r="AB468" s="14">
        <f>IFERROR(__xludf.DUMMYFUNCTION("IFERROR(GOOGLEFINANCE(B468,""price""),"""")"),75.72)</f>
        <v>75.72</v>
      </c>
    </row>
    <row r="469">
      <c r="A469" s="7">
        <v>46058.62859309367</v>
      </c>
      <c r="B469" s="8" t="s">
        <v>1489</v>
      </c>
      <c r="C469" s="8" t="s">
        <v>1490</v>
      </c>
      <c r="D469" s="9">
        <v>46061.0</v>
      </c>
      <c r="E469" s="10">
        <v>82.3365</v>
      </c>
      <c r="F469" s="8" t="s">
        <v>308</v>
      </c>
      <c r="G469" s="13">
        <v>31.0458</v>
      </c>
      <c r="H469" s="13">
        <v>2.6521</v>
      </c>
      <c r="I469" s="9">
        <v>46059.0</v>
      </c>
      <c r="J469" s="10">
        <v>81.0</v>
      </c>
      <c r="K469" s="8">
        <v>7813.0</v>
      </c>
      <c r="L469" s="8" t="s">
        <v>2608</v>
      </c>
      <c r="M469" s="11">
        <v>1.62</v>
      </c>
      <c r="N469" s="8" t="s">
        <v>3176</v>
      </c>
      <c r="O469" s="8">
        <v>19478.0</v>
      </c>
      <c r="P469" s="11">
        <v>30.902</v>
      </c>
      <c r="Q469" s="8" t="s">
        <v>1491</v>
      </c>
      <c r="R469" s="11">
        <v>1.4496</v>
      </c>
      <c r="S469" s="12">
        <v>1.6228749E7</v>
      </c>
      <c r="T469" s="12">
        <v>3.25319305531E11</v>
      </c>
      <c r="U469" s="13">
        <v>1.8087</v>
      </c>
      <c r="V469" s="13">
        <v>23.0103</v>
      </c>
      <c r="W469" s="13">
        <v>22.9895</v>
      </c>
      <c r="X469" s="13">
        <v>8.9097</v>
      </c>
      <c r="Y469" s="13">
        <v>0.6323</v>
      </c>
      <c r="Z469" s="13">
        <v>0.9274</v>
      </c>
      <c r="AA469" s="8" t="s">
        <v>2611</v>
      </c>
      <c r="AB469" s="14">
        <f>IFERROR(__xludf.DUMMYFUNCTION("IFERROR(GOOGLEFINANCE(B469,""price""),"""")"),82.22)</f>
        <v>82.22</v>
      </c>
    </row>
    <row r="470">
      <c r="A470" s="15">
        <v>46058.62859309367</v>
      </c>
      <c r="B470" s="16" t="s">
        <v>2625</v>
      </c>
      <c r="C470" s="16" t="s">
        <v>2626</v>
      </c>
      <c r="D470" s="17">
        <v>46061.0</v>
      </c>
      <c r="E470" s="18">
        <v>127.1499</v>
      </c>
      <c r="F470" s="16" t="s">
        <v>137</v>
      </c>
      <c r="G470" s="21">
        <v>44.5984</v>
      </c>
      <c r="H470" s="21">
        <v>2.851</v>
      </c>
      <c r="I470" s="17">
        <v>46059.0</v>
      </c>
      <c r="J470" s="18">
        <v>127.0</v>
      </c>
      <c r="K470" s="16">
        <v>3036.0</v>
      </c>
      <c r="L470" s="16" t="s">
        <v>2608</v>
      </c>
      <c r="M470" s="19">
        <v>0.12</v>
      </c>
      <c r="N470" s="16" t="s">
        <v>3177</v>
      </c>
      <c r="O470" s="16">
        <v>15320.0</v>
      </c>
      <c r="P470" s="19">
        <v>27.7275</v>
      </c>
      <c r="Q470" s="16" t="s">
        <v>2629</v>
      </c>
      <c r="R470" s="19">
        <v>-0.6641</v>
      </c>
      <c r="S470" s="20">
        <v>2.2387369E7</v>
      </c>
      <c r="T470" s="20">
        <v>1.01340593604E12</v>
      </c>
      <c r="U470" s="21">
        <v>2.6148</v>
      </c>
      <c r="V470" s="21">
        <v>24.8749</v>
      </c>
      <c r="W470" s="21">
        <v>4.1214</v>
      </c>
      <c r="X470" s="21">
        <v>4.3397</v>
      </c>
      <c r="Y470" s="21">
        <v>0.7121</v>
      </c>
      <c r="Z470" s="21">
        <v>0.8029</v>
      </c>
      <c r="AA470" s="16" t="s">
        <v>2611</v>
      </c>
      <c r="AB470" s="22">
        <f>IFERROR(__xludf.DUMMYFUNCTION("IFERROR(GOOGLEFINANCE(B470,""price""),"""")"),126.79)</f>
        <v>126.79</v>
      </c>
    </row>
    <row r="471">
      <c r="A471" s="7">
        <v>46058.62859309367</v>
      </c>
      <c r="B471" s="8" t="s">
        <v>2630</v>
      </c>
      <c r="C471" s="8" t="s">
        <v>2631</v>
      </c>
      <c r="D471" s="9">
        <v>46061.0</v>
      </c>
      <c r="E471" s="10">
        <v>380.74</v>
      </c>
      <c r="F471" s="8" t="s">
        <v>308</v>
      </c>
      <c r="G471" s="13">
        <v>36.192</v>
      </c>
      <c r="H471" s="13">
        <v>10.52</v>
      </c>
      <c r="I471" s="9">
        <v>46059.0</v>
      </c>
      <c r="J471" s="10">
        <v>380.0</v>
      </c>
      <c r="K471" s="8">
        <v>4198.0</v>
      </c>
      <c r="L471" s="8" t="s">
        <v>2627</v>
      </c>
      <c r="M471" s="11">
        <v>0.19</v>
      </c>
      <c r="N471" s="8" t="s">
        <v>3178</v>
      </c>
      <c r="O471" s="8">
        <v>14496.0</v>
      </c>
      <c r="P471" s="11">
        <v>42.5483</v>
      </c>
      <c r="Q471" s="8" t="s">
        <v>2633</v>
      </c>
      <c r="R471" s="11">
        <v>0.3532</v>
      </c>
      <c r="S471" s="12">
        <v>3.4605868E7</v>
      </c>
      <c r="T471" s="12">
        <v>4.28526395362E11</v>
      </c>
      <c r="U471" s="13">
        <v>25.7361</v>
      </c>
      <c r="V471" s="13">
        <v>22.5543</v>
      </c>
      <c r="W471" s="13">
        <v>32.9221</v>
      </c>
      <c r="X471" s="13">
        <v>45.432</v>
      </c>
      <c r="Y471" s="13">
        <v>0.2124</v>
      </c>
      <c r="Z471" s="13">
        <v>2.4598</v>
      </c>
      <c r="AA471" s="8" t="s">
        <v>2611</v>
      </c>
      <c r="AB471" s="14">
        <f>IFERROR(__xludf.DUMMYFUNCTION("IFERROR(GOOGLEFINANCE(B471,""price""),"""")"),420.59)</f>
        <v>420.59</v>
      </c>
    </row>
    <row r="472">
      <c r="A472" s="15">
        <v>46058.62859309367</v>
      </c>
      <c r="B472" s="16" t="s">
        <v>3067</v>
      </c>
      <c r="C472" s="16" t="s">
        <v>3068</v>
      </c>
      <c r="D472" s="17">
        <v>46061.0</v>
      </c>
      <c r="E472" s="18">
        <v>18.97</v>
      </c>
      <c r="F472" s="16" t="s">
        <v>93</v>
      </c>
      <c r="G472" s="21">
        <v>13.6809</v>
      </c>
      <c r="H472" s="21">
        <v>1.3866</v>
      </c>
      <c r="I472" s="17">
        <v>46073.0</v>
      </c>
      <c r="J472" s="18">
        <v>19.0</v>
      </c>
      <c r="K472" s="16">
        <v>12808.0</v>
      </c>
      <c r="L472" s="16" t="s">
        <v>2608</v>
      </c>
      <c r="M472" s="19">
        <v>0.16</v>
      </c>
      <c r="N472" s="16" t="s">
        <v>3158</v>
      </c>
      <c r="O472" s="16">
        <v>13818.0</v>
      </c>
      <c r="P472" s="19">
        <v>19.4651</v>
      </c>
      <c r="Q472" s="16" t="s">
        <v>3070</v>
      </c>
      <c r="R472" s="19">
        <v>-0.2629</v>
      </c>
      <c r="S472" s="20">
        <v>2.5691316E7</v>
      </c>
      <c r="T472" s="20">
        <v>3.8638155749E10</v>
      </c>
      <c r="U472" s="21">
        <v>0.5064</v>
      </c>
      <c r="V472" s="21">
        <v>10.0313</v>
      </c>
      <c r="W472" s="21">
        <v>21.9353</v>
      </c>
      <c r="X472" s="21">
        <v>4.0422</v>
      </c>
      <c r="Y472" s="21">
        <v>0.7593</v>
      </c>
      <c r="Z472" s="21">
        <v>0.0962</v>
      </c>
      <c r="AA472" s="16" t="s">
        <v>2620</v>
      </c>
      <c r="AB472" s="22">
        <f>IFERROR(__xludf.DUMMYFUNCTION("IFERROR(GOOGLEFINANCE(B472,""price""),"""")"),16.38)</f>
        <v>16.38</v>
      </c>
    </row>
    <row r="473">
      <c r="A473" s="7">
        <v>46058.62859309367</v>
      </c>
      <c r="B473" s="8" t="s">
        <v>2621</v>
      </c>
      <c r="C473" s="8" t="s">
        <v>2622</v>
      </c>
      <c r="D473" s="9">
        <v>46061.0</v>
      </c>
      <c r="E473" s="10">
        <v>59.185</v>
      </c>
      <c r="F473" s="8" t="s">
        <v>335</v>
      </c>
      <c r="G473" s="13">
        <v>39.0918</v>
      </c>
      <c r="H473" s="13">
        <v>1.514</v>
      </c>
      <c r="I473" s="9">
        <v>46059.0</v>
      </c>
      <c r="J473" s="10">
        <v>59.0</v>
      </c>
      <c r="K473" s="8">
        <v>6264.0</v>
      </c>
      <c r="L473" s="8" t="s">
        <v>2627</v>
      </c>
      <c r="M473" s="11">
        <v>0.31</v>
      </c>
      <c r="N473" s="8" t="s">
        <v>3179</v>
      </c>
      <c r="O473" s="8">
        <v>9953.0</v>
      </c>
      <c r="P473" s="11">
        <v>41.0882</v>
      </c>
      <c r="Q473" s="8" t="s">
        <v>2624</v>
      </c>
      <c r="R473" s="11">
        <v>-4.3243</v>
      </c>
      <c r="S473" s="12">
        <v>1.663312E7</v>
      </c>
      <c r="T473" s="12">
        <v>8.4985557191E10</v>
      </c>
      <c r="U473" s="13">
        <v>2.9444</v>
      </c>
      <c r="V473" s="13">
        <v>11.9792</v>
      </c>
      <c r="W473" s="13">
        <v>23.7569</v>
      </c>
      <c r="X473" s="13">
        <v>1.5155</v>
      </c>
      <c r="Y473" s="13">
        <v>0.5497</v>
      </c>
      <c r="Z473" s="13">
        <v>2.2911</v>
      </c>
      <c r="AA473" s="8" t="s">
        <v>2611</v>
      </c>
      <c r="AB473" s="14">
        <f>IFERROR(__xludf.DUMMYFUNCTION("IFERROR(GOOGLEFINANCE(B473,""price""),"""")"),67.8)</f>
        <v>67.8</v>
      </c>
    </row>
    <row r="474">
      <c r="A474" s="15">
        <v>46058.62859309367</v>
      </c>
      <c r="B474" s="16" t="s">
        <v>2676</v>
      </c>
      <c r="C474" s="16" t="s">
        <v>2677</v>
      </c>
      <c r="D474" s="17">
        <v>46061.0</v>
      </c>
      <c r="E474" s="18">
        <v>30.395</v>
      </c>
      <c r="F474" s="16" t="s">
        <v>93</v>
      </c>
      <c r="G474" s="21">
        <v>13.2307</v>
      </c>
      <c r="H474" s="21">
        <v>2.2973</v>
      </c>
      <c r="I474" s="17">
        <v>46073.0</v>
      </c>
      <c r="J474" s="18">
        <v>30.0</v>
      </c>
      <c r="K474" s="16">
        <v>4528.0</v>
      </c>
      <c r="L474" s="16" t="s">
        <v>2608</v>
      </c>
      <c r="M474" s="19">
        <v>1.3</v>
      </c>
      <c r="N474" s="16" t="s">
        <v>3180</v>
      </c>
      <c r="O474" s="16">
        <v>8449.0</v>
      </c>
      <c r="P474" s="19">
        <v>22.4606</v>
      </c>
      <c r="Q474" s="16" t="s">
        <v>2679</v>
      </c>
      <c r="R474" s="19">
        <v>-0.1478</v>
      </c>
      <c r="S474" s="20">
        <v>1.2716008E7</v>
      </c>
      <c r="T474" s="20">
        <v>2.6652662472E10</v>
      </c>
      <c r="U474" s="21">
        <v>0.6749</v>
      </c>
      <c r="V474" s="21">
        <v>11.6787</v>
      </c>
      <c r="W474" s="21">
        <v>28.7373</v>
      </c>
      <c r="X474" s="21">
        <v>2.137</v>
      </c>
      <c r="Y474" s="21">
        <v>0.2565</v>
      </c>
      <c r="Z474" s="21">
        <v>0.1084</v>
      </c>
      <c r="AA474" s="16" t="s">
        <v>2611</v>
      </c>
      <c r="AB474" s="22">
        <f>IFERROR(__xludf.DUMMYFUNCTION("IFERROR(GOOGLEFINANCE(B474,""price""),"""")"),27.5)</f>
        <v>27.5</v>
      </c>
    </row>
    <row r="475">
      <c r="A475" s="7">
        <v>46058.62859309367</v>
      </c>
      <c r="B475" s="8" t="s">
        <v>2634</v>
      </c>
      <c r="C475" s="8" t="s">
        <v>2635</v>
      </c>
      <c r="D475" s="9">
        <v>46061.0</v>
      </c>
      <c r="E475" s="10">
        <v>179.45</v>
      </c>
      <c r="F475" s="8" t="s">
        <v>245</v>
      </c>
      <c r="G475" s="13">
        <v>26.9813</v>
      </c>
      <c r="H475" s="13">
        <v>6.6509</v>
      </c>
      <c r="I475" s="9">
        <v>46059.0</v>
      </c>
      <c r="J475" s="10">
        <v>180.0</v>
      </c>
      <c r="K475" s="8">
        <v>3685.0</v>
      </c>
      <c r="L475" s="8" t="s">
        <v>2608</v>
      </c>
      <c r="M475" s="11">
        <v>0.31</v>
      </c>
      <c r="N475" s="8" t="s">
        <v>3181</v>
      </c>
      <c r="O475" s="8">
        <v>8373.0</v>
      </c>
      <c r="P475" s="11">
        <v>52.0112</v>
      </c>
      <c r="Q475" s="8" t="s">
        <v>2637</v>
      </c>
      <c r="R475" s="11">
        <v>-0.9822</v>
      </c>
      <c r="S475" s="12">
        <v>7945708.0</v>
      </c>
      <c r="T475" s="12">
        <v>3.61326443758E11</v>
      </c>
      <c r="U475" s="13">
        <v>3.5519</v>
      </c>
      <c r="V475" s="13">
        <v>7.261</v>
      </c>
      <c r="W475" s="13">
        <v>8.9022</v>
      </c>
      <c r="X475" s="13">
        <v>-4.6053</v>
      </c>
      <c r="Y475" s="13">
        <v>0.2186</v>
      </c>
      <c r="Z475" s="23"/>
      <c r="AA475" s="8" t="s">
        <v>2620</v>
      </c>
      <c r="AB475" s="14">
        <f>IFERROR(__xludf.DUMMYFUNCTION("IFERROR(GOOGLEFINANCE(B475,""price""),"""")"),188.55)</f>
        <v>188.55</v>
      </c>
    </row>
    <row r="476">
      <c r="A476" s="15">
        <v>46058.62859309367</v>
      </c>
      <c r="B476" s="16" t="s">
        <v>2638</v>
      </c>
      <c r="C476" s="16" t="s">
        <v>2639</v>
      </c>
      <c r="D476" s="17">
        <v>46061.0</v>
      </c>
      <c r="E476" s="18">
        <v>145.76</v>
      </c>
      <c r="F476" s="16" t="s">
        <v>245</v>
      </c>
      <c r="G476" s="21">
        <v>21.7848</v>
      </c>
      <c r="H476" s="21">
        <v>6.6909</v>
      </c>
      <c r="I476" s="17">
        <v>46059.0</v>
      </c>
      <c r="J476" s="18">
        <v>145.0</v>
      </c>
      <c r="K476" s="16">
        <v>2415.0</v>
      </c>
      <c r="L476" s="16" t="s">
        <v>2608</v>
      </c>
      <c r="M476" s="19">
        <v>0.52</v>
      </c>
      <c r="N476" s="16" t="s">
        <v>3182</v>
      </c>
      <c r="O476" s="16">
        <v>7293.0</v>
      </c>
      <c r="P476" s="19">
        <v>51.4733</v>
      </c>
      <c r="Q476" s="16" t="s">
        <v>2641</v>
      </c>
      <c r="R476" s="19">
        <v>-1.2399</v>
      </c>
      <c r="S476" s="20">
        <v>1.3394707E7</v>
      </c>
      <c r="T476" s="20">
        <v>6.14694032013E11</v>
      </c>
      <c r="U476" s="21">
        <v>3.179</v>
      </c>
      <c r="V476" s="21">
        <v>11.0283</v>
      </c>
      <c r="W476" s="21">
        <v>10.3419</v>
      </c>
      <c r="X476" s="21">
        <v>-4.856</v>
      </c>
      <c r="Y476" s="21">
        <v>0.1678</v>
      </c>
      <c r="Z476" s="21">
        <v>1.1528</v>
      </c>
      <c r="AA476" s="16" t="s">
        <v>2611</v>
      </c>
      <c r="AB476" s="22">
        <f>IFERROR(__xludf.DUMMYFUNCTION("IFERROR(GOOGLEFINANCE(B476,""price""),"""")"),152.51)</f>
        <v>152.51</v>
      </c>
    </row>
    <row r="477">
      <c r="A477" s="7">
        <v>46058.62859309367</v>
      </c>
      <c r="B477" s="8" t="s">
        <v>1467</v>
      </c>
      <c r="C477" s="8" t="s">
        <v>1468</v>
      </c>
      <c r="D477" s="9">
        <v>46061.0</v>
      </c>
      <c r="E477" s="10">
        <v>131.835</v>
      </c>
      <c r="F477" s="8" t="s">
        <v>102</v>
      </c>
      <c r="G477" s="13">
        <v>24.8006</v>
      </c>
      <c r="H477" s="13">
        <v>5.3158</v>
      </c>
      <c r="I477" s="9">
        <v>46073.0</v>
      </c>
      <c r="J477" s="10">
        <v>130.0</v>
      </c>
      <c r="K477" s="8">
        <v>6289.0</v>
      </c>
      <c r="L477" s="8" t="s">
        <v>2608</v>
      </c>
      <c r="M477" s="11">
        <v>1.39</v>
      </c>
      <c r="N477" s="8" t="s">
        <v>3161</v>
      </c>
      <c r="O477" s="8">
        <v>6289.0</v>
      </c>
      <c r="P477" s="11">
        <v>27.3539</v>
      </c>
      <c r="Q477" s="8" t="s">
        <v>1469</v>
      </c>
      <c r="R477" s="11">
        <v>1.811</v>
      </c>
      <c r="S477" s="12">
        <v>4795579.0</v>
      </c>
      <c r="T477" s="12">
        <v>8.0691745905E10</v>
      </c>
      <c r="U477" s="13">
        <v>3.3853</v>
      </c>
      <c r="V477" s="13">
        <v>13.146</v>
      </c>
      <c r="W477" s="13">
        <v>13.0805</v>
      </c>
      <c r="X477" s="13">
        <v>-6.3935</v>
      </c>
      <c r="Y477" s="13">
        <v>0.735</v>
      </c>
      <c r="Z477" s="13">
        <v>0.9638</v>
      </c>
      <c r="AA477" s="8" t="s">
        <v>2611</v>
      </c>
      <c r="AB477" s="14">
        <f>IFERROR(__xludf.DUMMYFUNCTION("IFERROR(GOOGLEFINANCE(B477,""price""),"""")"),142.53)</f>
        <v>142.53</v>
      </c>
    </row>
    <row r="478">
      <c r="A478" s="15">
        <v>46058.62859309367</v>
      </c>
      <c r="B478" s="16" t="s">
        <v>2616</v>
      </c>
      <c r="C478" s="16" t="s">
        <v>2617</v>
      </c>
      <c r="D478" s="17">
        <v>46061.0</v>
      </c>
      <c r="E478" s="18">
        <v>78.3125</v>
      </c>
      <c r="F478" s="16" t="s">
        <v>286</v>
      </c>
      <c r="G478" s="21">
        <v>25.9279</v>
      </c>
      <c r="H478" s="21">
        <v>3.0204</v>
      </c>
      <c r="I478" s="17">
        <v>46059.0</v>
      </c>
      <c r="J478" s="18">
        <v>77.0</v>
      </c>
      <c r="K478" s="16">
        <v>3479.0</v>
      </c>
      <c r="L478" s="16" t="s">
        <v>2608</v>
      </c>
      <c r="M478" s="19">
        <v>1.68</v>
      </c>
      <c r="N478" s="16" t="s">
        <v>3162</v>
      </c>
      <c r="O478" s="16">
        <v>5666.0</v>
      </c>
      <c r="P478" s="19">
        <v>36.1386</v>
      </c>
      <c r="Q478" s="16" t="s">
        <v>2619</v>
      </c>
      <c r="R478" s="19">
        <v>1.2443</v>
      </c>
      <c r="S478" s="20">
        <v>1.6118306E7</v>
      </c>
      <c r="T478" s="20">
        <v>3.36869739296E11</v>
      </c>
      <c r="U478" s="21">
        <v>1.1931</v>
      </c>
      <c r="V478" s="21">
        <v>45.1173</v>
      </c>
      <c r="W478" s="21">
        <v>31.1024</v>
      </c>
      <c r="X478" s="21">
        <v>2.9315</v>
      </c>
      <c r="Y478" s="21">
        <v>1.5175</v>
      </c>
      <c r="Z478" s="21">
        <v>1.211</v>
      </c>
      <c r="AA478" s="16" t="s">
        <v>2611</v>
      </c>
      <c r="AB478" s="22">
        <f>IFERROR(__xludf.DUMMYFUNCTION("IFERROR(GOOGLEFINANCE(B478,""price""),"""")"),77.47)</f>
        <v>77.47</v>
      </c>
    </row>
    <row r="479">
      <c r="A479" s="7">
        <v>46058.62859309367</v>
      </c>
      <c r="B479" s="8" t="s">
        <v>2700</v>
      </c>
      <c r="C479" s="8" t="s">
        <v>2701</v>
      </c>
      <c r="D479" s="9">
        <v>46061.0</v>
      </c>
      <c r="E479" s="10">
        <v>212.825</v>
      </c>
      <c r="F479" s="8" t="s">
        <v>102</v>
      </c>
      <c r="G479" s="13">
        <v>43.6179</v>
      </c>
      <c r="H479" s="13">
        <v>4.8793</v>
      </c>
      <c r="I479" s="9">
        <v>46059.0</v>
      </c>
      <c r="J479" s="10">
        <v>212.5</v>
      </c>
      <c r="K479" s="8">
        <v>3108.0</v>
      </c>
      <c r="L479" s="8" t="s">
        <v>2608</v>
      </c>
      <c r="M479" s="11">
        <v>0.15</v>
      </c>
      <c r="N479" s="8" t="s">
        <v>3183</v>
      </c>
      <c r="O479" s="8">
        <v>5582.0</v>
      </c>
      <c r="P479" s="11">
        <v>37.755</v>
      </c>
      <c r="Q479" s="8" t="s">
        <v>2703</v>
      </c>
      <c r="R479" s="11">
        <v>1.4515</v>
      </c>
      <c r="S479" s="12">
        <v>8154837.0</v>
      </c>
      <c r="T479" s="12">
        <v>2.65769685697E11</v>
      </c>
      <c r="U479" s="13">
        <v>12.5341</v>
      </c>
      <c r="V479" s="13">
        <v>65.5649</v>
      </c>
      <c r="W479" s="13">
        <v>33.7646</v>
      </c>
      <c r="X479" s="13">
        <v>26.8457</v>
      </c>
      <c r="Y479" s="13">
        <v>0.4419</v>
      </c>
      <c r="Z479" s="13">
        <v>2.2562</v>
      </c>
      <c r="AA479" s="8" t="s">
        <v>2611</v>
      </c>
      <c r="AB479" s="14">
        <f>IFERROR(__xludf.DUMMYFUNCTION("IFERROR(GOOGLEFINANCE(B479,""price""),"""")"),263.66)</f>
        <v>263.66</v>
      </c>
    </row>
    <row r="480">
      <c r="A480" s="15">
        <v>46058.62859309367</v>
      </c>
      <c r="B480" s="16" t="s">
        <v>2646</v>
      </c>
      <c r="C480" s="16" t="s">
        <v>2647</v>
      </c>
      <c r="D480" s="17">
        <v>46061.0</v>
      </c>
      <c r="E480" s="18">
        <v>34.87</v>
      </c>
      <c r="F480" s="16" t="s">
        <v>270</v>
      </c>
      <c r="G480" s="21">
        <v>13.1312</v>
      </c>
      <c r="H480" s="21">
        <v>2.6555</v>
      </c>
      <c r="I480" s="17">
        <v>46059.0</v>
      </c>
      <c r="J480" s="18">
        <v>35.0</v>
      </c>
      <c r="K480" s="16">
        <v>2798.0</v>
      </c>
      <c r="L480" s="16" t="s">
        <v>2608</v>
      </c>
      <c r="M480" s="19">
        <v>0.37</v>
      </c>
      <c r="N480" s="16" t="s">
        <v>3184</v>
      </c>
      <c r="O480" s="16">
        <v>5181.0</v>
      </c>
      <c r="P480" s="19">
        <v>32.0061</v>
      </c>
      <c r="Q480" s="16" t="s">
        <v>2649</v>
      </c>
      <c r="R480" s="19">
        <v>-0.9375</v>
      </c>
      <c r="S480" s="20">
        <v>6086550.0</v>
      </c>
      <c r="T480" s="20">
        <v>7.5435006472E10</v>
      </c>
      <c r="U480" s="21">
        <v>0.6525</v>
      </c>
      <c r="V480" s="24"/>
      <c r="W480" s="21">
        <v>13.037</v>
      </c>
      <c r="X480" s="21">
        <v>-5.779</v>
      </c>
      <c r="Y480" s="24"/>
      <c r="Z480" s="24"/>
      <c r="AA480" s="16" t="s">
        <v>2620</v>
      </c>
      <c r="AB480" s="22">
        <f>IFERROR(__xludf.DUMMYFUNCTION("IFERROR(GOOGLEFINANCE(B480,""price""),"""")"),37.35)</f>
        <v>37.35</v>
      </c>
    </row>
    <row r="481">
      <c r="A481" s="7">
        <v>46058.62859309367</v>
      </c>
      <c r="B481" s="8" t="s">
        <v>3185</v>
      </c>
      <c r="C481" s="8" t="s">
        <v>3186</v>
      </c>
      <c r="D481" s="9">
        <v>46061.0</v>
      </c>
      <c r="E481" s="10">
        <v>64.4</v>
      </c>
      <c r="F481" s="8" t="s">
        <v>186</v>
      </c>
      <c r="G481" s="13">
        <v>60.4808</v>
      </c>
      <c r="H481" s="13">
        <v>1.0648</v>
      </c>
      <c r="I481" s="9">
        <v>46073.0</v>
      </c>
      <c r="J481" s="10">
        <v>65.0</v>
      </c>
      <c r="K481" s="8">
        <v>4788.0</v>
      </c>
      <c r="L481" s="8" t="s">
        <v>2608</v>
      </c>
      <c r="M481" s="11">
        <v>0.93</v>
      </c>
      <c r="N481" s="8" t="s">
        <v>3187</v>
      </c>
      <c r="O481" s="8">
        <v>4788.0</v>
      </c>
      <c r="P481" s="11">
        <v>18.2425</v>
      </c>
      <c r="Q481" s="8" t="s">
        <v>3188</v>
      </c>
      <c r="R481" s="11">
        <v>1.4014</v>
      </c>
      <c r="S481" s="12">
        <v>1961611.0</v>
      </c>
      <c r="T481" s="12">
        <v>3.1210094842E10</v>
      </c>
      <c r="U481" s="13">
        <v>1.0279</v>
      </c>
      <c r="V481" s="13">
        <v>36.2085</v>
      </c>
      <c r="W481" s="13">
        <v>19.5906</v>
      </c>
      <c r="X481" s="13">
        <v>11.1665</v>
      </c>
      <c r="Y481" s="13">
        <v>0.5953</v>
      </c>
      <c r="Z481" s="13">
        <v>0.7568</v>
      </c>
      <c r="AA481" s="8" t="s">
        <v>2620</v>
      </c>
      <c r="AB481" s="14">
        <f>IFERROR(__xludf.DUMMYFUNCTION("IFERROR(GOOGLEFINANCE(B481,""price""),"""")"),54.23)</f>
        <v>54.23</v>
      </c>
    </row>
    <row r="482">
      <c r="A482" s="15">
        <v>46058.62859309367</v>
      </c>
      <c r="B482" s="16" t="s">
        <v>2654</v>
      </c>
      <c r="C482" s="16" t="s">
        <v>2655</v>
      </c>
      <c r="D482" s="17">
        <v>46061.0</v>
      </c>
      <c r="E482" s="18">
        <v>40.285</v>
      </c>
      <c r="F482" s="16" t="s">
        <v>917</v>
      </c>
      <c r="G482" s="21">
        <v>25.4357</v>
      </c>
      <c r="H482" s="21">
        <v>1.5838</v>
      </c>
      <c r="I482" s="17">
        <v>46073.0</v>
      </c>
      <c r="J482" s="18">
        <v>40.0</v>
      </c>
      <c r="K482" s="16">
        <v>4473.0</v>
      </c>
      <c r="L482" s="16" t="s">
        <v>2608</v>
      </c>
      <c r="M482" s="19">
        <v>0.71</v>
      </c>
      <c r="N482" s="16" t="s">
        <v>3021</v>
      </c>
      <c r="O482" s="16">
        <v>4473.0</v>
      </c>
      <c r="P482" s="19">
        <v>17.8029</v>
      </c>
      <c r="Q482" s="16" t="s">
        <v>2657</v>
      </c>
      <c r="R482" s="19">
        <v>-0.1611</v>
      </c>
      <c r="S482" s="20">
        <v>4071442.0</v>
      </c>
      <c r="T482" s="20">
        <v>2.6300795453E10</v>
      </c>
      <c r="U482" s="21">
        <v>0.6268</v>
      </c>
      <c r="V482" s="21">
        <v>9.6059</v>
      </c>
      <c r="W482" s="21">
        <v>22.5038</v>
      </c>
      <c r="X482" s="21">
        <v>6.4347</v>
      </c>
      <c r="Y482" s="21">
        <v>2.0787</v>
      </c>
      <c r="Z482" s="21">
        <v>0.5135</v>
      </c>
      <c r="AA482" s="16" t="s">
        <v>2611</v>
      </c>
      <c r="AB482" s="22">
        <f>IFERROR(__xludf.DUMMYFUNCTION("IFERROR(GOOGLEFINANCE(B482,""price""),"""")"),43.39)</f>
        <v>43.39</v>
      </c>
    </row>
    <row r="483">
      <c r="A483" s="7">
        <v>46058.62859309367</v>
      </c>
      <c r="B483" s="8" t="s">
        <v>3080</v>
      </c>
      <c r="C483" s="8" t="s">
        <v>3081</v>
      </c>
      <c r="D483" s="9">
        <v>46061.0</v>
      </c>
      <c r="E483" s="10">
        <v>91.79</v>
      </c>
      <c r="F483" s="8" t="s">
        <v>93</v>
      </c>
      <c r="G483" s="13">
        <v>14.6571</v>
      </c>
      <c r="H483" s="13">
        <v>6.2625</v>
      </c>
      <c r="I483" s="9">
        <v>46059.0</v>
      </c>
      <c r="J483" s="10">
        <v>92.0</v>
      </c>
      <c r="K483" s="8">
        <v>2012.0</v>
      </c>
      <c r="L483" s="8" t="s">
        <v>2608</v>
      </c>
      <c r="M483" s="11">
        <v>0.23</v>
      </c>
      <c r="N483" s="8" t="s">
        <v>3166</v>
      </c>
      <c r="O483" s="8">
        <v>4425.0</v>
      </c>
      <c r="P483" s="11">
        <v>21.5214</v>
      </c>
      <c r="Q483" s="8" t="s">
        <v>3083</v>
      </c>
      <c r="R483" s="11">
        <v>-1.4494</v>
      </c>
      <c r="S483" s="12">
        <v>9556847.0</v>
      </c>
      <c r="T483" s="12">
        <v>2.83869761104E11</v>
      </c>
      <c r="U483" s="13">
        <v>2.1016</v>
      </c>
      <c r="V483" s="13">
        <v>11.8466</v>
      </c>
      <c r="W483" s="13">
        <v>20.6965</v>
      </c>
      <c r="X483" s="13">
        <v>-1.9497</v>
      </c>
      <c r="Y483" s="13">
        <v>2.3505</v>
      </c>
      <c r="Z483" s="13">
        <v>0.9006</v>
      </c>
      <c r="AA483" s="8" t="s">
        <v>2620</v>
      </c>
      <c r="AB483" s="14">
        <f>IFERROR(__xludf.DUMMYFUNCTION("IFERROR(GOOGLEFINANCE(B483,""price""),"""")"),85.4)</f>
        <v>85.4</v>
      </c>
    </row>
    <row r="484">
      <c r="A484" s="15">
        <v>46058.62859309367</v>
      </c>
      <c r="B484" s="16" t="s">
        <v>2650</v>
      </c>
      <c r="C484" s="16" t="s">
        <v>2651</v>
      </c>
      <c r="D484" s="17">
        <v>46061.0</v>
      </c>
      <c r="E484" s="18">
        <v>208.22</v>
      </c>
      <c r="F484" s="16" t="s">
        <v>308</v>
      </c>
      <c r="G484" s="21">
        <v>206.0768</v>
      </c>
      <c r="H484" s="21">
        <v>1.0104</v>
      </c>
      <c r="I484" s="17">
        <v>46059.0</v>
      </c>
      <c r="J484" s="18">
        <v>207.5</v>
      </c>
      <c r="K484" s="16">
        <v>3783.0</v>
      </c>
      <c r="L484" s="16" t="s">
        <v>2627</v>
      </c>
      <c r="M484" s="19">
        <v>0.35</v>
      </c>
      <c r="N484" s="16" t="s">
        <v>3189</v>
      </c>
      <c r="O484" s="16">
        <v>3783.0</v>
      </c>
      <c r="P484" s="19">
        <v>23.431</v>
      </c>
      <c r="Q484" s="16" t="s">
        <v>2653</v>
      </c>
      <c r="R484" s="19">
        <v>-1.3175</v>
      </c>
      <c r="S484" s="20">
        <v>1.0414533E7</v>
      </c>
      <c r="T484" s="20">
        <v>3.2722524722E10</v>
      </c>
      <c r="U484" s="21">
        <v>18.3265</v>
      </c>
      <c r="V484" s="21">
        <v>3.6337</v>
      </c>
      <c r="W484" s="21">
        <v>11.7943</v>
      </c>
      <c r="X484" s="21">
        <v>18.6256</v>
      </c>
      <c r="Y484" s="21">
        <v>0.4153</v>
      </c>
      <c r="Z484" s="21">
        <v>2.2518</v>
      </c>
      <c r="AA484" s="16" t="s">
        <v>2611</v>
      </c>
      <c r="AB484" s="22">
        <f>IFERROR(__xludf.DUMMYFUNCTION("IFERROR(GOOGLEFINANCE(B484,""price""),"""")"),307.5)</f>
        <v>307.5</v>
      </c>
    </row>
    <row r="485">
      <c r="A485" s="7">
        <v>46058.62859309367</v>
      </c>
      <c r="B485" s="8" t="s">
        <v>3086</v>
      </c>
      <c r="C485" s="8" t="s">
        <v>3087</v>
      </c>
      <c r="D485" s="9">
        <v>46061.0</v>
      </c>
      <c r="E485" s="10">
        <v>69.73</v>
      </c>
      <c r="F485" s="8" t="s">
        <v>162</v>
      </c>
      <c r="G485" s="13">
        <v>9.1012</v>
      </c>
      <c r="H485" s="13">
        <v>7.6616</v>
      </c>
      <c r="I485" s="9">
        <v>46059.0</v>
      </c>
      <c r="J485" s="10">
        <v>69.0</v>
      </c>
      <c r="K485" s="8">
        <v>1161.0</v>
      </c>
      <c r="L485" s="8" t="s">
        <v>2608</v>
      </c>
      <c r="M485" s="11">
        <v>1.05</v>
      </c>
      <c r="N485" s="8" t="s">
        <v>3169</v>
      </c>
      <c r="O485" s="8">
        <v>3304.0</v>
      </c>
      <c r="P485" s="11">
        <v>17.1842</v>
      </c>
      <c r="Q485" s="8" t="s">
        <v>3089</v>
      </c>
      <c r="R485" s="11">
        <v>-1.5947</v>
      </c>
      <c r="S485" s="12">
        <v>4007597.0</v>
      </c>
      <c r="T485" s="12">
        <v>4.5531094243E10</v>
      </c>
      <c r="U485" s="13">
        <v>2.2607</v>
      </c>
      <c r="V485" s="13">
        <v>27.7756</v>
      </c>
      <c r="W485" s="13">
        <v>9.1882</v>
      </c>
      <c r="X485" s="13">
        <v>2.7935</v>
      </c>
      <c r="Y485" s="13">
        <v>0.9769</v>
      </c>
      <c r="Z485" s="13">
        <v>0.3964</v>
      </c>
      <c r="AA485" s="8" t="s">
        <v>2611</v>
      </c>
      <c r="AB485" s="14">
        <f>IFERROR(__xludf.DUMMYFUNCTION("IFERROR(GOOGLEFINANCE(B485,""price""),"""")"),67.82)</f>
        <v>67.82</v>
      </c>
    </row>
    <row r="486">
      <c r="A486" s="15">
        <v>46058.62859309367</v>
      </c>
      <c r="B486" s="16" t="s">
        <v>2528</v>
      </c>
      <c r="C486" s="16" t="s">
        <v>2529</v>
      </c>
      <c r="D486" s="17">
        <v>46061.0</v>
      </c>
      <c r="E486" s="18">
        <v>63.84</v>
      </c>
      <c r="F486" s="16" t="s">
        <v>93</v>
      </c>
      <c r="G486" s="21">
        <v>10.6278</v>
      </c>
      <c r="H486" s="21">
        <v>6.0069</v>
      </c>
      <c r="I486" s="17">
        <v>46073.0</v>
      </c>
      <c r="J486" s="18">
        <v>65.0</v>
      </c>
      <c r="K486" s="16">
        <v>1420.0</v>
      </c>
      <c r="L486" s="16" t="s">
        <v>2608</v>
      </c>
      <c r="M486" s="19">
        <v>1.82</v>
      </c>
      <c r="N486" s="16" t="s">
        <v>3190</v>
      </c>
      <c r="O486" s="16">
        <v>2443.0</v>
      </c>
      <c r="P486" s="19">
        <v>23.1705</v>
      </c>
      <c r="Q486" s="16" t="s">
        <v>2530</v>
      </c>
      <c r="R486" s="19">
        <v>0.047</v>
      </c>
      <c r="S486" s="20">
        <v>1930773.0</v>
      </c>
      <c r="T486" s="20">
        <v>9.425404004E9</v>
      </c>
      <c r="U486" s="21">
        <v>1.4958</v>
      </c>
      <c r="V486" s="21">
        <v>13.3945</v>
      </c>
      <c r="W486" s="21">
        <v>23.7662</v>
      </c>
      <c r="X486" s="21">
        <v>-1.0012</v>
      </c>
      <c r="Y486" s="21">
        <v>0.6373</v>
      </c>
      <c r="Z486" s="21">
        <v>0.1512</v>
      </c>
      <c r="AA486" s="16" t="s">
        <v>2620</v>
      </c>
      <c r="AB486" s="22">
        <f>IFERROR(__xludf.DUMMYFUNCTION("IFERROR(GOOGLEFINANCE(B486,""price""),"""")"),61.05)</f>
        <v>61.05</v>
      </c>
    </row>
    <row r="487">
      <c r="A487" s="7">
        <v>46058.62859309367</v>
      </c>
      <c r="B487" s="8" t="s">
        <v>2983</v>
      </c>
      <c r="C487" s="8" t="s">
        <v>2984</v>
      </c>
      <c r="D487" s="9">
        <v>46061.0</v>
      </c>
      <c r="E487" s="10">
        <v>102.02</v>
      </c>
      <c r="F487" s="8" t="s">
        <v>93</v>
      </c>
      <c r="G487" s="13">
        <v>21.9016</v>
      </c>
      <c r="H487" s="13">
        <v>4.6581</v>
      </c>
      <c r="I487" s="9">
        <v>46059.0</v>
      </c>
      <c r="J487" s="10">
        <v>104.0</v>
      </c>
      <c r="K487" s="8">
        <v>2415.0</v>
      </c>
      <c r="L487" s="8" t="s">
        <v>2627</v>
      </c>
      <c r="M487" s="11">
        <v>1.94</v>
      </c>
      <c r="N487" s="8" t="s">
        <v>3170</v>
      </c>
      <c r="O487" s="8">
        <v>2415.0</v>
      </c>
      <c r="P487" s="11">
        <v>22.3852</v>
      </c>
      <c r="Q487" s="8" t="s">
        <v>2986</v>
      </c>
      <c r="R487" s="11">
        <v>-1.7905</v>
      </c>
      <c r="S487" s="12">
        <v>6590853.0</v>
      </c>
      <c r="T487" s="12">
        <v>1.81283084236E11</v>
      </c>
      <c r="U487" s="13">
        <v>2.2204</v>
      </c>
      <c r="V487" s="13">
        <v>18.1069</v>
      </c>
      <c r="W487" s="13">
        <v>47.6387</v>
      </c>
      <c r="X487" s="13">
        <v>6.4464</v>
      </c>
      <c r="Y487" s="13">
        <v>0.6275</v>
      </c>
      <c r="Z487" s="23"/>
      <c r="AA487" s="8" t="s">
        <v>2620</v>
      </c>
      <c r="AB487" s="14">
        <f>IFERROR(__xludf.DUMMYFUNCTION("IFERROR(GOOGLEFINANCE(B487,""price""),"""")"),94.8)</f>
        <v>94.8</v>
      </c>
    </row>
    <row r="488">
      <c r="A488" s="15">
        <v>46058.62859309367</v>
      </c>
      <c r="B488" s="16" t="s">
        <v>2672</v>
      </c>
      <c r="C488" s="16" t="s">
        <v>2673</v>
      </c>
      <c r="D488" s="17">
        <v>46061.0</v>
      </c>
      <c r="E488" s="18">
        <v>45.685</v>
      </c>
      <c r="F488" s="16" t="s">
        <v>107</v>
      </c>
      <c r="G488" s="24"/>
      <c r="H488" s="21">
        <v>-1.8425</v>
      </c>
      <c r="I488" s="17">
        <v>46073.0</v>
      </c>
      <c r="J488" s="18">
        <v>45.0</v>
      </c>
      <c r="K488" s="16">
        <v>2302.0</v>
      </c>
      <c r="L488" s="16" t="s">
        <v>2608</v>
      </c>
      <c r="M488" s="19">
        <v>1.5</v>
      </c>
      <c r="N488" s="16" t="s">
        <v>3171</v>
      </c>
      <c r="O488" s="16">
        <v>2302.0</v>
      </c>
      <c r="P488" s="19">
        <v>32.6853</v>
      </c>
      <c r="Q488" s="16" t="s">
        <v>2675</v>
      </c>
      <c r="R488" s="19">
        <v>-4.4846</v>
      </c>
      <c r="S488" s="20">
        <v>3894614.0</v>
      </c>
      <c r="T488" s="20">
        <v>1.9140887829E10</v>
      </c>
      <c r="U488" s="21">
        <v>1.2532</v>
      </c>
      <c r="V488" s="21">
        <v>-0.4628</v>
      </c>
      <c r="W488" s="21">
        <v>16.4011</v>
      </c>
      <c r="X488" s="21">
        <v>2.4196</v>
      </c>
      <c r="Y488" s="21">
        <v>0.4045</v>
      </c>
      <c r="Z488" s="21">
        <v>2.0022</v>
      </c>
      <c r="AA488" s="16" t="s">
        <v>2611</v>
      </c>
      <c r="AB488" s="22">
        <f>IFERROR(__xludf.DUMMYFUNCTION("IFERROR(GOOGLEFINANCE(B488,""price""),"""")"),47.25)</f>
        <v>47.25</v>
      </c>
    </row>
    <row r="489">
      <c r="A489" s="7">
        <v>46058.62859309367</v>
      </c>
      <c r="B489" s="8" t="s">
        <v>1570</v>
      </c>
      <c r="C489" s="8" t="s">
        <v>1571</v>
      </c>
      <c r="D489" s="9">
        <v>46061.0</v>
      </c>
      <c r="E489" s="10">
        <v>46.875</v>
      </c>
      <c r="F489" s="8" t="s">
        <v>917</v>
      </c>
      <c r="G489" s="13">
        <v>20.3618</v>
      </c>
      <c r="H489" s="13">
        <v>2.3021</v>
      </c>
      <c r="I489" s="9">
        <v>46073.0</v>
      </c>
      <c r="J489" s="10">
        <v>46.0</v>
      </c>
      <c r="K489" s="8">
        <v>2235.0</v>
      </c>
      <c r="L489" s="8" t="s">
        <v>2608</v>
      </c>
      <c r="M489" s="11">
        <v>1.87</v>
      </c>
      <c r="N489" s="8" t="s">
        <v>3172</v>
      </c>
      <c r="O489" s="8">
        <v>2235.0</v>
      </c>
      <c r="P489" s="11">
        <v>27.9262</v>
      </c>
      <c r="Q489" s="8" t="s">
        <v>1572</v>
      </c>
      <c r="R489" s="11">
        <v>1.0237</v>
      </c>
      <c r="S489" s="12">
        <v>3684271.0</v>
      </c>
      <c r="T489" s="12">
        <v>2.7078075346E10</v>
      </c>
      <c r="U489" s="13">
        <v>0.7908</v>
      </c>
      <c r="V489" s="13">
        <v>10.5451</v>
      </c>
      <c r="W489" s="13">
        <v>19.6489</v>
      </c>
      <c r="X489" s="13">
        <v>7.6402</v>
      </c>
      <c r="Y489" s="13">
        <v>2.1464</v>
      </c>
      <c r="Z489" s="13">
        <v>0.7474</v>
      </c>
      <c r="AA489" s="8" t="s">
        <v>2611</v>
      </c>
      <c r="AB489" s="14">
        <f>IFERROR(__xludf.DUMMYFUNCTION("IFERROR(GOOGLEFINANCE(B489,""price""),"""")"),51.43)</f>
        <v>51.43</v>
      </c>
    </row>
    <row r="490">
      <c r="A490" s="15">
        <v>46058.62859309367</v>
      </c>
      <c r="B490" s="16" t="s">
        <v>2117</v>
      </c>
      <c r="C490" s="16" t="s">
        <v>2118</v>
      </c>
      <c r="D490" s="17">
        <v>46061.0</v>
      </c>
      <c r="E490" s="18">
        <v>160.29</v>
      </c>
      <c r="F490" s="16" t="s">
        <v>149</v>
      </c>
      <c r="G490" s="21">
        <v>28.8764</v>
      </c>
      <c r="H490" s="21">
        <v>5.5509</v>
      </c>
      <c r="I490" s="17">
        <v>46073.0</v>
      </c>
      <c r="J490" s="18">
        <v>160.0</v>
      </c>
      <c r="K490" s="16">
        <v>1957.0</v>
      </c>
      <c r="L490" s="16" t="s">
        <v>2608</v>
      </c>
      <c r="M490" s="19">
        <v>0.18</v>
      </c>
      <c r="N490" s="16" t="s">
        <v>3191</v>
      </c>
      <c r="O490" s="16">
        <v>1957.0</v>
      </c>
      <c r="P490" s="19">
        <v>21.8898</v>
      </c>
      <c r="Q490" s="16" t="s">
        <v>2119</v>
      </c>
      <c r="R490" s="19">
        <v>0.4512</v>
      </c>
      <c r="S490" s="20">
        <v>1543444.0</v>
      </c>
      <c r="T490" s="20">
        <v>4.4504974489E10</v>
      </c>
      <c r="U490" s="21">
        <v>3.2565</v>
      </c>
      <c r="V490" s="24"/>
      <c r="W490" s="21">
        <v>30.9388</v>
      </c>
      <c r="X490" s="21">
        <v>8.7959</v>
      </c>
      <c r="Y490" s="24"/>
      <c r="Z490" s="21">
        <v>1.3456</v>
      </c>
      <c r="AA490" s="16" t="s">
        <v>2611</v>
      </c>
      <c r="AB490" s="22">
        <f>IFERROR(__xludf.DUMMYFUNCTION("IFERROR(GOOGLEFINANCE(B490,""price""),"""")"),161.76)</f>
        <v>161.76</v>
      </c>
    </row>
    <row r="491">
      <c r="A491" s="7">
        <v>46058.62859309367</v>
      </c>
      <c r="B491" s="8" t="s">
        <v>2684</v>
      </c>
      <c r="C491" s="8" t="s">
        <v>2685</v>
      </c>
      <c r="D491" s="9">
        <v>46061.0</v>
      </c>
      <c r="E491" s="10">
        <v>302.21</v>
      </c>
      <c r="F491" s="8" t="s">
        <v>102</v>
      </c>
      <c r="G491" s="13">
        <v>34.8409</v>
      </c>
      <c r="H491" s="13">
        <v>8.674</v>
      </c>
      <c r="I491" s="9">
        <v>46059.0</v>
      </c>
      <c r="J491" s="10">
        <v>307.5</v>
      </c>
      <c r="K491" s="8">
        <v>1949.0</v>
      </c>
      <c r="L491" s="8" t="s">
        <v>2627</v>
      </c>
      <c r="M491" s="11">
        <v>1.75</v>
      </c>
      <c r="N491" s="8" t="s">
        <v>3192</v>
      </c>
      <c r="O491" s="8">
        <v>1949.0</v>
      </c>
      <c r="P491" s="11">
        <v>32.0317</v>
      </c>
      <c r="Q491" s="8" t="s">
        <v>2687</v>
      </c>
      <c r="R491" s="11">
        <v>1.5491</v>
      </c>
      <c r="S491" s="12">
        <v>5912098.0</v>
      </c>
      <c r="T491" s="12">
        <v>2.39635417552E11</v>
      </c>
      <c r="U491" s="13">
        <v>14.6725</v>
      </c>
      <c r="V491" s="13">
        <v>35.5084</v>
      </c>
      <c r="W491" s="13">
        <v>29.8576</v>
      </c>
      <c r="X491" s="13">
        <v>4.4669</v>
      </c>
      <c r="Y491" s="13">
        <v>0.3453</v>
      </c>
      <c r="Z491" s="13">
        <v>2.6105</v>
      </c>
      <c r="AA491" s="8" t="s">
        <v>2620</v>
      </c>
      <c r="AB491" s="14">
        <f>IFERROR(__xludf.DUMMYFUNCTION("IFERROR(GOOGLEFINANCE(B491,""price""),"""")"),399.5)</f>
        <v>399.5</v>
      </c>
    </row>
    <row r="492">
      <c r="A492" s="15">
        <v>46058.62859309367</v>
      </c>
      <c r="B492" s="16" t="s">
        <v>3193</v>
      </c>
      <c r="C492" s="16" t="s">
        <v>3194</v>
      </c>
      <c r="D492" s="17">
        <v>46061.0</v>
      </c>
      <c r="E492" s="18">
        <v>403.645</v>
      </c>
      <c r="F492" s="16" t="s">
        <v>102</v>
      </c>
      <c r="G492" s="21">
        <v>52.6979</v>
      </c>
      <c r="H492" s="21">
        <v>7.6596</v>
      </c>
      <c r="I492" s="17">
        <v>46073.0</v>
      </c>
      <c r="J492" s="18">
        <v>410.0</v>
      </c>
      <c r="K492" s="16">
        <v>1861.0</v>
      </c>
      <c r="L492" s="16" t="s">
        <v>2608</v>
      </c>
      <c r="M492" s="19">
        <v>1.57</v>
      </c>
      <c r="N492" s="16" t="s">
        <v>3195</v>
      </c>
      <c r="O492" s="16">
        <v>1861.0</v>
      </c>
      <c r="P492" s="19">
        <v>15.5603</v>
      </c>
      <c r="Q492" s="16" t="s">
        <v>3196</v>
      </c>
      <c r="R492" s="19">
        <v>-6.0941</v>
      </c>
      <c r="S492" s="20">
        <v>2042541.0</v>
      </c>
      <c r="T492" s="20">
        <v>4.5383094346E10</v>
      </c>
      <c r="U492" s="21">
        <v>12.1305</v>
      </c>
      <c r="V492" s="21">
        <v>24.2439</v>
      </c>
      <c r="W492" s="21">
        <v>18.3507</v>
      </c>
      <c r="X492" s="21">
        <v>0.9792</v>
      </c>
      <c r="Y492" s="21">
        <v>0.9981</v>
      </c>
      <c r="Z492" s="21">
        <v>1.1353</v>
      </c>
      <c r="AA492" s="16" t="s">
        <v>2620</v>
      </c>
      <c r="AB492" s="22">
        <f>IFERROR(__xludf.DUMMYFUNCTION("IFERROR(GOOGLEFINANCE(B492,""price""),"""")"),396.0)</f>
        <v>396</v>
      </c>
    </row>
    <row r="493">
      <c r="A493" s="7">
        <v>46058.62859309367</v>
      </c>
      <c r="B493" s="8" t="s">
        <v>2521</v>
      </c>
      <c r="C493" s="8" t="s">
        <v>2522</v>
      </c>
      <c r="D493" s="9">
        <v>46061.0</v>
      </c>
      <c r="E493" s="10">
        <v>321.52</v>
      </c>
      <c r="F493" s="8" t="s">
        <v>308</v>
      </c>
      <c r="G493" s="13">
        <v>70.3653</v>
      </c>
      <c r="H493" s="13">
        <v>4.5693</v>
      </c>
      <c r="I493" s="9">
        <v>46059.0</v>
      </c>
      <c r="J493" s="10">
        <v>325.0</v>
      </c>
      <c r="K493" s="8">
        <v>1824.0</v>
      </c>
      <c r="L493" s="8" t="s">
        <v>2608</v>
      </c>
      <c r="M493" s="11">
        <v>1.08</v>
      </c>
      <c r="N493" s="8" t="s">
        <v>3197</v>
      </c>
      <c r="O493" s="8">
        <v>1824.0</v>
      </c>
      <c r="P493" s="11">
        <v>37.8432</v>
      </c>
      <c r="Q493" s="8" t="s">
        <v>2523</v>
      </c>
      <c r="R493" s="11">
        <v>0.337</v>
      </c>
      <c r="S493" s="12">
        <v>3761191.0</v>
      </c>
      <c r="T493" s="12">
        <v>1.57103869014E11</v>
      </c>
      <c r="U493" s="13">
        <v>9.1893</v>
      </c>
      <c r="V493" s="13">
        <v>6.5728</v>
      </c>
      <c r="W493" s="13">
        <v>27.2724</v>
      </c>
      <c r="X493" s="13">
        <v>16.8932</v>
      </c>
      <c r="Y493" s="13">
        <v>0.2646</v>
      </c>
      <c r="Z493" s="13">
        <v>2.1899</v>
      </c>
      <c r="AA493" s="8" t="s">
        <v>2620</v>
      </c>
      <c r="AB493" s="14">
        <f>IFERROR(__xludf.DUMMYFUNCTION("IFERROR(GOOGLEFINANCE(B493,""price""),"""")"),350.14)</f>
        <v>350.14</v>
      </c>
    </row>
    <row r="494">
      <c r="A494" s="15">
        <v>46058.62859309367</v>
      </c>
      <c r="B494" s="16" t="s">
        <v>2973</v>
      </c>
      <c r="C494" s="16" t="s">
        <v>2974</v>
      </c>
      <c r="D494" s="17">
        <v>46061.0</v>
      </c>
      <c r="E494" s="18">
        <v>55.01</v>
      </c>
      <c r="F494" s="16" t="s">
        <v>93</v>
      </c>
      <c r="G494" s="21">
        <v>14.4103</v>
      </c>
      <c r="H494" s="21">
        <v>3.8174</v>
      </c>
      <c r="I494" s="17">
        <v>46073.0</v>
      </c>
      <c r="J494" s="18">
        <v>55.0</v>
      </c>
      <c r="K494" s="16">
        <v>1705.0</v>
      </c>
      <c r="L494" s="16" t="s">
        <v>2608</v>
      </c>
      <c r="M494" s="19">
        <v>0.02</v>
      </c>
      <c r="N494" s="16" t="s">
        <v>3198</v>
      </c>
      <c r="O494" s="16">
        <v>1705.0</v>
      </c>
      <c r="P494" s="19">
        <v>24.872</v>
      </c>
      <c r="Q494" s="16" t="s">
        <v>2976</v>
      </c>
      <c r="R494" s="19">
        <v>-0.1815</v>
      </c>
      <c r="S494" s="20">
        <v>6113863.0</v>
      </c>
      <c r="T494" s="20">
        <v>7.0371335112E10</v>
      </c>
      <c r="U494" s="21">
        <v>1.1102</v>
      </c>
      <c r="V494" s="21">
        <v>8.2363</v>
      </c>
      <c r="W494" s="21">
        <v>21.1616</v>
      </c>
      <c r="X494" s="21">
        <v>24.2886</v>
      </c>
      <c r="Y494" s="21">
        <v>1.0708</v>
      </c>
      <c r="Z494" s="21">
        <v>0.3413</v>
      </c>
      <c r="AA494" s="16" t="s">
        <v>2611</v>
      </c>
      <c r="AB494" s="22">
        <f>IFERROR(__xludf.DUMMYFUNCTION("IFERROR(GOOGLEFINANCE(B494,""price""),"""")"),49.6)</f>
        <v>49.6</v>
      </c>
    </row>
    <row r="495">
      <c r="A495" s="7">
        <v>46058.62859309367</v>
      </c>
      <c r="B495" s="8" t="s">
        <v>3000</v>
      </c>
      <c r="C495" s="8" t="s">
        <v>3001</v>
      </c>
      <c r="D495" s="9">
        <v>46061.0</v>
      </c>
      <c r="E495" s="10">
        <v>128.89</v>
      </c>
      <c r="F495" s="8" t="s">
        <v>93</v>
      </c>
      <c r="G495" s="13">
        <v>13.6951</v>
      </c>
      <c r="H495" s="13">
        <v>9.4114</v>
      </c>
      <c r="I495" s="9">
        <v>46073.0</v>
      </c>
      <c r="J495" s="10">
        <v>130.0</v>
      </c>
      <c r="K495" s="8">
        <v>1616.0</v>
      </c>
      <c r="L495" s="8" t="s">
        <v>2608</v>
      </c>
      <c r="M495" s="11">
        <v>0.86</v>
      </c>
      <c r="N495" s="8" t="s">
        <v>3199</v>
      </c>
      <c r="O495" s="8">
        <v>1616.0</v>
      </c>
      <c r="P495" s="11">
        <v>15.6413</v>
      </c>
      <c r="Q495" s="8" t="s">
        <v>3003</v>
      </c>
      <c r="R495" s="11">
        <v>-2.3782</v>
      </c>
      <c r="S495" s="12">
        <v>1306992.0</v>
      </c>
      <c r="T495" s="12">
        <v>3.5970351664E10</v>
      </c>
      <c r="U495" s="13">
        <v>3.1128</v>
      </c>
      <c r="V495" s="13">
        <v>11.0708</v>
      </c>
      <c r="W495" s="13">
        <v>17.1678</v>
      </c>
      <c r="X495" s="13">
        <v>3.2025</v>
      </c>
      <c r="Y495" s="13">
        <v>1.0705</v>
      </c>
      <c r="Z495" s="13">
        <v>3.5913</v>
      </c>
      <c r="AA495" s="8" t="s">
        <v>2620</v>
      </c>
      <c r="AB495" s="14">
        <f>IFERROR(__xludf.DUMMYFUNCTION("IFERROR(GOOGLEFINANCE(B495,""price""),"""")"),139.42)</f>
        <v>139.42</v>
      </c>
    </row>
    <row r="496">
      <c r="A496" s="15">
        <v>46058.62859309367</v>
      </c>
      <c r="B496" s="16" t="s">
        <v>3134</v>
      </c>
      <c r="C496" s="16" t="s">
        <v>3135</v>
      </c>
      <c r="D496" s="17">
        <v>46061.0</v>
      </c>
      <c r="E496" s="18">
        <v>142.355</v>
      </c>
      <c r="F496" s="16" t="s">
        <v>93</v>
      </c>
      <c r="G496" s="21">
        <v>10.6687</v>
      </c>
      <c r="H496" s="21">
        <v>13.3432</v>
      </c>
      <c r="I496" s="17">
        <v>46073.0</v>
      </c>
      <c r="J496" s="18">
        <v>140.0</v>
      </c>
      <c r="K496" s="16">
        <v>1614.0</v>
      </c>
      <c r="L496" s="16" t="s">
        <v>2608</v>
      </c>
      <c r="M496" s="19">
        <v>1.65</v>
      </c>
      <c r="N496" s="16" t="s">
        <v>3200</v>
      </c>
      <c r="O496" s="16">
        <v>1614.0</v>
      </c>
      <c r="P496" s="19">
        <v>28.1964</v>
      </c>
      <c r="Q496" s="16" t="s">
        <v>3137</v>
      </c>
      <c r="R496" s="19">
        <v>1.0613</v>
      </c>
      <c r="S496" s="20">
        <v>1148011.0</v>
      </c>
      <c r="T496" s="20">
        <v>3.9667259152E10</v>
      </c>
      <c r="U496" s="21">
        <v>2.4126</v>
      </c>
      <c r="V496" s="21">
        <v>21.6564</v>
      </c>
      <c r="W496" s="21">
        <v>17.4023</v>
      </c>
      <c r="X496" s="21">
        <v>6.8061</v>
      </c>
      <c r="Y496" s="21">
        <v>0.2303</v>
      </c>
      <c r="Z496" s="21">
        <v>0.2897</v>
      </c>
      <c r="AA496" s="16" t="s">
        <v>2611</v>
      </c>
      <c r="AB496" s="22">
        <f>IFERROR(__xludf.DUMMYFUNCTION("IFERROR(GOOGLEFINANCE(B496,""price""),"""")"),137.23)</f>
        <v>137.23</v>
      </c>
    </row>
    <row r="497">
      <c r="A497" s="7">
        <v>46058.62859309367</v>
      </c>
      <c r="B497" s="8" t="s">
        <v>2726</v>
      </c>
      <c r="C497" s="8" t="s">
        <v>2727</v>
      </c>
      <c r="D497" s="9">
        <v>46061.0</v>
      </c>
      <c r="E497" s="10">
        <v>81.575</v>
      </c>
      <c r="F497" s="8" t="s">
        <v>286</v>
      </c>
      <c r="G497" s="13">
        <v>46.4391</v>
      </c>
      <c r="H497" s="13">
        <v>1.7566</v>
      </c>
      <c r="I497" s="9">
        <v>46073.0</v>
      </c>
      <c r="J497" s="10">
        <v>82.5</v>
      </c>
      <c r="K497" s="8">
        <v>1287.0</v>
      </c>
      <c r="L497" s="8" t="s">
        <v>2608</v>
      </c>
      <c r="M497" s="11">
        <v>1.13</v>
      </c>
      <c r="N497" s="8" t="s">
        <v>3175</v>
      </c>
      <c r="O497" s="8">
        <v>1287.0</v>
      </c>
      <c r="P497" s="11">
        <v>38.236</v>
      </c>
      <c r="Q497" s="8" t="s">
        <v>2729</v>
      </c>
      <c r="R497" s="11">
        <v>0.1658</v>
      </c>
      <c r="S497" s="12">
        <v>4106993.0</v>
      </c>
      <c r="T497" s="12">
        <v>7.9700505082E10</v>
      </c>
      <c r="U497" s="13">
        <v>1.5161</v>
      </c>
      <c r="V497" s="13">
        <v>25.538</v>
      </c>
      <c r="W497" s="13">
        <v>29.9505</v>
      </c>
      <c r="X497" s="13">
        <v>7.618</v>
      </c>
      <c r="Y497" s="13">
        <v>0.0</v>
      </c>
      <c r="Z497" s="13">
        <v>3.1855</v>
      </c>
      <c r="AA497" s="8" t="s">
        <v>2620</v>
      </c>
      <c r="AB497" s="14">
        <f>IFERROR(__xludf.DUMMYFUNCTION("IFERROR(GOOGLEFINANCE(B497,""price""),"""")"),75.72)</f>
        <v>75.72</v>
      </c>
    </row>
    <row r="498">
      <c r="A498" s="15">
        <v>46058.62859309367</v>
      </c>
      <c r="B498" s="16" t="s">
        <v>2710</v>
      </c>
      <c r="C498" s="16" t="s">
        <v>2711</v>
      </c>
      <c r="D498" s="17">
        <v>46061.0</v>
      </c>
      <c r="E498" s="18">
        <v>120.755</v>
      </c>
      <c r="F498" s="16" t="s">
        <v>917</v>
      </c>
      <c r="G498" s="21">
        <v>17.6679</v>
      </c>
      <c r="H498" s="21">
        <v>6.8347</v>
      </c>
      <c r="I498" s="17">
        <v>46073.0</v>
      </c>
      <c r="J498" s="18">
        <v>120.0</v>
      </c>
      <c r="K498" s="16">
        <v>1231.0</v>
      </c>
      <c r="L498" s="16" t="s">
        <v>2608</v>
      </c>
      <c r="M498" s="19">
        <v>0.63</v>
      </c>
      <c r="N498" s="16" t="s">
        <v>3201</v>
      </c>
      <c r="O498" s="16">
        <v>1231.0</v>
      </c>
      <c r="P498" s="19">
        <v>20.1085</v>
      </c>
      <c r="Q498" s="16" t="s">
        <v>2713</v>
      </c>
      <c r="R498" s="19">
        <v>0.6459</v>
      </c>
      <c r="S498" s="20">
        <v>3226633.0</v>
      </c>
      <c r="T498" s="20">
        <v>6.4494581029E10</v>
      </c>
      <c r="U498" s="21">
        <v>2.0516</v>
      </c>
      <c r="V498" s="21">
        <v>12.848</v>
      </c>
      <c r="W498" s="21">
        <v>25.4789</v>
      </c>
      <c r="X498" s="21">
        <v>7.6587</v>
      </c>
      <c r="Y498" s="21">
        <v>1.5759</v>
      </c>
      <c r="Z498" s="21">
        <v>0.6862</v>
      </c>
      <c r="AA498" s="16" t="s">
        <v>2611</v>
      </c>
      <c r="AB498" s="22">
        <f>IFERROR(__xludf.DUMMYFUNCTION("IFERROR(GOOGLEFINANCE(B498,""price""),"""")"),136.3)</f>
        <v>136.3</v>
      </c>
    </row>
    <row r="499">
      <c r="A499" s="7">
        <v>46058.62859309367</v>
      </c>
      <c r="B499" s="8" t="s">
        <v>2642</v>
      </c>
      <c r="C499" s="8" t="s">
        <v>2643</v>
      </c>
      <c r="D499" s="9">
        <v>46061.0</v>
      </c>
      <c r="E499" s="10">
        <v>192.16</v>
      </c>
      <c r="F499" s="8" t="s">
        <v>335</v>
      </c>
      <c r="G499" s="13">
        <v>24.0191</v>
      </c>
      <c r="H499" s="13">
        <v>8.0003</v>
      </c>
      <c r="I499" s="9">
        <v>46073.0</v>
      </c>
      <c r="J499" s="10">
        <v>195.0</v>
      </c>
      <c r="K499" s="8">
        <v>1209.0</v>
      </c>
      <c r="L499" s="8" t="s">
        <v>2608</v>
      </c>
      <c r="M499" s="11">
        <v>1.48</v>
      </c>
      <c r="N499" s="8" t="s">
        <v>3202</v>
      </c>
      <c r="O499" s="8">
        <v>1209.0</v>
      </c>
      <c r="P499" s="11">
        <v>28.7031</v>
      </c>
      <c r="Q499" s="8" t="s">
        <v>2645</v>
      </c>
      <c r="R499" s="11">
        <v>-3.3789</v>
      </c>
      <c r="S499" s="12">
        <v>1418484.0</v>
      </c>
      <c r="T499" s="12">
        <v>2.8062060603E10</v>
      </c>
      <c r="U499" s="13">
        <v>6.1244</v>
      </c>
      <c r="V499" s="13">
        <v>13.2532</v>
      </c>
      <c r="W499" s="13">
        <v>8.1203</v>
      </c>
      <c r="X499" s="13">
        <v>3.627</v>
      </c>
      <c r="Y499" s="13">
        <v>0.4701</v>
      </c>
      <c r="Z499" s="13">
        <v>3.0553</v>
      </c>
      <c r="AA499" s="8" t="s">
        <v>2620</v>
      </c>
      <c r="AB499" s="14">
        <f>IFERROR(__xludf.DUMMYFUNCTION("IFERROR(GOOGLEFINANCE(B499,""price""),"""")"),190.57)</f>
        <v>190.57</v>
      </c>
    </row>
    <row r="500">
      <c r="A500" s="15">
        <v>46058.62859309367</v>
      </c>
      <c r="B500" s="16" t="s">
        <v>2688</v>
      </c>
      <c r="C500" s="16" t="s">
        <v>2689</v>
      </c>
      <c r="D500" s="17">
        <v>46061.0</v>
      </c>
      <c r="E500" s="18">
        <v>229.045</v>
      </c>
      <c r="F500" s="16" t="s">
        <v>102</v>
      </c>
      <c r="G500" s="21">
        <v>35.7849</v>
      </c>
      <c r="H500" s="21">
        <v>6.4006</v>
      </c>
      <c r="I500" s="17">
        <v>46073.0</v>
      </c>
      <c r="J500" s="18">
        <v>230.0</v>
      </c>
      <c r="K500" s="16">
        <v>1206.0</v>
      </c>
      <c r="L500" s="16" t="s">
        <v>2608</v>
      </c>
      <c r="M500" s="19">
        <v>0.42</v>
      </c>
      <c r="N500" s="16" t="s">
        <v>3203</v>
      </c>
      <c r="O500" s="16">
        <v>1206.0</v>
      </c>
      <c r="P500" s="19">
        <v>45.4022</v>
      </c>
      <c r="Q500" s="16" t="s">
        <v>2691</v>
      </c>
      <c r="R500" s="19">
        <v>0.5333</v>
      </c>
      <c r="S500" s="20">
        <v>1286869.0</v>
      </c>
      <c r="T500" s="20">
        <v>5.2727046442E10</v>
      </c>
      <c r="U500" s="21">
        <v>4.8021</v>
      </c>
      <c r="V500" s="21">
        <v>14.5941</v>
      </c>
      <c r="W500" s="21">
        <v>26.1537</v>
      </c>
      <c r="X500" s="21">
        <v>6.6262</v>
      </c>
      <c r="Y500" s="21">
        <v>0.2148</v>
      </c>
      <c r="Z500" s="21">
        <v>1.0623</v>
      </c>
      <c r="AA500" s="16" t="s">
        <v>2620</v>
      </c>
      <c r="AB500" s="22">
        <f>IFERROR(__xludf.DUMMYFUNCTION("IFERROR(GOOGLEFINANCE(B500,""price""),"""")"),234.91)</f>
        <v>234.91</v>
      </c>
    </row>
    <row r="501">
      <c r="A501" s="7">
        <v>46058.62859309367</v>
      </c>
      <c r="B501" s="8" t="s">
        <v>3141</v>
      </c>
      <c r="C501" s="8" t="s">
        <v>3142</v>
      </c>
      <c r="D501" s="9">
        <v>46061.0</v>
      </c>
      <c r="E501" s="10">
        <v>331.26</v>
      </c>
      <c r="F501" s="8" t="s">
        <v>93</v>
      </c>
      <c r="G501" s="13">
        <v>12.8787</v>
      </c>
      <c r="H501" s="13">
        <v>25.7215</v>
      </c>
      <c r="I501" s="9">
        <v>46073.0</v>
      </c>
      <c r="J501" s="10">
        <v>325.0</v>
      </c>
      <c r="K501" s="8">
        <v>1192.0</v>
      </c>
      <c r="L501" s="8" t="s">
        <v>2608</v>
      </c>
      <c r="M501" s="11">
        <v>1.89</v>
      </c>
      <c r="N501" s="8" t="s">
        <v>3204</v>
      </c>
      <c r="O501" s="8">
        <v>1192.0</v>
      </c>
      <c r="P501" s="11">
        <v>21.0239</v>
      </c>
      <c r="Q501" s="8" t="s">
        <v>3144</v>
      </c>
      <c r="R501" s="11">
        <v>0.5494</v>
      </c>
      <c r="S501" s="12">
        <v>1360556.0</v>
      </c>
      <c r="T501" s="12">
        <v>1.30367656846E11</v>
      </c>
      <c r="U501" s="13">
        <v>6.0331</v>
      </c>
      <c r="V501" s="13">
        <v>14.9661</v>
      </c>
      <c r="W501" s="13">
        <v>21.2322</v>
      </c>
      <c r="X501" s="13">
        <v>6.9142</v>
      </c>
      <c r="Y501" s="23"/>
      <c r="Z501" s="13">
        <v>0.2721</v>
      </c>
      <c r="AA501" s="8" t="s">
        <v>2611</v>
      </c>
      <c r="AB501" s="14">
        <f>IFERROR(__xludf.DUMMYFUNCTION("IFERROR(GOOGLEFINANCE(B501,""price""),"""")"),327.91)</f>
        <v>327.91</v>
      </c>
    </row>
    <row r="502">
      <c r="A502" s="15">
        <v>46058.62859309367</v>
      </c>
      <c r="B502" s="16" t="s">
        <v>1512</v>
      </c>
      <c r="C502" s="16" t="s">
        <v>1513</v>
      </c>
      <c r="D502" s="17">
        <v>46061.0</v>
      </c>
      <c r="E502" s="18">
        <v>77.55</v>
      </c>
      <c r="F502" s="16" t="s">
        <v>917</v>
      </c>
      <c r="G502" s="21">
        <v>21.2827</v>
      </c>
      <c r="H502" s="21">
        <v>3.6438</v>
      </c>
      <c r="I502" s="17">
        <v>46073.0</v>
      </c>
      <c r="J502" s="18">
        <v>77.5</v>
      </c>
      <c r="K502" s="16">
        <v>1110.0</v>
      </c>
      <c r="L502" s="16" t="s">
        <v>2608</v>
      </c>
      <c r="M502" s="19">
        <v>0.06</v>
      </c>
      <c r="N502" s="16" t="s">
        <v>3205</v>
      </c>
      <c r="O502" s="16">
        <v>1110.0</v>
      </c>
      <c r="P502" s="19">
        <v>24.0225</v>
      </c>
      <c r="Q502" s="16" t="s">
        <v>1514</v>
      </c>
      <c r="R502" s="19">
        <v>0.4143</v>
      </c>
      <c r="S502" s="20">
        <v>1161938.0</v>
      </c>
      <c r="T502" s="20">
        <v>1.7853107477E10</v>
      </c>
      <c r="U502" s="21">
        <v>1.197</v>
      </c>
      <c r="V502" s="21">
        <v>8.3636</v>
      </c>
      <c r="W502" s="21">
        <v>24.8419</v>
      </c>
      <c r="X502" s="21">
        <v>0.1069</v>
      </c>
      <c r="Y502" s="21">
        <v>1.4305</v>
      </c>
      <c r="Z502" s="21">
        <v>0.5156</v>
      </c>
      <c r="AA502" s="16" t="s">
        <v>2611</v>
      </c>
      <c r="AB502" s="22">
        <f>IFERROR(__xludf.DUMMYFUNCTION("IFERROR(GOOGLEFINANCE(B502,""price""),"""")"),83.58)</f>
        <v>83.58</v>
      </c>
    </row>
    <row r="503">
      <c r="A503" s="7">
        <v>46058.62859309367</v>
      </c>
      <c r="B503" s="8" t="s">
        <v>2226</v>
      </c>
      <c r="C503" s="8" t="s">
        <v>2227</v>
      </c>
      <c r="D503" s="9">
        <v>46061.0</v>
      </c>
      <c r="E503" s="10">
        <v>202.26</v>
      </c>
      <c r="F503" s="8" t="s">
        <v>102</v>
      </c>
      <c r="G503" s="13">
        <v>112.2918</v>
      </c>
      <c r="H503" s="13">
        <v>1.8012</v>
      </c>
      <c r="I503" s="9">
        <v>46073.0</v>
      </c>
      <c r="J503" s="10">
        <v>200.0</v>
      </c>
      <c r="K503" s="8">
        <v>1094.0</v>
      </c>
      <c r="L503" s="8" t="s">
        <v>2608</v>
      </c>
      <c r="M503" s="11">
        <v>1.12</v>
      </c>
      <c r="N503" s="8" t="s">
        <v>3206</v>
      </c>
      <c r="O503" s="8">
        <v>1094.0</v>
      </c>
      <c r="P503" s="11">
        <v>32.1425</v>
      </c>
      <c r="Q503" s="8" t="s">
        <v>2228</v>
      </c>
      <c r="R503" s="11">
        <v>1.3682</v>
      </c>
      <c r="S503" s="12">
        <v>1801851.0</v>
      </c>
      <c r="T503" s="12">
        <v>1.0648699137E10</v>
      </c>
      <c r="U503" s="13">
        <v>11.1669</v>
      </c>
      <c r="V503" s="13">
        <v>9.8544</v>
      </c>
      <c r="W503" s="13">
        <v>11.9211</v>
      </c>
      <c r="X503" s="13">
        <v>13.1546</v>
      </c>
      <c r="Y503" s="13">
        <v>0.5451</v>
      </c>
      <c r="Z503" s="13">
        <v>2.1867</v>
      </c>
      <c r="AA503" s="8" t="s">
        <v>2611</v>
      </c>
      <c r="AB503" s="14">
        <f>IFERROR(__xludf.DUMMYFUNCTION("IFERROR(GOOGLEFINANCE(B503,""price""),"""")"),241.46)</f>
        <v>241.46</v>
      </c>
    </row>
    <row r="504">
      <c r="A504" s="15">
        <v>46058.62859309367</v>
      </c>
      <c r="B504" s="16" t="s">
        <v>2453</v>
      </c>
      <c r="C504" s="16" t="s">
        <v>2454</v>
      </c>
      <c r="D504" s="17">
        <v>46061.0</v>
      </c>
      <c r="E504" s="18">
        <v>254.43</v>
      </c>
      <c r="F504" s="16" t="s">
        <v>129</v>
      </c>
      <c r="G504" s="21">
        <v>25.7153</v>
      </c>
      <c r="H504" s="21">
        <v>9.8941</v>
      </c>
      <c r="I504" s="17">
        <v>46073.0</v>
      </c>
      <c r="J504" s="18">
        <v>250.0</v>
      </c>
      <c r="K504" s="16">
        <v>1038.0</v>
      </c>
      <c r="L504" s="16" t="s">
        <v>2608</v>
      </c>
      <c r="M504" s="19">
        <v>1.74</v>
      </c>
      <c r="N504" s="16" t="s">
        <v>3207</v>
      </c>
      <c r="O504" s="16">
        <v>1038.0</v>
      </c>
      <c r="P504" s="19">
        <v>27.6993</v>
      </c>
      <c r="Q504" s="16" t="s">
        <v>2455</v>
      </c>
      <c r="R504" s="19">
        <v>-2.5359</v>
      </c>
      <c r="S504" s="20">
        <v>1101461.0</v>
      </c>
      <c r="T504" s="20">
        <v>4.9752756142E10</v>
      </c>
      <c r="U504" s="21">
        <v>6.0338</v>
      </c>
      <c r="V504" s="21">
        <v>33.4045</v>
      </c>
      <c r="W504" s="21">
        <v>8.9573</v>
      </c>
      <c r="X504" s="21">
        <v>4.916</v>
      </c>
      <c r="Y504" s="21">
        <v>0.9939</v>
      </c>
      <c r="Z504" s="21">
        <v>1.8781</v>
      </c>
      <c r="AA504" s="16" t="s">
        <v>2611</v>
      </c>
      <c r="AB504" s="22">
        <f>IFERROR(__xludf.DUMMYFUNCTION("IFERROR(GOOGLEFINANCE(B504,""price""),"""")"),256.61)</f>
        <v>256.61</v>
      </c>
    </row>
    <row r="505">
      <c r="A505" s="7">
        <v>46058.62859309367</v>
      </c>
      <c r="B505" s="8" t="s">
        <v>3208</v>
      </c>
      <c r="C505" s="8" t="s">
        <v>3209</v>
      </c>
      <c r="D505" s="9">
        <v>46061.0</v>
      </c>
      <c r="E505" s="10">
        <v>188.88</v>
      </c>
      <c r="F505" s="8" t="s">
        <v>137</v>
      </c>
      <c r="G505" s="13">
        <v>29.5162</v>
      </c>
      <c r="H505" s="13">
        <v>6.3992</v>
      </c>
      <c r="I505" s="9">
        <v>46059.0</v>
      </c>
      <c r="J505" s="10">
        <v>190.0</v>
      </c>
      <c r="K505" s="8">
        <v>1003.0</v>
      </c>
      <c r="L505" s="8" t="s">
        <v>2627</v>
      </c>
      <c r="M505" s="11">
        <v>0.59</v>
      </c>
      <c r="N505" s="8" t="s">
        <v>3210</v>
      </c>
      <c r="O505" s="8">
        <v>1003.0</v>
      </c>
      <c r="P505" s="11">
        <v>27.4981</v>
      </c>
      <c r="Q505" s="8" t="s">
        <v>3211</v>
      </c>
      <c r="R505" s="11">
        <v>-0.2061</v>
      </c>
      <c r="S505" s="12">
        <v>1074026.0</v>
      </c>
      <c r="T505" s="12">
        <v>6.1092282834E10</v>
      </c>
      <c r="U505" s="13">
        <v>3.4429</v>
      </c>
      <c r="V505" s="13">
        <v>37.4252</v>
      </c>
      <c r="W505" s="13">
        <v>11.9137</v>
      </c>
      <c r="X505" s="13">
        <v>3.7096</v>
      </c>
      <c r="Y505" s="13">
        <v>0.8818</v>
      </c>
      <c r="Z505" s="13">
        <v>1.5199</v>
      </c>
      <c r="AA505" s="8" t="s">
        <v>2620</v>
      </c>
      <c r="AB505" s="14">
        <f>IFERROR(__xludf.DUMMYFUNCTION("IFERROR(GOOGLEFINANCE(B505,""price""),"""")"),221.16)</f>
        <v>221.16</v>
      </c>
    </row>
    <row r="506">
      <c r="A506" s="15">
        <v>46058.62859309367</v>
      </c>
      <c r="B506" s="16" t="s">
        <v>2658</v>
      </c>
      <c r="C506" s="16" t="s">
        <v>2659</v>
      </c>
      <c r="D506" s="17">
        <v>46061.0</v>
      </c>
      <c r="E506" s="18">
        <v>89.39</v>
      </c>
      <c r="F506" s="16" t="s">
        <v>917</v>
      </c>
      <c r="G506" s="21">
        <v>27.0854</v>
      </c>
      <c r="H506" s="21">
        <v>3.3003</v>
      </c>
      <c r="I506" s="17">
        <v>46059.0</v>
      </c>
      <c r="J506" s="18">
        <v>90.0</v>
      </c>
      <c r="K506" s="16">
        <v>1000.0</v>
      </c>
      <c r="L506" s="16" t="s">
        <v>2608</v>
      </c>
      <c r="M506" s="19">
        <v>0.68</v>
      </c>
      <c r="N506" s="16" t="s">
        <v>3212</v>
      </c>
      <c r="O506" s="16">
        <v>1000.0</v>
      </c>
      <c r="P506" s="19">
        <v>31.3902</v>
      </c>
      <c r="Q506" s="16" t="s">
        <v>2661</v>
      </c>
      <c r="R506" s="19">
        <v>-0.6447</v>
      </c>
      <c r="S506" s="20">
        <v>7681323.0</v>
      </c>
      <c r="T506" s="20">
        <v>1.86164476381E11</v>
      </c>
      <c r="U506" s="21">
        <v>1.8846</v>
      </c>
      <c r="V506" s="21">
        <v>13.0533</v>
      </c>
      <c r="W506" s="21">
        <v>26.0656</v>
      </c>
      <c r="X506" s="21">
        <v>7.4736</v>
      </c>
      <c r="Y506" s="21">
        <v>1.751</v>
      </c>
      <c r="Z506" s="21">
        <v>0.5953</v>
      </c>
      <c r="AA506" s="16" t="s">
        <v>2620</v>
      </c>
      <c r="AB506" s="22">
        <f>IFERROR(__xludf.DUMMYFUNCTION("IFERROR(GOOGLEFINANCE(B506,""price""),"""")"),94.08)</f>
        <v>94.08</v>
      </c>
    </row>
    <row r="507">
      <c r="A507" s="7">
        <v>46059.625682076774</v>
      </c>
      <c r="B507" s="8" t="s">
        <v>2630</v>
      </c>
      <c r="C507" s="8" t="s">
        <v>2631</v>
      </c>
      <c r="D507" s="9">
        <v>46061.0</v>
      </c>
      <c r="E507" s="10">
        <v>396.02</v>
      </c>
      <c r="F507" s="8" t="s">
        <v>308</v>
      </c>
      <c r="G507" s="13">
        <v>37.6445</v>
      </c>
      <c r="H507" s="13">
        <v>10.52</v>
      </c>
      <c r="I507" s="9">
        <v>46059.0</v>
      </c>
      <c r="J507" s="10">
        <v>400.0</v>
      </c>
      <c r="K507" s="8">
        <v>7072.0</v>
      </c>
      <c r="L507" s="8" t="s">
        <v>2608</v>
      </c>
      <c r="M507" s="11">
        <v>1.0</v>
      </c>
      <c r="N507" s="8" t="s">
        <v>3213</v>
      </c>
      <c r="O507" s="8">
        <v>22731.0</v>
      </c>
      <c r="P507" s="11">
        <v>41.1645</v>
      </c>
      <c r="Q507" s="8" t="s">
        <v>2633</v>
      </c>
      <c r="R507" s="11">
        <v>3.4292</v>
      </c>
      <c r="S507" s="12">
        <v>3.1633307E7</v>
      </c>
      <c r="T507" s="12">
        <v>4.45724201066E11</v>
      </c>
      <c r="U507" s="13">
        <v>25.5962</v>
      </c>
      <c r="V507" s="13">
        <v>22.5543</v>
      </c>
      <c r="W507" s="13">
        <v>32.9221</v>
      </c>
      <c r="X507" s="13">
        <v>45.432</v>
      </c>
      <c r="Y507" s="13">
        <v>0.2124</v>
      </c>
      <c r="Z507" s="13">
        <v>2.4598</v>
      </c>
      <c r="AA507" s="8" t="s">
        <v>2620</v>
      </c>
      <c r="AB507" s="14">
        <f>IFERROR(__xludf.DUMMYFUNCTION("IFERROR(GOOGLEFINANCE(B507,""price""),"""")"),420.59)</f>
        <v>420.59</v>
      </c>
    </row>
    <row r="508">
      <c r="A508" s="15">
        <v>46059.625682076774</v>
      </c>
      <c r="B508" s="16" t="s">
        <v>1489</v>
      </c>
      <c r="C508" s="16" t="s">
        <v>1490</v>
      </c>
      <c r="D508" s="17">
        <v>46061.0</v>
      </c>
      <c r="E508" s="18">
        <v>84.635</v>
      </c>
      <c r="F508" s="16" t="s">
        <v>308</v>
      </c>
      <c r="G508" s="21">
        <v>31.9124</v>
      </c>
      <c r="H508" s="21">
        <v>2.6521</v>
      </c>
      <c r="I508" s="17">
        <v>46059.0</v>
      </c>
      <c r="J508" s="18">
        <v>84.0</v>
      </c>
      <c r="K508" s="16">
        <v>7678.0</v>
      </c>
      <c r="L508" s="16" t="s">
        <v>2608</v>
      </c>
      <c r="M508" s="19">
        <v>0.75</v>
      </c>
      <c r="N508" s="16" t="s">
        <v>3214</v>
      </c>
      <c r="O508" s="16">
        <v>19544.0</v>
      </c>
      <c r="P508" s="19">
        <v>32.9806</v>
      </c>
      <c r="Q508" s="16" t="s">
        <v>1491</v>
      </c>
      <c r="R508" s="19">
        <v>2.7623</v>
      </c>
      <c r="S508" s="20">
        <v>1.4908081E7</v>
      </c>
      <c r="T508" s="20">
        <v>3.34400883998E11</v>
      </c>
      <c r="U508" s="21">
        <v>1.8481</v>
      </c>
      <c r="V508" s="21">
        <v>23.0103</v>
      </c>
      <c r="W508" s="21">
        <v>22.9895</v>
      </c>
      <c r="X508" s="21">
        <v>8.9097</v>
      </c>
      <c r="Y508" s="21">
        <v>0.6323</v>
      </c>
      <c r="Z508" s="21">
        <v>0.9274</v>
      </c>
      <c r="AA508" s="16" t="s">
        <v>2611</v>
      </c>
      <c r="AB508" s="22">
        <f>IFERROR(__xludf.DUMMYFUNCTION("IFERROR(GOOGLEFINANCE(B508,""price""),"""")"),82.22)</f>
        <v>82.22</v>
      </c>
    </row>
    <row r="509">
      <c r="A509" s="7">
        <v>46059.625682076774</v>
      </c>
      <c r="B509" s="8" t="s">
        <v>1598</v>
      </c>
      <c r="C509" s="8" t="s">
        <v>1599</v>
      </c>
      <c r="D509" s="9">
        <v>46061.0</v>
      </c>
      <c r="E509" s="10">
        <v>56.575</v>
      </c>
      <c r="F509" s="8" t="s">
        <v>93</v>
      </c>
      <c r="G509" s="13">
        <v>14.76</v>
      </c>
      <c r="H509" s="13">
        <v>3.833</v>
      </c>
      <c r="I509" s="9">
        <v>46059.0</v>
      </c>
      <c r="J509" s="10">
        <v>56.0</v>
      </c>
      <c r="K509" s="8">
        <v>4709.0</v>
      </c>
      <c r="L509" s="8" t="s">
        <v>2608</v>
      </c>
      <c r="M509" s="11">
        <v>1.02</v>
      </c>
      <c r="N509" s="8" t="s">
        <v>3215</v>
      </c>
      <c r="O509" s="8">
        <v>16827.0</v>
      </c>
      <c r="P509" s="11">
        <v>23.0028</v>
      </c>
      <c r="Q509" s="8" t="s">
        <v>1600</v>
      </c>
      <c r="R509" s="11">
        <v>2.976</v>
      </c>
      <c r="S509" s="12">
        <v>2.9466632E7</v>
      </c>
      <c r="T509" s="12">
        <v>4.08045160711E11</v>
      </c>
      <c r="U509" s="13">
        <v>1.1472</v>
      </c>
      <c r="V509" s="13">
        <v>10.2298</v>
      </c>
      <c r="W509" s="13">
        <v>18.0672</v>
      </c>
      <c r="X509" s="13">
        <v>-2.1208</v>
      </c>
      <c r="Y509" s="13">
        <v>2.3434</v>
      </c>
      <c r="Z509" s="13">
        <v>0.9906</v>
      </c>
      <c r="AA509" s="8" t="s">
        <v>2611</v>
      </c>
      <c r="AB509" s="14">
        <f>IFERROR(__xludf.DUMMYFUNCTION("IFERROR(GOOGLEFINANCE(B509,""price""),"""")"),52.54)</f>
        <v>52.54</v>
      </c>
    </row>
    <row r="510">
      <c r="A510" s="15">
        <v>46059.625682076774</v>
      </c>
      <c r="B510" s="16" t="s">
        <v>3067</v>
      </c>
      <c r="C510" s="16" t="s">
        <v>3068</v>
      </c>
      <c r="D510" s="17">
        <v>46061.0</v>
      </c>
      <c r="E510" s="18">
        <v>19.275</v>
      </c>
      <c r="F510" s="16" t="s">
        <v>93</v>
      </c>
      <c r="G510" s="21">
        <v>13.9009</v>
      </c>
      <c r="H510" s="21">
        <v>1.3866</v>
      </c>
      <c r="I510" s="17">
        <v>46073.0</v>
      </c>
      <c r="J510" s="18">
        <v>19.0</v>
      </c>
      <c r="K510" s="16">
        <v>13029.0</v>
      </c>
      <c r="L510" s="16" t="s">
        <v>2608</v>
      </c>
      <c r="M510" s="19">
        <v>1.43</v>
      </c>
      <c r="N510" s="16" t="s">
        <v>3216</v>
      </c>
      <c r="O510" s="16">
        <v>14060.0</v>
      </c>
      <c r="P510" s="19">
        <v>20.9267</v>
      </c>
      <c r="Q510" s="16" t="s">
        <v>3070</v>
      </c>
      <c r="R510" s="19">
        <v>1.3407</v>
      </c>
      <c r="S510" s="20">
        <v>1.8628245E7</v>
      </c>
      <c r="T510" s="20">
        <v>3.9259380709E10</v>
      </c>
      <c r="U510" s="21">
        <v>0.5013</v>
      </c>
      <c r="V510" s="21">
        <v>10.0313</v>
      </c>
      <c r="W510" s="21">
        <v>21.9353</v>
      </c>
      <c r="X510" s="21">
        <v>4.0422</v>
      </c>
      <c r="Y510" s="21">
        <v>0.7593</v>
      </c>
      <c r="Z510" s="21">
        <v>0.0962</v>
      </c>
      <c r="AA510" s="16" t="s">
        <v>2611</v>
      </c>
      <c r="AB510" s="22">
        <f>IFERROR(__xludf.DUMMYFUNCTION("IFERROR(GOOGLEFINANCE(B510,""price""),"""")"),16.38)</f>
        <v>16.38</v>
      </c>
    </row>
    <row r="511">
      <c r="A511" s="7">
        <v>46059.625682076774</v>
      </c>
      <c r="B511" s="8" t="s">
        <v>2634</v>
      </c>
      <c r="C511" s="8" t="s">
        <v>2635</v>
      </c>
      <c r="D511" s="9">
        <v>46061.0</v>
      </c>
      <c r="E511" s="10">
        <v>180.6</v>
      </c>
      <c r="F511" s="8" t="s">
        <v>245</v>
      </c>
      <c r="G511" s="13">
        <v>27.1542</v>
      </c>
      <c r="H511" s="13">
        <v>6.6509</v>
      </c>
      <c r="I511" s="9">
        <v>46059.0</v>
      </c>
      <c r="J511" s="10">
        <v>180.0</v>
      </c>
      <c r="K511" s="8">
        <v>4178.0</v>
      </c>
      <c r="L511" s="8" t="s">
        <v>2608</v>
      </c>
      <c r="M511" s="11">
        <v>0.33</v>
      </c>
      <c r="N511" s="8" t="s">
        <v>3217</v>
      </c>
      <c r="O511" s="8">
        <v>9723.0</v>
      </c>
      <c r="P511" s="11">
        <v>53.2832</v>
      </c>
      <c r="Q511" s="8" t="s">
        <v>2637</v>
      </c>
      <c r="R511" s="11">
        <v>0.7644</v>
      </c>
      <c r="S511" s="12">
        <v>7637577.0</v>
      </c>
      <c r="T511" s="12">
        <v>3.63641993456E11</v>
      </c>
      <c r="U511" s="13">
        <v>3.5032</v>
      </c>
      <c r="V511" s="13">
        <v>7.261</v>
      </c>
      <c r="W511" s="13">
        <v>8.9022</v>
      </c>
      <c r="X511" s="13">
        <v>-4.6053</v>
      </c>
      <c r="Y511" s="13">
        <v>0.2186</v>
      </c>
      <c r="Z511" s="23"/>
      <c r="AA511" s="8" t="s">
        <v>2611</v>
      </c>
      <c r="AB511" s="14">
        <f>IFERROR(__xludf.DUMMYFUNCTION("IFERROR(GOOGLEFINANCE(B511,""price""),"""")"),188.55)</f>
        <v>188.55</v>
      </c>
    </row>
    <row r="512">
      <c r="A512" s="15">
        <v>46059.625682076774</v>
      </c>
      <c r="B512" s="16" t="s">
        <v>2700</v>
      </c>
      <c r="C512" s="16" t="s">
        <v>2701</v>
      </c>
      <c r="D512" s="17">
        <v>46061.0</v>
      </c>
      <c r="E512" s="18">
        <v>231.4</v>
      </c>
      <c r="F512" s="16" t="s">
        <v>102</v>
      </c>
      <c r="G512" s="21">
        <v>47.4248</v>
      </c>
      <c r="H512" s="21">
        <v>4.8793</v>
      </c>
      <c r="I512" s="17">
        <v>46059.0</v>
      </c>
      <c r="J512" s="18">
        <v>235.0</v>
      </c>
      <c r="K512" s="16">
        <v>2993.0</v>
      </c>
      <c r="L512" s="16" t="s">
        <v>2627</v>
      </c>
      <c r="M512" s="19">
        <v>1.56</v>
      </c>
      <c r="N512" s="16" t="s">
        <v>3218</v>
      </c>
      <c r="O512" s="16">
        <v>6055.0</v>
      </c>
      <c r="P512" s="19">
        <v>36.641</v>
      </c>
      <c r="Q512" s="16" t="s">
        <v>2703</v>
      </c>
      <c r="R512" s="19">
        <v>8.4806</v>
      </c>
      <c r="S512" s="20">
        <v>1.0089294E7</v>
      </c>
      <c r="T512" s="20">
        <v>2.88965605189E11</v>
      </c>
      <c r="U512" s="21">
        <v>13.006</v>
      </c>
      <c r="V512" s="21">
        <v>65.5649</v>
      </c>
      <c r="W512" s="21">
        <v>33.7646</v>
      </c>
      <c r="X512" s="21">
        <v>26.8457</v>
      </c>
      <c r="Y512" s="21">
        <v>0.4419</v>
      </c>
      <c r="Z512" s="21">
        <v>2.2562</v>
      </c>
      <c r="AA512" s="16" t="s">
        <v>2620</v>
      </c>
      <c r="AB512" s="22">
        <f>IFERROR(__xludf.DUMMYFUNCTION("IFERROR(GOOGLEFINANCE(B512,""price""),"""")"),263.66)</f>
        <v>263.66</v>
      </c>
    </row>
    <row r="513">
      <c r="A513" s="7">
        <v>46059.625682076774</v>
      </c>
      <c r="B513" s="8" t="s">
        <v>2621</v>
      </c>
      <c r="C513" s="8" t="s">
        <v>2622</v>
      </c>
      <c r="D513" s="9">
        <v>46061.0</v>
      </c>
      <c r="E513" s="10">
        <v>60.735</v>
      </c>
      <c r="F513" s="8" t="s">
        <v>335</v>
      </c>
      <c r="G513" s="13">
        <v>40.1156</v>
      </c>
      <c r="H513" s="13">
        <v>1.514</v>
      </c>
      <c r="I513" s="9">
        <v>46059.0</v>
      </c>
      <c r="J513" s="10">
        <v>60.0</v>
      </c>
      <c r="K513" s="8">
        <v>3237.0</v>
      </c>
      <c r="L513" s="8" t="s">
        <v>2627</v>
      </c>
      <c r="M513" s="11">
        <v>1.21</v>
      </c>
      <c r="N513" s="8" t="s">
        <v>3219</v>
      </c>
      <c r="O513" s="8">
        <v>5824.0</v>
      </c>
      <c r="P513" s="11">
        <v>39.508</v>
      </c>
      <c r="Q513" s="8" t="s">
        <v>2624</v>
      </c>
      <c r="R513" s="11">
        <v>2.5583</v>
      </c>
      <c r="S513" s="12">
        <v>1.4676265E7</v>
      </c>
      <c r="T513" s="12">
        <v>8.721125068E10</v>
      </c>
      <c r="U513" s="13">
        <v>2.862</v>
      </c>
      <c r="V513" s="13">
        <v>11.9792</v>
      </c>
      <c r="W513" s="13">
        <v>23.7569</v>
      </c>
      <c r="X513" s="13">
        <v>1.5155</v>
      </c>
      <c r="Y513" s="13">
        <v>0.5497</v>
      </c>
      <c r="Z513" s="13">
        <v>2.2911</v>
      </c>
      <c r="AA513" s="8" t="s">
        <v>2611</v>
      </c>
      <c r="AB513" s="14">
        <f>IFERROR(__xludf.DUMMYFUNCTION("IFERROR(GOOGLEFINANCE(B513,""price""),"""")"),67.8)</f>
        <v>67.8</v>
      </c>
    </row>
    <row r="514">
      <c r="A514" s="15">
        <v>46059.625682076774</v>
      </c>
      <c r="B514" s="16" t="s">
        <v>2638</v>
      </c>
      <c r="C514" s="16" t="s">
        <v>2639</v>
      </c>
      <c r="D514" s="17">
        <v>46061.0</v>
      </c>
      <c r="E514" s="18">
        <v>149.07</v>
      </c>
      <c r="F514" s="16" t="s">
        <v>245</v>
      </c>
      <c r="G514" s="21">
        <v>22.2795</v>
      </c>
      <c r="H514" s="21">
        <v>6.6909</v>
      </c>
      <c r="I514" s="17">
        <v>46059.0</v>
      </c>
      <c r="J514" s="18">
        <v>147.0</v>
      </c>
      <c r="K514" s="16">
        <v>2422.0</v>
      </c>
      <c r="L514" s="16" t="s">
        <v>2608</v>
      </c>
      <c r="M514" s="19">
        <v>1.39</v>
      </c>
      <c r="N514" s="16" t="s">
        <v>3220</v>
      </c>
      <c r="O514" s="16">
        <v>5811.0</v>
      </c>
      <c r="P514" s="19">
        <v>53.1482</v>
      </c>
      <c r="Q514" s="16" t="s">
        <v>2641</v>
      </c>
      <c r="R514" s="19">
        <v>2.0468</v>
      </c>
      <c r="S514" s="20">
        <v>1.3320134E7</v>
      </c>
      <c r="T514" s="20">
        <v>6.28652873041E11</v>
      </c>
      <c r="U514" s="21">
        <v>3.2012</v>
      </c>
      <c r="V514" s="21">
        <v>11.0283</v>
      </c>
      <c r="W514" s="21">
        <v>10.3419</v>
      </c>
      <c r="X514" s="21">
        <v>-4.856</v>
      </c>
      <c r="Y514" s="21">
        <v>0.1678</v>
      </c>
      <c r="Z514" s="21">
        <v>1.1528</v>
      </c>
      <c r="AA514" s="16" t="s">
        <v>2611</v>
      </c>
      <c r="AB514" s="22">
        <f>IFERROR(__xludf.DUMMYFUNCTION("IFERROR(GOOGLEFINANCE(B514,""price""),"""")"),152.51)</f>
        <v>152.51</v>
      </c>
    </row>
    <row r="515">
      <c r="A515" s="7">
        <v>46059.625682076774</v>
      </c>
      <c r="B515" s="8" t="s">
        <v>2625</v>
      </c>
      <c r="C515" s="8" t="s">
        <v>2626</v>
      </c>
      <c r="D515" s="9">
        <v>46061.0</v>
      </c>
      <c r="E515" s="10">
        <v>131.23</v>
      </c>
      <c r="F515" s="8" t="s">
        <v>137</v>
      </c>
      <c r="G515" s="13">
        <v>46.0295</v>
      </c>
      <c r="H515" s="13">
        <v>2.851</v>
      </c>
      <c r="I515" s="9">
        <v>46059.0</v>
      </c>
      <c r="J515" s="10">
        <v>130.0</v>
      </c>
      <c r="K515" s="8">
        <v>2634.0</v>
      </c>
      <c r="L515" s="8" t="s">
        <v>2608</v>
      </c>
      <c r="M515" s="11">
        <v>0.94</v>
      </c>
      <c r="N515" s="8" t="s">
        <v>3221</v>
      </c>
      <c r="O515" s="8">
        <v>5735.0</v>
      </c>
      <c r="P515" s="11">
        <v>29.7209</v>
      </c>
      <c r="Q515" s="8" t="s">
        <v>2629</v>
      </c>
      <c r="R515" s="11">
        <v>3.3795</v>
      </c>
      <c r="S515" s="12">
        <v>1.8308875E7</v>
      </c>
      <c r="T515" s="12">
        <v>1.045925034501E12</v>
      </c>
      <c r="U515" s="13">
        <v>2.7477</v>
      </c>
      <c r="V515" s="13">
        <v>24.8749</v>
      </c>
      <c r="W515" s="13">
        <v>4.1214</v>
      </c>
      <c r="X515" s="13">
        <v>4.3397</v>
      </c>
      <c r="Y515" s="13">
        <v>0.7121</v>
      </c>
      <c r="Z515" s="13">
        <v>0.8029</v>
      </c>
      <c r="AA515" s="8" t="s">
        <v>2611</v>
      </c>
      <c r="AB515" s="14">
        <f>IFERROR(__xludf.DUMMYFUNCTION("IFERROR(GOOGLEFINANCE(B515,""price""),"""")"),126.79)</f>
        <v>126.79</v>
      </c>
    </row>
    <row r="516">
      <c r="A516" s="15">
        <v>46059.625682076774</v>
      </c>
      <c r="B516" s="16" t="s">
        <v>2616</v>
      </c>
      <c r="C516" s="16" t="s">
        <v>2617</v>
      </c>
      <c r="D516" s="17">
        <v>46061.0</v>
      </c>
      <c r="E516" s="18">
        <v>79.04</v>
      </c>
      <c r="F516" s="16" t="s">
        <v>286</v>
      </c>
      <c r="G516" s="21">
        <v>26.1687</v>
      </c>
      <c r="H516" s="21">
        <v>3.0204</v>
      </c>
      <c r="I516" s="17">
        <v>46059.0</v>
      </c>
      <c r="J516" s="18">
        <v>78.0</v>
      </c>
      <c r="K516" s="16">
        <v>2049.0</v>
      </c>
      <c r="L516" s="16" t="s">
        <v>2608</v>
      </c>
      <c r="M516" s="19">
        <v>1.32</v>
      </c>
      <c r="N516" s="16" t="s">
        <v>3222</v>
      </c>
      <c r="O516" s="16">
        <v>5696.0</v>
      </c>
      <c r="P516" s="19">
        <v>38.5285</v>
      </c>
      <c r="Q516" s="16" t="s">
        <v>2619</v>
      </c>
      <c r="R516" s="19">
        <v>0.6751</v>
      </c>
      <c r="S516" s="20">
        <v>1.3869185E7</v>
      </c>
      <c r="T516" s="20">
        <v>3.39999175658E11</v>
      </c>
      <c r="U516" s="21">
        <v>1.1664</v>
      </c>
      <c r="V516" s="21">
        <v>45.1173</v>
      </c>
      <c r="W516" s="21">
        <v>31.1024</v>
      </c>
      <c r="X516" s="21">
        <v>2.9315</v>
      </c>
      <c r="Y516" s="21">
        <v>1.5175</v>
      </c>
      <c r="Z516" s="21">
        <v>1.211</v>
      </c>
      <c r="AA516" s="16" t="s">
        <v>2611</v>
      </c>
      <c r="AB516" s="22">
        <f>IFERROR(__xludf.DUMMYFUNCTION("IFERROR(GOOGLEFINANCE(B516,""price""),"""")"),77.47)</f>
        <v>77.47</v>
      </c>
    </row>
    <row r="517">
      <c r="A517" s="7">
        <v>46059.625682076774</v>
      </c>
      <c r="B517" s="8" t="s">
        <v>1467</v>
      </c>
      <c r="C517" s="8" t="s">
        <v>1468</v>
      </c>
      <c r="D517" s="9">
        <v>46061.0</v>
      </c>
      <c r="E517" s="10">
        <v>136.96</v>
      </c>
      <c r="F517" s="8" t="s">
        <v>102</v>
      </c>
      <c r="G517" s="13">
        <v>25.7647</v>
      </c>
      <c r="H517" s="13">
        <v>5.3158</v>
      </c>
      <c r="I517" s="9">
        <v>46073.0</v>
      </c>
      <c r="J517" s="10">
        <v>135.0</v>
      </c>
      <c r="K517" s="8">
        <v>5188.0</v>
      </c>
      <c r="L517" s="8" t="s">
        <v>2608</v>
      </c>
      <c r="M517" s="11">
        <v>1.43</v>
      </c>
      <c r="N517" s="8" t="s">
        <v>3223</v>
      </c>
      <c r="O517" s="8">
        <v>5188.0</v>
      </c>
      <c r="P517" s="11">
        <v>30.1931</v>
      </c>
      <c r="Q517" s="8" t="s">
        <v>1469</v>
      </c>
      <c r="R517" s="11">
        <v>3.3504</v>
      </c>
      <c r="S517" s="12">
        <v>3705375.0</v>
      </c>
      <c r="T517" s="12">
        <v>8.3828584265E10</v>
      </c>
      <c r="U517" s="13">
        <v>3.5514</v>
      </c>
      <c r="V517" s="13">
        <v>13.146</v>
      </c>
      <c r="W517" s="13">
        <v>13.0805</v>
      </c>
      <c r="X517" s="13">
        <v>-6.3935</v>
      </c>
      <c r="Y517" s="13">
        <v>0.735</v>
      </c>
      <c r="Z517" s="13">
        <v>0.9638</v>
      </c>
      <c r="AA517" s="8" t="s">
        <v>2611</v>
      </c>
      <c r="AB517" s="14">
        <f>IFERROR(__xludf.DUMMYFUNCTION("IFERROR(GOOGLEFINANCE(B517,""price""),"""")"),142.53)</f>
        <v>142.53</v>
      </c>
    </row>
    <row r="518">
      <c r="A518" s="15">
        <v>46059.625682076774</v>
      </c>
      <c r="B518" s="16" t="s">
        <v>2646</v>
      </c>
      <c r="C518" s="16" t="s">
        <v>2647</v>
      </c>
      <c r="D518" s="17">
        <v>46061.0</v>
      </c>
      <c r="E518" s="18">
        <v>35.0</v>
      </c>
      <c r="F518" s="16" t="s">
        <v>270</v>
      </c>
      <c r="G518" s="21">
        <v>13.1802</v>
      </c>
      <c r="H518" s="21">
        <v>2.6555</v>
      </c>
      <c r="I518" s="17">
        <v>46059.0</v>
      </c>
      <c r="J518" s="18">
        <v>35.0</v>
      </c>
      <c r="K518" s="16">
        <v>2894.0</v>
      </c>
      <c r="L518" s="16" t="s">
        <v>2608</v>
      </c>
      <c r="M518" s="19">
        <v>0.0</v>
      </c>
      <c r="N518" s="16" t="s">
        <v>3224</v>
      </c>
      <c r="O518" s="16">
        <v>4938.0</v>
      </c>
      <c r="P518" s="19">
        <v>32.9771</v>
      </c>
      <c r="Q518" s="16" t="s">
        <v>2649</v>
      </c>
      <c r="R518" s="19">
        <v>-0.2281</v>
      </c>
      <c r="S518" s="20">
        <v>3701086.0</v>
      </c>
      <c r="T518" s="20">
        <v>7.5716240524E10</v>
      </c>
      <c r="U518" s="21">
        <v>0.6512</v>
      </c>
      <c r="V518" s="24"/>
      <c r="W518" s="21">
        <v>13.037</v>
      </c>
      <c r="X518" s="21">
        <v>-5.779</v>
      </c>
      <c r="Y518" s="24"/>
      <c r="Z518" s="24"/>
      <c r="AA518" s="16" t="s">
        <v>2611</v>
      </c>
      <c r="AB518" s="22">
        <f>IFERROR(__xludf.DUMMYFUNCTION("IFERROR(GOOGLEFINANCE(B518,""price""),"""")"),37.35)</f>
        <v>37.35</v>
      </c>
    </row>
    <row r="519">
      <c r="A519" s="7">
        <v>46059.625682076774</v>
      </c>
      <c r="B519" s="8" t="s">
        <v>2804</v>
      </c>
      <c r="C519" s="8" t="s">
        <v>2805</v>
      </c>
      <c r="D519" s="9">
        <v>46061.0</v>
      </c>
      <c r="E519" s="10">
        <v>122.09</v>
      </c>
      <c r="F519" s="8" t="s">
        <v>308</v>
      </c>
      <c r="G519" s="13">
        <v>66.393</v>
      </c>
      <c r="H519" s="13">
        <v>1.8389</v>
      </c>
      <c r="I519" s="9">
        <v>46059.0</v>
      </c>
      <c r="J519" s="10">
        <v>122.0</v>
      </c>
      <c r="K519" s="8">
        <v>2477.0</v>
      </c>
      <c r="L519" s="8" t="s">
        <v>2608</v>
      </c>
      <c r="M519" s="11">
        <v>0.07</v>
      </c>
      <c r="N519" s="8" t="s">
        <v>3225</v>
      </c>
      <c r="O519" s="8">
        <v>4885.0</v>
      </c>
      <c r="P519" s="11">
        <v>38.5111</v>
      </c>
      <c r="Q519" s="8" t="s">
        <v>2807</v>
      </c>
      <c r="R519" s="11">
        <v>8.2454</v>
      </c>
      <c r="S519" s="12">
        <v>9755959.0</v>
      </c>
      <c r="T519" s="12">
        <v>1.04675126172E11</v>
      </c>
      <c r="U519" s="13">
        <v>5.8641</v>
      </c>
      <c r="V519" s="13">
        <v>14.1911</v>
      </c>
      <c r="W519" s="13">
        <v>15.3497</v>
      </c>
      <c r="X519" s="13">
        <v>19.1416</v>
      </c>
      <c r="Y519" s="13">
        <v>0.7143</v>
      </c>
      <c r="Z519" s="13">
        <v>1.5878</v>
      </c>
      <c r="AA519" s="8" t="s">
        <v>2611</v>
      </c>
      <c r="AB519" s="14">
        <f>IFERROR(__xludf.DUMMYFUNCTION("IFERROR(GOOGLEFINANCE(B519,""price""),"""")"),171.24)</f>
        <v>171.24</v>
      </c>
    </row>
    <row r="520">
      <c r="A520" s="15">
        <v>46059.625682076774</v>
      </c>
      <c r="B520" s="16" t="s">
        <v>2654</v>
      </c>
      <c r="C520" s="16" t="s">
        <v>2655</v>
      </c>
      <c r="D520" s="17">
        <v>46061.0</v>
      </c>
      <c r="E520" s="18">
        <v>40.0</v>
      </c>
      <c r="F520" s="16" t="s">
        <v>917</v>
      </c>
      <c r="G520" s="21">
        <v>25.2557</v>
      </c>
      <c r="H520" s="21">
        <v>1.5838</v>
      </c>
      <c r="I520" s="17">
        <v>46073.0</v>
      </c>
      <c r="J520" s="18">
        <v>40.0</v>
      </c>
      <c r="K520" s="16">
        <v>4471.0</v>
      </c>
      <c r="L520" s="16" t="s">
        <v>2608</v>
      </c>
      <c r="M520" s="19">
        <v>0.0</v>
      </c>
      <c r="N520" s="16" t="s">
        <v>3226</v>
      </c>
      <c r="O520" s="16">
        <v>4471.0</v>
      </c>
      <c r="P520" s="19">
        <v>17.6005</v>
      </c>
      <c r="Q520" s="16" t="s">
        <v>2657</v>
      </c>
      <c r="R520" s="19">
        <v>-0.547</v>
      </c>
      <c r="S520" s="20">
        <v>3952668.0</v>
      </c>
      <c r="T520" s="20">
        <v>2.6114729796E10</v>
      </c>
      <c r="U520" s="21">
        <v>0.6525</v>
      </c>
      <c r="V520" s="21">
        <v>9.6059</v>
      </c>
      <c r="W520" s="21">
        <v>22.5038</v>
      </c>
      <c r="X520" s="21">
        <v>6.4347</v>
      </c>
      <c r="Y520" s="21">
        <v>2.0787</v>
      </c>
      <c r="Z520" s="21">
        <v>0.5135</v>
      </c>
      <c r="AA520" s="16" t="s">
        <v>2611</v>
      </c>
      <c r="AB520" s="22">
        <f>IFERROR(__xludf.DUMMYFUNCTION("IFERROR(GOOGLEFINANCE(B520,""price""),"""")"),43.39)</f>
        <v>43.39</v>
      </c>
    </row>
    <row r="521">
      <c r="A521" s="7">
        <v>46059.625682076774</v>
      </c>
      <c r="B521" s="8" t="s">
        <v>2676</v>
      </c>
      <c r="C521" s="8" t="s">
        <v>2677</v>
      </c>
      <c r="D521" s="9">
        <v>46061.0</v>
      </c>
      <c r="E521" s="10">
        <v>30.945</v>
      </c>
      <c r="F521" s="8" t="s">
        <v>93</v>
      </c>
      <c r="G521" s="13">
        <v>13.4702</v>
      </c>
      <c r="H521" s="13">
        <v>2.2973</v>
      </c>
      <c r="I521" s="9">
        <v>46073.0</v>
      </c>
      <c r="J521" s="10">
        <v>31.0</v>
      </c>
      <c r="K521" s="8">
        <v>2431.0</v>
      </c>
      <c r="L521" s="8" t="s">
        <v>2608</v>
      </c>
      <c r="M521" s="11">
        <v>0.18</v>
      </c>
      <c r="N521" s="8" t="s">
        <v>3227</v>
      </c>
      <c r="O521" s="8">
        <v>3940.0</v>
      </c>
      <c r="P521" s="11">
        <v>24.4849</v>
      </c>
      <c r="Q521" s="8" t="s">
        <v>2679</v>
      </c>
      <c r="R521" s="11">
        <v>1.459</v>
      </c>
      <c r="S521" s="12">
        <v>8675719.0</v>
      </c>
      <c r="T521" s="12">
        <v>2.7134944093E10</v>
      </c>
      <c r="U521" s="13">
        <v>0.6746</v>
      </c>
      <c r="V521" s="13">
        <v>11.6787</v>
      </c>
      <c r="W521" s="13">
        <v>28.7373</v>
      </c>
      <c r="X521" s="13">
        <v>2.137</v>
      </c>
      <c r="Y521" s="13">
        <v>0.2565</v>
      </c>
      <c r="Z521" s="13">
        <v>0.1084</v>
      </c>
      <c r="AA521" s="8" t="s">
        <v>2620</v>
      </c>
      <c r="AB521" s="14">
        <f>IFERROR(__xludf.DUMMYFUNCTION("IFERROR(GOOGLEFINANCE(B521,""price""),"""")"),27.5)</f>
        <v>27.5</v>
      </c>
    </row>
    <row r="522">
      <c r="A522" s="15">
        <v>46059.625682076774</v>
      </c>
      <c r="B522" s="16" t="s">
        <v>2684</v>
      </c>
      <c r="C522" s="16" t="s">
        <v>2685</v>
      </c>
      <c r="D522" s="17">
        <v>46061.0</v>
      </c>
      <c r="E522" s="18">
        <v>322.95</v>
      </c>
      <c r="F522" s="16" t="s">
        <v>102</v>
      </c>
      <c r="G522" s="21">
        <v>37.232</v>
      </c>
      <c r="H522" s="21">
        <v>8.674</v>
      </c>
      <c r="I522" s="17">
        <v>46059.0</v>
      </c>
      <c r="J522" s="18">
        <v>317.5</v>
      </c>
      <c r="K522" s="16">
        <v>1354.0</v>
      </c>
      <c r="L522" s="16" t="s">
        <v>2608</v>
      </c>
      <c r="M522" s="19">
        <v>1.69</v>
      </c>
      <c r="N522" s="16" t="s">
        <v>3228</v>
      </c>
      <c r="O522" s="16">
        <v>3935.0</v>
      </c>
      <c r="P522" s="19">
        <v>31.3573</v>
      </c>
      <c r="Q522" s="16" t="s">
        <v>2687</v>
      </c>
      <c r="R522" s="19">
        <v>6.237</v>
      </c>
      <c r="S522" s="20">
        <v>4924460.0</v>
      </c>
      <c r="T522" s="20">
        <v>2.56081049684E11</v>
      </c>
      <c r="U522" s="21">
        <v>15.1181</v>
      </c>
      <c r="V522" s="21">
        <v>35.5084</v>
      </c>
      <c r="W522" s="21">
        <v>29.8576</v>
      </c>
      <c r="X522" s="21">
        <v>4.4669</v>
      </c>
      <c r="Y522" s="21">
        <v>0.3453</v>
      </c>
      <c r="Z522" s="21">
        <v>2.6105</v>
      </c>
      <c r="AA522" s="16" t="s">
        <v>2611</v>
      </c>
      <c r="AB522" s="22">
        <f>IFERROR(__xludf.DUMMYFUNCTION("IFERROR(GOOGLEFINANCE(B522,""price""),"""")"),399.5)</f>
        <v>399.5</v>
      </c>
    </row>
    <row r="523">
      <c r="A523" s="7">
        <v>46059.625682076774</v>
      </c>
      <c r="B523" s="8" t="s">
        <v>2663</v>
      </c>
      <c r="C523" s="8" t="s">
        <v>2664</v>
      </c>
      <c r="D523" s="9">
        <v>46061.0</v>
      </c>
      <c r="E523" s="10">
        <v>114.84</v>
      </c>
      <c r="F523" s="8" t="s">
        <v>335</v>
      </c>
      <c r="G523" s="13">
        <v>17.852</v>
      </c>
      <c r="H523" s="13">
        <v>6.4329</v>
      </c>
      <c r="I523" s="9">
        <v>46059.0</v>
      </c>
      <c r="J523" s="10">
        <v>115.0</v>
      </c>
      <c r="K523" s="8">
        <v>3796.0</v>
      </c>
      <c r="L523" s="8" t="s">
        <v>2627</v>
      </c>
      <c r="M523" s="11">
        <v>0.14</v>
      </c>
      <c r="N523" s="8" t="s">
        <v>3229</v>
      </c>
      <c r="O523" s="8">
        <v>3796.0</v>
      </c>
      <c r="P523" s="11">
        <v>27.5599</v>
      </c>
      <c r="Q523" s="8" t="s">
        <v>2666</v>
      </c>
      <c r="R523" s="11">
        <v>5.8141</v>
      </c>
      <c r="S523" s="12">
        <v>7917621.0</v>
      </c>
      <c r="T523" s="12">
        <v>1.25320634558E11</v>
      </c>
      <c r="U523" s="13">
        <v>5.8714</v>
      </c>
      <c r="V523" s="13">
        <v>22.8383</v>
      </c>
      <c r="W523" s="13">
        <v>42.3718</v>
      </c>
      <c r="X523" s="13">
        <v>26.2476</v>
      </c>
      <c r="Y523" s="13">
        <v>0.1701</v>
      </c>
      <c r="Z523" s="13">
        <v>2.0393</v>
      </c>
      <c r="AA523" s="8" t="s">
        <v>2620</v>
      </c>
      <c r="AB523" s="14">
        <f>IFERROR(__xludf.DUMMYFUNCTION("IFERROR(GOOGLEFINANCE(B523,""price""),"""")"),120.9)</f>
        <v>120.9</v>
      </c>
    </row>
    <row r="524">
      <c r="A524" s="15">
        <v>46059.625682076774</v>
      </c>
      <c r="B524" s="16" t="s">
        <v>3022</v>
      </c>
      <c r="C524" s="16" t="s">
        <v>3023</v>
      </c>
      <c r="D524" s="17">
        <v>46061.0</v>
      </c>
      <c r="E524" s="18">
        <v>726.53</v>
      </c>
      <c r="F524" s="16" t="s">
        <v>102</v>
      </c>
      <c r="G524" s="21">
        <v>38.5939</v>
      </c>
      <c r="H524" s="21">
        <v>18.825</v>
      </c>
      <c r="I524" s="17">
        <v>46059.0</v>
      </c>
      <c r="J524" s="18">
        <v>715.0</v>
      </c>
      <c r="K524" s="16">
        <v>3785.0</v>
      </c>
      <c r="L524" s="16" t="s">
        <v>2608</v>
      </c>
      <c r="M524" s="19">
        <v>1.59</v>
      </c>
      <c r="N524" s="16" t="s">
        <v>3230</v>
      </c>
      <c r="O524" s="16">
        <v>3785.0</v>
      </c>
      <c r="P524" s="19">
        <v>25.5046</v>
      </c>
      <c r="Q524" s="16" t="s">
        <v>3025</v>
      </c>
      <c r="R524" s="19">
        <v>7.1088</v>
      </c>
      <c r="S524" s="20">
        <v>2610474.0</v>
      </c>
      <c r="T524" s="20">
        <v>3.40001205751E11</v>
      </c>
      <c r="U524" s="21">
        <v>24.1638</v>
      </c>
      <c r="V524" s="21">
        <v>43.5394</v>
      </c>
      <c r="W524" s="21">
        <v>16.6891</v>
      </c>
      <c r="X524" s="21">
        <v>4.2895</v>
      </c>
      <c r="Y524" s="21">
        <v>2.0326</v>
      </c>
      <c r="Z524" s="21">
        <v>1.4357</v>
      </c>
      <c r="AA524" s="16" t="s">
        <v>2611</v>
      </c>
      <c r="AB524" s="22">
        <f>IFERROR(__xludf.DUMMYFUNCTION("IFERROR(GOOGLEFINANCE(B524,""price""),"""")"),790.66)</f>
        <v>790.66</v>
      </c>
    </row>
    <row r="525">
      <c r="A525" s="7">
        <v>46059.625682076774</v>
      </c>
      <c r="B525" s="8" t="s">
        <v>2606</v>
      </c>
      <c r="C525" s="8" t="s">
        <v>2607</v>
      </c>
      <c r="D525" s="9">
        <v>46061.0</v>
      </c>
      <c r="E525" s="10">
        <v>55.155</v>
      </c>
      <c r="F525" s="8" t="s">
        <v>93</v>
      </c>
      <c r="G525" s="13">
        <v>15.6034</v>
      </c>
      <c r="H525" s="13">
        <v>3.5348</v>
      </c>
      <c r="I525" s="9">
        <v>46073.0</v>
      </c>
      <c r="J525" s="10">
        <v>55.0</v>
      </c>
      <c r="K525" s="8">
        <v>2678.0</v>
      </c>
      <c r="L525" s="8" t="s">
        <v>2608</v>
      </c>
      <c r="M525" s="11">
        <v>0.28</v>
      </c>
      <c r="N525" s="8" t="s">
        <v>3231</v>
      </c>
      <c r="O525" s="8">
        <v>3684.0</v>
      </c>
      <c r="P525" s="11">
        <v>41.0774</v>
      </c>
      <c r="Q525" s="8" t="s">
        <v>2610</v>
      </c>
      <c r="R525" s="11">
        <v>2.5376</v>
      </c>
      <c r="S525" s="12">
        <v>7920090.0</v>
      </c>
      <c r="T525" s="12">
        <v>5.0267754144E10</v>
      </c>
      <c r="U525" s="13">
        <v>1.4148</v>
      </c>
      <c r="V525" s="13">
        <v>12.1975</v>
      </c>
      <c r="W525" s="13">
        <v>23.4205</v>
      </c>
      <c r="X525" s="13">
        <v>2.2457</v>
      </c>
      <c r="Y525" s="13">
        <v>0.6682</v>
      </c>
      <c r="Z525" s="13">
        <v>0.2832</v>
      </c>
      <c r="AA525" s="8" t="s">
        <v>2611</v>
      </c>
      <c r="AB525" s="14">
        <f>IFERROR(__xludf.DUMMYFUNCTION("IFERROR(GOOGLEFINANCE(B525,""price""),"""")"),49.31)</f>
        <v>49.31</v>
      </c>
    </row>
    <row r="526">
      <c r="A526" s="15">
        <v>46059.625682076774</v>
      </c>
      <c r="B526" s="16" t="s">
        <v>3185</v>
      </c>
      <c r="C526" s="16" t="s">
        <v>3186</v>
      </c>
      <c r="D526" s="17">
        <v>46061.0</v>
      </c>
      <c r="E526" s="18">
        <v>64.655</v>
      </c>
      <c r="F526" s="16" t="s">
        <v>186</v>
      </c>
      <c r="G526" s="21">
        <v>60.7203</v>
      </c>
      <c r="H526" s="21">
        <v>1.0648</v>
      </c>
      <c r="I526" s="17">
        <v>46073.0</v>
      </c>
      <c r="J526" s="18">
        <v>65.0</v>
      </c>
      <c r="K526" s="16">
        <v>3578.0</v>
      </c>
      <c r="L526" s="16" t="s">
        <v>2608</v>
      </c>
      <c r="M526" s="19">
        <v>0.53</v>
      </c>
      <c r="N526" s="16" t="s">
        <v>3232</v>
      </c>
      <c r="O526" s="16">
        <v>3578.0</v>
      </c>
      <c r="P526" s="19">
        <v>19.4715</v>
      </c>
      <c r="Q526" s="16" t="s">
        <v>3188</v>
      </c>
      <c r="R526" s="19">
        <v>0.287</v>
      </c>
      <c r="S526" s="20">
        <v>1123677.0</v>
      </c>
      <c r="T526" s="20">
        <v>3.1333676607E10</v>
      </c>
      <c r="U526" s="21">
        <v>1.028</v>
      </c>
      <c r="V526" s="21">
        <v>36.2085</v>
      </c>
      <c r="W526" s="21">
        <v>19.5906</v>
      </c>
      <c r="X526" s="21">
        <v>11.1665</v>
      </c>
      <c r="Y526" s="21">
        <v>0.5953</v>
      </c>
      <c r="Z526" s="21">
        <v>0.7568</v>
      </c>
      <c r="AA526" s="16" t="s">
        <v>2620</v>
      </c>
      <c r="AB526" s="22">
        <f>IFERROR(__xludf.DUMMYFUNCTION("IFERROR(GOOGLEFINANCE(B526,""price""),"""")"),54.23)</f>
        <v>54.23</v>
      </c>
    </row>
    <row r="527">
      <c r="A527" s="7">
        <v>46059.625682076774</v>
      </c>
      <c r="B527" s="8" t="s">
        <v>1570</v>
      </c>
      <c r="C527" s="8" t="s">
        <v>1571</v>
      </c>
      <c r="D527" s="9">
        <v>46061.0</v>
      </c>
      <c r="E527" s="10">
        <v>46.56</v>
      </c>
      <c r="F527" s="8" t="s">
        <v>917</v>
      </c>
      <c r="G527" s="13">
        <v>20.225</v>
      </c>
      <c r="H527" s="13">
        <v>2.3021</v>
      </c>
      <c r="I527" s="9">
        <v>46073.0</v>
      </c>
      <c r="J527" s="10">
        <v>46.0</v>
      </c>
      <c r="K527" s="8">
        <v>2255.0</v>
      </c>
      <c r="L527" s="8" t="s">
        <v>2608</v>
      </c>
      <c r="M527" s="11">
        <v>1.2</v>
      </c>
      <c r="N527" s="8" t="s">
        <v>3233</v>
      </c>
      <c r="O527" s="8">
        <v>3255.0</v>
      </c>
      <c r="P527" s="11">
        <v>27.0321</v>
      </c>
      <c r="Q527" s="8" t="s">
        <v>1572</v>
      </c>
      <c r="R527" s="11">
        <v>-0.9151</v>
      </c>
      <c r="S527" s="12">
        <v>2196213.0</v>
      </c>
      <c r="T527" s="12">
        <v>2.6896110756E10</v>
      </c>
      <c r="U527" s="13">
        <v>0.8011</v>
      </c>
      <c r="V527" s="13">
        <v>10.5451</v>
      </c>
      <c r="W527" s="13">
        <v>19.6489</v>
      </c>
      <c r="X527" s="13">
        <v>7.6402</v>
      </c>
      <c r="Y527" s="13">
        <v>2.1464</v>
      </c>
      <c r="Z527" s="13">
        <v>0.7474</v>
      </c>
      <c r="AA527" s="8" t="s">
        <v>2611</v>
      </c>
      <c r="AB527" s="14">
        <f>IFERROR(__xludf.DUMMYFUNCTION("IFERROR(GOOGLEFINANCE(B527,""price""),"""")"),51.43)</f>
        <v>51.43</v>
      </c>
    </row>
    <row r="528">
      <c r="A528" s="15">
        <v>46059.625682076774</v>
      </c>
      <c r="B528" s="16" t="s">
        <v>2521</v>
      </c>
      <c r="C528" s="16" t="s">
        <v>2522</v>
      </c>
      <c r="D528" s="17">
        <v>46061.0</v>
      </c>
      <c r="E528" s="18">
        <v>320.715</v>
      </c>
      <c r="F528" s="16" t="s">
        <v>308</v>
      </c>
      <c r="G528" s="21">
        <v>70.1891</v>
      </c>
      <c r="H528" s="21">
        <v>4.5693</v>
      </c>
      <c r="I528" s="17">
        <v>46059.0</v>
      </c>
      <c r="J528" s="18">
        <v>325.0</v>
      </c>
      <c r="K528" s="16">
        <v>1826.0</v>
      </c>
      <c r="L528" s="16" t="s">
        <v>2608</v>
      </c>
      <c r="M528" s="19">
        <v>1.34</v>
      </c>
      <c r="N528" s="16" t="s">
        <v>3234</v>
      </c>
      <c r="O528" s="16">
        <v>2972.0</v>
      </c>
      <c r="P528" s="19">
        <v>38.5883</v>
      </c>
      <c r="Q528" s="16" t="s">
        <v>2523</v>
      </c>
      <c r="R528" s="19">
        <v>-0.4362</v>
      </c>
      <c r="S528" s="20">
        <v>4240537.0</v>
      </c>
      <c r="T528" s="20">
        <v>1.56710519418E11</v>
      </c>
      <c r="U528" s="21">
        <v>9.3719</v>
      </c>
      <c r="V528" s="21">
        <v>6.5728</v>
      </c>
      <c r="W528" s="21">
        <v>27.2724</v>
      </c>
      <c r="X528" s="21">
        <v>16.8932</v>
      </c>
      <c r="Y528" s="21">
        <v>0.2646</v>
      </c>
      <c r="Z528" s="21">
        <v>2.1899</v>
      </c>
      <c r="AA528" s="16" t="s">
        <v>2620</v>
      </c>
      <c r="AB528" s="22">
        <f>IFERROR(__xludf.DUMMYFUNCTION("IFERROR(GOOGLEFINANCE(B528,""price""),"""")"),350.14)</f>
        <v>350.14</v>
      </c>
    </row>
    <row r="529">
      <c r="A529" s="7">
        <v>46059.625682076774</v>
      </c>
      <c r="B529" s="8" t="s">
        <v>1288</v>
      </c>
      <c r="C529" s="8" t="s">
        <v>1289</v>
      </c>
      <c r="D529" s="9">
        <v>46061.0</v>
      </c>
      <c r="E529" s="10">
        <v>39.775</v>
      </c>
      <c r="F529" s="8" t="s">
        <v>93</v>
      </c>
      <c r="G529" s="13">
        <v>13.2495</v>
      </c>
      <c r="H529" s="13">
        <v>3.002</v>
      </c>
      <c r="I529" s="9">
        <v>46073.0</v>
      </c>
      <c r="J529" s="10">
        <v>40.0</v>
      </c>
      <c r="K529" s="8">
        <v>2901.0</v>
      </c>
      <c r="L529" s="8" t="s">
        <v>2608</v>
      </c>
      <c r="M529" s="11">
        <v>0.57</v>
      </c>
      <c r="N529" s="8" t="s">
        <v>3235</v>
      </c>
      <c r="O529" s="8">
        <v>2901.0</v>
      </c>
      <c r="P529" s="11">
        <v>21.6462</v>
      </c>
      <c r="Q529" s="8" t="s">
        <v>1290</v>
      </c>
      <c r="R529" s="11">
        <v>-6.1025</v>
      </c>
      <c r="S529" s="12">
        <v>1066070.0</v>
      </c>
      <c r="T529" s="12">
        <v>3.619256552E9</v>
      </c>
      <c r="U529" s="13">
        <v>1.4946</v>
      </c>
      <c r="V529" s="23"/>
      <c r="W529" s="23"/>
      <c r="X529" s="23"/>
      <c r="Y529" s="23"/>
      <c r="Z529" s="23"/>
      <c r="AA529" s="8" t="s">
        <v>2620</v>
      </c>
      <c r="AB529" s="14">
        <f>IFERROR(__xludf.DUMMYFUNCTION("IFERROR(GOOGLEFINANCE(B529,""price""),"""")"),38.03)</f>
        <v>38.03</v>
      </c>
    </row>
    <row r="530">
      <c r="A530" s="15">
        <v>46059.625682076774</v>
      </c>
      <c r="B530" s="16" t="s">
        <v>2139</v>
      </c>
      <c r="C530" s="16" t="s">
        <v>2140</v>
      </c>
      <c r="D530" s="17">
        <v>46061.0</v>
      </c>
      <c r="E530" s="18">
        <v>59.32</v>
      </c>
      <c r="F530" s="16" t="s">
        <v>270</v>
      </c>
      <c r="G530" s="21">
        <v>22.7716</v>
      </c>
      <c r="H530" s="21">
        <v>2.605</v>
      </c>
      <c r="I530" s="17">
        <v>46073.0</v>
      </c>
      <c r="J530" s="18">
        <v>60.0</v>
      </c>
      <c r="K530" s="16">
        <v>2873.0</v>
      </c>
      <c r="L530" s="16" t="s">
        <v>2608</v>
      </c>
      <c r="M530" s="19">
        <v>1.15</v>
      </c>
      <c r="N530" s="16" t="s">
        <v>3236</v>
      </c>
      <c r="O530" s="16">
        <v>2873.0</v>
      </c>
      <c r="P530" s="19">
        <v>40.303</v>
      </c>
      <c r="Q530" s="16" t="s">
        <v>2141</v>
      </c>
      <c r="R530" s="19">
        <v>3.417</v>
      </c>
      <c r="S530" s="20">
        <v>6467937.0</v>
      </c>
      <c r="T530" s="20">
        <v>5.8535426279E10</v>
      </c>
      <c r="U530" s="21">
        <v>1.7226</v>
      </c>
      <c r="V530" s="21">
        <v>14.4868</v>
      </c>
      <c r="W530" s="21">
        <v>12.8259</v>
      </c>
      <c r="X530" s="21">
        <v>-0.345</v>
      </c>
      <c r="Y530" s="21">
        <v>0.3558</v>
      </c>
      <c r="Z530" s="21">
        <v>1.3568</v>
      </c>
      <c r="AA530" s="16" t="s">
        <v>2620</v>
      </c>
      <c r="AB530" s="22">
        <f>IFERROR(__xludf.DUMMYFUNCTION("IFERROR(GOOGLEFINANCE(B530,""price""),"""")"),62.83)</f>
        <v>62.83</v>
      </c>
    </row>
    <row r="531">
      <c r="A531" s="7">
        <v>46059.625682076774</v>
      </c>
      <c r="B531" s="8" t="s">
        <v>3237</v>
      </c>
      <c r="C531" s="8" t="s">
        <v>3238</v>
      </c>
      <c r="D531" s="9">
        <v>46061.0</v>
      </c>
      <c r="E531" s="10">
        <v>326.6879</v>
      </c>
      <c r="F531" s="8" t="s">
        <v>149</v>
      </c>
      <c r="G531" s="13">
        <v>27.862</v>
      </c>
      <c r="H531" s="13">
        <v>11.7252</v>
      </c>
      <c r="I531" s="9">
        <v>46059.0</v>
      </c>
      <c r="J531" s="10">
        <v>327.5</v>
      </c>
      <c r="K531" s="8">
        <v>1627.0</v>
      </c>
      <c r="L531" s="8" t="s">
        <v>2608</v>
      </c>
      <c r="M531" s="11">
        <v>0.25</v>
      </c>
      <c r="N531" s="8" t="s">
        <v>3239</v>
      </c>
      <c r="O531" s="8">
        <v>2847.0</v>
      </c>
      <c r="P531" s="11">
        <v>25.12</v>
      </c>
      <c r="Q531" s="8" t="s">
        <v>3240</v>
      </c>
      <c r="R531" s="11">
        <v>0.9917</v>
      </c>
      <c r="S531" s="12">
        <v>1851236.0</v>
      </c>
      <c r="T531" s="12">
        <v>2.32652219563E11</v>
      </c>
      <c r="U531" s="13">
        <v>4.8724</v>
      </c>
      <c r="V531" s="23"/>
      <c r="W531" s="13">
        <v>46.1468</v>
      </c>
      <c r="X531" s="13">
        <v>1.2561</v>
      </c>
      <c r="Y531" s="23"/>
      <c r="Z531" s="13">
        <v>1.0</v>
      </c>
      <c r="AA531" s="8" t="s">
        <v>2620</v>
      </c>
      <c r="AB531" s="14">
        <f>IFERROR(__xludf.DUMMYFUNCTION("IFERROR(GOOGLEFINANCE(B531,""price""),"""")"),305.68)</f>
        <v>305.68</v>
      </c>
    </row>
    <row r="532">
      <c r="A532" s="15">
        <v>46059.625682076774</v>
      </c>
      <c r="B532" s="16" t="s">
        <v>3039</v>
      </c>
      <c r="C532" s="16" t="s">
        <v>3040</v>
      </c>
      <c r="D532" s="17">
        <v>46061.0</v>
      </c>
      <c r="E532" s="18">
        <v>299.945</v>
      </c>
      <c r="F532" s="16" t="s">
        <v>308</v>
      </c>
      <c r="G532" s="21">
        <v>86.1564</v>
      </c>
      <c r="H532" s="21">
        <v>3.4814</v>
      </c>
      <c r="I532" s="17">
        <v>46059.0</v>
      </c>
      <c r="J532" s="18">
        <v>295.0</v>
      </c>
      <c r="K532" s="16">
        <v>1522.0</v>
      </c>
      <c r="L532" s="16" t="s">
        <v>2608</v>
      </c>
      <c r="M532" s="19">
        <v>1.65</v>
      </c>
      <c r="N532" s="16" t="s">
        <v>3241</v>
      </c>
      <c r="O532" s="16">
        <v>2674.0</v>
      </c>
      <c r="P532" s="19">
        <v>49.6829</v>
      </c>
      <c r="Q532" s="16" t="s">
        <v>3042</v>
      </c>
      <c r="R532" s="19">
        <v>10.6277</v>
      </c>
      <c r="S532" s="20">
        <v>3382153.0</v>
      </c>
      <c r="T532" s="20">
        <v>4.6973874877E10</v>
      </c>
      <c r="U532" s="21">
        <v>14.8749</v>
      </c>
      <c r="V532" s="21">
        <v>19.7343</v>
      </c>
      <c r="W532" s="21">
        <v>21.7539</v>
      </c>
      <c r="X532" s="21">
        <v>13.314</v>
      </c>
      <c r="Y532" s="21">
        <v>0.1013</v>
      </c>
      <c r="Z532" s="21">
        <v>1.757</v>
      </c>
      <c r="AA532" s="16" t="s">
        <v>2611</v>
      </c>
      <c r="AB532" s="22">
        <f>IFERROR(__xludf.DUMMYFUNCTION("IFERROR(GOOGLEFINANCE(B532,""price""),"""")"),367.99)</f>
        <v>367.99</v>
      </c>
    </row>
    <row r="533">
      <c r="A533" s="7">
        <v>46059.625682076774</v>
      </c>
      <c r="B533" s="8" t="s">
        <v>3242</v>
      </c>
      <c r="C533" s="8" t="s">
        <v>3243</v>
      </c>
      <c r="D533" s="9">
        <v>46061.0</v>
      </c>
      <c r="E533" s="10">
        <v>107.095</v>
      </c>
      <c r="F533" s="8" t="s">
        <v>917</v>
      </c>
      <c r="G533" s="13">
        <v>18.7092</v>
      </c>
      <c r="H533" s="13">
        <v>5.7242</v>
      </c>
      <c r="I533" s="9">
        <v>46073.0</v>
      </c>
      <c r="J533" s="10">
        <v>105.0</v>
      </c>
      <c r="K533" s="8">
        <v>2642.0</v>
      </c>
      <c r="L533" s="8" t="s">
        <v>2608</v>
      </c>
      <c r="M533" s="11">
        <v>1.96</v>
      </c>
      <c r="N533" s="8" t="s">
        <v>3244</v>
      </c>
      <c r="O533" s="8">
        <v>2642.0</v>
      </c>
      <c r="P533" s="11">
        <v>25.312</v>
      </c>
      <c r="Q533" s="8" t="s">
        <v>3245</v>
      </c>
      <c r="R533" s="11">
        <v>-1.6304</v>
      </c>
      <c r="S533" s="12">
        <v>1727640.0</v>
      </c>
      <c r="T533" s="12">
        <v>3.8654399905E10</v>
      </c>
      <c r="U533" s="13">
        <v>2.0591</v>
      </c>
      <c r="V533" s="13">
        <v>8.8351</v>
      </c>
      <c r="W533" s="13">
        <v>17.8218</v>
      </c>
      <c r="X533" s="13">
        <v>10.3485</v>
      </c>
      <c r="Y533" s="13">
        <v>1.1037</v>
      </c>
      <c r="Z533" s="13">
        <v>1.075</v>
      </c>
      <c r="AA533" s="8" t="s">
        <v>2611</v>
      </c>
      <c r="AB533" s="14">
        <f>IFERROR(__xludf.DUMMYFUNCTION("IFERROR(GOOGLEFINANCE(B533,""price""),"""")"),113.56)</f>
        <v>113.56</v>
      </c>
    </row>
    <row r="534">
      <c r="A534" s="15">
        <v>46059.625682076774</v>
      </c>
      <c r="B534" s="16" t="s">
        <v>2528</v>
      </c>
      <c r="C534" s="16" t="s">
        <v>2529</v>
      </c>
      <c r="D534" s="17">
        <v>46061.0</v>
      </c>
      <c r="E534" s="18">
        <v>65.46</v>
      </c>
      <c r="F534" s="16" t="s">
        <v>93</v>
      </c>
      <c r="G534" s="21">
        <v>10.8975</v>
      </c>
      <c r="H534" s="21">
        <v>6.0069</v>
      </c>
      <c r="I534" s="17">
        <v>46073.0</v>
      </c>
      <c r="J534" s="18">
        <v>65.0</v>
      </c>
      <c r="K534" s="16">
        <v>1438.0</v>
      </c>
      <c r="L534" s="16" t="s">
        <v>2608</v>
      </c>
      <c r="M534" s="19">
        <v>0.7</v>
      </c>
      <c r="N534" s="16" t="s">
        <v>3246</v>
      </c>
      <c r="O534" s="16">
        <v>2461.0</v>
      </c>
      <c r="P534" s="19">
        <v>25.033</v>
      </c>
      <c r="Q534" s="16" t="s">
        <v>2530</v>
      </c>
      <c r="R534" s="19">
        <v>2.0898</v>
      </c>
      <c r="S534" s="20">
        <v>1605442.0</v>
      </c>
      <c r="T534" s="20">
        <v>9.664582695E9</v>
      </c>
      <c r="U534" s="21">
        <v>1.5358</v>
      </c>
      <c r="V534" s="21">
        <v>13.3945</v>
      </c>
      <c r="W534" s="21">
        <v>23.7662</v>
      </c>
      <c r="X534" s="21">
        <v>-1.0012</v>
      </c>
      <c r="Y534" s="21">
        <v>0.6373</v>
      </c>
      <c r="Z534" s="21">
        <v>0.1512</v>
      </c>
      <c r="AA534" s="16" t="s">
        <v>2611</v>
      </c>
      <c r="AB534" s="22">
        <f>IFERROR(__xludf.DUMMYFUNCTION("IFERROR(GOOGLEFINANCE(B534,""price""),"""")"),61.05)</f>
        <v>61.05</v>
      </c>
    </row>
    <row r="535">
      <c r="A535" s="7">
        <v>46059.625682076774</v>
      </c>
      <c r="B535" s="8" t="s">
        <v>3049</v>
      </c>
      <c r="C535" s="8" t="s">
        <v>3050</v>
      </c>
      <c r="D535" s="9">
        <v>46061.0</v>
      </c>
      <c r="E535" s="10">
        <v>74.115</v>
      </c>
      <c r="F535" s="8" t="s">
        <v>93</v>
      </c>
      <c r="G535" s="13">
        <v>33.5195</v>
      </c>
      <c r="H535" s="13">
        <v>2.2111</v>
      </c>
      <c r="I535" s="9">
        <v>46059.0</v>
      </c>
      <c r="J535" s="10">
        <v>75.0</v>
      </c>
      <c r="K535" s="8">
        <v>1322.0</v>
      </c>
      <c r="L535" s="8" t="s">
        <v>2608</v>
      </c>
      <c r="M535" s="11">
        <v>1.19</v>
      </c>
      <c r="N535" s="8" t="s">
        <v>3247</v>
      </c>
      <c r="O535" s="8">
        <v>2388.0</v>
      </c>
      <c r="P535" s="11">
        <v>26.6682</v>
      </c>
      <c r="Q535" s="8" t="s">
        <v>3052</v>
      </c>
      <c r="R535" s="11">
        <v>6.6556</v>
      </c>
      <c r="S535" s="12">
        <v>3664109.0</v>
      </c>
      <c r="T535" s="12">
        <v>1.25704126512E11</v>
      </c>
      <c r="U535" s="13">
        <v>2.9134</v>
      </c>
      <c r="V535" s="13">
        <v>20.4086</v>
      </c>
      <c r="W535" s="13">
        <v>86.2403</v>
      </c>
      <c r="X535" s="13">
        <v>11.0531</v>
      </c>
      <c r="Y535" s="13">
        <v>4.6187</v>
      </c>
      <c r="Z535" s="13">
        <v>1.2729</v>
      </c>
      <c r="AA535" s="8" t="s">
        <v>2620</v>
      </c>
      <c r="AB535" s="14">
        <f>IFERROR(__xludf.DUMMYFUNCTION("IFERROR(GOOGLEFINANCE(B535,""price""),"""")"),71.21)</f>
        <v>71.21</v>
      </c>
    </row>
    <row r="536">
      <c r="A536" s="15">
        <v>46059.625682076774</v>
      </c>
      <c r="B536" s="16" t="s">
        <v>3248</v>
      </c>
      <c r="C536" s="16" t="s">
        <v>3249</v>
      </c>
      <c r="D536" s="17">
        <v>46061.0</v>
      </c>
      <c r="E536" s="18">
        <v>124.03</v>
      </c>
      <c r="F536" s="16" t="s">
        <v>93</v>
      </c>
      <c r="G536" s="21">
        <v>16.7384</v>
      </c>
      <c r="H536" s="21">
        <v>7.4099</v>
      </c>
      <c r="I536" s="17">
        <v>46073.0</v>
      </c>
      <c r="J536" s="18">
        <v>125.0</v>
      </c>
      <c r="K536" s="16">
        <v>1977.0</v>
      </c>
      <c r="L536" s="16" t="s">
        <v>2608</v>
      </c>
      <c r="M536" s="19">
        <v>0.78</v>
      </c>
      <c r="N536" s="16" t="s">
        <v>3250</v>
      </c>
      <c r="O536" s="16">
        <v>1977.0</v>
      </c>
      <c r="P536" s="19">
        <v>17.7292</v>
      </c>
      <c r="Q536" s="16" t="s">
        <v>3251</v>
      </c>
      <c r="R536" s="19">
        <v>2.9209</v>
      </c>
      <c r="S536" s="20">
        <v>2543331.0</v>
      </c>
      <c r="T536" s="20">
        <v>8.536191544E10</v>
      </c>
      <c r="U536" s="21">
        <v>2.4383</v>
      </c>
      <c r="V536" s="21">
        <v>12.9603</v>
      </c>
      <c r="W536" s="21">
        <v>16.9054</v>
      </c>
      <c r="X536" s="21">
        <v>2.081</v>
      </c>
      <c r="Y536" s="21">
        <v>1.2026</v>
      </c>
      <c r="Z536" s="21">
        <v>3.9207</v>
      </c>
      <c r="AA536" s="16" t="s">
        <v>2620</v>
      </c>
      <c r="AB536" s="22">
        <f>IFERROR(__xludf.DUMMYFUNCTION("IFERROR(GOOGLEFINANCE(B536,""price""),"""")"),127.56)</f>
        <v>127.56</v>
      </c>
    </row>
    <row r="537">
      <c r="A537" s="7">
        <v>46059.625682076774</v>
      </c>
      <c r="B537" s="8" t="s">
        <v>3080</v>
      </c>
      <c r="C537" s="8" t="s">
        <v>3081</v>
      </c>
      <c r="D537" s="9">
        <v>46061.0</v>
      </c>
      <c r="E537" s="10">
        <v>94.275</v>
      </c>
      <c r="F537" s="8" t="s">
        <v>93</v>
      </c>
      <c r="G537" s="13">
        <v>15.0539</v>
      </c>
      <c r="H537" s="13">
        <v>6.2625</v>
      </c>
      <c r="I537" s="9">
        <v>46059.0</v>
      </c>
      <c r="J537" s="10">
        <v>96.0</v>
      </c>
      <c r="K537" s="8">
        <v>1956.0</v>
      </c>
      <c r="L537" s="8" t="s">
        <v>2608</v>
      </c>
      <c r="M537" s="11">
        <v>1.83</v>
      </c>
      <c r="N537" s="8" t="s">
        <v>3252</v>
      </c>
      <c r="O537" s="8">
        <v>1956.0</v>
      </c>
      <c r="P537" s="11">
        <v>21.3071</v>
      </c>
      <c r="Q537" s="8" t="s">
        <v>3083</v>
      </c>
      <c r="R537" s="11">
        <v>2.4617</v>
      </c>
      <c r="S537" s="12">
        <v>9355360.0</v>
      </c>
      <c r="T537" s="12">
        <v>2.91554880976E11</v>
      </c>
      <c r="U537" s="13">
        <v>2.14</v>
      </c>
      <c r="V537" s="13">
        <v>11.8466</v>
      </c>
      <c r="W537" s="13">
        <v>20.6965</v>
      </c>
      <c r="X537" s="13">
        <v>-1.9497</v>
      </c>
      <c r="Y537" s="13">
        <v>2.3505</v>
      </c>
      <c r="Z537" s="13">
        <v>0.9006</v>
      </c>
      <c r="AA537" s="8" t="s">
        <v>2620</v>
      </c>
      <c r="AB537" s="14">
        <f>IFERROR(__xludf.DUMMYFUNCTION("IFERROR(GOOGLEFINANCE(B537,""price""),"""")"),85.4)</f>
        <v>85.4</v>
      </c>
    </row>
    <row r="538">
      <c r="A538" s="15">
        <v>46059.625682076774</v>
      </c>
      <c r="B538" s="16" t="s">
        <v>3193</v>
      </c>
      <c r="C538" s="16" t="s">
        <v>3194</v>
      </c>
      <c r="D538" s="17">
        <v>46061.0</v>
      </c>
      <c r="E538" s="18">
        <v>414.81</v>
      </c>
      <c r="F538" s="16" t="s">
        <v>102</v>
      </c>
      <c r="G538" s="21">
        <v>47.4139</v>
      </c>
      <c r="H538" s="21">
        <v>8.7487</v>
      </c>
      <c r="I538" s="17">
        <v>46073.0</v>
      </c>
      <c r="J538" s="18">
        <v>410.0</v>
      </c>
      <c r="K538" s="16">
        <v>1883.0</v>
      </c>
      <c r="L538" s="16" t="s">
        <v>2608</v>
      </c>
      <c r="M538" s="19">
        <v>1.16</v>
      </c>
      <c r="N538" s="16" t="s">
        <v>3253</v>
      </c>
      <c r="O538" s="16">
        <v>1883.0</v>
      </c>
      <c r="P538" s="19">
        <v>15.1578</v>
      </c>
      <c r="Q538" s="16" t="s">
        <v>3196</v>
      </c>
      <c r="R538" s="19">
        <v>1.9941</v>
      </c>
      <c r="S538" s="20">
        <v>1447795.0</v>
      </c>
      <c r="T538" s="20">
        <v>4.6638412691E10</v>
      </c>
      <c r="U538" s="21">
        <v>12.8705</v>
      </c>
      <c r="V538" s="21">
        <v>27.738</v>
      </c>
      <c r="W538" s="21">
        <v>18.1532</v>
      </c>
      <c r="X538" s="21">
        <v>5.8406</v>
      </c>
      <c r="Y538" s="21">
        <v>1.0072</v>
      </c>
      <c r="Z538" s="21">
        <v>2.218</v>
      </c>
      <c r="AA538" s="16" t="s">
        <v>2611</v>
      </c>
      <c r="AB538" s="22">
        <f>IFERROR(__xludf.DUMMYFUNCTION("IFERROR(GOOGLEFINANCE(B538,""price""),"""")"),396.0)</f>
        <v>396</v>
      </c>
    </row>
    <row r="539">
      <c r="A539" s="7">
        <v>46059.625682076774</v>
      </c>
      <c r="B539" s="8" t="s">
        <v>2722</v>
      </c>
      <c r="C539" s="8" t="s">
        <v>2723</v>
      </c>
      <c r="D539" s="9">
        <v>46061.0</v>
      </c>
      <c r="E539" s="10">
        <v>86.05</v>
      </c>
      <c r="F539" s="8" t="s">
        <v>308</v>
      </c>
      <c r="G539" s="13">
        <v>436.5804</v>
      </c>
      <c r="H539" s="13">
        <v>0.1971</v>
      </c>
      <c r="I539" s="9">
        <v>46073.0</v>
      </c>
      <c r="J539" s="10">
        <v>85.0</v>
      </c>
      <c r="K539" s="8">
        <v>1733.0</v>
      </c>
      <c r="L539" s="8" t="s">
        <v>2608</v>
      </c>
      <c r="M539" s="11">
        <v>1.22</v>
      </c>
      <c r="N539" s="8" t="s">
        <v>3254</v>
      </c>
      <c r="O539" s="8">
        <v>1733.0</v>
      </c>
      <c r="P539" s="11">
        <v>25.7471</v>
      </c>
      <c r="Q539" s="8" t="s">
        <v>2725</v>
      </c>
      <c r="R539" s="11">
        <v>5.7255</v>
      </c>
      <c r="S539" s="12">
        <v>1057002.0</v>
      </c>
      <c r="T539" s="12">
        <v>1.1770468962E10</v>
      </c>
      <c r="U539" s="13">
        <v>4.0685</v>
      </c>
      <c r="V539" s="13">
        <v>3.8644</v>
      </c>
      <c r="W539" s="13">
        <v>3.2155</v>
      </c>
      <c r="X539" s="13">
        <v>-12.0319</v>
      </c>
      <c r="Y539" s="13">
        <v>0.0289</v>
      </c>
      <c r="Z539" s="13">
        <v>3.2353</v>
      </c>
      <c r="AA539" s="8" t="s">
        <v>2611</v>
      </c>
      <c r="AB539" s="14">
        <f>IFERROR(__xludf.DUMMYFUNCTION("IFERROR(GOOGLEFINANCE(B539,""price""),"""")"),106.1)</f>
        <v>106.1</v>
      </c>
    </row>
    <row r="540">
      <c r="A540" s="15">
        <v>46059.625682076774</v>
      </c>
      <c r="B540" s="16" t="s">
        <v>2973</v>
      </c>
      <c r="C540" s="16" t="s">
        <v>2974</v>
      </c>
      <c r="D540" s="17">
        <v>46061.0</v>
      </c>
      <c r="E540" s="18">
        <v>55.82</v>
      </c>
      <c r="F540" s="16" t="s">
        <v>93</v>
      </c>
      <c r="G540" s="21">
        <v>14.6225</v>
      </c>
      <c r="H540" s="21">
        <v>3.8174</v>
      </c>
      <c r="I540" s="17">
        <v>46073.0</v>
      </c>
      <c r="J540" s="18">
        <v>55.0</v>
      </c>
      <c r="K540" s="16">
        <v>1709.0</v>
      </c>
      <c r="L540" s="16" t="s">
        <v>2608</v>
      </c>
      <c r="M540" s="19">
        <v>1.47</v>
      </c>
      <c r="N540" s="16" t="s">
        <v>3255</v>
      </c>
      <c r="O540" s="16">
        <v>1709.0</v>
      </c>
      <c r="P540" s="19">
        <v>26.3088</v>
      </c>
      <c r="Q540" s="16" t="s">
        <v>2976</v>
      </c>
      <c r="R540" s="19">
        <v>1.2332</v>
      </c>
      <c r="S540" s="20">
        <v>5127866.0</v>
      </c>
      <c r="T540" s="20">
        <v>7.1407522977E10</v>
      </c>
      <c r="U540" s="21">
        <v>1.1109</v>
      </c>
      <c r="V540" s="21">
        <v>8.2363</v>
      </c>
      <c r="W540" s="21">
        <v>21.1616</v>
      </c>
      <c r="X540" s="21">
        <v>24.2886</v>
      </c>
      <c r="Y540" s="21">
        <v>1.0708</v>
      </c>
      <c r="Z540" s="21">
        <v>0.3413</v>
      </c>
      <c r="AA540" s="16" t="s">
        <v>2611</v>
      </c>
      <c r="AB540" s="22">
        <f>IFERROR(__xludf.DUMMYFUNCTION("IFERROR(GOOGLEFINANCE(B540,""price""),"""")"),49.6)</f>
        <v>49.6</v>
      </c>
    </row>
    <row r="541">
      <c r="A541" s="7">
        <v>46059.625682076774</v>
      </c>
      <c r="B541" s="8" t="s">
        <v>3134</v>
      </c>
      <c r="C541" s="8" t="s">
        <v>3135</v>
      </c>
      <c r="D541" s="9">
        <v>46061.0</v>
      </c>
      <c r="E541" s="10">
        <v>142.405</v>
      </c>
      <c r="F541" s="8" t="s">
        <v>93</v>
      </c>
      <c r="G541" s="13">
        <v>10.6725</v>
      </c>
      <c r="H541" s="13">
        <v>13.3432</v>
      </c>
      <c r="I541" s="9">
        <v>46073.0</v>
      </c>
      <c r="J541" s="10">
        <v>140.0</v>
      </c>
      <c r="K541" s="8">
        <v>1593.0</v>
      </c>
      <c r="L541" s="8" t="s">
        <v>2608</v>
      </c>
      <c r="M541" s="11">
        <v>1.69</v>
      </c>
      <c r="N541" s="8" t="s">
        <v>3256</v>
      </c>
      <c r="O541" s="8">
        <v>1593.0</v>
      </c>
      <c r="P541" s="11">
        <v>29.7318</v>
      </c>
      <c r="Q541" s="8" t="s">
        <v>3137</v>
      </c>
      <c r="R541" s="11">
        <v>0.0738</v>
      </c>
      <c r="S541" s="12">
        <v>1042662.0</v>
      </c>
      <c r="T541" s="12">
        <v>3.9681192345E10</v>
      </c>
      <c r="U541" s="13">
        <v>2.4731</v>
      </c>
      <c r="V541" s="13">
        <v>21.6564</v>
      </c>
      <c r="W541" s="13">
        <v>17.4023</v>
      </c>
      <c r="X541" s="13">
        <v>6.8061</v>
      </c>
      <c r="Y541" s="13">
        <v>0.2303</v>
      </c>
      <c r="Z541" s="13">
        <v>0.2897</v>
      </c>
      <c r="AA541" s="8" t="s">
        <v>2611</v>
      </c>
      <c r="AB541" s="14">
        <f>IFERROR(__xludf.DUMMYFUNCTION("IFERROR(GOOGLEFINANCE(B541,""price""),"""")"),137.23)</f>
        <v>137.23</v>
      </c>
    </row>
    <row r="542">
      <c r="A542" s="15">
        <v>46059.625682076774</v>
      </c>
      <c r="B542" s="16" t="s">
        <v>2726</v>
      </c>
      <c r="C542" s="16" t="s">
        <v>2727</v>
      </c>
      <c r="D542" s="17">
        <v>46061.0</v>
      </c>
      <c r="E542" s="18">
        <v>82.36</v>
      </c>
      <c r="F542" s="16" t="s">
        <v>286</v>
      </c>
      <c r="G542" s="21">
        <v>46.886</v>
      </c>
      <c r="H542" s="21">
        <v>1.7566</v>
      </c>
      <c r="I542" s="17">
        <v>46073.0</v>
      </c>
      <c r="J542" s="18">
        <v>82.5</v>
      </c>
      <c r="K542" s="16">
        <v>1532.0</v>
      </c>
      <c r="L542" s="16" t="s">
        <v>2608</v>
      </c>
      <c r="M542" s="19">
        <v>0.17</v>
      </c>
      <c r="N542" s="16" t="s">
        <v>3257</v>
      </c>
      <c r="O542" s="16">
        <v>1532.0</v>
      </c>
      <c r="P542" s="19">
        <v>38.9612</v>
      </c>
      <c r="Q542" s="16" t="s">
        <v>2729</v>
      </c>
      <c r="R542" s="19">
        <v>0.7462</v>
      </c>
      <c r="S542" s="20">
        <v>2711660.0</v>
      </c>
      <c r="T542" s="20">
        <v>8.0467464319E10</v>
      </c>
      <c r="U542" s="21">
        <v>1.4685</v>
      </c>
      <c r="V542" s="21">
        <v>25.538</v>
      </c>
      <c r="W542" s="21">
        <v>29.9505</v>
      </c>
      <c r="X542" s="21">
        <v>7.618</v>
      </c>
      <c r="Y542" s="21">
        <v>0.0</v>
      </c>
      <c r="Z542" s="21">
        <v>3.1855</v>
      </c>
      <c r="AA542" s="16" t="s">
        <v>2620</v>
      </c>
      <c r="AB542" s="22">
        <f>IFERROR(__xludf.DUMMYFUNCTION("IFERROR(GOOGLEFINANCE(B542,""price""),"""")"),75.72)</f>
        <v>75.72</v>
      </c>
    </row>
    <row r="543">
      <c r="A543" s="7">
        <v>46059.625682076774</v>
      </c>
      <c r="B543" s="8" t="s">
        <v>2843</v>
      </c>
      <c r="C543" s="8" t="s">
        <v>2844</v>
      </c>
      <c r="D543" s="9">
        <v>46061.0</v>
      </c>
      <c r="E543" s="10">
        <v>198.96</v>
      </c>
      <c r="F543" s="8" t="s">
        <v>308</v>
      </c>
      <c r="G543" s="13">
        <v>40.1024</v>
      </c>
      <c r="H543" s="13">
        <v>4.9613</v>
      </c>
      <c r="I543" s="9">
        <v>46059.0</v>
      </c>
      <c r="J543" s="10">
        <v>200.0</v>
      </c>
      <c r="K543" s="8">
        <v>1280.0</v>
      </c>
      <c r="L543" s="8" t="s">
        <v>2608</v>
      </c>
      <c r="M543" s="11">
        <v>0.52</v>
      </c>
      <c r="N543" s="8" t="s">
        <v>3258</v>
      </c>
      <c r="O543" s="8">
        <v>1280.0</v>
      </c>
      <c r="P543" s="11">
        <v>42.6987</v>
      </c>
      <c r="Q543" s="8" t="s">
        <v>2846</v>
      </c>
      <c r="R543" s="11">
        <v>1.5257</v>
      </c>
      <c r="S543" s="12">
        <v>2801074.0</v>
      </c>
      <c r="T543" s="12">
        <v>2.66759993341E11</v>
      </c>
      <c r="U543" s="13">
        <v>5.0053</v>
      </c>
      <c r="V543" s="13">
        <v>10.7368</v>
      </c>
      <c r="W543" s="13">
        <v>10.0301</v>
      </c>
      <c r="X543" s="13">
        <v>9.7414</v>
      </c>
      <c r="Y543" s="13">
        <v>0.6055</v>
      </c>
      <c r="Z543" s="13">
        <v>1.0263</v>
      </c>
      <c r="AA543" s="8" t="s">
        <v>2620</v>
      </c>
      <c r="AB543" s="14">
        <f>IFERROR(__xludf.DUMMYFUNCTION("IFERROR(GOOGLEFINANCE(B543,""price""),"""")"),201.56)</f>
        <v>201.56</v>
      </c>
    </row>
    <row r="544">
      <c r="A544" s="15">
        <v>46059.625682076774</v>
      </c>
      <c r="B544" s="16" t="s">
        <v>2710</v>
      </c>
      <c r="C544" s="16" t="s">
        <v>2711</v>
      </c>
      <c r="D544" s="17">
        <v>46061.0</v>
      </c>
      <c r="E544" s="18">
        <v>120.58</v>
      </c>
      <c r="F544" s="16" t="s">
        <v>917</v>
      </c>
      <c r="G544" s="21">
        <v>17.6423</v>
      </c>
      <c r="H544" s="21">
        <v>6.8347</v>
      </c>
      <c r="I544" s="17">
        <v>46073.0</v>
      </c>
      <c r="J544" s="18">
        <v>120.0</v>
      </c>
      <c r="K544" s="16">
        <v>1241.0</v>
      </c>
      <c r="L544" s="16" t="s">
        <v>2608</v>
      </c>
      <c r="M544" s="19">
        <v>0.48</v>
      </c>
      <c r="N544" s="16" t="s">
        <v>3259</v>
      </c>
      <c r="O544" s="16">
        <v>1241.0</v>
      </c>
      <c r="P544" s="19">
        <v>21.3959</v>
      </c>
      <c r="Q544" s="16" t="s">
        <v>2713</v>
      </c>
      <c r="R544" s="19">
        <v>-0.0249</v>
      </c>
      <c r="S544" s="20">
        <v>1781463.0</v>
      </c>
      <c r="T544" s="20">
        <v>6.4401113016E10</v>
      </c>
      <c r="U544" s="21">
        <v>2.0893</v>
      </c>
      <c r="V544" s="21">
        <v>12.848</v>
      </c>
      <c r="W544" s="21">
        <v>25.4789</v>
      </c>
      <c r="X544" s="21">
        <v>7.6587</v>
      </c>
      <c r="Y544" s="21">
        <v>1.5759</v>
      </c>
      <c r="Z544" s="21">
        <v>0.6862</v>
      </c>
      <c r="AA544" s="16" t="s">
        <v>2611</v>
      </c>
      <c r="AB544" s="22">
        <f>IFERROR(__xludf.DUMMYFUNCTION("IFERROR(GOOGLEFINANCE(B544,""price""),"""")"),136.3)</f>
        <v>136.3</v>
      </c>
    </row>
    <row r="545">
      <c r="A545" s="7">
        <v>46059.625682076774</v>
      </c>
      <c r="B545" s="8" t="s">
        <v>3141</v>
      </c>
      <c r="C545" s="8" t="s">
        <v>3142</v>
      </c>
      <c r="D545" s="9">
        <v>46061.0</v>
      </c>
      <c r="E545" s="10">
        <v>331.49</v>
      </c>
      <c r="F545" s="8" t="s">
        <v>93</v>
      </c>
      <c r="G545" s="13">
        <v>12.8877</v>
      </c>
      <c r="H545" s="13">
        <v>25.7215</v>
      </c>
      <c r="I545" s="9">
        <v>46073.0</v>
      </c>
      <c r="J545" s="10">
        <v>325.0</v>
      </c>
      <c r="K545" s="8">
        <v>1191.0</v>
      </c>
      <c r="L545" s="8" t="s">
        <v>2608</v>
      </c>
      <c r="M545" s="11">
        <v>1.96</v>
      </c>
      <c r="N545" s="8" t="s">
        <v>3260</v>
      </c>
      <c r="O545" s="8">
        <v>1191.0</v>
      </c>
      <c r="P545" s="11">
        <v>23.657</v>
      </c>
      <c r="Q545" s="8" t="s">
        <v>3144</v>
      </c>
      <c r="R545" s="11">
        <v>0.0634</v>
      </c>
      <c r="S545" s="12">
        <v>1273631.0</v>
      </c>
      <c r="T545" s="12">
        <v>1.30458168229E11</v>
      </c>
      <c r="U545" s="13">
        <v>6.1536</v>
      </c>
      <c r="V545" s="13">
        <v>14.9661</v>
      </c>
      <c r="W545" s="13">
        <v>21.2322</v>
      </c>
      <c r="X545" s="13">
        <v>6.9142</v>
      </c>
      <c r="Y545" s="23"/>
      <c r="Z545" s="13">
        <v>0.2721</v>
      </c>
      <c r="AA545" s="8" t="s">
        <v>2611</v>
      </c>
      <c r="AB545" s="14">
        <f>IFERROR(__xludf.DUMMYFUNCTION("IFERROR(GOOGLEFINANCE(B545,""price""),"""")"),327.91)</f>
        <v>327.91</v>
      </c>
    </row>
    <row r="546">
      <c r="A546" s="15">
        <v>46059.625682076774</v>
      </c>
      <c r="B546" s="16" t="s">
        <v>2226</v>
      </c>
      <c r="C546" s="16" t="s">
        <v>2227</v>
      </c>
      <c r="D546" s="17">
        <v>46061.0</v>
      </c>
      <c r="E546" s="18">
        <v>216.67</v>
      </c>
      <c r="F546" s="16" t="s">
        <v>102</v>
      </c>
      <c r="G546" s="21">
        <v>120.292</v>
      </c>
      <c r="H546" s="21">
        <v>1.8012</v>
      </c>
      <c r="I546" s="17">
        <v>46073.0</v>
      </c>
      <c r="J546" s="18">
        <v>220.0</v>
      </c>
      <c r="K546" s="16">
        <v>1152.0</v>
      </c>
      <c r="L546" s="16" t="s">
        <v>2608</v>
      </c>
      <c r="M546" s="19">
        <v>1.54</v>
      </c>
      <c r="N546" s="16" t="s">
        <v>3261</v>
      </c>
      <c r="O546" s="16">
        <v>1152.0</v>
      </c>
      <c r="P546" s="19">
        <v>34.4519</v>
      </c>
      <c r="Q546" s="16" t="s">
        <v>2228</v>
      </c>
      <c r="R546" s="19">
        <v>5.528</v>
      </c>
      <c r="S546" s="20">
        <v>1541929.0</v>
      </c>
      <c r="T546" s="20">
        <v>1.1407365462E10</v>
      </c>
      <c r="U546" s="21">
        <v>11.4475</v>
      </c>
      <c r="V546" s="21">
        <v>9.8943</v>
      </c>
      <c r="W546" s="21">
        <v>11.9211</v>
      </c>
      <c r="X546" s="21">
        <v>13.1546</v>
      </c>
      <c r="Y546" s="21">
        <v>0.6713</v>
      </c>
      <c r="Z546" s="21">
        <v>2.1867</v>
      </c>
      <c r="AA546" s="16" t="s">
        <v>2620</v>
      </c>
      <c r="AB546" s="22">
        <f>IFERROR(__xludf.DUMMYFUNCTION("IFERROR(GOOGLEFINANCE(B546,""price""),"""")"),241.46)</f>
        <v>241.46</v>
      </c>
    </row>
    <row r="547">
      <c r="A547" s="7">
        <v>46059.625682076774</v>
      </c>
      <c r="B547" s="8" t="s">
        <v>1512</v>
      </c>
      <c r="C547" s="8" t="s">
        <v>1513</v>
      </c>
      <c r="D547" s="9">
        <v>46061.0</v>
      </c>
      <c r="E547" s="10">
        <v>76.86</v>
      </c>
      <c r="F547" s="8" t="s">
        <v>917</v>
      </c>
      <c r="G547" s="13">
        <v>21.0934</v>
      </c>
      <c r="H547" s="13">
        <v>3.6438</v>
      </c>
      <c r="I547" s="9">
        <v>46073.0</v>
      </c>
      <c r="J547" s="10">
        <v>77.5</v>
      </c>
      <c r="K547" s="8">
        <v>1112.0</v>
      </c>
      <c r="L547" s="8" t="s">
        <v>2608</v>
      </c>
      <c r="M547" s="11">
        <v>0.83</v>
      </c>
      <c r="N547" s="8" t="s">
        <v>3262</v>
      </c>
      <c r="O547" s="8">
        <v>1112.0</v>
      </c>
      <c r="P547" s="11">
        <v>25.1431</v>
      </c>
      <c r="Q547" s="8" t="s">
        <v>1514</v>
      </c>
      <c r="R547" s="11">
        <v>-0.9153</v>
      </c>
      <c r="S547" s="12">
        <v>1320380.0</v>
      </c>
      <c r="T547" s="12">
        <v>1.7694258873E10</v>
      </c>
      <c r="U547" s="13">
        <v>1.2444</v>
      </c>
      <c r="V547" s="13">
        <v>8.3636</v>
      </c>
      <c r="W547" s="13">
        <v>24.8419</v>
      </c>
      <c r="X547" s="13">
        <v>0.1069</v>
      </c>
      <c r="Y547" s="13">
        <v>1.4305</v>
      </c>
      <c r="Z547" s="13">
        <v>0.5156</v>
      </c>
      <c r="AA547" s="8" t="s">
        <v>2620</v>
      </c>
      <c r="AB547" s="14">
        <f>IFERROR(__xludf.DUMMYFUNCTION("IFERROR(GOOGLEFINANCE(B547,""price""),"""")"),83.58)</f>
        <v>83.58</v>
      </c>
    </row>
    <row r="548">
      <c r="A548" s="15">
        <v>46059.625682076774</v>
      </c>
      <c r="B548" s="16" t="s">
        <v>2650</v>
      </c>
      <c r="C548" s="16" t="s">
        <v>2651</v>
      </c>
      <c r="D548" s="17">
        <v>46061.0</v>
      </c>
      <c r="E548" s="18">
        <v>229.13</v>
      </c>
      <c r="F548" s="16" t="s">
        <v>308</v>
      </c>
      <c r="G548" s="21">
        <v>226.7716</v>
      </c>
      <c r="H548" s="21">
        <v>1.0104</v>
      </c>
      <c r="I548" s="17">
        <v>46059.0</v>
      </c>
      <c r="J548" s="18">
        <v>232.5</v>
      </c>
      <c r="K548" s="16">
        <v>1100.0</v>
      </c>
      <c r="L548" s="16" t="s">
        <v>2608</v>
      </c>
      <c r="M548" s="19">
        <v>1.47</v>
      </c>
      <c r="N548" s="16" t="s">
        <v>3263</v>
      </c>
      <c r="O548" s="16">
        <v>1100.0</v>
      </c>
      <c r="P548" s="19">
        <v>22.485</v>
      </c>
      <c r="Q548" s="16" t="s">
        <v>2653</v>
      </c>
      <c r="R548" s="19">
        <v>9.5058</v>
      </c>
      <c r="S548" s="20">
        <v>5608810.0</v>
      </c>
      <c r="T548" s="20">
        <v>3.6008607658E10</v>
      </c>
      <c r="U548" s="21">
        <v>18.7861</v>
      </c>
      <c r="V548" s="21">
        <v>3.6337</v>
      </c>
      <c r="W548" s="21">
        <v>11.7943</v>
      </c>
      <c r="X548" s="21">
        <v>18.6256</v>
      </c>
      <c r="Y548" s="21">
        <v>0.4153</v>
      </c>
      <c r="Z548" s="21">
        <v>2.2518</v>
      </c>
      <c r="AA548" s="16" t="s">
        <v>2620</v>
      </c>
      <c r="AB548" s="22">
        <f>IFERROR(__xludf.DUMMYFUNCTION("IFERROR(GOOGLEFINANCE(B548,""price""),"""")"),307.5)</f>
        <v>307.5</v>
      </c>
    </row>
    <row r="549">
      <c r="A549" s="7">
        <v>46059.625682076774</v>
      </c>
      <c r="B549" s="8" t="s">
        <v>1077</v>
      </c>
      <c r="C549" s="8" t="s">
        <v>1078</v>
      </c>
      <c r="D549" s="9">
        <v>46061.0</v>
      </c>
      <c r="E549" s="10">
        <v>8.61</v>
      </c>
      <c r="F549" s="8" t="s">
        <v>335</v>
      </c>
      <c r="G549" s="23"/>
      <c r="H549" s="13">
        <v>-0.041</v>
      </c>
      <c r="I549" s="9">
        <v>46059.0</v>
      </c>
      <c r="J549" s="10">
        <v>8.5</v>
      </c>
      <c r="K549" s="8">
        <v>1075.0</v>
      </c>
      <c r="L549" s="8" t="s">
        <v>2608</v>
      </c>
      <c r="M549" s="11">
        <v>1.28</v>
      </c>
      <c r="N549" s="8" t="s">
        <v>3264</v>
      </c>
      <c r="O549" s="8">
        <v>1075.0</v>
      </c>
      <c r="P549" s="11">
        <v>21.9246</v>
      </c>
      <c r="Q549" s="8" t="s">
        <v>1079</v>
      </c>
      <c r="R549" s="11">
        <v>15.261</v>
      </c>
      <c r="S549" s="12">
        <v>1.060871E7</v>
      </c>
      <c r="T549" s="12">
        <v>1.205706602E9</v>
      </c>
      <c r="U549" s="13">
        <v>1.2342</v>
      </c>
      <c r="V549" s="13">
        <v>-10.5913</v>
      </c>
      <c r="W549" s="13">
        <v>-18.9471</v>
      </c>
      <c r="X549" s="13">
        <v>240.123</v>
      </c>
      <c r="Y549" s="13">
        <v>0.0037</v>
      </c>
      <c r="Z549" s="13">
        <v>5.0784</v>
      </c>
      <c r="AA549" s="8" t="s">
        <v>2611</v>
      </c>
      <c r="AB549" s="14">
        <f>IFERROR(__xludf.DUMMYFUNCTION("IFERROR(GOOGLEFINANCE(B549,""price""),"""")"),8.36)</f>
        <v>8.36</v>
      </c>
    </row>
    <row r="550">
      <c r="A550" s="15">
        <v>46059.625682076774</v>
      </c>
      <c r="B550" s="16" t="s">
        <v>2658</v>
      </c>
      <c r="C550" s="16" t="s">
        <v>2659</v>
      </c>
      <c r="D550" s="17">
        <v>46061.0</v>
      </c>
      <c r="E550" s="18">
        <v>89.29</v>
      </c>
      <c r="F550" s="16" t="s">
        <v>917</v>
      </c>
      <c r="G550" s="21">
        <v>27.0551</v>
      </c>
      <c r="H550" s="21">
        <v>3.3003</v>
      </c>
      <c r="I550" s="17">
        <v>46059.0</v>
      </c>
      <c r="J550" s="18">
        <v>90.0</v>
      </c>
      <c r="K550" s="16">
        <v>1022.0</v>
      </c>
      <c r="L550" s="16" t="s">
        <v>2608</v>
      </c>
      <c r="M550" s="19">
        <v>0.8</v>
      </c>
      <c r="N550" s="16" t="s">
        <v>3265</v>
      </c>
      <c r="O550" s="16">
        <v>1022.0</v>
      </c>
      <c r="P550" s="19">
        <v>31.8898</v>
      </c>
      <c r="Q550" s="16" t="s">
        <v>2661</v>
      </c>
      <c r="R550" s="19">
        <v>0.0897</v>
      </c>
      <c r="S550" s="20">
        <v>6108094.0</v>
      </c>
      <c r="T550" s="20">
        <v>1.85956210985E11</v>
      </c>
      <c r="U550" s="21">
        <v>1.9357</v>
      </c>
      <c r="V550" s="21">
        <v>13.0533</v>
      </c>
      <c r="W550" s="21">
        <v>26.0656</v>
      </c>
      <c r="X550" s="21">
        <v>7.4736</v>
      </c>
      <c r="Y550" s="21">
        <v>1.751</v>
      </c>
      <c r="Z550" s="21">
        <v>0.5953</v>
      </c>
      <c r="AA550" s="16" t="s">
        <v>2620</v>
      </c>
      <c r="AB550" s="22">
        <f>IFERROR(__xludf.DUMMYFUNCTION("IFERROR(GOOGLEFINANCE(B550,""price""),"""")"),94.08)</f>
        <v>94.08</v>
      </c>
    </row>
    <row r="551">
      <c r="A551" s="7">
        <v>46059.625682076774</v>
      </c>
      <c r="B551" s="8" t="s">
        <v>3208</v>
      </c>
      <c r="C551" s="8" t="s">
        <v>3209</v>
      </c>
      <c r="D551" s="9">
        <v>46061.0</v>
      </c>
      <c r="E551" s="10">
        <v>190.5775</v>
      </c>
      <c r="F551" s="8" t="s">
        <v>137</v>
      </c>
      <c r="G551" s="13">
        <v>29.7815</v>
      </c>
      <c r="H551" s="13">
        <v>6.3992</v>
      </c>
      <c r="I551" s="9">
        <v>46059.0</v>
      </c>
      <c r="J551" s="10">
        <v>190.0</v>
      </c>
      <c r="K551" s="8">
        <v>1003.0</v>
      </c>
      <c r="L551" s="8" t="s">
        <v>2627</v>
      </c>
      <c r="M551" s="11">
        <v>0.3</v>
      </c>
      <c r="N551" s="8" t="s">
        <v>3266</v>
      </c>
      <c r="O551" s="8">
        <v>1003.0</v>
      </c>
      <c r="P551" s="11">
        <v>27.5248</v>
      </c>
      <c r="Q551" s="8" t="s">
        <v>3211</v>
      </c>
      <c r="R551" s="11">
        <v>0.7121</v>
      </c>
      <c r="S551" s="12">
        <v>1361038.0</v>
      </c>
      <c r="T551" s="12">
        <v>6.1641327859E10</v>
      </c>
      <c r="U551" s="13">
        <v>3.3838</v>
      </c>
      <c r="V551" s="13">
        <v>37.4252</v>
      </c>
      <c r="W551" s="13">
        <v>11.9137</v>
      </c>
      <c r="X551" s="13">
        <v>3.7096</v>
      </c>
      <c r="Y551" s="13">
        <v>0.8818</v>
      </c>
      <c r="Z551" s="13">
        <v>1.5199</v>
      </c>
      <c r="AA551" s="8" t="s">
        <v>2611</v>
      </c>
      <c r="AB551" s="14">
        <f>IFERROR(__xludf.DUMMYFUNCTION("IFERROR(GOOGLEFINANCE(B551,""price""),"""")"),221.16)</f>
        <v>221.16</v>
      </c>
    </row>
    <row r="552">
      <c r="A552" s="7">
        <v>46062.62714846756</v>
      </c>
      <c r="B552" s="8" t="s">
        <v>1598</v>
      </c>
      <c r="C552" s="8" t="s">
        <v>1599</v>
      </c>
      <c r="D552" s="9">
        <v>46068.0</v>
      </c>
      <c r="E552" s="10">
        <v>56.455</v>
      </c>
      <c r="F552" s="8" t="s">
        <v>93</v>
      </c>
      <c r="G552" s="13">
        <v>14.7287</v>
      </c>
      <c r="H552" s="13">
        <v>3.833</v>
      </c>
      <c r="I552" s="9">
        <v>46066.0</v>
      </c>
      <c r="J552" s="10">
        <v>57.5</v>
      </c>
      <c r="K552" s="8">
        <v>6705.0</v>
      </c>
      <c r="L552" s="8" t="s">
        <v>2608</v>
      </c>
      <c r="M552" s="11">
        <v>1.85</v>
      </c>
      <c r="N552" s="8" t="s">
        <v>3267</v>
      </c>
      <c r="O552" s="8">
        <v>25893.0</v>
      </c>
      <c r="P552" s="11">
        <v>23.3559</v>
      </c>
      <c r="Q552" s="8" t="s">
        <v>1600</v>
      </c>
      <c r="R552" s="11">
        <v>-0.1327</v>
      </c>
      <c r="S552" s="12">
        <v>2.3657193E7</v>
      </c>
      <c r="T552" s="12">
        <v>4.07179666395E11</v>
      </c>
      <c r="U552" s="13">
        <v>1.1035</v>
      </c>
      <c r="V552" s="13">
        <v>10.2298</v>
      </c>
      <c r="W552" s="13">
        <v>18.0672</v>
      </c>
      <c r="X552" s="13">
        <v>-2.1208</v>
      </c>
      <c r="Y552" s="13">
        <v>2.3434</v>
      </c>
      <c r="Z552" s="13">
        <v>0.9906</v>
      </c>
      <c r="AA552" s="8" t="s">
        <v>2620</v>
      </c>
      <c r="AB552" s="14">
        <f>IFERROR(__xludf.DUMMYFUNCTION("IFERROR(GOOGLEFINANCE(B552,""price""),"""")"),52.54)</f>
        <v>52.54</v>
      </c>
    </row>
    <row r="553">
      <c r="A553" s="15">
        <v>46062.62714846756</v>
      </c>
      <c r="B553" s="16" t="s">
        <v>2625</v>
      </c>
      <c r="C553" s="16" t="s">
        <v>2626</v>
      </c>
      <c r="D553" s="17">
        <v>46068.0</v>
      </c>
      <c r="E553" s="18">
        <v>128.8616</v>
      </c>
      <c r="F553" s="16" t="s">
        <v>137</v>
      </c>
      <c r="G553" s="21">
        <v>45.1987</v>
      </c>
      <c r="H553" s="21">
        <v>2.851</v>
      </c>
      <c r="I553" s="17">
        <v>46066.0</v>
      </c>
      <c r="J553" s="18">
        <v>130.0</v>
      </c>
      <c r="K553" s="16">
        <v>7031.0</v>
      </c>
      <c r="L553" s="16" t="s">
        <v>2627</v>
      </c>
      <c r="M553" s="19">
        <v>0.88</v>
      </c>
      <c r="N553" s="16" t="s">
        <v>3268</v>
      </c>
      <c r="O553" s="16">
        <v>22045.0</v>
      </c>
      <c r="P553" s="19">
        <v>31.8432</v>
      </c>
      <c r="Q553" s="16" t="s">
        <v>2629</v>
      </c>
      <c r="R553" s="19">
        <v>-1.7673</v>
      </c>
      <c r="S553" s="20">
        <v>1.6423909E7</v>
      </c>
      <c r="T553" s="20">
        <v>1.027048413537E12</v>
      </c>
      <c r="U553" s="21">
        <v>2.8469</v>
      </c>
      <c r="V553" s="21">
        <v>24.8749</v>
      </c>
      <c r="W553" s="21">
        <v>4.1214</v>
      </c>
      <c r="X553" s="21">
        <v>4.3397</v>
      </c>
      <c r="Y553" s="21">
        <v>0.7121</v>
      </c>
      <c r="Z553" s="21">
        <v>0.8029</v>
      </c>
      <c r="AA553" s="16" t="s">
        <v>2620</v>
      </c>
      <c r="AB553" s="22">
        <f>IFERROR(__xludf.DUMMYFUNCTION("IFERROR(GOOGLEFINANCE(B553,""price""),"""")"),126.79)</f>
        <v>126.79</v>
      </c>
    </row>
    <row r="554">
      <c r="A554" s="7">
        <v>46062.62714846756</v>
      </c>
      <c r="B554" s="8" t="s">
        <v>3269</v>
      </c>
      <c r="C554" s="8" t="s">
        <v>3270</v>
      </c>
      <c r="D554" s="9">
        <v>46068.0</v>
      </c>
      <c r="E554" s="10">
        <v>274.11</v>
      </c>
      <c r="F554" s="8" t="s">
        <v>308</v>
      </c>
      <c r="G554" s="13">
        <v>34.6808</v>
      </c>
      <c r="H554" s="13">
        <v>7.9038</v>
      </c>
      <c r="I554" s="9">
        <v>46062.0</v>
      </c>
      <c r="J554" s="10">
        <v>277.5</v>
      </c>
      <c r="K554" s="8">
        <v>3340.0</v>
      </c>
      <c r="L554" s="8" t="s">
        <v>2608</v>
      </c>
      <c r="M554" s="11">
        <v>1.24</v>
      </c>
      <c r="N554" s="8" t="s">
        <v>3271</v>
      </c>
      <c r="O554" s="8">
        <v>17712.0</v>
      </c>
      <c r="P554" s="11">
        <v>25.5261</v>
      </c>
      <c r="Q554" s="8" t="s">
        <v>3272</v>
      </c>
      <c r="R554" s="11">
        <v>-1.4418</v>
      </c>
      <c r="S554" s="12">
        <v>2.8904148E7</v>
      </c>
      <c r="T554" s="12">
        <v>4.024247118381E12</v>
      </c>
      <c r="U554" s="13">
        <v>6.0315</v>
      </c>
      <c r="V554" s="13">
        <v>152.0213</v>
      </c>
      <c r="W554" s="13">
        <v>32.384</v>
      </c>
      <c r="X554" s="13">
        <v>10.071</v>
      </c>
      <c r="Y554" s="13">
        <v>1.0263</v>
      </c>
      <c r="Z554" s="13">
        <v>0.9737</v>
      </c>
      <c r="AA554" s="8" t="s">
        <v>2620</v>
      </c>
      <c r="AB554" s="14">
        <f>IFERROR(__xludf.DUMMYFUNCTION("IFERROR(GOOGLEFINANCE(B554,""price""),"""")"),260.48)</f>
        <v>260.48</v>
      </c>
    </row>
    <row r="555">
      <c r="A555" s="15">
        <v>46062.62714846756</v>
      </c>
      <c r="B555" s="16" t="s">
        <v>3067</v>
      </c>
      <c r="C555" s="16" t="s">
        <v>3068</v>
      </c>
      <c r="D555" s="17">
        <v>46068.0</v>
      </c>
      <c r="E555" s="18">
        <v>19.06</v>
      </c>
      <c r="F555" s="16" t="s">
        <v>93</v>
      </c>
      <c r="G555" s="21">
        <v>13.7459</v>
      </c>
      <c r="H555" s="21">
        <v>1.3866</v>
      </c>
      <c r="I555" s="17">
        <v>46073.0</v>
      </c>
      <c r="J555" s="18">
        <v>19.0</v>
      </c>
      <c r="K555" s="16">
        <v>14796.0</v>
      </c>
      <c r="L555" s="16" t="s">
        <v>2608</v>
      </c>
      <c r="M555" s="19">
        <v>0.31</v>
      </c>
      <c r="N555" s="16" t="s">
        <v>3273</v>
      </c>
      <c r="O555" s="16">
        <v>14796.0</v>
      </c>
      <c r="P555" s="19">
        <v>21.8197</v>
      </c>
      <c r="Q555" s="16" t="s">
        <v>3070</v>
      </c>
      <c r="R555" s="19">
        <v>-1.0898</v>
      </c>
      <c r="S555" s="20">
        <v>1.1664589E7</v>
      </c>
      <c r="T555" s="20">
        <v>3.882146802E10</v>
      </c>
      <c r="U555" s="21">
        <v>0.4841</v>
      </c>
      <c r="V555" s="21">
        <v>10.0313</v>
      </c>
      <c r="W555" s="21">
        <v>21.9353</v>
      </c>
      <c r="X555" s="21">
        <v>4.0422</v>
      </c>
      <c r="Y555" s="21">
        <v>0.7593</v>
      </c>
      <c r="Z555" s="21">
        <v>0.0962</v>
      </c>
      <c r="AA555" s="16" t="s">
        <v>2611</v>
      </c>
      <c r="AB555" s="22">
        <f>IFERROR(__xludf.DUMMYFUNCTION("IFERROR(GOOGLEFINANCE(B555,""price""),"""")"),16.38)</f>
        <v>16.38</v>
      </c>
    </row>
    <row r="556">
      <c r="A556" s="7">
        <v>46062.62714846756</v>
      </c>
      <c r="B556" s="8" t="s">
        <v>2630</v>
      </c>
      <c r="C556" s="8" t="s">
        <v>2631</v>
      </c>
      <c r="D556" s="9">
        <v>46068.0</v>
      </c>
      <c r="E556" s="10">
        <v>386.375</v>
      </c>
      <c r="F556" s="8" t="s">
        <v>308</v>
      </c>
      <c r="G556" s="13">
        <v>36.7277</v>
      </c>
      <c r="H556" s="13">
        <v>10.52</v>
      </c>
      <c r="I556" s="9">
        <v>46066.0</v>
      </c>
      <c r="J556" s="10">
        <v>385.0</v>
      </c>
      <c r="K556" s="8">
        <v>4406.0</v>
      </c>
      <c r="L556" s="8" t="s">
        <v>2627</v>
      </c>
      <c r="M556" s="11">
        <v>0.36</v>
      </c>
      <c r="N556" s="8" t="s">
        <v>3274</v>
      </c>
      <c r="O556" s="8">
        <v>12734.0</v>
      </c>
      <c r="P556" s="11">
        <v>39.739</v>
      </c>
      <c r="Q556" s="8" t="s">
        <v>2633</v>
      </c>
      <c r="R556" s="11">
        <v>-2.1067</v>
      </c>
      <c r="S556" s="12">
        <v>2.6910151E7</v>
      </c>
      <c r="T556" s="12">
        <v>4.34868649724E11</v>
      </c>
      <c r="U556" s="13">
        <v>25.4829</v>
      </c>
      <c r="V556" s="13">
        <v>22.5543</v>
      </c>
      <c r="W556" s="13">
        <v>32.9221</v>
      </c>
      <c r="X556" s="13">
        <v>45.432</v>
      </c>
      <c r="Y556" s="13">
        <v>0.2124</v>
      </c>
      <c r="Z556" s="13">
        <v>2.4598</v>
      </c>
      <c r="AA556" s="8" t="s">
        <v>2611</v>
      </c>
      <c r="AB556" s="14">
        <f>IFERROR(__xludf.DUMMYFUNCTION("IFERROR(GOOGLEFINANCE(B556,""price""),"""")"),420.59)</f>
        <v>420.59</v>
      </c>
    </row>
    <row r="557">
      <c r="A557" s="15">
        <v>46062.62714846756</v>
      </c>
      <c r="B557" s="16" t="s">
        <v>2634</v>
      </c>
      <c r="C557" s="16" t="s">
        <v>2635</v>
      </c>
      <c r="D557" s="17">
        <v>46068.0</v>
      </c>
      <c r="E557" s="18">
        <v>182.475</v>
      </c>
      <c r="F557" s="16" t="s">
        <v>245</v>
      </c>
      <c r="G557" s="21">
        <v>27.4361</v>
      </c>
      <c r="H557" s="21">
        <v>6.6509</v>
      </c>
      <c r="I557" s="17">
        <v>46066.0</v>
      </c>
      <c r="J557" s="18">
        <v>182.5</v>
      </c>
      <c r="K557" s="16">
        <v>3486.0</v>
      </c>
      <c r="L557" s="16" t="s">
        <v>2608</v>
      </c>
      <c r="M557" s="19">
        <v>0.01</v>
      </c>
      <c r="N557" s="16" t="s">
        <v>3275</v>
      </c>
      <c r="O557" s="16">
        <v>8703.0</v>
      </c>
      <c r="P557" s="19">
        <v>54.5339</v>
      </c>
      <c r="Q557" s="16" t="s">
        <v>2637</v>
      </c>
      <c r="R557" s="19">
        <v>0.893</v>
      </c>
      <c r="S557" s="20">
        <v>7025679.0</v>
      </c>
      <c r="T557" s="20">
        <v>3.67417356376E11</v>
      </c>
      <c r="U557" s="21">
        <v>3.458</v>
      </c>
      <c r="V557" s="21">
        <v>7.261</v>
      </c>
      <c r="W557" s="21">
        <v>8.9022</v>
      </c>
      <c r="X557" s="21">
        <v>-4.6053</v>
      </c>
      <c r="Y557" s="21">
        <v>0.2186</v>
      </c>
      <c r="Z557" s="24"/>
      <c r="AA557" s="16" t="s">
        <v>2620</v>
      </c>
      <c r="AB557" s="22">
        <f>IFERROR(__xludf.DUMMYFUNCTION("IFERROR(GOOGLEFINANCE(B557,""price""),"""")"),188.55)</f>
        <v>188.55</v>
      </c>
    </row>
    <row r="558">
      <c r="A558" s="7">
        <v>46062.62714846756</v>
      </c>
      <c r="B558" s="8" t="s">
        <v>2638</v>
      </c>
      <c r="C558" s="8" t="s">
        <v>2639</v>
      </c>
      <c r="D558" s="9">
        <v>46068.0</v>
      </c>
      <c r="E558" s="10">
        <v>150.92</v>
      </c>
      <c r="F558" s="8" t="s">
        <v>245</v>
      </c>
      <c r="G558" s="13">
        <v>22.556</v>
      </c>
      <c r="H558" s="13">
        <v>6.6909</v>
      </c>
      <c r="I558" s="9">
        <v>46066.0</v>
      </c>
      <c r="J558" s="10">
        <v>152.5</v>
      </c>
      <c r="K558" s="8">
        <v>3322.0</v>
      </c>
      <c r="L558" s="8" t="s">
        <v>2608</v>
      </c>
      <c r="M558" s="11">
        <v>1.05</v>
      </c>
      <c r="N558" s="8" t="s">
        <v>3276</v>
      </c>
      <c r="O558" s="8">
        <v>8209.0</v>
      </c>
      <c r="P558" s="11">
        <v>54.8141</v>
      </c>
      <c r="Q558" s="8" t="s">
        <v>2641</v>
      </c>
      <c r="R558" s="11">
        <v>1.2546</v>
      </c>
      <c r="S558" s="12">
        <v>1.3267902E7</v>
      </c>
      <c r="T558" s="12">
        <v>6.36454634418E11</v>
      </c>
      <c r="U558" s="13">
        <v>3.1433</v>
      </c>
      <c r="V558" s="13">
        <v>11.0283</v>
      </c>
      <c r="W558" s="13">
        <v>10.3419</v>
      </c>
      <c r="X558" s="13">
        <v>-4.856</v>
      </c>
      <c r="Y558" s="13">
        <v>0.1678</v>
      </c>
      <c r="Z558" s="13">
        <v>1.1528</v>
      </c>
      <c r="AA558" s="8" t="s">
        <v>2620</v>
      </c>
      <c r="AB558" s="14">
        <f>IFERROR(__xludf.DUMMYFUNCTION("IFERROR(GOOGLEFINANCE(B558,""price""),"""")"),152.51)</f>
        <v>152.51</v>
      </c>
    </row>
    <row r="559">
      <c r="A559" s="15">
        <v>46062.62714846756</v>
      </c>
      <c r="B559" s="16" t="s">
        <v>3080</v>
      </c>
      <c r="C559" s="16" t="s">
        <v>3081</v>
      </c>
      <c r="D559" s="17">
        <v>46068.0</v>
      </c>
      <c r="E559" s="18">
        <v>94.64</v>
      </c>
      <c r="F559" s="16" t="s">
        <v>93</v>
      </c>
      <c r="G559" s="21">
        <v>15.1122</v>
      </c>
      <c r="H559" s="21">
        <v>6.2625</v>
      </c>
      <c r="I559" s="17">
        <v>46066.0</v>
      </c>
      <c r="J559" s="18">
        <v>94.0</v>
      </c>
      <c r="K559" s="16">
        <v>1658.0</v>
      </c>
      <c r="L559" s="16" t="s">
        <v>2608</v>
      </c>
      <c r="M559" s="19">
        <v>0.68</v>
      </c>
      <c r="N559" s="16" t="s">
        <v>3277</v>
      </c>
      <c r="O559" s="16">
        <v>8152.0</v>
      </c>
      <c r="P559" s="19">
        <v>20.2049</v>
      </c>
      <c r="Q559" s="16" t="s">
        <v>3083</v>
      </c>
      <c r="R559" s="19">
        <v>0.713</v>
      </c>
      <c r="S559" s="20">
        <v>1.6536533E7</v>
      </c>
      <c r="T559" s="20">
        <v>2.92683677044E11</v>
      </c>
      <c r="U559" s="21">
        <v>2.4222</v>
      </c>
      <c r="V559" s="21">
        <v>11.8466</v>
      </c>
      <c r="W559" s="21">
        <v>20.6965</v>
      </c>
      <c r="X559" s="21">
        <v>-1.9497</v>
      </c>
      <c r="Y559" s="21">
        <v>2.3505</v>
      </c>
      <c r="Z559" s="21">
        <v>0.9006</v>
      </c>
      <c r="AA559" s="16" t="s">
        <v>2611</v>
      </c>
      <c r="AB559" s="22">
        <f>IFERROR(__xludf.DUMMYFUNCTION("IFERROR(GOOGLEFINANCE(B559,""price""),"""")"),85.4)</f>
        <v>85.4</v>
      </c>
    </row>
    <row r="560">
      <c r="A560" s="7">
        <v>46062.62714846756</v>
      </c>
      <c r="B560" s="8" t="s">
        <v>2616</v>
      </c>
      <c r="C560" s="8" t="s">
        <v>2617</v>
      </c>
      <c r="D560" s="9">
        <v>46068.0</v>
      </c>
      <c r="E560" s="10">
        <v>77.975</v>
      </c>
      <c r="F560" s="8" t="s">
        <v>286</v>
      </c>
      <c r="G560" s="13">
        <v>25.8161</v>
      </c>
      <c r="H560" s="13">
        <v>3.0204</v>
      </c>
      <c r="I560" s="9">
        <v>46066.0</v>
      </c>
      <c r="J560" s="10">
        <v>77.0</v>
      </c>
      <c r="K560" s="8">
        <v>5378.0</v>
      </c>
      <c r="L560" s="8" t="s">
        <v>2608</v>
      </c>
      <c r="M560" s="11">
        <v>1.25</v>
      </c>
      <c r="N560" s="8" t="s">
        <v>3278</v>
      </c>
      <c r="O560" s="8">
        <v>8045.0</v>
      </c>
      <c r="P560" s="11">
        <v>39.733</v>
      </c>
      <c r="Q560" s="8" t="s">
        <v>2619</v>
      </c>
      <c r="R560" s="11">
        <v>-1.3349</v>
      </c>
      <c r="S560" s="12">
        <v>1.6424084E7</v>
      </c>
      <c r="T560" s="12">
        <v>3.35417947761E11</v>
      </c>
      <c r="U560" s="13">
        <v>1.2036</v>
      </c>
      <c r="V560" s="13">
        <v>45.1173</v>
      </c>
      <c r="W560" s="13">
        <v>31.1024</v>
      </c>
      <c r="X560" s="13">
        <v>2.9315</v>
      </c>
      <c r="Y560" s="13">
        <v>1.5175</v>
      </c>
      <c r="Z560" s="13">
        <v>1.211</v>
      </c>
      <c r="AA560" s="8" t="s">
        <v>2611</v>
      </c>
      <c r="AB560" s="14">
        <f>IFERROR(__xludf.DUMMYFUNCTION("IFERROR(GOOGLEFINANCE(B560,""price""),"""")"),77.47)</f>
        <v>77.47</v>
      </c>
    </row>
    <row r="561">
      <c r="A561" s="15">
        <v>46062.62714846756</v>
      </c>
      <c r="B561" s="16" t="s">
        <v>2344</v>
      </c>
      <c r="C561" s="16" t="s">
        <v>2345</v>
      </c>
      <c r="D561" s="17">
        <v>46068.0</v>
      </c>
      <c r="E561" s="18">
        <v>68.12</v>
      </c>
      <c r="F561" s="16" t="s">
        <v>270</v>
      </c>
      <c r="G561" s="21">
        <v>35.2442</v>
      </c>
      <c r="H561" s="21">
        <v>1.9328</v>
      </c>
      <c r="I561" s="17">
        <v>46066.0</v>
      </c>
      <c r="J561" s="18">
        <v>68.0</v>
      </c>
      <c r="K561" s="16">
        <v>3623.0</v>
      </c>
      <c r="L561" s="16" t="s">
        <v>2608</v>
      </c>
      <c r="M561" s="19">
        <v>0.18</v>
      </c>
      <c r="N561" s="16" t="s">
        <v>3279</v>
      </c>
      <c r="O561" s="16">
        <v>5748.0</v>
      </c>
      <c r="P561" s="19">
        <v>33.1812</v>
      </c>
      <c r="Q561" s="16" t="s">
        <v>2346</v>
      </c>
      <c r="R561" s="19">
        <v>1.7932</v>
      </c>
      <c r="S561" s="20">
        <v>6088248.0</v>
      </c>
      <c r="T561" s="20">
        <v>8.3189427289E10</v>
      </c>
      <c r="U561" s="21">
        <v>1.7489</v>
      </c>
      <c r="V561" s="21">
        <v>18.9995</v>
      </c>
      <c r="W561" s="21">
        <v>34.3112</v>
      </c>
      <c r="X561" s="21">
        <v>11.4798</v>
      </c>
      <c r="Y561" s="21">
        <v>2.2354</v>
      </c>
      <c r="Z561" s="21">
        <v>0.4224</v>
      </c>
      <c r="AA561" s="16" t="s">
        <v>2611</v>
      </c>
      <c r="AB561" s="22">
        <f>IFERROR(__xludf.DUMMYFUNCTION("IFERROR(GOOGLEFINANCE(B561,""price""),"""")"),72.74)</f>
        <v>72.74</v>
      </c>
    </row>
    <row r="562">
      <c r="A562" s="7">
        <v>46062.62714846756</v>
      </c>
      <c r="B562" s="8" t="s">
        <v>2676</v>
      </c>
      <c r="C562" s="8" t="s">
        <v>2677</v>
      </c>
      <c r="D562" s="9">
        <v>46068.0</v>
      </c>
      <c r="E562" s="10">
        <v>30.815</v>
      </c>
      <c r="F562" s="8" t="s">
        <v>93</v>
      </c>
      <c r="G562" s="13">
        <v>13.4136</v>
      </c>
      <c r="H562" s="13">
        <v>2.2973</v>
      </c>
      <c r="I562" s="9">
        <v>46073.0</v>
      </c>
      <c r="J562" s="10">
        <v>31.0</v>
      </c>
      <c r="K562" s="8">
        <v>3250.0</v>
      </c>
      <c r="L562" s="8" t="s">
        <v>2627</v>
      </c>
      <c r="M562" s="11">
        <v>0.6</v>
      </c>
      <c r="N562" s="8" t="s">
        <v>3280</v>
      </c>
      <c r="O562" s="8">
        <v>5683.0</v>
      </c>
      <c r="P562" s="11">
        <v>26.1054</v>
      </c>
      <c r="Q562" s="8" t="s">
        <v>2679</v>
      </c>
      <c r="R562" s="11">
        <v>-0.3718</v>
      </c>
      <c r="S562" s="12">
        <v>6803068.0</v>
      </c>
      <c r="T562" s="12">
        <v>2.7020950412E10</v>
      </c>
      <c r="U562" s="13">
        <v>0.6678</v>
      </c>
      <c r="V562" s="13">
        <v>11.6787</v>
      </c>
      <c r="W562" s="13">
        <v>28.7373</v>
      </c>
      <c r="X562" s="13">
        <v>2.137</v>
      </c>
      <c r="Y562" s="13">
        <v>0.2565</v>
      </c>
      <c r="Z562" s="13">
        <v>0.1084</v>
      </c>
      <c r="AA562" s="8" t="s">
        <v>2620</v>
      </c>
      <c r="AB562" s="14">
        <f>IFERROR(__xludf.DUMMYFUNCTION("IFERROR(GOOGLEFINANCE(B562,""price""),"""")"),27.5)</f>
        <v>27.5</v>
      </c>
    </row>
    <row r="563">
      <c r="A563" s="15">
        <v>46062.62714846756</v>
      </c>
      <c r="B563" s="16" t="s">
        <v>2654</v>
      </c>
      <c r="C563" s="16" t="s">
        <v>2655</v>
      </c>
      <c r="D563" s="17">
        <v>46068.0</v>
      </c>
      <c r="E563" s="18">
        <v>40.165</v>
      </c>
      <c r="F563" s="16" t="s">
        <v>917</v>
      </c>
      <c r="G563" s="21">
        <v>25.3599</v>
      </c>
      <c r="H563" s="21">
        <v>1.5838</v>
      </c>
      <c r="I563" s="17">
        <v>46073.0</v>
      </c>
      <c r="J563" s="18">
        <v>40.0</v>
      </c>
      <c r="K563" s="16">
        <v>4471.0</v>
      </c>
      <c r="L563" s="16" t="s">
        <v>2608</v>
      </c>
      <c r="M563" s="19">
        <v>0.41</v>
      </c>
      <c r="N563" s="16" t="s">
        <v>3226</v>
      </c>
      <c r="O563" s="16">
        <v>4471.0</v>
      </c>
      <c r="P563" s="19">
        <v>17.1231</v>
      </c>
      <c r="Q563" s="16" t="s">
        <v>2657</v>
      </c>
      <c r="R563" s="19">
        <v>0.2871</v>
      </c>
      <c r="S563" s="20">
        <v>5684094.0</v>
      </c>
      <c r="T563" s="20">
        <v>2.6222451761E10</v>
      </c>
      <c r="U563" s="21">
        <v>0.6412</v>
      </c>
      <c r="V563" s="21">
        <v>9.6059</v>
      </c>
      <c r="W563" s="21">
        <v>22.5038</v>
      </c>
      <c r="X563" s="21">
        <v>6.4347</v>
      </c>
      <c r="Y563" s="21">
        <v>2.0787</v>
      </c>
      <c r="Z563" s="21">
        <v>0.5135</v>
      </c>
      <c r="AA563" s="16" t="s">
        <v>2611</v>
      </c>
      <c r="AB563" s="22">
        <f>IFERROR(__xludf.DUMMYFUNCTION("IFERROR(GOOGLEFINANCE(B563,""price""),"""")"),43.39)</f>
        <v>43.39</v>
      </c>
    </row>
    <row r="564">
      <c r="A564" s="7">
        <v>46062.62714846756</v>
      </c>
      <c r="B564" s="8" t="s">
        <v>2606</v>
      </c>
      <c r="C564" s="8" t="s">
        <v>2607</v>
      </c>
      <c r="D564" s="9">
        <v>46068.0</v>
      </c>
      <c r="E564" s="10">
        <v>54.535</v>
      </c>
      <c r="F564" s="8" t="s">
        <v>93</v>
      </c>
      <c r="G564" s="13">
        <v>15.428</v>
      </c>
      <c r="H564" s="13">
        <v>3.5348</v>
      </c>
      <c r="I564" s="9">
        <v>46073.0</v>
      </c>
      <c r="J564" s="10">
        <v>55.0</v>
      </c>
      <c r="K564" s="8">
        <v>2667.0</v>
      </c>
      <c r="L564" s="8" t="s">
        <v>2608</v>
      </c>
      <c r="M564" s="11">
        <v>0.85</v>
      </c>
      <c r="N564" s="8" t="s">
        <v>3281</v>
      </c>
      <c r="O564" s="8">
        <v>3672.0</v>
      </c>
      <c r="P564" s="11">
        <v>42.0136</v>
      </c>
      <c r="Q564" s="8" t="s">
        <v>2610</v>
      </c>
      <c r="R564" s="11">
        <v>-0.9895</v>
      </c>
      <c r="S564" s="12">
        <v>4750494.0</v>
      </c>
      <c r="T564" s="12">
        <v>4.9702692716E10</v>
      </c>
      <c r="U564" s="13">
        <v>1.3787</v>
      </c>
      <c r="V564" s="13">
        <v>12.1975</v>
      </c>
      <c r="W564" s="13">
        <v>23.4205</v>
      </c>
      <c r="X564" s="13">
        <v>2.2457</v>
      </c>
      <c r="Y564" s="13">
        <v>0.6682</v>
      </c>
      <c r="Z564" s="13">
        <v>0.2832</v>
      </c>
      <c r="AA564" s="8" t="s">
        <v>2620</v>
      </c>
      <c r="AB564" s="14">
        <f>IFERROR(__xludf.DUMMYFUNCTION("IFERROR(GOOGLEFINANCE(B564,""price""),"""")"),49.31)</f>
        <v>49.31</v>
      </c>
    </row>
    <row r="565">
      <c r="A565" s="15">
        <v>46062.62714846756</v>
      </c>
      <c r="B565" s="16" t="s">
        <v>2621</v>
      </c>
      <c r="C565" s="16" t="s">
        <v>2622</v>
      </c>
      <c r="D565" s="17">
        <v>46068.0</v>
      </c>
      <c r="E565" s="18">
        <v>63.465</v>
      </c>
      <c r="F565" s="16" t="s">
        <v>335</v>
      </c>
      <c r="G565" s="21">
        <v>41.9188</v>
      </c>
      <c r="H565" s="21">
        <v>1.514</v>
      </c>
      <c r="I565" s="17">
        <v>46066.0</v>
      </c>
      <c r="J565" s="18">
        <v>63.0</v>
      </c>
      <c r="K565" s="16">
        <v>2434.0</v>
      </c>
      <c r="L565" s="16" t="s">
        <v>2608</v>
      </c>
      <c r="M565" s="19">
        <v>0.73</v>
      </c>
      <c r="N565" s="16" t="s">
        <v>3282</v>
      </c>
      <c r="O565" s="16">
        <v>3557.0</v>
      </c>
      <c r="P565" s="19">
        <v>38.7896</v>
      </c>
      <c r="Q565" s="16" t="s">
        <v>2624</v>
      </c>
      <c r="R565" s="19">
        <v>4.6069</v>
      </c>
      <c r="S565" s="20">
        <v>1.0809824E7</v>
      </c>
      <c r="T565" s="20">
        <v>9.1131336844E10</v>
      </c>
      <c r="U565" s="21">
        <v>2.9075</v>
      </c>
      <c r="V565" s="21">
        <v>11.9792</v>
      </c>
      <c r="W565" s="21">
        <v>23.7569</v>
      </c>
      <c r="X565" s="21">
        <v>1.5155</v>
      </c>
      <c r="Y565" s="21">
        <v>0.5497</v>
      </c>
      <c r="Z565" s="21">
        <v>2.2911</v>
      </c>
      <c r="AA565" s="16" t="s">
        <v>2611</v>
      </c>
      <c r="AB565" s="22">
        <f>IFERROR(__xludf.DUMMYFUNCTION("IFERROR(GOOGLEFINANCE(B565,""price""),"""")"),67.8)</f>
        <v>67.8</v>
      </c>
    </row>
    <row r="566">
      <c r="A566" s="7">
        <v>46062.62714846756</v>
      </c>
      <c r="B566" s="8" t="s">
        <v>2139</v>
      </c>
      <c r="C566" s="8" t="s">
        <v>2140</v>
      </c>
      <c r="D566" s="9">
        <v>46068.0</v>
      </c>
      <c r="E566" s="10">
        <v>59.795</v>
      </c>
      <c r="F566" s="8" t="s">
        <v>270</v>
      </c>
      <c r="G566" s="13">
        <v>22.9539</v>
      </c>
      <c r="H566" s="13">
        <v>2.605</v>
      </c>
      <c r="I566" s="9">
        <v>46073.0</v>
      </c>
      <c r="J566" s="10">
        <v>60.0</v>
      </c>
      <c r="K566" s="8">
        <v>2869.0</v>
      </c>
      <c r="L566" s="8" t="s">
        <v>2608</v>
      </c>
      <c r="M566" s="11">
        <v>0.34</v>
      </c>
      <c r="N566" s="8" t="s">
        <v>3283</v>
      </c>
      <c r="O566" s="8">
        <v>2869.0</v>
      </c>
      <c r="P566" s="11">
        <v>40.7504</v>
      </c>
      <c r="Q566" s="8" t="s">
        <v>2141</v>
      </c>
      <c r="R566" s="11">
        <v>1.4851</v>
      </c>
      <c r="S566" s="12">
        <v>5268312.0</v>
      </c>
      <c r="T566" s="12">
        <v>5.9091600352E10</v>
      </c>
      <c r="U566" s="13">
        <v>1.6778</v>
      </c>
      <c r="V566" s="13">
        <v>14.4868</v>
      </c>
      <c r="W566" s="13">
        <v>12.8259</v>
      </c>
      <c r="X566" s="13">
        <v>-0.345</v>
      </c>
      <c r="Y566" s="13">
        <v>0.3558</v>
      </c>
      <c r="Z566" s="13">
        <v>1.3568</v>
      </c>
      <c r="AA566" s="8" t="s">
        <v>2620</v>
      </c>
      <c r="AB566" s="14">
        <f>IFERROR(__xludf.DUMMYFUNCTION("IFERROR(GOOGLEFINANCE(B566,""price""),"""")"),62.83)</f>
        <v>62.83</v>
      </c>
    </row>
    <row r="567">
      <c r="A567" s="15">
        <v>46062.62714846756</v>
      </c>
      <c r="B567" s="16" t="s">
        <v>2528</v>
      </c>
      <c r="C567" s="16" t="s">
        <v>2529</v>
      </c>
      <c r="D567" s="17">
        <v>46068.0</v>
      </c>
      <c r="E567" s="18">
        <v>65.39</v>
      </c>
      <c r="F567" s="16" t="s">
        <v>93</v>
      </c>
      <c r="G567" s="21">
        <v>10.8858</v>
      </c>
      <c r="H567" s="21">
        <v>6.0069</v>
      </c>
      <c r="I567" s="17">
        <v>46073.0</v>
      </c>
      <c r="J567" s="18">
        <v>65.0</v>
      </c>
      <c r="K567" s="16">
        <v>1697.0</v>
      </c>
      <c r="L567" s="16" t="s">
        <v>2608</v>
      </c>
      <c r="M567" s="19">
        <v>0.6</v>
      </c>
      <c r="N567" s="16" t="s">
        <v>3284</v>
      </c>
      <c r="O567" s="16">
        <v>2784.0</v>
      </c>
      <c r="P567" s="19">
        <v>26.7624</v>
      </c>
      <c r="Q567" s="16" t="s">
        <v>2530</v>
      </c>
      <c r="R567" s="19">
        <v>0.1532</v>
      </c>
      <c r="S567" s="20">
        <v>1047290.0</v>
      </c>
      <c r="T567" s="20">
        <v>9.654247544E9</v>
      </c>
      <c r="U567" s="21">
        <v>1.5075</v>
      </c>
      <c r="V567" s="21">
        <v>13.3945</v>
      </c>
      <c r="W567" s="21">
        <v>23.7662</v>
      </c>
      <c r="X567" s="21">
        <v>-1.0012</v>
      </c>
      <c r="Y567" s="21">
        <v>0.6373</v>
      </c>
      <c r="Z567" s="21">
        <v>0.1512</v>
      </c>
      <c r="AA567" s="16" t="s">
        <v>2611</v>
      </c>
      <c r="AB567" s="22">
        <f>IFERROR(__xludf.DUMMYFUNCTION("IFERROR(GOOGLEFINANCE(B567,""price""),"""")"),61.05)</f>
        <v>61.05</v>
      </c>
    </row>
    <row r="568">
      <c r="A568" s="7">
        <v>46062.62714846756</v>
      </c>
      <c r="B568" s="8" t="s">
        <v>1489</v>
      </c>
      <c r="C568" s="8" t="s">
        <v>1490</v>
      </c>
      <c r="D568" s="9">
        <v>46068.0</v>
      </c>
      <c r="E568" s="10">
        <v>86.87</v>
      </c>
      <c r="F568" s="8" t="s">
        <v>308</v>
      </c>
      <c r="G568" s="13">
        <v>32.7552</v>
      </c>
      <c r="H568" s="13">
        <v>2.6521</v>
      </c>
      <c r="I568" s="9">
        <v>46066.0</v>
      </c>
      <c r="J568" s="10">
        <v>86.0</v>
      </c>
      <c r="K568" s="8">
        <v>1364.0</v>
      </c>
      <c r="L568" s="8" t="s">
        <v>2608</v>
      </c>
      <c r="M568" s="11">
        <v>1.0</v>
      </c>
      <c r="N568" s="8" t="s">
        <v>3285</v>
      </c>
      <c r="O568" s="8">
        <v>2621.0</v>
      </c>
      <c r="P568" s="11">
        <v>35.492</v>
      </c>
      <c r="Q568" s="8" t="s">
        <v>1491</v>
      </c>
      <c r="R568" s="11">
        <v>2.4169</v>
      </c>
      <c r="S568" s="12">
        <v>1.6265932E7</v>
      </c>
      <c r="T568" s="12">
        <v>3.43231576453E11</v>
      </c>
      <c r="U568" s="13">
        <v>1.9443</v>
      </c>
      <c r="V568" s="13">
        <v>23.0103</v>
      </c>
      <c r="W568" s="13">
        <v>22.9895</v>
      </c>
      <c r="X568" s="13">
        <v>8.9097</v>
      </c>
      <c r="Y568" s="13">
        <v>0.6323</v>
      </c>
      <c r="Z568" s="13">
        <v>0.9274</v>
      </c>
      <c r="AA568" s="8" t="s">
        <v>2611</v>
      </c>
      <c r="AB568" s="14">
        <f>IFERROR(__xludf.DUMMYFUNCTION("IFERROR(GOOGLEFINANCE(B568,""price""),"""")"),82.22)</f>
        <v>82.22</v>
      </c>
    </row>
    <row r="569">
      <c r="A569" s="15">
        <v>46062.62714846756</v>
      </c>
      <c r="B569" s="16" t="s">
        <v>2704</v>
      </c>
      <c r="C569" s="16" t="s">
        <v>2705</v>
      </c>
      <c r="D569" s="17">
        <v>46068.0</v>
      </c>
      <c r="E569" s="18">
        <v>38.23</v>
      </c>
      <c r="F569" s="16" t="s">
        <v>88</v>
      </c>
      <c r="G569" s="24"/>
      <c r="H569" s="21">
        <v>-0.5438</v>
      </c>
      <c r="I569" s="17">
        <v>46066.0</v>
      </c>
      <c r="J569" s="18">
        <v>38.0</v>
      </c>
      <c r="K569" s="16">
        <v>2315.0</v>
      </c>
      <c r="L569" s="16" t="s">
        <v>2608</v>
      </c>
      <c r="M569" s="19">
        <v>0.6</v>
      </c>
      <c r="N569" s="16" t="s">
        <v>3286</v>
      </c>
      <c r="O569" s="16">
        <v>2315.0</v>
      </c>
      <c r="P569" s="19">
        <v>20.9139</v>
      </c>
      <c r="Q569" s="16" t="s">
        <v>2707</v>
      </c>
      <c r="R569" s="19">
        <v>9.3848</v>
      </c>
      <c r="S569" s="20">
        <v>3.3509687E7</v>
      </c>
      <c r="T569" s="20">
        <v>1.0688565958E10</v>
      </c>
      <c r="U569" s="21">
        <v>4.1438</v>
      </c>
      <c r="V569" s="21">
        <v>-11.4029</v>
      </c>
      <c r="W569" s="21">
        <v>-26.4624</v>
      </c>
      <c r="X569" s="21">
        <v>33.135</v>
      </c>
      <c r="Y569" s="21">
        <v>1.6778</v>
      </c>
      <c r="Z569" s="21">
        <v>4.8227</v>
      </c>
      <c r="AA569" s="16" t="s">
        <v>2611</v>
      </c>
      <c r="AB569" s="22">
        <f>IFERROR(__xludf.DUMMYFUNCTION("IFERROR(GOOGLEFINANCE(B569,""price""),"""")"),26.24)</f>
        <v>26.24</v>
      </c>
    </row>
    <row r="570">
      <c r="A570" s="7">
        <v>46062.62714846756</v>
      </c>
      <c r="B570" s="8" t="s">
        <v>1570</v>
      </c>
      <c r="C570" s="8" t="s">
        <v>1571</v>
      </c>
      <c r="D570" s="9">
        <v>46068.0</v>
      </c>
      <c r="E570" s="10">
        <v>46.9</v>
      </c>
      <c r="F570" s="8" t="s">
        <v>917</v>
      </c>
      <c r="G570" s="13">
        <v>20.3727</v>
      </c>
      <c r="H570" s="13">
        <v>2.3021</v>
      </c>
      <c r="I570" s="9">
        <v>46073.0</v>
      </c>
      <c r="J570" s="10">
        <v>46.0</v>
      </c>
      <c r="K570" s="8">
        <v>2255.0</v>
      </c>
      <c r="L570" s="8" t="s">
        <v>2608</v>
      </c>
      <c r="M570" s="11">
        <v>1.92</v>
      </c>
      <c r="N570" s="8" t="s">
        <v>3287</v>
      </c>
      <c r="O570" s="8">
        <v>2255.0</v>
      </c>
      <c r="P570" s="11">
        <v>26.2018</v>
      </c>
      <c r="Q570" s="8" t="s">
        <v>1572</v>
      </c>
      <c r="R570" s="11">
        <v>0.579</v>
      </c>
      <c r="S570" s="12">
        <v>2701462.0</v>
      </c>
      <c r="T570" s="12">
        <v>2.7092516715E10</v>
      </c>
      <c r="U570" s="13">
        <v>0.7921</v>
      </c>
      <c r="V570" s="13">
        <v>10.5451</v>
      </c>
      <c r="W570" s="13">
        <v>19.6489</v>
      </c>
      <c r="X570" s="13">
        <v>7.6402</v>
      </c>
      <c r="Y570" s="13">
        <v>2.1464</v>
      </c>
      <c r="Z570" s="13">
        <v>0.7474</v>
      </c>
      <c r="AA570" s="8" t="s">
        <v>2611</v>
      </c>
      <c r="AB570" s="14">
        <f>IFERROR(__xludf.DUMMYFUNCTION("IFERROR(GOOGLEFINANCE(B570,""price""),"""")"),51.43)</f>
        <v>51.43</v>
      </c>
    </row>
    <row r="571">
      <c r="A571" s="15">
        <v>46062.62714846756</v>
      </c>
      <c r="B571" s="16" t="s">
        <v>2973</v>
      </c>
      <c r="C571" s="16" t="s">
        <v>2974</v>
      </c>
      <c r="D571" s="17">
        <v>46068.0</v>
      </c>
      <c r="E571" s="18">
        <v>54.935</v>
      </c>
      <c r="F571" s="16" t="s">
        <v>93</v>
      </c>
      <c r="G571" s="21">
        <v>14.3907</v>
      </c>
      <c r="H571" s="21">
        <v>3.8174</v>
      </c>
      <c r="I571" s="17">
        <v>46073.0</v>
      </c>
      <c r="J571" s="18">
        <v>55.0</v>
      </c>
      <c r="K571" s="16">
        <v>2168.0</v>
      </c>
      <c r="L571" s="16" t="s">
        <v>2608</v>
      </c>
      <c r="M571" s="19">
        <v>0.12</v>
      </c>
      <c r="N571" s="16" t="s">
        <v>3288</v>
      </c>
      <c r="O571" s="16">
        <v>2168.0</v>
      </c>
      <c r="P571" s="19">
        <v>26.8147</v>
      </c>
      <c r="Q571" s="16" t="s">
        <v>2976</v>
      </c>
      <c r="R571" s="19">
        <v>-1.5678</v>
      </c>
      <c r="S571" s="20">
        <v>5580169.0</v>
      </c>
      <c r="T571" s="20">
        <v>7.0275392596E10</v>
      </c>
      <c r="U571" s="21">
        <v>1.098</v>
      </c>
      <c r="V571" s="21">
        <v>8.2363</v>
      </c>
      <c r="W571" s="21">
        <v>21.1616</v>
      </c>
      <c r="X571" s="21">
        <v>24.2886</v>
      </c>
      <c r="Y571" s="21">
        <v>1.0708</v>
      </c>
      <c r="Z571" s="21">
        <v>0.3413</v>
      </c>
      <c r="AA571" s="16" t="s">
        <v>2620</v>
      </c>
      <c r="AB571" s="22">
        <f>IFERROR(__xludf.DUMMYFUNCTION("IFERROR(GOOGLEFINANCE(B571,""price""),"""")"),49.6)</f>
        <v>49.6</v>
      </c>
    </row>
    <row r="572">
      <c r="A572" s="7">
        <v>46062.62714846756</v>
      </c>
      <c r="B572" s="8" t="s">
        <v>3185</v>
      </c>
      <c r="C572" s="8" t="s">
        <v>3186</v>
      </c>
      <c r="D572" s="9">
        <v>46068.0</v>
      </c>
      <c r="E572" s="10">
        <v>64.33</v>
      </c>
      <c r="F572" s="8" t="s">
        <v>186</v>
      </c>
      <c r="G572" s="13">
        <v>60.4151</v>
      </c>
      <c r="H572" s="13">
        <v>1.0648</v>
      </c>
      <c r="I572" s="9">
        <v>46073.0</v>
      </c>
      <c r="J572" s="10">
        <v>65.0</v>
      </c>
      <c r="K572" s="8">
        <v>2153.0</v>
      </c>
      <c r="L572" s="8" t="s">
        <v>2608</v>
      </c>
      <c r="M572" s="11">
        <v>1.04</v>
      </c>
      <c r="N572" s="8" t="s">
        <v>3289</v>
      </c>
      <c r="O572" s="8">
        <v>2153.0</v>
      </c>
      <c r="P572" s="11">
        <v>20.6127</v>
      </c>
      <c r="Q572" s="8" t="s">
        <v>3188</v>
      </c>
      <c r="R572" s="11">
        <v>-0.7866</v>
      </c>
      <c r="S572" s="12">
        <v>1141225.0</v>
      </c>
      <c r="T572" s="12">
        <v>3.1176169888E10</v>
      </c>
      <c r="U572" s="13">
        <v>1.0017</v>
      </c>
      <c r="V572" s="13">
        <v>36.2085</v>
      </c>
      <c r="W572" s="13">
        <v>19.5906</v>
      </c>
      <c r="X572" s="13">
        <v>11.1665</v>
      </c>
      <c r="Y572" s="13">
        <v>0.5953</v>
      </c>
      <c r="Z572" s="13">
        <v>0.7568</v>
      </c>
      <c r="AA572" s="8" t="s">
        <v>2620</v>
      </c>
      <c r="AB572" s="14">
        <f>IFERROR(__xludf.DUMMYFUNCTION("IFERROR(GOOGLEFINANCE(B572,""price""),"""")"),54.23)</f>
        <v>54.23</v>
      </c>
    </row>
    <row r="573">
      <c r="A573" s="15">
        <v>46062.62714846756</v>
      </c>
      <c r="B573" s="16" t="s">
        <v>2117</v>
      </c>
      <c r="C573" s="16" t="s">
        <v>2118</v>
      </c>
      <c r="D573" s="17">
        <v>46068.0</v>
      </c>
      <c r="E573" s="18">
        <v>158.6</v>
      </c>
      <c r="F573" s="16" t="s">
        <v>149</v>
      </c>
      <c r="G573" s="21">
        <v>28.5719</v>
      </c>
      <c r="H573" s="21">
        <v>5.5509</v>
      </c>
      <c r="I573" s="17">
        <v>46073.0</v>
      </c>
      <c r="J573" s="18">
        <v>160.0</v>
      </c>
      <c r="K573" s="16">
        <v>1896.0</v>
      </c>
      <c r="L573" s="16" t="s">
        <v>2608</v>
      </c>
      <c r="M573" s="19">
        <v>0.88</v>
      </c>
      <c r="N573" s="16" t="s">
        <v>3290</v>
      </c>
      <c r="O573" s="16">
        <v>1896.0</v>
      </c>
      <c r="P573" s="19">
        <v>24.0684</v>
      </c>
      <c r="Q573" s="16" t="s">
        <v>2119</v>
      </c>
      <c r="R573" s="19">
        <v>-2.6576</v>
      </c>
      <c r="S573" s="20">
        <v>1418375.0</v>
      </c>
      <c r="T573" s="20">
        <v>4.403573718E10</v>
      </c>
      <c r="U573" s="21">
        <v>3.3526</v>
      </c>
      <c r="V573" s="24"/>
      <c r="W573" s="21">
        <v>30.9388</v>
      </c>
      <c r="X573" s="21">
        <v>8.7959</v>
      </c>
      <c r="Y573" s="24"/>
      <c r="Z573" s="21">
        <v>1.3456</v>
      </c>
      <c r="AA573" s="16" t="s">
        <v>2620</v>
      </c>
      <c r="AB573" s="22">
        <f>IFERROR(__xludf.DUMMYFUNCTION("IFERROR(GOOGLEFINANCE(B573,""price""),"""")"),161.76)</f>
        <v>161.76</v>
      </c>
    </row>
    <row r="574">
      <c r="A574" s="7">
        <v>46062.62714846756</v>
      </c>
      <c r="B574" s="8" t="s">
        <v>3291</v>
      </c>
      <c r="C574" s="8" t="s">
        <v>3292</v>
      </c>
      <c r="D574" s="9">
        <v>46068.0</v>
      </c>
      <c r="E574" s="10">
        <v>229.85</v>
      </c>
      <c r="F574" s="8" t="s">
        <v>270</v>
      </c>
      <c r="G574" s="13">
        <v>34.3352</v>
      </c>
      <c r="H574" s="13">
        <v>6.6943</v>
      </c>
      <c r="I574" s="9">
        <v>46073.0</v>
      </c>
      <c r="J574" s="10">
        <v>230.0</v>
      </c>
      <c r="K574" s="8">
        <v>1682.0</v>
      </c>
      <c r="L574" s="8" t="s">
        <v>2608</v>
      </c>
      <c r="M574" s="11">
        <v>0.07</v>
      </c>
      <c r="N574" s="8" t="s">
        <v>3293</v>
      </c>
      <c r="O574" s="8">
        <v>1682.0</v>
      </c>
      <c r="P574" s="11">
        <v>15.9072</v>
      </c>
      <c r="Q574" s="8" t="s">
        <v>3294</v>
      </c>
      <c r="R574" s="11">
        <v>1.3493</v>
      </c>
      <c r="S574" s="12">
        <v>1251286.0</v>
      </c>
      <c r="T574" s="12">
        <v>9.2598992248E10</v>
      </c>
      <c r="U574" s="13">
        <v>4.3035</v>
      </c>
      <c r="V574" s="13">
        <v>29.6897</v>
      </c>
      <c r="W574" s="13">
        <v>18.2788</v>
      </c>
      <c r="X574" s="13">
        <v>14.2365</v>
      </c>
      <c r="Y574" s="13">
        <v>2.293</v>
      </c>
      <c r="Z574" s="13">
        <v>0.8888</v>
      </c>
      <c r="AA574" s="8" t="s">
        <v>2620</v>
      </c>
      <c r="AB574" s="14">
        <f>IFERROR(__xludf.DUMMYFUNCTION("IFERROR(GOOGLEFINANCE(B574,""price""),"""")"),229.45)</f>
        <v>229.45</v>
      </c>
    </row>
    <row r="575">
      <c r="A575" s="15">
        <v>46062.62714846756</v>
      </c>
      <c r="B575" s="16" t="s">
        <v>2726</v>
      </c>
      <c r="C575" s="16" t="s">
        <v>2727</v>
      </c>
      <c r="D575" s="17">
        <v>46068.0</v>
      </c>
      <c r="E575" s="18">
        <v>81.05</v>
      </c>
      <c r="F575" s="16" t="s">
        <v>286</v>
      </c>
      <c r="G575" s="21">
        <v>46.1403</v>
      </c>
      <c r="H575" s="21">
        <v>1.7566</v>
      </c>
      <c r="I575" s="17">
        <v>46073.0</v>
      </c>
      <c r="J575" s="18">
        <v>82.5</v>
      </c>
      <c r="K575" s="16">
        <v>1625.0</v>
      </c>
      <c r="L575" s="16" t="s">
        <v>2608</v>
      </c>
      <c r="M575" s="19">
        <v>1.79</v>
      </c>
      <c r="N575" s="16" t="s">
        <v>3295</v>
      </c>
      <c r="O575" s="16">
        <v>1625.0</v>
      </c>
      <c r="P575" s="19">
        <v>37.7332</v>
      </c>
      <c r="Q575" s="16" t="s">
        <v>2729</v>
      </c>
      <c r="R575" s="19">
        <v>-1.8052</v>
      </c>
      <c r="S575" s="20">
        <v>4389064.0</v>
      </c>
      <c r="T575" s="20">
        <v>7.9187567453E10</v>
      </c>
      <c r="U575" s="21">
        <v>1.5272</v>
      </c>
      <c r="V575" s="21">
        <v>25.538</v>
      </c>
      <c r="W575" s="21">
        <v>29.9505</v>
      </c>
      <c r="X575" s="21">
        <v>7.618</v>
      </c>
      <c r="Y575" s="21">
        <v>0.0</v>
      </c>
      <c r="Z575" s="21">
        <v>3.1855</v>
      </c>
      <c r="AA575" s="16" t="s">
        <v>2620</v>
      </c>
      <c r="AB575" s="22">
        <f>IFERROR(__xludf.DUMMYFUNCTION("IFERROR(GOOGLEFINANCE(B575,""price""),"""")"),75.72)</f>
        <v>75.72</v>
      </c>
    </row>
    <row r="576">
      <c r="A576" s="7">
        <v>46062.62714846756</v>
      </c>
      <c r="B576" s="8" t="s">
        <v>2521</v>
      </c>
      <c r="C576" s="8" t="s">
        <v>2522</v>
      </c>
      <c r="D576" s="9">
        <v>46068.0</v>
      </c>
      <c r="E576" s="10">
        <v>322.83</v>
      </c>
      <c r="F576" s="8" t="s">
        <v>308</v>
      </c>
      <c r="G576" s="13">
        <v>70.652</v>
      </c>
      <c r="H576" s="13">
        <v>4.5693</v>
      </c>
      <c r="I576" s="9">
        <v>46066.0</v>
      </c>
      <c r="J576" s="10">
        <v>317.5</v>
      </c>
      <c r="K576" s="8">
        <v>1473.0</v>
      </c>
      <c r="L576" s="8" t="s">
        <v>2627</v>
      </c>
      <c r="M576" s="11">
        <v>1.65</v>
      </c>
      <c r="N576" s="8" t="s">
        <v>3296</v>
      </c>
      <c r="O576" s="8">
        <v>1473.0</v>
      </c>
      <c r="P576" s="11">
        <v>39.2802</v>
      </c>
      <c r="Q576" s="8" t="s">
        <v>2523</v>
      </c>
      <c r="R576" s="11">
        <v>0.7427</v>
      </c>
      <c r="S576" s="12">
        <v>1853274.0</v>
      </c>
      <c r="T576" s="12">
        <v>1.57743977294E11</v>
      </c>
      <c r="U576" s="13">
        <v>9.1314</v>
      </c>
      <c r="V576" s="13">
        <v>6.5728</v>
      </c>
      <c r="W576" s="13">
        <v>27.2724</v>
      </c>
      <c r="X576" s="13">
        <v>16.8932</v>
      </c>
      <c r="Y576" s="13">
        <v>0.2646</v>
      </c>
      <c r="Z576" s="13">
        <v>2.1899</v>
      </c>
      <c r="AA576" s="8" t="s">
        <v>2611</v>
      </c>
      <c r="AB576" s="14">
        <f>IFERROR(__xludf.DUMMYFUNCTION("IFERROR(GOOGLEFINANCE(B576,""price""),"""")"),350.14)</f>
        <v>350.14</v>
      </c>
    </row>
    <row r="577">
      <c r="A577" s="15">
        <v>46062.62714846756</v>
      </c>
      <c r="B577" s="16" t="s">
        <v>2700</v>
      </c>
      <c r="C577" s="16" t="s">
        <v>2701</v>
      </c>
      <c r="D577" s="17">
        <v>46068.0</v>
      </c>
      <c r="E577" s="18">
        <v>229.545</v>
      </c>
      <c r="F577" s="16" t="s">
        <v>102</v>
      </c>
      <c r="G577" s="21">
        <v>47.0447</v>
      </c>
      <c r="H577" s="21">
        <v>4.8793</v>
      </c>
      <c r="I577" s="17">
        <v>46066.0</v>
      </c>
      <c r="J577" s="18">
        <v>230.0</v>
      </c>
      <c r="K577" s="16">
        <v>1313.0</v>
      </c>
      <c r="L577" s="16" t="s">
        <v>2627</v>
      </c>
      <c r="M577" s="19">
        <v>0.2</v>
      </c>
      <c r="N577" s="16" t="s">
        <v>3297</v>
      </c>
      <c r="O577" s="16">
        <v>1313.0</v>
      </c>
      <c r="P577" s="19">
        <v>35.6067</v>
      </c>
      <c r="Q577" s="16" t="s">
        <v>2703</v>
      </c>
      <c r="R577" s="19">
        <v>-0.6342</v>
      </c>
      <c r="S577" s="20">
        <v>6058010.0</v>
      </c>
      <c r="T577" s="20">
        <v>2.86649131482E11</v>
      </c>
      <c r="U577" s="21">
        <v>12.643</v>
      </c>
      <c r="V577" s="21">
        <v>65.5649</v>
      </c>
      <c r="W577" s="21">
        <v>33.7646</v>
      </c>
      <c r="X577" s="21">
        <v>26.8457</v>
      </c>
      <c r="Y577" s="21">
        <v>0.4419</v>
      </c>
      <c r="Z577" s="21">
        <v>2.2562</v>
      </c>
      <c r="AA577" s="16" t="s">
        <v>2620</v>
      </c>
      <c r="AB577" s="22">
        <f>IFERROR(__xludf.DUMMYFUNCTION("IFERROR(GOOGLEFINANCE(B577,""price""),"""")"),263.66)</f>
        <v>263.66</v>
      </c>
    </row>
    <row r="578">
      <c r="A578" s="7">
        <v>46062.62714846756</v>
      </c>
      <c r="B578" s="8" t="s">
        <v>2710</v>
      </c>
      <c r="C578" s="8" t="s">
        <v>2711</v>
      </c>
      <c r="D578" s="9">
        <v>46068.0</v>
      </c>
      <c r="E578" s="10">
        <v>121.09</v>
      </c>
      <c r="F578" s="8" t="s">
        <v>917</v>
      </c>
      <c r="G578" s="13">
        <v>17.7169</v>
      </c>
      <c r="H578" s="13">
        <v>6.8347</v>
      </c>
      <c r="I578" s="9">
        <v>46073.0</v>
      </c>
      <c r="J578" s="10">
        <v>120.0</v>
      </c>
      <c r="K578" s="8">
        <v>1275.0</v>
      </c>
      <c r="L578" s="8" t="s">
        <v>2608</v>
      </c>
      <c r="M578" s="11">
        <v>0.9</v>
      </c>
      <c r="N578" s="8" t="s">
        <v>3298</v>
      </c>
      <c r="O578" s="8">
        <v>1275.0</v>
      </c>
      <c r="P578" s="11">
        <v>22.5914</v>
      </c>
      <c r="Q578" s="8" t="s">
        <v>2713</v>
      </c>
      <c r="R578" s="11">
        <v>0.2401</v>
      </c>
      <c r="S578" s="12">
        <v>1680324.0</v>
      </c>
      <c r="T578" s="12">
        <v>6.467350251E10</v>
      </c>
      <c r="U578" s="13">
        <v>2.0515</v>
      </c>
      <c r="V578" s="13">
        <v>12.848</v>
      </c>
      <c r="W578" s="13">
        <v>25.4789</v>
      </c>
      <c r="X578" s="13">
        <v>7.6587</v>
      </c>
      <c r="Y578" s="13">
        <v>1.5759</v>
      </c>
      <c r="Z578" s="13">
        <v>0.6862</v>
      </c>
      <c r="AA578" s="8" t="s">
        <v>2611</v>
      </c>
      <c r="AB578" s="14">
        <f>IFERROR(__xludf.DUMMYFUNCTION("IFERROR(GOOGLEFINANCE(B578,""price""),"""")"),136.3)</f>
        <v>136.3</v>
      </c>
    </row>
    <row r="579">
      <c r="A579" s="15">
        <v>46062.62714846756</v>
      </c>
      <c r="B579" s="16" t="s">
        <v>2428</v>
      </c>
      <c r="C579" s="16" t="s">
        <v>2429</v>
      </c>
      <c r="D579" s="17">
        <v>46068.0</v>
      </c>
      <c r="E579" s="18">
        <v>127.27</v>
      </c>
      <c r="F579" s="16" t="s">
        <v>102</v>
      </c>
      <c r="G579" s="21">
        <v>28.2183</v>
      </c>
      <c r="H579" s="21">
        <v>4.5102</v>
      </c>
      <c r="I579" s="17">
        <v>46073.0</v>
      </c>
      <c r="J579" s="18">
        <v>128.6</v>
      </c>
      <c r="K579" s="16">
        <v>1240.0</v>
      </c>
      <c r="L579" s="16" t="s">
        <v>2608</v>
      </c>
      <c r="M579" s="19">
        <v>1.05</v>
      </c>
      <c r="N579" s="16" t="s">
        <v>3299</v>
      </c>
      <c r="O579" s="16">
        <v>1240.0</v>
      </c>
      <c r="P579" s="19">
        <v>40.1816</v>
      </c>
      <c r="Q579" s="16" t="s">
        <v>2430</v>
      </c>
      <c r="R579" s="19">
        <v>-0.0628</v>
      </c>
      <c r="S579" s="20">
        <v>1849299.0</v>
      </c>
      <c r="T579" s="20">
        <v>6.6842756277E10</v>
      </c>
      <c r="U579" s="21">
        <v>2.8624</v>
      </c>
      <c r="V579" s="21">
        <v>12.9222</v>
      </c>
      <c r="W579" s="21">
        <v>10.9587</v>
      </c>
      <c r="X579" s="21">
        <v>-15.5047</v>
      </c>
      <c r="Y579" s="24"/>
      <c r="Z579" s="21">
        <v>1.701</v>
      </c>
      <c r="AA579" s="16" t="s">
        <v>2620</v>
      </c>
      <c r="AB579" s="22">
        <f>IFERROR(__xludf.DUMMYFUNCTION("IFERROR(GOOGLEFINANCE(B579,""price""),"""")"),127.19)</f>
        <v>127.19</v>
      </c>
    </row>
    <row r="580">
      <c r="A580" s="7">
        <v>46062.62714846756</v>
      </c>
      <c r="B580" s="8" t="s">
        <v>3086</v>
      </c>
      <c r="C580" s="8" t="s">
        <v>3087</v>
      </c>
      <c r="D580" s="9">
        <v>46068.0</v>
      </c>
      <c r="E580" s="10">
        <v>75.295</v>
      </c>
      <c r="F580" s="8" t="s">
        <v>162</v>
      </c>
      <c r="G580" s="13">
        <v>9.8276</v>
      </c>
      <c r="H580" s="13">
        <v>7.6616</v>
      </c>
      <c r="I580" s="9">
        <v>46066.0</v>
      </c>
      <c r="J580" s="10">
        <v>76.0</v>
      </c>
      <c r="K580" s="8">
        <v>1218.0</v>
      </c>
      <c r="L580" s="8" t="s">
        <v>2608</v>
      </c>
      <c r="M580" s="11">
        <v>0.94</v>
      </c>
      <c r="N580" s="8" t="s">
        <v>3300</v>
      </c>
      <c r="O580" s="8">
        <v>1218.0</v>
      </c>
      <c r="P580" s="11">
        <v>18.688</v>
      </c>
      <c r="Q580" s="8" t="s">
        <v>3089</v>
      </c>
      <c r="R580" s="11">
        <v>-0.073</v>
      </c>
      <c r="S580" s="12">
        <v>5657186.0</v>
      </c>
      <c r="T580" s="12">
        <v>4.9164830662E10</v>
      </c>
      <c r="U580" s="13">
        <v>2.4263</v>
      </c>
      <c r="V580" s="13">
        <v>27.7756</v>
      </c>
      <c r="W580" s="13">
        <v>9.1882</v>
      </c>
      <c r="X580" s="13">
        <v>2.7935</v>
      </c>
      <c r="Y580" s="13">
        <v>0.9769</v>
      </c>
      <c r="Z580" s="13">
        <v>0.3964</v>
      </c>
      <c r="AA580" s="8" t="s">
        <v>2620</v>
      </c>
      <c r="AB580" s="14">
        <f>IFERROR(__xludf.DUMMYFUNCTION("IFERROR(GOOGLEFINANCE(B580,""price""),"""")"),67.82)</f>
        <v>67.82</v>
      </c>
    </row>
    <row r="581">
      <c r="A581" s="15">
        <v>46062.62714846756</v>
      </c>
      <c r="B581" s="16" t="s">
        <v>3141</v>
      </c>
      <c r="C581" s="16" t="s">
        <v>3142</v>
      </c>
      <c r="D581" s="17">
        <v>46068.0</v>
      </c>
      <c r="E581" s="18">
        <v>325.43</v>
      </c>
      <c r="F581" s="16" t="s">
        <v>93</v>
      </c>
      <c r="G581" s="21">
        <v>12.6521</v>
      </c>
      <c r="H581" s="21">
        <v>25.7215</v>
      </c>
      <c r="I581" s="17">
        <v>46073.0</v>
      </c>
      <c r="J581" s="18">
        <v>325.0</v>
      </c>
      <c r="K581" s="16">
        <v>1177.0</v>
      </c>
      <c r="L581" s="16" t="s">
        <v>2608</v>
      </c>
      <c r="M581" s="19">
        <v>0.13</v>
      </c>
      <c r="N581" s="16" t="s">
        <v>3301</v>
      </c>
      <c r="O581" s="16">
        <v>1177.0</v>
      </c>
      <c r="P581" s="19">
        <v>25.1413</v>
      </c>
      <c r="Q581" s="16" t="s">
        <v>3144</v>
      </c>
      <c r="R581" s="19">
        <v>-1.6739</v>
      </c>
      <c r="S581" s="20">
        <v>1490174.0</v>
      </c>
      <c r="T581" s="20">
        <v>1.28073251078E11</v>
      </c>
      <c r="U581" s="21">
        <v>6.5369</v>
      </c>
      <c r="V581" s="21">
        <v>14.9661</v>
      </c>
      <c r="W581" s="21">
        <v>21.2322</v>
      </c>
      <c r="X581" s="21">
        <v>6.9142</v>
      </c>
      <c r="Y581" s="24"/>
      <c r="Z581" s="21">
        <v>0.2721</v>
      </c>
      <c r="AA581" s="16" t="s">
        <v>2611</v>
      </c>
      <c r="AB581" s="22">
        <f>IFERROR(__xludf.DUMMYFUNCTION("IFERROR(GOOGLEFINANCE(B581,""price""),"""")"),327.91)</f>
        <v>327.91</v>
      </c>
    </row>
    <row r="582">
      <c r="A582" s="7">
        <v>46062.62714846756</v>
      </c>
      <c r="B582" s="8" t="s">
        <v>1626</v>
      </c>
      <c r="C582" s="8" t="s">
        <v>1627</v>
      </c>
      <c r="D582" s="9">
        <v>46068.0</v>
      </c>
      <c r="E582" s="10">
        <v>44.49</v>
      </c>
      <c r="F582" s="8" t="s">
        <v>917</v>
      </c>
      <c r="G582" s="13">
        <v>23.4987</v>
      </c>
      <c r="H582" s="13">
        <v>1.8933</v>
      </c>
      <c r="I582" s="9">
        <v>46073.0</v>
      </c>
      <c r="J582" s="10">
        <v>45.0</v>
      </c>
      <c r="K582" s="8">
        <v>1150.0</v>
      </c>
      <c r="L582" s="8" t="s">
        <v>2608</v>
      </c>
      <c r="M582" s="11">
        <v>1.15</v>
      </c>
      <c r="N582" s="8" t="s">
        <v>3302</v>
      </c>
      <c r="O582" s="8">
        <v>1150.0</v>
      </c>
      <c r="P582" s="11">
        <v>25.7567</v>
      </c>
      <c r="Q582" s="8" t="s">
        <v>1628</v>
      </c>
      <c r="R582" s="11">
        <v>0.8844</v>
      </c>
      <c r="S582" s="12">
        <v>2531820.0</v>
      </c>
      <c r="T582" s="12">
        <v>2.1230428223E10</v>
      </c>
      <c r="U582" s="13">
        <v>0.7552</v>
      </c>
      <c r="V582" s="13">
        <v>10.2329</v>
      </c>
      <c r="W582" s="13">
        <v>27.5403</v>
      </c>
      <c r="X582" s="13">
        <v>19.6207</v>
      </c>
      <c r="Y582" s="13">
        <v>1.7288</v>
      </c>
      <c r="Z582" s="13">
        <v>0.5231</v>
      </c>
      <c r="AA582" s="8" t="s">
        <v>2620</v>
      </c>
      <c r="AB582" s="14">
        <f>IFERROR(__xludf.DUMMYFUNCTION("IFERROR(GOOGLEFINANCE(B582,""price""),"""")"),48.05)</f>
        <v>48.05</v>
      </c>
    </row>
    <row r="583">
      <c r="A583" s="15">
        <v>46062.62714846756</v>
      </c>
      <c r="B583" s="16" t="s">
        <v>2684</v>
      </c>
      <c r="C583" s="16" t="s">
        <v>2685</v>
      </c>
      <c r="D583" s="17">
        <v>46068.0</v>
      </c>
      <c r="E583" s="18">
        <v>330.39</v>
      </c>
      <c r="F583" s="16" t="s">
        <v>102</v>
      </c>
      <c r="G583" s="21">
        <v>38.0897</v>
      </c>
      <c r="H583" s="21">
        <v>8.674</v>
      </c>
      <c r="I583" s="17">
        <v>46066.0</v>
      </c>
      <c r="J583" s="18">
        <v>335.0</v>
      </c>
      <c r="K583" s="16">
        <v>1138.0</v>
      </c>
      <c r="L583" s="16" t="s">
        <v>2608</v>
      </c>
      <c r="M583" s="19">
        <v>1.4</v>
      </c>
      <c r="N583" s="16" t="s">
        <v>3303</v>
      </c>
      <c r="O583" s="16">
        <v>1138.0</v>
      </c>
      <c r="P583" s="19">
        <v>31.1357</v>
      </c>
      <c r="Q583" s="16" t="s">
        <v>2687</v>
      </c>
      <c r="R583" s="19">
        <v>2.4433</v>
      </c>
      <c r="S583" s="20">
        <v>4286972.0</v>
      </c>
      <c r="T583" s="20">
        <v>2.61980564437E11</v>
      </c>
      <c r="U583" s="21">
        <v>15.2026</v>
      </c>
      <c r="V583" s="21">
        <v>35.5084</v>
      </c>
      <c r="W583" s="21">
        <v>29.8576</v>
      </c>
      <c r="X583" s="21">
        <v>4.4669</v>
      </c>
      <c r="Y583" s="21">
        <v>0.3453</v>
      </c>
      <c r="Z583" s="21">
        <v>2.6105</v>
      </c>
      <c r="AA583" s="16" t="s">
        <v>2620</v>
      </c>
      <c r="AB583" s="22">
        <f>IFERROR(__xludf.DUMMYFUNCTION("IFERROR(GOOGLEFINANCE(B583,""price""),"""")"),399.5)</f>
        <v>399.5</v>
      </c>
    </row>
    <row r="584">
      <c r="A584" s="7">
        <v>46062.62714846756</v>
      </c>
      <c r="B584" s="8" t="s">
        <v>2663</v>
      </c>
      <c r="C584" s="8" t="s">
        <v>2664</v>
      </c>
      <c r="D584" s="9">
        <v>46068.0</v>
      </c>
      <c r="E584" s="10">
        <v>120.945</v>
      </c>
      <c r="F584" s="8" t="s">
        <v>335</v>
      </c>
      <c r="G584" s="13">
        <v>18.801</v>
      </c>
      <c r="H584" s="13">
        <v>6.4329</v>
      </c>
      <c r="I584" s="9">
        <v>46066.0</v>
      </c>
      <c r="J584" s="10">
        <v>123.0</v>
      </c>
      <c r="K584" s="8">
        <v>1069.0</v>
      </c>
      <c r="L584" s="8" t="s">
        <v>2608</v>
      </c>
      <c r="M584" s="11">
        <v>1.7</v>
      </c>
      <c r="N584" s="8" t="s">
        <v>3304</v>
      </c>
      <c r="O584" s="8">
        <v>1069.0</v>
      </c>
      <c r="P584" s="11">
        <v>26.0706</v>
      </c>
      <c r="Q584" s="8" t="s">
        <v>2666</v>
      </c>
      <c r="R584" s="11">
        <v>4.8777</v>
      </c>
      <c r="S584" s="12">
        <v>4665088.0</v>
      </c>
      <c r="T584" s="12">
        <v>1.31982795863E11</v>
      </c>
      <c r="U584" s="13">
        <v>5.8648</v>
      </c>
      <c r="V584" s="13">
        <v>22.8383</v>
      </c>
      <c r="W584" s="13">
        <v>42.3718</v>
      </c>
      <c r="X584" s="13">
        <v>26.2476</v>
      </c>
      <c r="Y584" s="13">
        <v>0.1701</v>
      </c>
      <c r="Z584" s="13">
        <v>2.0393</v>
      </c>
      <c r="AA584" s="8" t="s">
        <v>2620</v>
      </c>
      <c r="AB584" s="14">
        <f>IFERROR(__xludf.DUMMYFUNCTION("IFERROR(GOOGLEFINANCE(B584,""price""),"""")"),120.9)</f>
        <v>120.9</v>
      </c>
    </row>
    <row r="585">
      <c r="A585" s="15">
        <v>46062.62714846756</v>
      </c>
      <c r="B585" s="16" t="s">
        <v>2646</v>
      </c>
      <c r="C585" s="16" t="s">
        <v>2647</v>
      </c>
      <c r="D585" s="17">
        <v>46068.0</v>
      </c>
      <c r="E585" s="18">
        <v>35.18</v>
      </c>
      <c r="F585" s="16" t="s">
        <v>270</v>
      </c>
      <c r="G585" s="21">
        <v>13.248</v>
      </c>
      <c r="H585" s="21">
        <v>2.6555</v>
      </c>
      <c r="I585" s="17">
        <v>46066.0</v>
      </c>
      <c r="J585" s="18">
        <v>35.0</v>
      </c>
      <c r="K585" s="16">
        <v>1023.0</v>
      </c>
      <c r="L585" s="16" t="s">
        <v>2608</v>
      </c>
      <c r="M585" s="19">
        <v>0.51</v>
      </c>
      <c r="N585" s="16" t="s">
        <v>3305</v>
      </c>
      <c r="O585" s="16">
        <v>1023.0</v>
      </c>
      <c r="P585" s="19">
        <v>34.0922</v>
      </c>
      <c r="Q585" s="16" t="s">
        <v>2649</v>
      </c>
      <c r="R585" s="19">
        <v>0.7734</v>
      </c>
      <c r="S585" s="20">
        <v>3745470.0</v>
      </c>
      <c r="T585" s="20">
        <v>7.6105634028E10</v>
      </c>
      <c r="U585" s="21">
        <v>0.6569</v>
      </c>
      <c r="V585" s="24"/>
      <c r="W585" s="21">
        <v>13.037</v>
      </c>
      <c r="X585" s="21">
        <v>-5.779</v>
      </c>
      <c r="Y585" s="24"/>
      <c r="Z585" s="24"/>
      <c r="AA585" s="16" t="s">
        <v>2611</v>
      </c>
      <c r="AB585" s="22">
        <f>IFERROR(__xludf.DUMMYFUNCTION("IFERROR(GOOGLEFINANCE(B585,""price""),"""")"),37.35)</f>
        <v>37.35</v>
      </c>
    </row>
    <row r="586">
      <c r="A586" s="7">
        <v>46063.62790063142</v>
      </c>
      <c r="B586" s="8" t="s">
        <v>3269</v>
      </c>
      <c r="C586" s="8" t="s">
        <v>3270</v>
      </c>
      <c r="D586" s="9">
        <v>46068.0</v>
      </c>
      <c r="E586" s="10">
        <v>274.3496</v>
      </c>
      <c r="F586" s="8" t="s">
        <v>308</v>
      </c>
      <c r="G586" s="13">
        <v>34.7111</v>
      </c>
      <c r="H586" s="13">
        <v>7.9038</v>
      </c>
      <c r="I586" s="9">
        <v>46064.0</v>
      </c>
      <c r="J586" s="10">
        <v>272.5</v>
      </c>
      <c r="K586" s="8">
        <v>9133.0</v>
      </c>
      <c r="L586" s="8" t="s">
        <v>2627</v>
      </c>
      <c r="M586" s="11">
        <v>0.67</v>
      </c>
      <c r="N586" s="8" t="s">
        <v>3306</v>
      </c>
      <c r="O586" s="8">
        <v>26074.0</v>
      </c>
      <c r="P586" s="11">
        <v>24.8277</v>
      </c>
      <c r="Q586" s="8" t="s">
        <v>3272</v>
      </c>
      <c r="R586" s="11">
        <v>-0.0985</v>
      </c>
      <c r="S586" s="12">
        <v>2.0124356E7</v>
      </c>
      <c r="T586" s="12">
        <v>4.027764718479E12</v>
      </c>
      <c r="U586" s="13">
        <v>5.7743</v>
      </c>
      <c r="V586" s="13">
        <v>152.0213</v>
      </c>
      <c r="W586" s="13">
        <v>32.384</v>
      </c>
      <c r="X586" s="13">
        <v>10.071</v>
      </c>
      <c r="Y586" s="13">
        <v>1.0263</v>
      </c>
      <c r="Z586" s="13">
        <v>0.9737</v>
      </c>
      <c r="AA586" s="8" t="s">
        <v>2611</v>
      </c>
      <c r="AB586" s="14">
        <f>IFERROR(__xludf.DUMMYFUNCTION("IFERROR(GOOGLEFINANCE(B586,""price""),"""")"),260.48)</f>
        <v>260.48</v>
      </c>
    </row>
    <row r="587">
      <c r="A587" s="15">
        <v>46063.62790063142</v>
      </c>
      <c r="B587" s="16" t="s">
        <v>1598</v>
      </c>
      <c r="C587" s="16" t="s">
        <v>1599</v>
      </c>
      <c r="D587" s="17">
        <v>46068.0</v>
      </c>
      <c r="E587" s="18">
        <v>55.4801</v>
      </c>
      <c r="F587" s="16" t="s">
        <v>93</v>
      </c>
      <c r="G587" s="21">
        <v>14.4743</v>
      </c>
      <c r="H587" s="21">
        <v>3.833</v>
      </c>
      <c r="I587" s="17">
        <v>46066.0</v>
      </c>
      <c r="J587" s="18">
        <v>56.0</v>
      </c>
      <c r="K587" s="16">
        <v>3199.0</v>
      </c>
      <c r="L587" s="16" t="s">
        <v>2627</v>
      </c>
      <c r="M587" s="19">
        <v>0.94</v>
      </c>
      <c r="N587" s="16" t="s">
        <v>3307</v>
      </c>
      <c r="O587" s="16">
        <v>22573.0</v>
      </c>
      <c r="P587" s="19">
        <v>21.8408</v>
      </c>
      <c r="Q587" s="16" t="s">
        <v>1600</v>
      </c>
      <c r="R587" s="19">
        <v>-1.6485</v>
      </c>
      <c r="S587" s="20">
        <v>3.9920882E7</v>
      </c>
      <c r="T587" s="20">
        <v>4.00148242605E11</v>
      </c>
      <c r="U587" s="21">
        <v>1.2079</v>
      </c>
      <c r="V587" s="21">
        <v>10.2298</v>
      </c>
      <c r="W587" s="21">
        <v>18.0672</v>
      </c>
      <c r="X587" s="21">
        <v>-2.1208</v>
      </c>
      <c r="Y587" s="21">
        <v>2.3434</v>
      </c>
      <c r="Z587" s="21">
        <v>0.9906</v>
      </c>
      <c r="AA587" s="16" t="s">
        <v>2620</v>
      </c>
      <c r="AB587" s="22">
        <f>IFERROR(__xludf.DUMMYFUNCTION("IFERROR(GOOGLEFINANCE(B587,""price""),"""")"),52.54)</f>
        <v>52.54</v>
      </c>
    </row>
    <row r="588">
      <c r="A588" s="7">
        <v>46063.62790063142</v>
      </c>
      <c r="B588" s="8" t="s">
        <v>2625</v>
      </c>
      <c r="C588" s="8" t="s">
        <v>2626</v>
      </c>
      <c r="D588" s="9">
        <v>46068.0</v>
      </c>
      <c r="E588" s="10">
        <v>126.7401</v>
      </c>
      <c r="F588" s="8" t="s">
        <v>137</v>
      </c>
      <c r="G588" s="13">
        <v>44.4546</v>
      </c>
      <c r="H588" s="13">
        <v>2.851</v>
      </c>
      <c r="I588" s="9">
        <v>46066.0</v>
      </c>
      <c r="J588" s="10">
        <v>126.0</v>
      </c>
      <c r="K588" s="8">
        <v>4821.0</v>
      </c>
      <c r="L588" s="8" t="s">
        <v>2627</v>
      </c>
      <c r="M588" s="11">
        <v>0.58</v>
      </c>
      <c r="N588" s="8" t="s">
        <v>3308</v>
      </c>
      <c r="O588" s="8">
        <v>20074.0</v>
      </c>
      <c r="P588" s="11">
        <v>32.8588</v>
      </c>
      <c r="Q588" s="8" t="s">
        <v>2629</v>
      </c>
      <c r="R588" s="11">
        <v>-1.7671</v>
      </c>
      <c r="S588" s="12">
        <v>1.1884855E7</v>
      </c>
      <c r="T588" s="12">
        <v>1.010139795057E12</v>
      </c>
      <c r="U588" s="13">
        <v>2.8336</v>
      </c>
      <c r="V588" s="13">
        <v>24.8749</v>
      </c>
      <c r="W588" s="13">
        <v>4.1214</v>
      </c>
      <c r="X588" s="13">
        <v>4.3397</v>
      </c>
      <c r="Y588" s="13">
        <v>0.7121</v>
      </c>
      <c r="Z588" s="13">
        <v>0.8029</v>
      </c>
      <c r="AA588" s="8" t="s">
        <v>2611</v>
      </c>
      <c r="AB588" s="14">
        <f>IFERROR(__xludf.DUMMYFUNCTION("IFERROR(GOOGLEFINANCE(B588,""price""),"""")"),126.79)</f>
        <v>126.79</v>
      </c>
    </row>
    <row r="589">
      <c r="A589" s="15">
        <v>46063.62790063142</v>
      </c>
      <c r="B589" s="16" t="s">
        <v>2616</v>
      </c>
      <c r="C589" s="16" t="s">
        <v>2617</v>
      </c>
      <c r="D589" s="17">
        <v>46068.0</v>
      </c>
      <c r="E589" s="18">
        <v>76.745</v>
      </c>
      <c r="F589" s="16" t="s">
        <v>286</v>
      </c>
      <c r="G589" s="21">
        <v>25.4089</v>
      </c>
      <c r="H589" s="21">
        <v>3.0204</v>
      </c>
      <c r="I589" s="17">
        <v>46066.0</v>
      </c>
      <c r="J589" s="18">
        <v>77.0</v>
      </c>
      <c r="K589" s="16">
        <v>5489.0</v>
      </c>
      <c r="L589" s="16" t="s">
        <v>2608</v>
      </c>
      <c r="M589" s="19">
        <v>0.33</v>
      </c>
      <c r="N589" s="16" t="s">
        <v>3309</v>
      </c>
      <c r="O589" s="16">
        <v>16665.0</v>
      </c>
      <c r="P589" s="19">
        <v>38.9694</v>
      </c>
      <c r="Q589" s="16" t="s">
        <v>2619</v>
      </c>
      <c r="R589" s="19">
        <v>-1.5711</v>
      </c>
      <c r="S589" s="20">
        <v>2.2162192E7</v>
      </c>
      <c r="T589" s="20">
        <v>3.30126979179E11</v>
      </c>
      <c r="U589" s="21">
        <v>1.2576</v>
      </c>
      <c r="V589" s="21">
        <v>45.1173</v>
      </c>
      <c r="W589" s="21">
        <v>31.1024</v>
      </c>
      <c r="X589" s="21">
        <v>2.9315</v>
      </c>
      <c r="Y589" s="21">
        <v>1.5175</v>
      </c>
      <c r="Z589" s="21">
        <v>1.211</v>
      </c>
      <c r="AA589" s="16" t="s">
        <v>2620</v>
      </c>
      <c r="AB589" s="22">
        <f>IFERROR(__xludf.DUMMYFUNCTION("IFERROR(GOOGLEFINANCE(B589,""price""),"""")"),77.47)</f>
        <v>77.47</v>
      </c>
    </row>
    <row r="590">
      <c r="A590" s="7">
        <v>46063.62790063142</v>
      </c>
      <c r="B590" s="8" t="s">
        <v>2638</v>
      </c>
      <c r="C590" s="8" t="s">
        <v>2639</v>
      </c>
      <c r="D590" s="9">
        <v>46068.0</v>
      </c>
      <c r="E590" s="10">
        <v>151.51</v>
      </c>
      <c r="F590" s="8" t="s">
        <v>245</v>
      </c>
      <c r="G590" s="13">
        <v>22.6442</v>
      </c>
      <c r="H590" s="13">
        <v>6.6909</v>
      </c>
      <c r="I590" s="9">
        <v>46066.0</v>
      </c>
      <c r="J590" s="10">
        <v>152.5</v>
      </c>
      <c r="K590" s="8">
        <v>8102.0</v>
      </c>
      <c r="L590" s="8" t="s">
        <v>2608</v>
      </c>
      <c r="M590" s="11">
        <v>0.65</v>
      </c>
      <c r="N590" s="8" t="s">
        <v>3310</v>
      </c>
      <c r="O590" s="8">
        <v>13143.0</v>
      </c>
      <c r="P590" s="11">
        <v>56.4459</v>
      </c>
      <c r="Q590" s="8" t="s">
        <v>2641</v>
      </c>
      <c r="R590" s="11">
        <v>0.1984</v>
      </c>
      <c r="S590" s="12">
        <v>1.0121018E7</v>
      </c>
      <c r="T590" s="12">
        <v>6.38942777417E11</v>
      </c>
      <c r="U590" s="13">
        <v>3.0903</v>
      </c>
      <c r="V590" s="13">
        <v>11.0283</v>
      </c>
      <c r="W590" s="13">
        <v>10.3419</v>
      </c>
      <c r="X590" s="13">
        <v>-4.856</v>
      </c>
      <c r="Y590" s="13">
        <v>0.1678</v>
      </c>
      <c r="Z590" s="13">
        <v>1.1528</v>
      </c>
      <c r="AA590" s="8" t="s">
        <v>2620</v>
      </c>
      <c r="AB590" s="14">
        <f>IFERROR(__xludf.DUMMYFUNCTION("IFERROR(GOOGLEFINANCE(B590,""price""),"""")"),152.51)</f>
        <v>152.51</v>
      </c>
    </row>
    <row r="591">
      <c r="A591" s="15">
        <v>46063.62790063142</v>
      </c>
      <c r="B591" s="16" t="s">
        <v>2630</v>
      </c>
      <c r="C591" s="16" t="s">
        <v>2631</v>
      </c>
      <c r="D591" s="17">
        <v>46068.0</v>
      </c>
      <c r="E591" s="18">
        <v>374.5</v>
      </c>
      <c r="F591" s="16" t="s">
        <v>308</v>
      </c>
      <c r="G591" s="21">
        <v>35.5989</v>
      </c>
      <c r="H591" s="21">
        <v>10.52</v>
      </c>
      <c r="I591" s="17">
        <v>46066.0</v>
      </c>
      <c r="J591" s="18">
        <v>370.0</v>
      </c>
      <c r="K591" s="16">
        <v>4079.0</v>
      </c>
      <c r="L591" s="16" t="s">
        <v>2627</v>
      </c>
      <c r="M591" s="19">
        <v>1.2</v>
      </c>
      <c r="N591" s="16" t="s">
        <v>3311</v>
      </c>
      <c r="O591" s="16">
        <v>13120.0</v>
      </c>
      <c r="P591" s="19">
        <v>38.1124</v>
      </c>
      <c r="Q591" s="16" t="s">
        <v>2633</v>
      </c>
      <c r="R591" s="19">
        <v>-2.3468</v>
      </c>
      <c r="S591" s="20">
        <v>3.1131318E7</v>
      </c>
      <c r="T591" s="20">
        <v>4.21503224365E11</v>
      </c>
      <c r="U591" s="21">
        <v>24.9084</v>
      </c>
      <c r="V591" s="21">
        <v>22.5543</v>
      </c>
      <c r="W591" s="21">
        <v>32.9221</v>
      </c>
      <c r="X591" s="21">
        <v>45.432</v>
      </c>
      <c r="Y591" s="21">
        <v>0.2124</v>
      </c>
      <c r="Z591" s="21">
        <v>2.4598</v>
      </c>
      <c r="AA591" s="16" t="s">
        <v>2611</v>
      </c>
      <c r="AB591" s="22">
        <f>IFERROR(__xludf.DUMMYFUNCTION("IFERROR(GOOGLEFINANCE(B591,""price""),"""")"),420.59)</f>
        <v>420.59</v>
      </c>
    </row>
    <row r="592">
      <c r="A592" s="7">
        <v>46063.62790063142</v>
      </c>
      <c r="B592" s="8" t="s">
        <v>2634</v>
      </c>
      <c r="C592" s="8" t="s">
        <v>2635</v>
      </c>
      <c r="D592" s="9">
        <v>46068.0</v>
      </c>
      <c r="E592" s="10">
        <v>182.33</v>
      </c>
      <c r="F592" s="8" t="s">
        <v>245</v>
      </c>
      <c r="G592" s="13">
        <v>27.4143</v>
      </c>
      <c r="H592" s="13">
        <v>6.6509</v>
      </c>
      <c r="I592" s="9">
        <v>46066.0</v>
      </c>
      <c r="J592" s="10">
        <v>182.5</v>
      </c>
      <c r="K592" s="8">
        <v>3167.0</v>
      </c>
      <c r="L592" s="8" t="s">
        <v>2608</v>
      </c>
      <c r="M592" s="11">
        <v>0.09</v>
      </c>
      <c r="N592" s="8" t="s">
        <v>3312</v>
      </c>
      <c r="O592" s="8">
        <v>8837.0</v>
      </c>
      <c r="P592" s="11">
        <v>55.7083</v>
      </c>
      <c r="Q592" s="8" t="s">
        <v>2637</v>
      </c>
      <c r="R592" s="11">
        <v>-0.1479</v>
      </c>
      <c r="S592" s="12">
        <v>4909430.0</v>
      </c>
      <c r="T592" s="12">
        <v>3.67125406774E11</v>
      </c>
      <c r="U592" s="13">
        <v>3.3603</v>
      </c>
      <c r="V592" s="13">
        <v>7.261</v>
      </c>
      <c r="W592" s="13">
        <v>8.9022</v>
      </c>
      <c r="X592" s="13">
        <v>-4.6053</v>
      </c>
      <c r="Y592" s="13">
        <v>0.2186</v>
      </c>
      <c r="Z592" s="23"/>
      <c r="AA592" s="8" t="s">
        <v>2620</v>
      </c>
      <c r="AB592" s="14">
        <f>IFERROR(__xludf.DUMMYFUNCTION("IFERROR(GOOGLEFINANCE(B592,""price""),"""")"),188.55)</f>
        <v>188.55</v>
      </c>
    </row>
    <row r="593">
      <c r="A593" s="15">
        <v>46063.62790063142</v>
      </c>
      <c r="B593" s="16" t="s">
        <v>2704</v>
      </c>
      <c r="C593" s="16" t="s">
        <v>2705</v>
      </c>
      <c r="D593" s="17">
        <v>46068.0</v>
      </c>
      <c r="E593" s="18">
        <v>37.7</v>
      </c>
      <c r="F593" s="16" t="s">
        <v>88</v>
      </c>
      <c r="G593" s="24"/>
      <c r="H593" s="21">
        <v>-0.5438</v>
      </c>
      <c r="I593" s="17">
        <v>46066.0</v>
      </c>
      <c r="J593" s="18">
        <v>38.0</v>
      </c>
      <c r="K593" s="16">
        <v>3171.0</v>
      </c>
      <c r="L593" s="16" t="s">
        <v>2608</v>
      </c>
      <c r="M593" s="19">
        <v>0.8</v>
      </c>
      <c r="N593" s="16" t="s">
        <v>3313</v>
      </c>
      <c r="O593" s="16">
        <v>6920.0</v>
      </c>
      <c r="P593" s="19">
        <v>20.3496</v>
      </c>
      <c r="Q593" s="16" t="s">
        <v>2707</v>
      </c>
      <c r="R593" s="19">
        <v>-1.4637</v>
      </c>
      <c r="S593" s="20">
        <v>2.1877565E7</v>
      </c>
      <c r="T593" s="20">
        <v>1.0540384779E10</v>
      </c>
      <c r="U593" s="21">
        <v>4.0243</v>
      </c>
      <c r="V593" s="21">
        <v>-11.4029</v>
      </c>
      <c r="W593" s="21">
        <v>-26.4624</v>
      </c>
      <c r="X593" s="21">
        <v>33.135</v>
      </c>
      <c r="Y593" s="21">
        <v>1.6778</v>
      </c>
      <c r="Z593" s="21">
        <v>4.8227</v>
      </c>
      <c r="AA593" s="16" t="s">
        <v>2620</v>
      </c>
      <c r="AB593" s="22">
        <f>IFERROR(__xludf.DUMMYFUNCTION("IFERROR(GOOGLEFINANCE(B593,""price""),"""")"),26.24)</f>
        <v>26.24</v>
      </c>
    </row>
    <row r="594">
      <c r="A594" s="7">
        <v>46063.62790063142</v>
      </c>
      <c r="B594" s="8" t="s">
        <v>2344</v>
      </c>
      <c r="C594" s="8" t="s">
        <v>2345</v>
      </c>
      <c r="D594" s="9">
        <v>46068.0</v>
      </c>
      <c r="E594" s="10">
        <v>68.705</v>
      </c>
      <c r="F594" s="8" t="s">
        <v>270</v>
      </c>
      <c r="G594" s="13">
        <v>35.5469</v>
      </c>
      <c r="H594" s="13">
        <v>1.9328</v>
      </c>
      <c r="I594" s="9">
        <v>46066.0</v>
      </c>
      <c r="J594" s="10">
        <v>68.0</v>
      </c>
      <c r="K594" s="8">
        <v>3579.0</v>
      </c>
      <c r="L594" s="8" t="s">
        <v>2608</v>
      </c>
      <c r="M594" s="11">
        <v>1.03</v>
      </c>
      <c r="N594" s="8" t="s">
        <v>3314</v>
      </c>
      <c r="O594" s="8">
        <v>6199.0</v>
      </c>
      <c r="P594" s="11">
        <v>35.0419</v>
      </c>
      <c r="Q594" s="8" t="s">
        <v>2346</v>
      </c>
      <c r="R594" s="11">
        <v>1.2601</v>
      </c>
      <c r="S594" s="12">
        <v>1.1757198E7</v>
      </c>
      <c r="T594" s="12">
        <v>8.3903840719E10</v>
      </c>
      <c r="U594" s="13">
        <v>1.8904</v>
      </c>
      <c r="V594" s="13">
        <v>18.9995</v>
      </c>
      <c r="W594" s="13">
        <v>34.3112</v>
      </c>
      <c r="X594" s="13">
        <v>11.4798</v>
      </c>
      <c r="Y594" s="13">
        <v>2.2354</v>
      </c>
      <c r="Z594" s="13">
        <v>0.4224</v>
      </c>
      <c r="AA594" s="8" t="s">
        <v>2611</v>
      </c>
      <c r="AB594" s="14">
        <f>IFERROR(__xludf.DUMMYFUNCTION("IFERROR(GOOGLEFINANCE(B594,""price""),"""")"),72.74)</f>
        <v>72.74</v>
      </c>
    </row>
    <row r="595">
      <c r="A595" s="15">
        <v>46063.62790063142</v>
      </c>
      <c r="B595" s="16" t="s">
        <v>2700</v>
      </c>
      <c r="C595" s="16" t="s">
        <v>2701</v>
      </c>
      <c r="D595" s="17">
        <v>46068.0</v>
      </c>
      <c r="E595" s="18">
        <v>226.605</v>
      </c>
      <c r="F595" s="16" t="s">
        <v>102</v>
      </c>
      <c r="G595" s="21">
        <v>46.4421</v>
      </c>
      <c r="H595" s="21">
        <v>4.8793</v>
      </c>
      <c r="I595" s="17">
        <v>46066.0</v>
      </c>
      <c r="J595" s="18">
        <v>222.5</v>
      </c>
      <c r="K595" s="16">
        <v>2993.0</v>
      </c>
      <c r="L595" s="16" t="s">
        <v>2627</v>
      </c>
      <c r="M595" s="19">
        <v>1.81</v>
      </c>
      <c r="N595" s="16" t="s">
        <v>3315</v>
      </c>
      <c r="O595" s="16">
        <v>5890.0</v>
      </c>
      <c r="P595" s="19">
        <v>34.3201</v>
      </c>
      <c r="Q595" s="16" t="s">
        <v>2703</v>
      </c>
      <c r="R595" s="19">
        <v>-1.1667</v>
      </c>
      <c r="S595" s="20">
        <v>5496900.0</v>
      </c>
      <c r="T595" s="20">
        <v>2.82977750063E11</v>
      </c>
      <c r="U595" s="21">
        <v>12.3871</v>
      </c>
      <c r="V595" s="21">
        <v>65.5649</v>
      </c>
      <c r="W595" s="21">
        <v>33.7646</v>
      </c>
      <c r="X595" s="21">
        <v>26.8457</v>
      </c>
      <c r="Y595" s="21">
        <v>0.4419</v>
      </c>
      <c r="Z595" s="21">
        <v>2.2562</v>
      </c>
      <c r="AA595" s="16" t="s">
        <v>2611</v>
      </c>
      <c r="AB595" s="22">
        <f>IFERROR(__xludf.DUMMYFUNCTION("IFERROR(GOOGLEFINANCE(B595,""price""),"""")"),263.66)</f>
        <v>263.66</v>
      </c>
    </row>
    <row r="596">
      <c r="A596" s="7">
        <v>46063.62790063142</v>
      </c>
      <c r="B596" s="8" t="s">
        <v>1489</v>
      </c>
      <c r="C596" s="8" t="s">
        <v>1490</v>
      </c>
      <c r="D596" s="9">
        <v>46068.0</v>
      </c>
      <c r="E596" s="10">
        <v>86.295</v>
      </c>
      <c r="F596" s="8" t="s">
        <v>308</v>
      </c>
      <c r="G596" s="13">
        <v>32.5384</v>
      </c>
      <c r="H596" s="13">
        <v>2.6521</v>
      </c>
      <c r="I596" s="9">
        <v>46066.0</v>
      </c>
      <c r="J596" s="10">
        <v>85.0</v>
      </c>
      <c r="K596" s="8">
        <v>2140.0</v>
      </c>
      <c r="L596" s="8" t="s">
        <v>2608</v>
      </c>
      <c r="M596" s="11">
        <v>1.5</v>
      </c>
      <c r="N596" s="8" t="s">
        <v>3316</v>
      </c>
      <c r="O596" s="8">
        <v>5709.0</v>
      </c>
      <c r="P596" s="11">
        <v>37.9244</v>
      </c>
      <c r="Q596" s="8" t="s">
        <v>1491</v>
      </c>
      <c r="R596" s="11">
        <v>-0.5589</v>
      </c>
      <c r="S596" s="12">
        <v>2.1824899E7</v>
      </c>
      <c r="T596" s="12">
        <v>3.40959693564E11</v>
      </c>
      <c r="U596" s="13">
        <v>1.9433</v>
      </c>
      <c r="V596" s="13">
        <v>23.0103</v>
      </c>
      <c r="W596" s="13">
        <v>22.9895</v>
      </c>
      <c r="X596" s="13">
        <v>8.9097</v>
      </c>
      <c r="Y596" s="13">
        <v>0.6323</v>
      </c>
      <c r="Z596" s="13">
        <v>0.9274</v>
      </c>
      <c r="AA596" s="8" t="s">
        <v>2611</v>
      </c>
      <c r="AB596" s="14">
        <f>IFERROR(__xludf.DUMMYFUNCTION("IFERROR(GOOGLEFINANCE(B596,""price""),"""")"),82.22)</f>
        <v>82.22</v>
      </c>
    </row>
    <row r="597">
      <c r="A597" s="15">
        <v>46063.62790063142</v>
      </c>
      <c r="B597" s="16" t="s">
        <v>2676</v>
      </c>
      <c r="C597" s="16" t="s">
        <v>2677</v>
      </c>
      <c r="D597" s="17">
        <v>46068.0</v>
      </c>
      <c r="E597" s="18">
        <v>30.82</v>
      </c>
      <c r="F597" s="16" t="s">
        <v>93</v>
      </c>
      <c r="G597" s="21">
        <v>13.4157</v>
      </c>
      <c r="H597" s="21">
        <v>2.2973</v>
      </c>
      <c r="I597" s="17">
        <v>46073.0</v>
      </c>
      <c r="J597" s="18">
        <v>31.0</v>
      </c>
      <c r="K597" s="16">
        <v>3250.0</v>
      </c>
      <c r="L597" s="16" t="s">
        <v>2627</v>
      </c>
      <c r="M597" s="19">
        <v>0.58</v>
      </c>
      <c r="N597" s="16" t="s">
        <v>3317</v>
      </c>
      <c r="O597" s="16">
        <v>5686.0</v>
      </c>
      <c r="P597" s="19">
        <v>27.1747</v>
      </c>
      <c r="Q597" s="16" t="s">
        <v>2679</v>
      </c>
      <c r="R597" s="19">
        <v>0.1951</v>
      </c>
      <c r="S597" s="20">
        <v>7900138.0</v>
      </c>
      <c r="T597" s="20">
        <v>2.7025334729E10</v>
      </c>
      <c r="U597" s="21">
        <v>0.6712</v>
      </c>
      <c r="V597" s="21">
        <v>11.6787</v>
      </c>
      <c r="W597" s="21">
        <v>28.7373</v>
      </c>
      <c r="X597" s="21">
        <v>2.137</v>
      </c>
      <c r="Y597" s="21">
        <v>0.2565</v>
      </c>
      <c r="Z597" s="21">
        <v>0.1084</v>
      </c>
      <c r="AA597" s="16" t="s">
        <v>2620</v>
      </c>
      <c r="AB597" s="22">
        <f>IFERROR(__xludf.DUMMYFUNCTION("IFERROR(GOOGLEFINANCE(B597,""price""),"""")"),27.5)</f>
        <v>27.5</v>
      </c>
    </row>
    <row r="598">
      <c r="A598" s="7">
        <v>46063.62790063142</v>
      </c>
      <c r="B598" s="8" t="s">
        <v>2621</v>
      </c>
      <c r="C598" s="8" t="s">
        <v>2622</v>
      </c>
      <c r="D598" s="9">
        <v>46068.0</v>
      </c>
      <c r="E598" s="10">
        <v>63.175</v>
      </c>
      <c r="F598" s="8" t="s">
        <v>335</v>
      </c>
      <c r="G598" s="13">
        <v>41.7272</v>
      </c>
      <c r="H598" s="13">
        <v>1.514</v>
      </c>
      <c r="I598" s="9">
        <v>46066.0</v>
      </c>
      <c r="J598" s="10">
        <v>63.0</v>
      </c>
      <c r="K598" s="8">
        <v>2365.0</v>
      </c>
      <c r="L598" s="8" t="s">
        <v>2608</v>
      </c>
      <c r="M598" s="11">
        <v>0.28</v>
      </c>
      <c r="N598" s="8" t="s">
        <v>3318</v>
      </c>
      <c r="O598" s="8">
        <v>5683.0</v>
      </c>
      <c r="P598" s="11">
        <v>38.1225</v>
      </c>
      <c r="Q598" s="8" t="s">
        <v>2624</v>
      </c>
      <c r="R598" s="11">
        <v>-0.6839</v>
      </c>
      <c r="S598" s="12">
        <v>9255753.0</v>
      </c>
      <c r="T598" s="12">
        <v>9.0714920572E10</v>
      </c>
      <c r="U598" s="13">
        <v>2.8099</v>
      </c>
      <c r="V598" s="13">
        <v>11.9792</v>
      </c>
      <c r="W598" s="13">
        <v>23.7569</v>
      </c>
      <c r="X598" s="13">
        <v>1.5155</v>
      </c>
      <c r="Y598" s="13">
        <v>0.5497</v>
      </c>
      <c r="Z598" s="13">
        <v>2.2911</v>
      </c>
      <c r="AA598" s="8" t="s">
        <v>2611</v>
      </c>
      <c r="AB598" s="14">
        <f>IFERROR(__xludf.DUMMYFUNCTION("IFERROR(GOOGLEFINANCE(B598,""price""),"""")"),67.8)</f>
        <v>67.8</v>
      </c>
    </row>
    <row r="599">
      <c r="A599" s="15">
        <v>46063.62790063142</v>
      </c>
      <c r="B599" s="16" t="s">
        <v>3080</v>
      </c>
      <c r="C599" s="16" t="s">
        <v>3081</v>
      </c>
      <c r="D599" s="17">
        <v>46068.0</v>
      </c>
      <c r="E599" s="18">
        <v>92.12</v>
      </c>
      <c r="F599" s="16" t="s">
        <v>93</v>
      </c>
      <c r="G599" s="21">
        <v>14.7098</v>
      </c>
      <c r="H599" s="21">
        <v>6.2625</v>
      </c>
      <c r="I599" s="17">
        <v>46066.0</v>
      </c>
      <c r="J599" s="18">
        <v>93.0</v>
      </c>
      <c r="K599" s="16">
        <v>2617.0</v>
      </c>
      <c r="L599" s="16" t="s">
        <v>2627</v>
      </c>
      <c r="M599" s="19">
        <v>0.96</v>
      </c>
      <c r="N599" s="16" t="s">
        <v>3319</v>
      </c>
      <c r="O599" s="16">
        <v>5191.0</v>
      </c>
      <c r="P599" s="19">
        <v>19.1815</v>
      </c>
      <c r="Q599" s="16" t="s">
        <v>3083</v>
      </c>
      <c r="R599" s="19">
        <v>-2.6319</v>
      </c>
      <c r="S599" s="20">
        <v>1.5780202E7</v>
      </c>
      <c r="T599" s="20">
        <v>2.84890322834E11</v>
      </c>
      <c r="U599" s="21">
        <v>2.6249</v>
      </c>
      <c r="V599" s="21">
        <v>11.8466</v>
      </c>
      <c r="W599" s="21">
        <v>20.6965</v>
      </c>
      <c r="X599" s="21">
        <v>-1.9497</v>
      </c>
      <c r="Y599" s="21">
        <v>2.3505</v>
      </c>
      <c r="Z599" s="21">
        <v>0.9006</v>
      </c>
      <c r="AA599" s="16" t="s">
        <v>2620</v>
      </c>
      <c r="AB599" s="22">
        <f>IFERROR(__xludf.DUMMYFUNCTION("IFERROR(GOOGLEFINANCE(B599,""price""),"""")"),85.4)</f>
        <v>85.4</v>
      </c>
    </row>
    <row r="600">
      <c r="A600" s="7">
        <v>46063.62790063142</v>
      </c>
      <c r="B600" s="8" t="s">
        <v>2606</v>
      </c>
      <c r="C600" s="8" t="s">
        <v>2607</v>
      </c>
      <c r="D600" s="9">
        <v>46068.0</v>
      </c>
      <c r="E600" s="10">
        <v>54.45</v>
      </c>
      <c r="F600" s="8" t="s">
        <v>93</v>
      </c>
      <c r="G600" s="13">
        <v>15.404</v>
      </c>
      <c r="H600" s="13">
        <v>3.5348</v>
      </c>
      <c r="I600" s="9">
        <v>46073.0</v>
      </c>
      <c r="J600" s="10">
        <v>55.0</v>
      </c>
      <c r="K600" s="8">
        <v>2666.0</v>
      </c>
      <c r="L600" s="8" t="s">
        <v>2608</v>
      </c>
      <c r="M600" s="11">
        <v>1.01</v>
      </c>
      <c r="N600" s="8" t="s">
        <v>3320</v>
      </c>
      <c r="O600" s="8">
        <v>3922.0</v>
      </c>
      <c r="P600" s="11">
        <v>42.1916</v>
      </c>
      <c r="Q600" s="8" t="s">
        <v>2610</v>
      </c>
      <c r="R600" s="11">
        <v>0.2209</v>
      </c>
      <c r="S600" s="12">
        <v>7279854.0</v>
      </c>
      <c r="T600" s="12">
        <v>4.9625224527E10</v>
      </c>
      <c r="U600" s="13">
        <v>1.3763</v>
      </c>
      <c r="V600" s="13">
        <v>12.1975</v>
      </c>
      <c r="W600" s="13">
        <v>23.4205</v>
      </c>
      <c r="X600" s="13">
        <v>2.2457</v>
      </c>
      <c r="Y600" s="13">
        <v>0.6682</v>
      </c>
      <c r="Z600" s="13">
        <v>0.2832</v>
      </c>
      <c r="AA600" s="8" t="s">
        <v>2620</v>
      </c>
      <c r="AB600" s="14">
        <f>IFERROR(__xludf.DUMMYFUNCTION("IFERROR(GOOGLEFINANCE(B600,""price""),"""")"),49.31)</f>
        <v>49.31</v>
      </c>
    </row>
    <row r="601">
      <c r="A601" s="15">
        <v>46063.62790063142</v>
      </c>
      <c r="B601" s="16" t="s">
        <v>1570</v>
      </c>
      <c r="C601" s="16" t="s">
        <v>1571</v>
      </c>
      <c r="D601" s="17">
        <v>46068.0</v>
      </c>
      <c r="E601" s="18">
        <v>47.645</v>
      </c>
      <c r="F601" s="16" t="s">
        <v>917</v>
      </c>
      <c r="G601" s="21">
        <v>20.6963</v>
      </c>
      <c r="H601" s="21">
        <v>2.3021</v>
      </c>
      <c r="I601" s="17">
        <v>46073.0</v>
      </c>
      <c r="J601" s="18">
        <v>48.0</v>
      </c>
      <c r="K601" s="16">
        <v>2141.0</v>
      </c>
      <c r="L601" s="16" t="s">
        <v>2608</v>
      </c>
      <c r="M601" s="19">
        <v>0.75</v>
      </c>
      <c r="N601" s="16" t="s">
        <v>3321</v>
      </c>
      <c r="O601" s="16">
        <v>3148.0</v>
      </c>
      <c r="P601" s="19">
        <v>26.7803</v>
      </c>
      <c r="Q601" s="16" t="s">
        <v>1572</v>
      </c>
      <c r="R601" s="19">
        <v>1.7621</v>
      </c>
      <c r="S601" s="20">
        <v>3507406.0</v>
      </c>
      <c r="T601" s="20">
        <v>2.7522876779E10</v>
      </c>
      <c r="U601" s="21">
        <v>0.8208</v>
      </c>
      <c r="V601" s="21">
        <v>10.5451</v>
      </c>
      <c r="W601" s="21">
        <v>19.6489</v>
      </c>
      <c r="X601" s="21">
        <v>7.6402</v>
      </c>
      <c r="Y601" s="21">
        <v>2.1464</v>
      </c>
      <c r="Z601" s="21">
        <v>0.7474</v>
      </c>
      <c r="AA601" s="16" t="s">
        <v>2620</v>
      </c>
      <c r="AB601" s="22">
        <f>IFERROR(__xludf.DUMMYFUNCTION("IFERROR(GOOGLEFINANCE(B601,""price""),"""")"),51.43)</f>
        <v>51.43</v>
      </c>
    </row>
    <row r="602">
      <c r="A602" s="7">
        <v>46063.62790063142</v>
      </c>
      <c r="B602" s="8" t="s">
        <v>2915</v>
      </c>
      <c r="C602" s="8" t="s">
        <v>2916</v>
      </c>
      <c r="D602" s="9">
        <v>46068.0</v>
      </c>
      <c r="E602" s="10">
        <v>148.08</v>
      </c>
      <c r="F602" s="8" t="s">
        <v>117</v>
      </c>
      <c r="G602" s="13">
        <v>22.9361</v>
      </c>
      <c r="H602" s="13">
        <v>6.4562</v>
      </c>
      <c r="I602" s="9">
        <v>46066.0</v>
      </c>
      <c r="J602" s="10">
        <v>150.0</v>
      </c>
      <c r="K602" s="8">
        <v>2025.0</v>
      </c>
      <c r="L602" s="8" t="s">
        <v>2627</v>
      </c>
      <c r="M602" s="11">
        <v>1.3</v>
      </c>
      <c r="N602" s="8" t="s">
        <v>3322</v>
      </c>
      <c r="O602" s="8">
        <v>3051.0</v>
      </c>
      <c r="P602" s="11">
        <v>43.954</v>
      </c>
      <c r="Q602" s="8" t="s">
        <v>2918</v>
      </c>
      <c r="R602" s="11">
        <v>-2.3734</v>
      </c>
      <c r="S602" s="12">
        <v>5599830.0</v>
      </c>
      <c r="T602" s="12">
        <v>1.83719821177E11</v>
      </c>
      <c r="U602" s="13">
        <v>3.661</v>
      </c>
      <c r="V602" s="13">
        <v>40.5348</v>
      </c>
      <c r="W602" s="13">
        <v>39.0204</v>
      </c>
      <c r="X602" s="13">
        <v>2.7624</v>
      </c>
      <c r="Y602" s="13">
        <v>1.1579</v>
      </c>
      <c r="Z602" s="13">
        <v>1.4534</v>
      </c>
      <c r="AA602" s="8" t="s">
        <v>2620</v>
      </c>
      <c r="AB602" s="14">
        <f>IFERROR(__xludf.DUMMYFUNCTION("IFERROR(GOOGLEFINANCE(B602,""price""),"""")"),139.03)</f>
        <v>139.03</v>
      </c>
    </row>
    <row r="603">
      <c r="A603" s="15">
        <v>46063.62790063142</v>
      </c>
      <c r="B603" s="16" t="s">
        <v>2139</v>
      </c>
      <c r="C603" s="16" t="s">
        <v>2140</v>
      </c>
      <c r="D603" s="17">
        <v>46068.0</v>
      </c>
      <c r="E603" s="18">
        <v>59.38</v>
      </c>
      <c r="F603" s="16" t="s">
        <v>270</v>
      </c>
      <c r="G603" s="21">
        <v>22.7946</v>
      </c>
      <c r="H603" s="21">
        <v>2.605</v>
      </c>
      <c r="I603" s="17">
        <v>46073.0</v>
      </c>
      <c r="J603" s="18">
        <v>60.0</v>
      </c>
      <c r="K603" s="16">
        <v>2866.0</v>
      </c>
      <c r="L603" s="16" t="s">
        <v>2608</v>
      </c>
      <c r="M603" s="19">
        <v>1.04</v>
      </c>
      <c r="N603" s="16" t="s">
        <v>3323</v>
      </c>
      <c r="O603" s="16">
        <v>2866.0</v>
      </c>
      <c r="P603" s="19">
        <v>40.8662</v>
      </c>
      <c r="Q603" s="16" t="s">
        <v>2141</v>
      </c>
      <c r="R603" s="19">
        <v>-0.2855</v>
      </c>
      <c r="S603" s="20">
        <v>5656462.0</v>
      </c>
      <c r="T603" s="20">
        <v>5.8681483285E10</v>
      </c>
      <c r="U603" s="21">
        <v>1.6608</v>
      </c>
      <c r="V603" s="21">
        <v>14.4868</v>
      </c>
      <c r="W603" s="21">
        <v>12.8259</v>
      </c>
      <c r="X603" s="21">
        <v>-0.345</v>
      </c>
      <c r="Y603" s="21">
        <v>0.3558</v>
      </c>
      <c r="Z603" s="21">
        <v>1.3568</v>
      </c>
      <c r="AA603" s="16" t="s">
        <v>2620</v>
      </c>
      <c r="AB603" s="22">
        <f>IFERROR(__xludf.DUMMYFUNCTION("IFERROR(GOOGLEFINANCE(B603,""price""),"""")"),62.83)</f>
        <v>62.83</v>
      </c>
    </row>
    <row r="604">
      <c r="A604" s="7">
        <v>46063.62790063142</v>
      </c>
      <c r="B604" s="8" t="s">
        <v>2528</v>
      </c>
      <c r="C604" s="8" t="s">
        <v>2529</v>
      </c>
      <c r="D604" s="9">
        <v>46068.0</v>
      </c>
      <c r="E604" s="10">
        <v>64.055</v>
      </c>
      <c r="F604" s="8" t="s">
        <v>93</v>
      </c>
      <c r="G604" s="13">
        <v>10.6636</v>
      </c>
      <c r="H604" s="13">
        <v>6.0069</v>
      </c>
      <c r="I604" s="9">
        <v>46073.0</v>
      </c>
      <c r="J604" s="10">
        <v>65.0</v>
      </c>
      <c r="K604" s="8">
        <v>1706.0</v>
      </c>
      <c r="L604" s="8" t="s">
        <v>2608</v>
      </c>
      <c r="M604" s="11">
        <v>1.48</v>
      </c>
      <c r="N604" s="8" t="s">
        <v>3324</v>
      </c>
      <c r="O604" s="8">
        <v>2795.0</v>
      </c>
      <c r="P604" s="11">
        <v>27.2393</v>
      </c>
      <c r="Q604" s="8" t="s">
        <v>2530</v>
      </c>
      <c r="R604" s="11">
        <v>-1.6958</v>
      </c>
      <c r="S604" s="12">
        <v>1233654.0</v>
      </c>
      <c r="T604" s="12">
        <v>9.457147156E9</v>
      </c>
      <c r="U604" s="13">
        <v>1.5588</v>
      </c>
      <c r="V604" s="13">
        <v>13.3945</v>
      </c>
      <c r="W604" s="13">
        <v>23.7662</v>
      </c>
      <c r="X604" s="13">
        <v>-1.0012</v>
      </c>
      <c r="Y604" s="13">
        <v>0.6373</v>
      </c>
      <c r="Z604" s="13">
        <v>0.1512</v>
      </c>
      <c r="AA604" s="8" t="s">
        <v>2620</v>
      </c>
      <c r="AB604" s="14">
        <f>IFERROR(__xludf.DUMMYFUNCTION("IFERROR(GOOGLEFINANCE(B604,""price""),"""")"),61.05)</f>
        <v>61.05</v>
      </c>
    </row>
    <row r="605">
      <c r="A605" s="15">
        <v>46063.62790063142</v>
      </c>
      <c r="B605" s="16" t="s">
        <v>3086</v>
      </c>
      <c r="C605" s="16" t="s">
        <v>3087</v>
      </c>
      <c r="D605" s="17">
        <v>46068.0</v>
      </c>
      <c r="E605" s="18">
        <v>74.87</v>
      </c>
      <c r="F605" s="16" t="s">
        <v>162</v>
      </c>
      <c r="G605" s="21">
        <v>9.7721</v>
      </c>
      <c r="H605" s="21">
        <v>7.6616</v>
      </c>
      <c r="I605" s="17">
        <v>46066.0</v>
      </c>
      <c r="J605" s="18">
        <v>76.0</v>
      </c>
      <c r="K605" s="16">
        <v>1328.0</v>
      </c>
      <c r="L605" s="16" t="s">
        <v>2608</v>
      </c>
      <c r="M605" s="19">
        <v>1.51</v>
      </c>
      <c r="N605" s="16" t="s">
        <v>3325</v>
      </c>
      <c r="O605" s="16">
        <v>2460.0</v>
      </c>
      <c r="P605" s="19">
        <v>19.3699</v>
      </c>
      <c r="Q605" s="16" t="s">
        <v>3089</v>
      </c>
      <c r="R605" s="19">
        <v>-0.1733</v>
      </c>
      <c r="S605" s="20">
        <v>4462109.0</v>
      </c>
      <c r="T605" s="20">
        <v>4.8887322482E10</v>
      </c>
      <c r="U605" s="21">
        <v>2.3196</v>
      </c>
      <c r="V605" s="21">
        <v>27.7756</v>
      </c>
      <c r="W605" s="21">
        <v>9.1882</v>
      </c>
      <c r="X605" s="21">
        <v>2.7935</v>
      </c>
      <c r="Y605" s="21">
        <v>0.9769</v>
      </c>
      <c r="Z605" s="21">
        <v>0.3964</v>
      </c>
      <c r="AA605" s="16" t="s">
        <v>2620</v>
      </c>
      <c r="AB605" s="22">
        <f>IFERROR(__xludf.DUMMYFUNCTION("IFERROR(GOOGLEFINANCE(B605,""price""),"""")"),67.82)</f>
        <v>67.82</v>
      </c>
    </row>
    <row r="606">
      <c r="A606" s="7">
        <v>46063.62790063142</v>
      </c>
      <c r="B606" s="8" t="s">
        <v>2973</v>
      </c>
      <c r="C606" s="8" t="s">
        <v>2974</v>
      </c>
      <c r="D606" s="9">
        <v>46068.0</v>
      </c>
      <c r="E606" s="10">
        <v>55.135</v>
      </c>
      <c r="F606" s="8" t="s">
        <v>93</v>
      </c>
      <c r="G606" s="13">
        <v>14.4431</v>
      </c>
      <c r="H606" s="13">
        <v>3.8174</v>
      </c>
      <c r="I606" s="9">
        <v>46073.0</v>
      </c>
      <c r="J606" s="10">
        <v>55.0</v>
      </c>
      <c r="K606" s="8">
        <v>2171.0</v>
      </c>
      <c r="L606" s="8" t="s">
        <v>2608</v>
      </c>
      <c r="M606" s="11">
        <v>0.24</v>
      </c>
      <c r="N606" s="8" t="s">
        <v>3326</v>
      </c>
      <c r="O606" s="8">
        <v>2171.0</v>
      </c>
      <c r="P606" s="11">
        <v>26.4725</v>
      </c>
      <c r="Q606" s="8" t="s">
        <v>2976</v>
      </c>
      <c r="R606" s="11">
        <v>0.648</v>
      </c>
      <c r="S606" s="12">
        <v>5778617.0</v>
      </c>
      <c r="T606" s="12">
        <v>7.0531238537E10</v>
      </c>
      <c r="U606" s="13">
        <v>1.1031</v>
      </c>
      <c r="V606" s="13">
        <v>8.2363</v>
      </c>
      <c r="W606" s="13">
        <v>21.1616</v>
      </c>
      <c r="X606" s="13">
        <v>24.2886</v>
      </c>
      <c r="Y606" s="13">
        <v>1.0708</v>
      </c>
      <c r="Z606" s="13">
        <v>0.3413</v>
      </c>
      <c r="AA606" s="8" t="s">
        <v>2611</v>
      </c>
      <c r="AB606" s="14">
        <f>IFERROR(__xludf.DUMMYFUNCTION("IFERROR(GOOGLEFINANCE(B606,""price""),"""")"),49.6)</f>
        <v>49.6</v>
      </c>
    </row>
    <row r="607">
      <c r="A607" s="15">
        <v>46063.62790063142</v>
      </c>
      <c r="B607" s="16" t="s">
        <v>2133</v>
      </c>
      <c r="C607" s="16" t="s">
        <v>2134</v>
      </c>
      <c r="D607" s="17">
        <v>46068.0</v>
      </c>
      <c r="E607" s="18">
        <v>368.165</v>
      </c>
      <c r="F607" s="16" t="s">
        <v>162</v>
      </c>
      <c r="G607" s="21">
        <v>20.3087</v>
      </c>
      <c r="H607" s="21">
        <v>18.1284</v>
      </c>
      <c r="I607" s="17">
        <v>46066.0</v>
      </c>
      <c r="J607" s="18">
        <v>375.0</v>
      </c>
      <c r="K607" s="16">
        <v>2063.0</v>
      </c>
      <c r="L607" s="16" t="s">
        <v>2608</v>
      </c>
      <c r="M607" s="19">
        <v>1.86</v>
      </c>
      <c r="N607" s="16" t="s">
        <v>3327</v>
      </c>
      <c r="O607" s="16">
        <v>2063.0</v>
      </c>
      <c r="P607" s="19">
        <v>39.7827</v>
      </c>
      <c r="Q607" s="16" t="s">
        <v>2135</v>
      </c>
      <c r="R607" s="19">
        <v>0.9778</v>
      </c>
      <c r="S607" s="20">
        <v>1087018.0</v>
      </c>
      <c r="T607" s="20">
        <v>8.6563993735E10</v>
      </c>
      <c r="U607" s="21">
        <v>8.2296</v>
      </c>
      <c r="V607" s="21">
        <v>15.8681</v>
      </c>
      <c r="W607" s="21">
        <v>7.0782</v>
      </c>
      <c r="X607" s="21">
        <v>3.0895</v>
      </c>
      <c r="Y607" s="21">
        <v>1.3421</v>
      </c>
      <c r="Z607" s="21">
        <v>1.2738</v>
      </c>
      <c r="AA607" s="16" t="s">
        <v>2620</v>
      </c>
      <c r="AB607" s="22">
        <f>IFERROR(__xludf.DUMMYFUNCTION("IFERROR(GOOGLEFINANCE(B607,""price""),"""")"),374.08)</f>
        <v>374.08</v>
      </c>
    </row>
    <row r="608">
      <c r="A608" s="7">
        <v>46063.62790063142</v>
      </c>
      <c r="B608" s="8" t="s">
        <v>3248</v>
      </c>
      <c r="C608" s="8" t="s">
        <v>3249</v>
      </c>
      <c r="D608" s="9">
        <v>46068.0</v>
      </c>
      <c r="E608" s="10">
        <v>126.455</v>
      </c>
      <c r="F608" s="8" t="s">
        <v>93</v>
      </c>
      <c r="G608" s="13">
        <v>17.0657</v>
      </c>
      <c r="H608" s="13">
        <v>7.4099</v>
      </c>
      <c r="I608" s="9">
        <v>46073.0</v>
      </c>
      <c r="J608" s="10">
        <v>125.0</v>
      </c>
      <c r="K608" s="8">
        <v>1967.0</v>
      </c>
      <c r="L608" s="8" t="s">
        <v>2608</v>
      </c>
      <c r="M608" s="11">
        <v>1.15</v>
      </c>
      <c r="N608" s="8" t="s">
        <v>3328</v>
      </c>
      <c r="O608" s="8">
        <v>1967.0</v>
      </c>
      <c r="P608" s="11">
        <v>20.9128</v>
      </c>
      <c r="Q608" s="8" t="s">
        <v>3251</v>
      </c>
      <c r="R608" s="11">
        <v>-0.9051</v>
      </c>
      <c r="S608" s="12">
        <v>3905158.0</v>
      </c>
      <c r="T608" s="12">
        <v>8.7030886699E10</v>
      </c>
      <c r="U608" s="13">
        <v>2.7828</v>
      </c>
      <c r="V608" s="13">
        <v>12.9603</v>
      </c>
      <c r="W608" s="13">
        <v>16.9054</v>
      </c>
      <c r="X608" s="13">
        <v>2.081</v>
      </c>
      <c r="Y608" s="13">
        <v>1.2026</v>
      </c>
      <c r="Z608" s="13">
        <v>3.9207</v>
      </c>
      <c r="AA608" s="8" t="s">
        <v>2611</v>
      </c>
      <c r="AB608" s="14">
        <f>IFERROR(__xludf.DUMMYFUNCTION("IFERROR(GOOGLEFINANCE(B608,""price""),"""")"),127.56)</f>
        <v>127.56</v>
      </c>
    </row>
    <row r="609">
      <c r="A609" s="15">
        <v>46063.62790063142</v>
      </c>
      <c r="B609" s="16" t="s">
        <v>3185</v>
      </c>
      <c r="C609" s="16" t="s">
        <v>3186</v>
      </c>
      <c r="D609" s="17">
        <v>46068.0</v>
      </c>
      <c r="E609" s="18">
        <v>64.7875</v>
      </c>
      <c r="F609" s="16" t="s">
        <v>186</v>
      </c>
      <c r="G609" s="21">
        <v>60.8448</v>
      </c>
      <c r="H609" s="21">
        <v>1.0648</v>
      </c>
      <c r="I609" s="17">
        <v>46073.0</v>
      </c>
      <c r="J609" s="18">
        <v>65.0</v>
      </c>
      <c r="K609" s="16">
        <v>1861.0</v>
      </c>
      <c r="L609" s="16" t="s">
        <v>2608</v>
      </c>
      <c r="M609" s="19">
        <v>0.33</v>
      </c>
      <c r="N609" s="16" t="s">
        <v>3329</v>
      </c>
      <c r="O609" s="16">
        <v>1861.0</v>
      </c>
      <c r="P609" s="19">
        <v>21.8794</v>
      </c>
      <c r="Q609" s="16" t="s">
        <v>3188</v>
      </c>
      <c r="R609" s="19">
        <v>0.7425</v>
      </c>
      <c r="S609" s="20">
        <v>1616210.0</v>
      </c>
      <c r="T609" s="20">
        <v>3.139788814E10</v>
      </c>
      <c r="U609" s="21">
        <v>0.9902</v>
      </c>
      <c r="V609" s="21">
        <v>36.2085</v>
      </c>
      <c r="W609" s="21">
        <v>19.5906</v>
      </c>
      <c r="X609" s="21">
        <v>11.1665</v>
      </c>
      <c r="Y609" s="21">
        <v>0.5953</v>
      </c>
      <c r="Z609" s="21">
        <v>0.7568</v>
      </c>
      <c r="AA609" s="16" t="s">
        <v>2620</v>
      </c>
      <c r="AB609" s="22">
        <f>IFERROR(__xludf.DUMMYFUNCTION("IFERROR(GOOGLEFINANCE(B609,""price""),"""")"),54.23)</f>
        <v>54.23</v>
      </c>
    </row>
    <row r="610">
      <c r="A610" s="7">
        <v>46063.62790063142</v>
      </c>
      <c r="B610" s="8" t="s">
        <v>2722</v>
      </c>
      <c r="C610" s="8" t="s">
        <v>2723</v>
      </c>
      <c r="D610" s="9">
        <v>46068.0</v>
      </c>
      <c r="E610" s="10">
        <v>90.805</v>
      </c>
      <c r="F610" s="8" t="s">
        <v>308</v>
      </c>
      <c r="G610" s="13">
        <v>460.7052</v>
      </c>
      <c r="H610" s="13">
        <v>0.1971</v>
      </c>
      <c r="I610" s="9">
        <v>46073.0</v>
      </c>
      <c r="J610" s="10">
        <v>90.0</v>
      </c>
      <c r="K610" s="8">
        <v>1761.0</v>
      </c>
      <c r="L610" s="8" t="s">
        <v>2608</v>
      </c>
      <c r="M610" s="11">
        <v>0.89</v>
      </c>
      <c r="N610" s="8" t="s">
        <v>3330</v>
      </c>
      <c r="O610" s="8">
        <v>1761.0</v>
      </c>
      <c r="P610" s="11">
        <v>28.1402</v>
      </c>
      <c r="Q610" s="8" t="s">
        <v>2725</v>
      </c>
      <c r="R610" s="11">
        <v>3.7297</v>
      </c>
      <c r="S610" s="12">
        <v>2541803.0</v>
      </c>
      <c r="T610" s="12">
        <v>1.2420888474E10</v>
      </c>
      <c r="U610" s="13">
        <v>4.1432</v>
      </c>
      <c r="V610" s="13">
        <v>3.8644</v>
      </c>
      <c r="W610" s="13">
        <v>3.2155</v>
      </c>
      <c r="X610" s="13">
        <v>-12.0319</v>
      </c>
      <c r="Y610" s="13">
        <v>0.0289</v>
      </c>
      <c r="Z610" s="13">
        <v>3.2353</v>
      </c>
      <c r="AA610" s="8" t="s">
        <v>2611</v>
      </c>
      <c r="AB610" s="14">
        <f>IFERROR(__xludf.DUMMYFUNCTION("IFERROR(GOOGLEFINANCE(B610,""price""),"""")"),106.1)</f>
        <v>106.1</v>
      </c>
    </row>
    <row r="611">
      <c r="A611" s="15">
        <v>46063.62790063142</v>
      </c>
      <c r="B611" s="16" t="s">
        <v>3291</v>
      </c>
      <c r="C611" s="16" t="s">
        <v>3292</v>
      </c>
      <c r="D611" s="17">
        <v>46068.0</v>
      </c>
      <c r="E611" s="18">
        <v>231.9975</v>
      </c>
      <c r="F611" s="16" t="s">
        <v>270</v>
      </c>
      <c r="G611" s="21">
        <v>34.6337</v>
      </c>
      <c r="H611" s="21">
        <v>6.6986</v>
      </c>
      <c r="I611" s="17">
        <v>46073.0</v>
      </c>
      <c r="J611" s="18">
        <v>230.0</v>
      </c>
      <c r="K611" s="16">
        <v>1685.0</v>
      </c>
      <c r="L611" s="16" t="s">
        <v>2608</v>
      </c>
      <c r="M611" s="19">
        <v>0.86</v>
      </c>
      <c r="N611" s="16" t="s">
        <v>3331</v>
      </c>
      <c r="O611" s="16">
        <v>1685.0</v>
      </c>
      <c r="P611" s="19">
        <v>16.9475</v>
      </c>
      <c r="Q611" s="16" t="s">
        <v>3294</v>
      </c>
      <c r="R611" s="19">
        <v>0.6497</v>
      </c>
      <c r="S611" s="20">
        <v>1534925.0</v>
      </c>
      <c r="T611" s="20">
        <v>9.3464152012E10</v>
      </c>
      <c r="U611" s="21">
        <v>4.3726</v>
      </c>
      <c r="V611" s="21">
        <v>29.6897</v>
      </c>
      <c r="W611" s="21">
        <v>18.2788</v>
      </c>
      <c r="X611" s="21">
        <v>14.2365</v>
      </c>
      <c r="Y611" s="21">
        <v>2.3941</v>
      </c>
      <c r="Z611" s="21">
        <v>0.8888</v>
      </c>
      <c r="AA611" s="16" t="s">
        <v>2611</v>
      </c>
      <c r="AB611" s="22">
        <f>IFERROR(__xludf.DUMMYFUNCTION("IFERROR(GOOGLEFINANCE(B611,""price""),"""")"),229.45)</f>
        <v>229.45</v>
      </c>
    </row>
    <row r="612">
      <c r="A612" s="7">
        <v>46063.62790063142</v>
      </c>
      <c r="B612" s="8" t="s">
        <v>3134</v>
      </c>
      <c r="C612" s="8" t="s">
        <v>3135</v>
      </c>
      <c r="D612" s="9">
        <v>46068.0</v>
      </c>
      <c r="E612" s="10">
        <v>141.98</v>
      </c>
      <c r="F612" s="8" t="s">
        <v>93</v>
      </c>
      <c r="G612" s="13">
        <v>10.6406</v>
      </c>
      <c r="H612" s="13">
        <v>13.3432</v>
      </c>
      <c r="I612" s="9">
        <v>46073.0</v>
      </c>
      <c r="J612" s="10">
        <v>140.0</v>
      </c>
      <c r="K612" s="8">
        <v>1580.0</v>
      </c>
      <c r="L612" s="8" t="s">
        <v>2608</v>
      </c>
      <c r="M612" s="11">
        <v>1.39</v>
      </c>
      <c r="N612" s="8" t="s">
        <v>3332</v>
      </c>
      <c r="O612" s="8">
        <v>1580.0</v>
      </c>
      <c r="P612" s="11">
        <v>29.873</v>
      </c>
      <c r="Q612" s="8" t="s">
        <v>3137</v>
      </c>
      <c r="R612" s="11">
        <v>1.8654</v>
      </c>
      <c r="S612" s="12">
        <v>1433878.0</v>
      </c>
      <c r="T612" s="12">
        <v>3.9562766516E10</v>
      </c>
      <c r="U612" s="13">
        <v>2.6612</v>
      </c>
      <c r="V612" s="13">
        <v>21.6564</v>
      </c>
      <c r="W612" s="13">
        <v>17.4023</v>
      </c>
      <c r="X612" s="13">
        <v>6.8061</v>
      </c>
      <c r="Y612" s="13">
        <v>0.2303</v>
      </c>
      <c r="Z612" s="13">
        <v>0.2897</v>
      </c>
      <c r="AA612" s="8" t="s">
        <v>2611</v>
      </c>
      <c r="AB612" s="14">
        <f>IFERROR(__xludf.DUMMYFUNCTION("IFERROR(GOOGLEFINANCE(B612,""price""),"""")"),137.23)</f>
        <v>137.23</v>
      </c>
    </row>
    <row r="613">
      <c r="A613" s="15">
        <v>46063.62790063142</v>
      </c>
      <c r="B613" s="16" t="s">
        <v>3242</v>
      </c>
      <c r="C613" s="16" t="s">
        <v>3243</v>
      </c>
      <c r="D613" s="17">
        <v>46068.0</v>
      </c>
      <c r="E613" s="18">
        <v>108.6625</v>
      </c>
      <c r="F613" s="16" t="s">
        <v>917</v>
      </c>
      <c r="G613" s="21">
        <v>18.983</v>
      </c>
      <c r="H613" s="21">
        <v>5.7242</v>
      </c>
      <c r="I613" s="17">
        <v>46073.0</v>
      </c>
      <c r="J613" s="18">
        <v>110.0</v>
      </c>
      <c r="K613" s="16">
        <v>1575.0</v>
      </c>
      <c r="L613" s="16" t="s">
        <v>2608</v>
      </c>
      <c r="M613" s="19">
        <v>1.23</v>
      </c>
      <c r="N613" s="16" t="s">
        <v>3333</v>
      </c>
      <c r="O613" s="16">
        <v>1575.0</v>
      </c>
      <c r="P613" s="19">
        <v>24.8004</v>
      </c>
      <c r="Q613" s="16" t="s">
        <v>3245</v>
      </c>
      <c r="R613" s="19">
        <v>1.8584</v>
      </c>
      <c r="S613" s="20">
        <v>1039611.0</v>
      </c>
      <c r="T613" s="20">
        <v>3.9220165607E10</v>
      </c>
      <c r="U613" s="21">
        <v>2.1186</v>
      </c>
      <c r="V613" s="21">
        <v>8.8351</v>
      </c>
      <c r="W613" s="21">
        <v>17.8218</v>
      </c>
      <c r="X613" s="21">
        <v>10.3485</v>
      </c>
      <c r="Y613" s="21">
        <v>1.1037</v>
      </c>
      <c r="Z613" s="21">
        <v>1.075</v>
      </c>
      <c r="AA613" s="16" t="s">
        <v>2620</v>
      </c>
      <c r="AB613" s="22">
        <f>IFERROR(__xludf.DUMMYFUNCTION("IFERROR(GOOGLEFINANCE(B613,""price""),"""")"),113.56)</f>
        <v>113.56</v>
      </c>
    </row>
    <row r="614">
      <c r="A614" s="7">
        <v>46063.62790063142</v>
      </c>
      <c r="B614" s="8" t="s">
        <v>3334</v>
      </c>
      <c r="C614" s="8" t="s">
        <v>3335</v>
      </c>
      <c r="D614" s="9">
        <v>46068.0</v>
      </c>
      <c r="E614" s="10">
        <v>201.505</v>
      </c>
      <c r="F614" s="8" t="s">
        <v>162</v>
      </c>
      <c r="G614" s="13">
        <v>76.1862</v>
      </c>
      <c r="H614" s="13">
        <v>2.6449</v>
      </c>
      <c r="I614" s="9">
        <v>46073.0</v>
      </c>
      <c r="J614" s="10">
        <v>200.0</v>
      </c>
      <c r="K614" s="8">
        <v>1554.0</v>
      </c>
      <c r="L614" s="8" t="s">
        <v>2627</v>
      </c>
      <c r="M614" s="11">
        <v>0.75</v>
      </c>
      <c r="N614" s="8" t="s">
        <v>3336</v>
      </c>
      <c r="O614" s="8">
        <v>1554.0</v>
      </c>
      <c r="P614" s="11">
        <v>34.6766</v>
      </c>
      <c r="Q614" s="8" t="s">
        <v>3337</v>
      </c>
      <c r="R614" s="11">
        <v>-2.5887</v>
      </c>
      <c r="S614" s="12">
        <v>2522084.0</v>
      </c>
      <c r="T614" s="12">
        <v>2.36057792E10</v>
      </c>
      <c r="U614" s="13">
        <v>8.0396</v>
      </c>
      <c r="V614" s="13">
        <v>18.2553</v>
      </c>
      <c r="W614" s="13">
        <v>8.9382</v>
      </c>
      <c r="X614" s="13">
        <v>1.0532</v>
      </c>
      <c r="Y614" s="13">
        <v>2.1977</v>
      </c>
      <c r="Z614" s="13">
        <v>1.0482</v>
      </c>
      <c r="AA614" s="8" t="s">
        <v>2611</v>
      </c>
      <c r="AB614" s="14">
        <f>IFERROR(__xludf.DUMMYFUNCTION("IFERROR(GOOGLEFINANCE(B614,""price""),"""")"),212.74)</f>
        <v>212.74</v>
      </c>
    </row>
    <row r="615">
      <c r="A615" s="15">
        <v>46063.62790063142</v>
      </c>
      <c r="B615" s="16" t="s">
        <v>2428</v>
      </c>
      <c r="C615" s="16" t="s">
        <v>2429</v>
      </c>
      <c r="D615" s="17">
        <v>46068.0</v>
      </c>
      <c r="E615" s="18">
        <v>127.2</v>
      </c>
      <c r="F615" s="16" t="s">
        <v>102</v>
      </c>
      <c r="G615" s="21">
        <v>28.2027</v>
      </c>
      <c r="H615" s="21">
        <v>4.5102</v>
      </c>
      <c r="I615" s="17">
        <v>46073.0</v>
      </c>
      <c r="J615" s="18">
        <v>128.6</v>
      </c>
      <c r="K615" s="16">
        <v>1305.0</v>
      </c>
      <c r="L615" s="16" t="s">
        <v>2608</v>
      </c>
      <c r="M615" s="19">
        <v>1.1</v>
      </c>
      <c r="N615" s="16" t="s">
        <v>3338</v>
      </c>
      <c r="O615" s="16">
        <v>1305.0</v>
      </c>
      <c r="P615" s="19">
        <v>39.5895</v>
      </c>
      <c r="Q615" s="16" t="s">
        <v>2430</v>
      </c>
      <c r="R615" s="19">
        <v>-0.0471</v>
      </c>
      <c r="S615" s="20">
        <v>1415917.0</v>
      </c>
      <c r="T615" s="20">
        <v>6.6805993895E10</v>
      </c>
      <c r="U615" s="21">
        <v>2.7722</v>
      </c>
      <c r="V615" s="21">
        <v>12.9222</v>
      </c>
      <c r="W615" s="21">
        <v>10.9587</v>
      </c>
      <c r="X615" s="21">
        <v>-15.5047</v>
      </c>
      <c r="Y615" s="24"/>
      <c r="Z615" s="21">
        <v>1.701</v>
      </c>
      <c r="AA615" s="16" t="s">
        <v>2620</v>
      </c>
      <c r="AB615" s="22">
        <f>IFERROR(__xludf.DUMMYFUNCTION("IFERROR(GOOGLEFINANCE(B615,""price""),"""")"),127.19)</f>
        <v>127.19</v>
      </c>
    </row>
    <row r="616">
      <c r="A616" s="7">
        <v>46063.62790063142</v>
      </c>
      <c r="B616" s="8" t="s">
        <v>2710</v>
      </c>
      <c r="C616" s="8" t="s">
        <v>2711</v>
      </c>
      <c r="D616" s="9">
        <v>46068.0</v>
      </c>
      <c r="E616" s="10">
        <v>121.895</v>
      </c>
      <c r="F616" s="8" t="s">
        <v>917</v>
      </c>
      <c r="G616" s="13">
        <v>17.8347</v>
      </c>
      <c r="H616" s="13">
        <v>6.8347</v>
      </c>
      <c r="I616" s="9">
        <v>46073.0</v>
      </c>
      <c r="J616" s="10">
        <v>120.0</v>
      </c>
      <c r="K616" s="8">
        <v>1290.0</v>
      </c>
      <c r="L616" s="8" t="s">
        <v>2608</v>
      </c>
      <c r="M616" s="11">
        <v>1.55</v>
      </c>
      <c r="N616" s="8" t="s">
        <v>3339</v>
      </c>
      <c r="O616" s="8">
        <v>1290.0</v>
      </c>
      <c r="P616" s="11">
        <v>24.121</v>
      </c>
      <c r="Q616" s="8" t="s">
        <v>2713</v>
      </c>
      <c r="R616" s="11">
        <v>0.6565</v>
      </c>
      <c r="S616" s="12">
        <v>1799731.0</v>
      </c>
      <c r="T616" s="12">
        <v>6.5103446114E10</v>
      </c>
      <c r="U616" s="13">
        <v>2.0968</v>
      </c>
      <c r="V616" s="13">
        <v>12.848</v>
      </c>
      <c r="W616" s="13">
        <v>25.4789</v>
      </c>
      <c r="X616" s="13">
        <v>7.6587</v>
      </c>
      <c r="Y616" s="13">
        <v>1.5759</v>
      </c>
      <c r="Z616" s="13">
        <v>0.6862</v>
      </c>
      <c r="AA616" s="8" t="s">
        <v>2611</v>
      </c>
      <c r="AB616" s="14">
        <f>IFERROR(__xludf.DUMMYFUNCTION("IFERROR(GOOGLEFINANCE(B616,""price""),"""")"),136.3)</f>
        <v>136.3</v>
      </c>
    </row>
    <row r="617">
      <c r="A617" s="15">
        <v>46063.62790063142</v>
      </c>
      <c r="B617" s="16" t="s">
        <v>2804</v>
      </c>
      <c r="C617" s="16" t="s">
        <v>2805</v>
      </c>
      <c r="D617" s="17">
        <v>46068.0</v>
      </c>
      <c r="E617" s="18">
        <v>128.89</v>
      </c>
      <c r="F617" s="16" t="s">
        <v>308</v>
      </c>
      <c r="G617" s="21">
        <v>70.0908</v>
      </c>
      <c r="H617" s="21">
        <v>1.8389</v>
      </c>
      <c r="I617" s="17">
        <v>46066.0</v>
      </c>
      <c r="J617" s="18">
        <v>128.0</v>
      </c>
      <c r="K617" s="16">
        <v>1266.0</v>
      </c>
      <c r="L617" s="16" t="s">
        <v>2608</v>
      </c>
      <c r="M617" s="19">
        <v>0.69</v>
      </c>
      <c r="N617" s="16" t="s">
        <v>3340</v>
      </c>
      <c r="O617" s="16">
        <v>1266.0</v>
      </c>
      <c r="P617" s="19">
        <v>42.1937</v>
      </c>
      <c r="Q617" s="16" t="s">
        <v>2807</v>
      </c>
      <c r="R617" s="19">
        <v>-1.9027</v>
      </c>
      <c r="S617" s="20">
        <v>1.0925216E7</v>
      </c>
      <c r="T617" s="20">
        <v>1.105051752E11</v>
      </c>
      <c r="U617" s="21">
        <v>6.078</v>
      </c>
      <c r="V617" s="21">
        <v>14.1911</v>
      </c>
      <c r="W617" s="21">
        <v>15.3497</v>
      </c>
      <c r="X617" s="21">
        <v>19.1416</v>
      </c>
      <c r="Y617" s="21">
        <v>0.7143</v>
      </c>
      <c r="Z617" s="21">
        <v>1.5878</v>
      </c>
      <c r="AA617" s="16" t="s">
        <v>2611</v>
      </c>
      <c r="AB617" s="22">
        <f>IFERROR(__xludf.DUMMYFUNCTION("IFERROR(GOOGLEFINANCE(B617,""price""),"""")"),171.24)</f>
        <v>171.24</v>
      </c>
    </row>
    <row r="618">
      <c r="A618" s="7">
        <v>46063.62790063142</v>
      </c>
      <c r="B618" s="8" t="s">
        <v>2714</v>
      </c>
      <c r="C618" s="8" t="s">
        <v>2715</v>
      </c>
      <c r="D618" s="9">
        <v>46068.0</v>
      </c>
      <c r="E618" s="10">
        <v>16.405</v>
      </c>
      <c r="F618" s="8" t="s">
        <v>335</v>
      </c>
      <c r="G618" s="23"/>
      <c r="H618" s="13">
        <v>-0.1778</v>
      </c>
      <c r="I618" s="9">
        <v>46066.0</v>
      </c>
      <c r="J618" s="10">
        <v>16.5</v>
      </c>
      <c r="K618" s="8">
        <v>1176.0</v>
      </c>
      <c r="L618" s="8" t="s">
        <v>2627</v>
      </c>
      <c r="M618" s="11">
        <v>0.58</v>
      </c>
      <c r="N618" s="8" t="s">
        <v>3341</v>
      </c>
      <c r="O618" s="8">
        <v>1176.0</v>
      </c>
      <c r="P618" s="11">
        <v>27.6045</v>
      </c>
      <c r="Q618" s="8" t="s">
        <v>2717</v>
      </c>
      <c r="R618" s="11">
        <v>-4.0643</v>
      </c>
      <c r="S618" s="12">
        <v>7355903.0</v>
      </c>
      <c r="T618" s="12">
        <v>7.929806603E9</v>
      </c>
      <c r="U618" s="13">
        <v>1.4299</v>
      </c>
      <c r="V618" s="13">
        <v>-7.2866</v>
      </c>
      <c r="W618" s="13">
        <v>-180.4947</v>
      </c>
      <c r="X618" s="13">
        <v>189.1937</v>
      </c>
      <c r="Y618" s="13">
        <v>0.0</v>
      </c>
      <c r="Z618" s="13">
        <v>27.716</v>
      </c>
      <c r="AA618" s="8" t="s">
        <v>2620</v>
      </c>
      <c r="AB618" s="14">
        <f>IFERROR(__xludf.DUMMYFUNCTION("IFERROR(GOOGLEFINANCE(B618,""price""),"""")"),13.53)</f>
        <v>13.53</v>
      </c>
    </row>
    <row r="619">
      <c r="A619" s="15">
        <v>46063.62790063142</v>
      </c>
      <c r="B619" s="16" t="s">
        <v>2684</v>
      </c>
      <c r="C619" s="16" t="s">
        <v>2685</v>
      </c>
      <c r="D619" s="17">
        <v>46068.0</v>
      </c>
      <c r="E619" s="18">
        <v>329.14</v>
      </c>
      <c r="F619" s="16" t="s">
        <v>102</v>
      </c>
      <c r="G619" s="21">
        <v>37.9456</v>
      </c>
      <c r="H619" s="21">
        <v>8.674</v>
      </c>
      <c r="I619" s="17">
        <v>46066.0</v>
      </c>
      <c r="J619" s="18">
        <v>335.0</v>
      </c>
      <c r="K619" s="16">
        <v>1173.0</v>
      </c>
      <c r="L619" s="16" t="s">
        <v>2608</v>
      </c>
      <c r="M619" s="19">
        <v>1.78</v>
      </c>
      <c r="N619" s="16" t="s">
        <v>3342</v>
      </c>
      <c r="O619" s="16">
        <v>1173.0</v>
      </c>
      <c r="P619" s="19">
        <v>31.039</v>
      </c>
      <c r="Q619" s="16" t="s">
        <v>2687</v>
      </c>
      <c r="R619" s="19">
        <v>-0.4326</v>
      </c>
      <c r="S619" s="20">
        <v>3859464.0</v>
      </c>
      <c r="T619" s="20">
        <v>2.60989383087E11</v>
      </c>
      <c r="U619" s="21">
        <v>15.0517</v>
      </c>
      <c r="V619" s="21">
        <v>35.5084</v>
      </c>
      <c r="W619" s="21">
        <v>29.8576</v>
      </c>
      <c r="X619" s="21">
        <v>4.4669</v>
      </c>
      <c r="Y619" s="21">
        <v>0.3453</v>
      </c>
      <c r="Z619" s="21">
        <v>2.6105</v>
      </c>
      <c r="AA619" s="16" t="s">
        <v>2620</v>
      </c>
      <c r="AB619" s="22">
        <f>IFERROR(__xludf.DUMMYFUNCTION("IFERROR(GOOGLEFINANCE(B619,""price""),"""")"),399.5)</f>
        <v>399.5</v>
      </c>
    </row>
    <row r="620">
      <c r="A620" s="7">
        <v>46063.62790063142</v>
      </c>
      <c r="B620" s="8" t="s">
        <v>1626</v>
      </c>
      <c r="C620" s="8" t="s">
        <v>1627</v>
      </c>
      <c r="D620" s="9">
        <v>46068.0</v>
      </c>
      <c r="E620" s="10">
        <v>44.815</v>
      </c>
      <c r="F620" s="8" t="s">
        <v>917</v>
      </c>
      <c r="G620" s="13">
        <v>23.6703</v>
      </c>
      <c r="H620" s="13">
        <v>1.8933</v>
      </c>
      <c r="I620" s="9">
        <v>46073.0</v>
      </c>
      <c r="J620" s="10">
        <v>45.0</v>
      </c>
      <c r="K620" s="8">
        <v>1150.0</v>
      </c>
      <c r="L620" s="8" t="s">
        <v>2608</v>
      </c>
      <c r="M620" s="11">
        <v>0.41</v>
      </c>
      <c r="N620" s="8" t="s">
        <v>3302</v>
      </c>
      <c r="O620" s="8">
        <v>1150.0</v>
      </c>
      <c r="P620" s="11">
        <v>25.7938</v>
      </c>
      <c r="Q620" s="8" t="s">
        <v>1628</v>
      </c>
      <c r="R620" s="11">
        <v>0.8211</v>
      </c>
      <c r="S620" s="12">
        <v>4048848.0</v>
      </c>
      <c r="T620" s="12">
        <v>2.138551787E10</v>
      </c>
      <c r="U620" s="13">
        <v>0.7526</v>
      </c>
      <c r="V620" s="13">
        <v>10.2329</v>
      </c>
      <c r="W620" s="13">
        <v>27.5403</v>
      </c>
      <c r="X620" s="13">
        <v>19.6207</v>
      </c>
      <c r="Y620" s="13">
        <v>1.7288</v>
      </c>
      <c r="Z620" s="13">
        <v>0.5231</v>
      </c>
      <c r="AA620" s="8" t="s">
        <v>2620</v>
      </c>
      <c r="AB620" s="14">
        <f>IFERROR(__xludf.DUMMYFUNCTION("IFERROR(GOOGLEFINANCE(B620,""price""),"""")"),48.05)</f>
        <v>48.05</v>
      </c>
    </row>
    <row r="621">
      <c r="A621" s="15">
        <v>46063.62790063142</v>
      </c>
      <c r="B621" s="16" t="s">
        <v>3141</v>
      </c>
      <c r="C621" s="16" t="s">
        <v>3142</v>
      </c>
      <c r="D621" s="17">
        <v>46068.0</v>
      </c>
      <c r="E621" s="18">
        <v>326.49</v>
      </c>
      <c r="F621" s="16" t="s">
        <v>93</v>
      </c>
      <c r="G621" s="21">
        <v>12.6933</v>
      </c>
      <c r="H621" s="21">
        <v>25.7215</v>
      </c>
      <c r="I621" s="17">
        <v>46073.0</v>
      </c>
      <c r="J621" s="18">
        <v>325.0</v>
      </c>
      <c r="K621" s="16">
        <v>1150.0</v>
      </c>
      <c r="L621" s="16" t="s">
        <v>2608</v>
      </c>
      <c r="M621" s="19">
        <v>0.46</v>
      </c>
      <c r="N621" s="16" t="s">
        <v>3343</v>
      </c>
      <c r="O621" s="16">
        <v>1150.0</v>
      </c>
      <c r="P621" s="19">
        <v>26.3608</v>
      </c>
      <c r="Q621" s="16" t="s">
        <v>3144</v>
      </c>
      <c r="R621" s="19">
        <v>0.0981</v>
      </c>
      <c r="S621" s="20">
        <v>1212050.0</v>
      </c>
      <c r="T621" s="20">
        <v>1.28490419788E11</v>
      </c>
      <c r="U621" s="21">
        <v>6.6182</v>
      </c>
      <c r="V621" s="21">
        <v>14.9661</v>
      </c>
      <c r="W621" s="21">
        <v>21.2322</v>
      </c>
      <c r="X621" s="21">
        <v>6.9142</v>
      </c>
      <c r="Y621" s="24"/>
      <c r="Z621" s="21">
        <v>0.2721</v>
      </c>
      <c r="AA621" s="16" t="s">
        <v>2611</v>
      </c>
      <c r="AB621" s="22">
        <f>IFERROR(__xludf.DUMMYFUNCTION("IFERROR(GOOGLEFINANCE(B621,""price""),"""")"),327.91)</f>
        <v>327.91</v>
      </c>
    </row>
    <row r="622">
      <c r="A622" s="7">
        <v>46063.62790063142</v>
      </c>
      <c r="B622" s="8" t="s">
        <v>2663</v>
      </c>
      <c r="C622" s="8" t="s">
        <v>2664</v>
      </c>
      <c r="D622" s="9">
        <v>46068.0</v>
      </c>
      <c r="E622" s="10">
        <v>121.645</v>
      </c>
      <c r="F622" s="8" t="s">
        <v>335</v>
      </c>
      <c r="G622" s="13">
        <v>18.9098</v>
      </c>
      <c r="H622" s="13">
        <v>6.4329</v>
      </c>
      <c r="I622" s="9">
        <v>46066.0</v>
      </c>
      <c r="J622" s="10">
        <v>123.0</v>
      </c>
      <c r="K622" s="8">
        <v>1117.0</v>
      </c>
      <c r="L622" s="8" t="s">
        <v>2608</v>
      </c>
      <c r="M622" s="11">
        <v>1.11</v>
      </c>
      <c r="N622" s="8" t="s">
        <v>3344</v>
      </c>
      <c r="O622" s="8">
        <v>1117.0</v>
      </c>
      <c r="P622" s="11">
        <v>24.7878</v>
      </c>
      <c r="Q622" s="8" t="s">
        <v>2666</v>
      </c>
      <c r="R622" s="11">
        <v>0.7579</v>
      </c>
      <c r="S622" s="12">
        <v>4305820.0</v>
      </c>
      <c r="T622" s="12">
        <v>1.3274668396E11</v>
      </c>
      <c r="U622" s="13">
        <v>5.5959</v>
      </c>
      <c r="V622" s="13">
        <v>22.8383</v>
      </c>
      <c r="W622" s="13">
        <v>42.3718</v>
      </c>
      <c r="X622" s="13">
        <v>26.2476</v>
      </c>
      <c r="Y622" s="13">
        <v>0.1701</v>
      </c>
      <c r="Z622" s="13">
        <v>2.0393</v>
      </c>
      <c r="AA622" s="8" t="s">
        <v>2620</v>
      </c>
      <c r="AB622" s="14">
        <f>IFERROR(__xludf.DUMMYFUNCTION("IFERROR(GOOGLEFINANCE(B622,""price""),"""")"),120.9)</f>
        <v>120.9</v>
      </c>
    </row>
    <row r="623">
      <c r="A623" s="15">
        <v>46063.62790063142</v>
      </c>
      <c r="B623" s="16" t="s">
        <v>1512</v>
      </c>
      <c r="C623" s="16" t="s">
        <v>1513</v>
      </c>
      <c r="D623" s="17">
        <v>46068.0</v>
      </c>
      <c r="E623" s="18">
        <v>78.82</v>
      </c>
      <c r="F623" s="16" t="s">
        <v>917</v>
      </c>
      <c r="G623" s="21">
        <v>21.6313</v>
      </c>
      <c r="H623" s="21">
        <v>3.6438</v>
      </c>
      <c r="I623" s="17">
        <v>46073.0</v>
      </c>
      <c r="J623" s="18">
        <v>77.5</v>
      </c>
      <c r="K623" s="16">
        <v>1112.0</v>
      </c>
      <c r="L623" s="16" t="s">
        <v>2608</v>
      </c>
      <c r="M623" s="19">
        <v>1.67</v>
      </c>
      <c r="N623" s="16" t="s">
        <v>3345</v>
      </c>
      <c r="O623" s="16">
        <v>1112.0</v>
      </c>
      <c r="P623" s="19">
        <v>27.3116</v>
      </c>
      <c r="Q623" s="16" t="s">
        <v>1514</v>
      </c>
      <c r="R623" s="19">
        <v>2.1646</v>
      </c>
      <c r="S623" s="20">
        <v>1288161.0</v>
      </c>
      <c r="T623" s="20">
        <v>1.8145479019E10</v>
      </c>
      <c r="U623" s="21">
        <v>1.2778</v>
      </c>
      <c r="V623" s="21">
        <v>8.3636</v>
      </c>
      <c r="W623" s="21">
        <v>24.8419</v>
      </c>
      <c r="X623" s="21">
        <v>0.1069</v>
      </c>
      <c r="Y623" s="21">
        <v>1.4305</v>
      </c>
      <c r="Z623" s="21">
        <v>0.5156</v>
      </c>
      <c r="AA623" s="16" t="s">
        <v>2611</v>
      </c>
      <c r="AB623" s="22">
        <f>IFERROR(__xludf.DUMMYFUNCTION("IFERROR(GOOGLEFINANCE(B623,""price""),"""")"),83.58)</f>
        <v>83.58</v>
      </c>
    </row>
    <row r="624">
      <c r="A624" s="7">
        <v>46063.62790063142</v>
      </c>
      <c r="B624" s="8" t="s">
        <v>2692</v>
      </c>
      <c r="C624" s="8" t="s">
        <v>2693</v>
      </c>
      <c r="D624" s="9">
        <v>46068.0</v>
      </c>
      <c r="E624" s="10">
        <v>239.23</v>
      </c>
      <c r="F624" s="8" t="s">
        <v>117</v>
      </c>
      <c r="G624" s="13">
        <v>21.658</v>
      </c>
      <c r="H624" s="13">
        <v>11.0458</v>
      </c>
      <c r="I624" s="9">
        <v>46066.0</v>
      </c>
      <c r="J624" s="10">
        <v>240.0</v>
      </c>
      <c r="K624" s="8">
        <v>1069.0</v>
      </c>
      <c r="L624" s="8" t="s">
        <v>2608</v>
      </c>
      <c r="M624" s="11">
        <v>0.32</v>
      </c>
      <c r="N624" s="8" t="s">
        <v>3346</v>
      </c>
      <c r="O624" s="8">
        <v>1069.0</v>
      </c>
      <c r="P624" s="11">
        <v>35.4666</v>
      </c>
      <c r="Q624" s="8" t="s">
        <v>2695</v>
      </c>
      <c r="R624" s="11">
        <v>0.2472</v>
      </c>
      <c r="S624" s="12">
        <v>4646136.0</v>
      </c>
      <c r="T624" s="12">
        <v>5.76375622686E11</v>
      </c>
      <c r="U624" s="13">
        <v>3.7324</v>
      </c>
      <c r="V624" s="23"/>
      <c r="W624" s="13">
        <v>27.4326</v>
      </c>
      <c r="X624" s="13">
        <v>6.0483</v>
      </c>
      <c r="Y624" s="23"/>
      <c r="Z624" s="23"/>
      <c r="AA624" s="8" t="s">
        <v>2620</v>
      </c>
      <c r="AB624" s="14">
        <f>IFERROR(__xludf.DUMMYFUNCTION("IFERROR(GOOGLEFINANCE(B624,""price""),"""")"),238.46)</f>
        <v>238.46</v>
      </c>
    </row>
    <row r="625">
      <c r="A625" s="15">
        <v>46063.62790063142</v>
      </c>
      <c r="B625" s="16" t="s">
        <v>3347</v>
      </c>
      <c r="C625" s="16" t="s">
        <v>3348</v>
      </c>
      <c r="D625" s="17">
        <v>46068.0</v>
      </c>
      <c r="E625" s="18">
        <v>317.255</v>
      </c>
      <c r="F625" s="16" t="s">
        <v>308</v>
      </c>
      <c r="G625" s="21">
        <v>38.9806</v>
      </c>
      <c r="H625" s="21">
        <v>8.1388</v>
      </c>
      <c r="I625" s="17">
        <v>46066.0</v>
      </c>
      <c r="J625" s="18">
        <v>320.0</v>
      </c>
      <c r="K625" s="16">
        <v>1026.0</v>
      </c>
      <c r="L625" s="16" t="s">
        <v>2608</v>
      </c>
      <c r="M625" s="19">
        <v>0.87</v>
      </c>
      <c r="N625" s="16" t="s">
        <v>3349</v>
      </c>
      <c r="O625" s="16">
        <v>1026.0</v>
      </c>
      <c r="P625" s="19">
        <v>19.2078</v>
      </c>
      <c r="Q625" s="16" t="s">
        <v>3350</v>
      </c>
      <c r="R625" s="19">
        <v>0.1626</v>
      </c>
      <c r="S625" s="20">
        <v>2560112.0</v>
      </c>
      <c r="T625" s="20">
        <v>3.32741347976E11</v>
      </c>
      <c r="U625" s="21">
        <v>8.9871</v>
      </c>
      <c r="V625" s="21">
        <v>45.2353</v>
      </c>
      <c r="W625" s="21">
        <v>18.207</v>
      </c>
      <c r="X625" s="21">
        <v>0.1223</v>
      </c>
      <c r="Y625" s="21">
        <v>1.1542</v>
      </c>
      <c r="Z625" s="21">
        <v>1.0415</v>
      </c>
      <c r="AA625" s="16" t="s">
        <v>2620</v>
      </c>
      <c r="AB625" s="22">
        <f>IFERROR(__xludf.DUMMYFUNCTION("IFERROR(GOOGLEFINANCE(B625,""price""),"""")"),308.35)</f>
        <v>308.35</v>
      </c>
    </row>
    <row r="626">
      <c r="A626" s="7">
        <v>46063.62790063142</v>
      </c>
      <c r="B626" s="8" t="s">
        <v>2646</v>
      </c>
      <c r="C626" s="8" t="s">
        <v>2647</v>
      </c>
      <c r="D626" s="9">
        <v>46068.0</v>
      </c>
      <c r="E626" s="10">
        <v>35.285</v>
      </c>
      <c r="F626" s="8" t="s">
        <v>270</v>
      </c>
      <c r="G626" s="13">
        <v>13.2875</v>
      </c>
      <c r="H626" s="13">
        <v>2.6555</v>
      </c>
      <c r="I626" s="9">
        <v>46066.0</v>
      </c>
      <c r="J626" s="10">
        <v>35.0</v>
      </c>
      <c r="K626" s="8">
        <v>1025.0</v>
      </c>
      <c r="L626" s="8" t="s">
        <v>2608</v>
      </c>
      <c r="M626" s="11">
        <v>0.81</v>
      </c>
      <c r="N626" s="8" t="s">
        <v>3351</v>
      </c>
      <c r="O626" s="8">
        <v>1025.0</v>
      </c>
      <c r="P626" s="11">
        <v>35.1278</v>
      </c>
      <c r="Q626" s="8" t="s">
        <v>2649</v>
      </c>
      <c r="R626" s="11">
        <v>0.3555</v>
      </c>
      <c r="S626" s="12">
        <v>2949205.0</v>
      </c>
      <c r="T626" s="12">
        <v>7.6332782738E10</v>
      </c>
      <c r="U626" s="13">
        <v>0.6413</v>
      </c>
      <c r="V626" s="23"/>
      <c r="W626" s="13">
        <v>13.037</v>
      </c>
      <c r="X626" s="13">
        <v>-5.779</v>
      </c>
      <c r="Y626" s="23"/>
      <c r="Z626" s="23"/>
      <c r="AA626" s="8" t="s">
        <v>2611</v>
      </c>
      <c r="AB626" s="14">
        <f>IFERROR(__xludf.DUMMYFUNCTION("IFERROR(GOOGLEFINANCE(B626,""price""),"""")"),37.35)</f>
        <v>37.35</v>
      </c>
    </row>
    <row r="627">
      <c r="A627" s="7">
        <v>46063.875963838174</v>
      </c>
      <c r="B627" s="8" t="s">
        <v>3269</v>
      </c>
      <c r="C627" s="8" t="s">
        <v>3270</v>
      </c>
      <c r="D627" s="9">
        <v>46068.0</v>
      </c>
      <c r="E627" s="10">
        <v>273.68</v>
      </c>
      <c r="F627" s="8" t="s">
        <v>308</v>
      </c>
      <c r="G627" s="13">
        <v>34.6264</v>
      </c>
      <c r="H627" s="13">
        <v>7.9038</v>
      </c>
      <c r="I627" s="9">
        <v>46064.0</v>
      </c>
      <c r="J627" s="10">
        <v>272.5</v>
      </c>
      <c r="K627" s="8">
        <v>9133.0</v>
      </c>
      <c r="L627" s="8" t="s">
        <v>2627</v>
      </c>
      <c r="M627" s="11">
        <v>0.43</v>
      </c>
      <c r="N627" s="8" t="s">
        <v>3306</v>
      </c>
      <c r="O627" s="8">
        <v>26074.0</v>
      </c>
      <c r="P627" s="11">
        <v>24.8277</v>
      </c>
      <c r="Q627" s="8" t="s">
        <v>3272</v>
      </c>
      <c r="R627" s="11">
        <v>-0.3423</v>
      </c>
      <c r="S627" s="12">
        <v>3.437685E7</v>
      </c>
      <c r="T627" s="12">
        <v>4.017934227545E12</v>
      </c>
      <c r="U627" s="13">
        <v>5.7743</v>
      </c>
      <c r="V627" s="13">
        <v>152.0213</v>
      </c>
      <c r="W627" s="13">
        <v>32.384</v>
      </c>
      <c r="X627" s="13">
        <v>10.071</v>
      </c>
      <c r="Y627" s="13">
        <v>1.0263</v>
      </c>
      <c r="Z627" s="13">
        <v>0.9737</v>
      </c>
      <c r="AA627" s="8" t="s">
        <v>2611</v>
      </c>
      <c r="AB627" s="14">
        <f>IFERROR(__xludf.DUMMYFUNCTION("IFERROR(GOOGLEFINANCE(B627,""price""),"""")"),260.48)</f>
        <v>260.48</v>
      </c>
    </row>
    <row r="628">
      <c r="A628" s="15">
        <v>46063.875963838174</v>
      </c>
      <c r="B628" s="16" t="s">
        <v>2625</v>
      </c>
      <c r="C628" s="16" t="s">
        <v>2626</v>
      </c>
      <c r="D628" s="17">
        <v>46068.0</v>
      </c>
      <c r="E628" s="18">
        <v>126.7</v>
      </c>
      <c r="F628" s="16" t="s">
        <v>137</v>
      </c>
      <c r="G628" s="21">
        <v>44.4405</v>
      </c>
      <c r="H628" s="21">
        <v>2.851</v>
      </c>
      <c r="I628" s="17">
        <v>46066.0</v>
      </c>
      <c r="J628" s="18">
        <v>126.0</v>
      </c>
      <c r="K628" s="16">
        <v>4821.0</v>
      </c>
      <c r="L628" s="16" t="s">
        <v>2627</v>
      </c>
      <c r="M628" s="19">
        <v>0.55</v>
      </c>
      <c r="N628" s="16" t="s">
        <v>3308</v>
      </c>
      <c r="O628" s="16">
        <v>20074.0</v>
      </c>
      <c r="P628" s="19">
        <v>32.6936</v>
      </c>
      <c r="Q628" s="16" t="s">
        <v>2629</v>
      </c>
      <c r="R628" s="19">
        <v>-1.7982</v>
      </c>
      <c r="S628" s="20">
        <v>2.4661855E7</v>
      </c>
      <c r="T628" s="20">
        <v>1.00982019135E12</v>
      </c>
      <c r="U628" s="21">
        <v>2.8543</v>
      </c>
      <c r="V628" s="21">
        <v>24.8749</v>
      </c>
      <c r="W628" s="21">
        <v>4.1214</v>
      </c>
      <c r="X628" s="21">
        <v>4.3397</v>
      </c>
      <c r="Y628" s="21">
        <v>0.7121</v>
      </c>
      <c r="Z628" s="21">
        <v>0.8029</v>
      </c>
      <c r="AA628" s="16" t="s">
        <v>2611</v>
      </c>
      <c r="AB628" s="22">
        <f>IFERROR(__xludf.DUMMYFUNCTION("IFERROR(GOOGLEFINANCE(B628,""price""),"""")"),126.79)</f>
        <v>126.79</v>
      </c>
    </row>
    <row r="629">
      <c r="A629" s="7">
        <v>46063.875963838174</v>
      </c>
      <c r="B629" s="8" t="s">
        <v>1598</v>
      </c>
      <c r="C629" s="8" t="s">
        <v>1599</v>
      </c>
      <c r="D629" s="9">
        <v>46068.0</v>
      </c>
      <c r="E629" s="10">
        <v>55.39</v>
      </c>
      <c r="F629" s="8" t="s">
        <v>93</v>
      </c>
      <c r="G629" s="13">
        <v>14.4508</v>
      </c>
      <c r="H629" s="13">
        <v>3.833</v>
      </c>
      <c r="I629" s="9">
        <v>46066.0</v>
      </c>
      <c r="J629" s="10">
        <v>56.0</v>
      </c>
      <c r="K629" s="8">
        <v>3199.0</v>
      </c>
      <c r="L629" s="8" t="s">
        <v>2627</v>
      </c>
      <c r="M629" s="11">
        <v>1.1</v>
      </c>
      <c r="N629" s="8" t="s">
        <v>3307</v>
      </c>
      <c r="O629" s="8">
        <v>17706.0</v>
      </c>
      <c r="P629" s="11">
        <v>21.8408</v>
      </c>
      <c r="Q629" s="8" t="s">
        <v>1600</v>
      </c>
      <c r="R629" s="11">
        <v>-1.8082</v>
      </c>
      <c r="S629" s="12">
        <v>4.8304748E7</v>
      </c>
      <c r="T629" s="12">
        <v>3.99498399568E11</v>
      </c>
      <c r="U629" s="13">
        <v>1.2079</v>
      </c>
      <c r="V629" s="13">
        <v>10.2298</v>
      </c>
      <c r="W629" s="13">
        <v>18.0672</v>
      </c>
      <c r="X629" s="13">
        <v>-2.1208</v>
      </c>
      <c r="Y629" s="13">
        <v>2.3434</v>
      </c>
      <c r="Z629" s="13">
        <v>0.9906</v>
      </c>
      <c r="AA629" s="8" t="s">
        <v>2620</v>
      </c>
      <c r="AB629" s="14">
        <f>IFERROR(__xludf.DUMMYFUNCTION("IFERROR(GOOGLEFINANCE(B629,""price""),"""")"),52.54)</f>
        <v>52.54</v>
      </c>
    </row>
    <row r="630">
      <c r="A630" s="15">
        <v>46063.875963838174</v>
      </c>
      <c r="B630" s="16" t="s">
        <v>2616</v>
      </c>
      <c r="C630" s="16" t="s">
        <v>2617</v>
      </c>
      <c r="D630" s="17">
        <v>46068.0</v>
      </c>
      <c r="E630" s="18">
        <v>76.81</v>
      </c>
      <c r="F630" s="16" t="s">
        <v>286</v>
      </c>
      <c r="G630" s="21">
        <v>25.2789</v>
      </c>
      <c r="H630" s="21">
        <v>3.0385</v>
      </c>
      <c r="I630" s="17">
        <v>46066.0</v>
      </c>
      <c r="J630" s="18">
        <v>77.0</v>
      </c>
      <c r="K630" s="16">
        <v>5489.0</v>
      </c>
      <c r="L630" s="16" t="s">
        <v>2608</v>
      </c>
      <c r="M630" s="19">
        <v>0.25</v>
      </c>
      <c r="N630" s="16" t="s">
        <v>3309</v>
      </c>
      <c r="O630" s="16">
        <v>16665.0</v>
      </c>
      <c r="P630" s="19">
        <v>38.9694</v>
      </c>
      <c r="Q630" s="16" t="s">
        <v>2619</v>
      </c>
      <c r="R630" s="19">
        <v>-1.4878</v>
      </c>
      <c r="S630" s="20">
        <v>2.8848184E7</v>
      </c>
      <c r="T630" s="20">
        <v>3.30406583761E11</v>
      </c>
      <c r="U630" s="21">
        <v>1.2576</v>
      </c>
      <c r="V630" s="21">
        <v>45.9693</v>
      </c>
      <c r="W630" s="21">
        <v>29.0951</v>
      </c>
      <c r="X630" s="21">
        <v>3.1925</v>
      </c>
      <c r="Y630" s="21">
        <v>1.4142</v>
      </c>
      <c r="Z630" s="21">
        <v>1.4588</v>
      </c>
      <c r="AA630" s="16" t="s">
        <v>2620</v>
      </c>
      <c r="AB630" s="22">
        <f>IFERROR(__xludf.DUMMYFUNCTION("IFERROR(GOOGLEFINANCE(B630,""price""),"""")"),77.47)</f>
        <v>77.47</v>
      </c>
    </row>
    <row r="631">
      <c r="A631" s="7">
        <v>46063.875963838174</v>
      </c>
      <c r="B631" s="8" t="s">
        <v>2638</v>
      </c>
      <c r="C631" s="8" t="s">
        <v>2639</v>
      </c>
      <c r="D631" s="9">
        <v>46068.0</v>
      </c>
      <c r="E631" s="10">
        <v>151.59</v>
      </c>
      <c r="F631" s="8" t="s">
        <v>245</v>
      </c>
      <c r="G631" s="13">
        <v>22.6561</v>
      </c>
      <c r="H631" s="13">
        <v>6.6909</v>
      </c>
      <c r="I631" s="9">
        <v>46066.0</v>
      </c>
      <c r="J631" s="10">
        <v>152.5</v>
      </c>
      <c r="K631" s="8">
        <v>8102.0</v>
      </c>
      <c r="L631" s="8" t="s">
        <v>2608</v>
      </c>
      <c r="M631" s="11">
        <v>0.6</v>
      </c>
      <c r="N631" s="8" t="s">
        <v>3310</v>
      </c>
      <c r="O631" s="8">
        <v>13143.0</v>
      </c>
      <c r="P631" s="11">
        <v>56.4495</v>
      </c>
      <c r="Q631" s="8" t="s">
        <v>2641</v>
      </c>
      <c r="R631" s="11">
        <v>0.2513</v>
      </c>
      <c r="S631" s="12">
        <v>1.5800255E7</v>
      </c>
      <c r="T631" s="12">
        <v>6.39280150675E11</v>
      </c>
      <c r="U631" s="13">
        <v>3.0939</v>
      </c>
      <c r="V631" s="13">
        <v>11.0283</v>
      </c>
      <c r="W631" s="13">
        <v>10.3419</v>
      </c>
      <c r="X631" s="13">
        <v>-4.856</v>
      </c>
      <c r="Y631" s="13">
        <v>0.1678</v>
      </c>
      <c r="Z631" s="13">
        <v>1.1528</v>
      </c>
      <c r="AA631" s="8" t="s">
        <v>2620</v>
      </c>
      <c r="AB631" s="14">
        <f>IFERROR(__xludf.DUMMYFUNCTION("IFERROR(GOOGLEFINANCE(B631,""price""),"""")"),152.51)</f>
        <v>152.51</v>
      </c>
    </row>
    <row r="632">
      <c r="A632" s="15">
        <v>46063.875963838174</v>
      </c>
      <c r="B632" s="16" t="s">
        <v>2630</v>
      </c>
      <c r="C632" s="16" t="s">
        <v>2631</v>
      </c>
      <c r="D632" s="17">
        <v>46068.0</v>
      </c>
      <c r="E632" s="18">
        <v>373.25</v>
      </c>
      <c r="F632" s="16" t="s">
        <v>308</v>
      </c>
      <c r="G632" s="21">
        <v>35.48</v>
      </c>
      <c r="H632" s="21">
        <v>10.52</v>
      </c>
      <c r="I632" s="17">
        <v>46066.0</v>
      </c>
      <c r="J632" s="18">
        <v>370.0</v>
      </c>
      <c r="K632" s="16">
        <v>4079.0</v>
      </c>
      <c r="L632" s="16" t="s">
        <v>2627</v>
      </c>
      <c r="M632" s="19">
        <v>0.87</v>
      </c>
      <c r="N632" s="16" t="s">
        <v>3311</v>
      </c>
      <c r="O632" s="16">
        <v>13120.0</v>
      </c>
      <c r="P632" s="19">
        <v>38.1124</v>
      </c>
      <c r="Q632" s="16" t="s">
        <v>2633</v>
      </c>
      <c r="R632" s="19">
        <v>-2.6728</v>
      </c>
      <c r="S632" s="20">
        <v>3.5432966E7</v>
      </c>
      <c r="T632" s="20">
        <v>4.20096337768E11</v>
      </c>
      <c r="U632" s="21">
        <v>24.9084</v>
      </c>
      <c r="V632" s="21">
        <v>22.5543</v>
      </c>
      <c r="W632" s="21">
        <v>32.9221</v>
      </c>
      <c r="X632" s="21">
        <v>45.432</v>
      </c>
      <c r="Y632" s="21">
        <v>0.2124</v>
      </c>
      <c r="Z632" s="21">
        <v>2.4598</v>
      </c>
      <c r="AA632" s="16" t="s">
        <v>2611</v>
      </c>
      <c r="AB632" s="22">
        <f>IFERROR(__xludf.DUMMYFUNCTION("IFERROR(GOOGLEFINANCE(B632,""price""),"""")"),420.59)</f>
        <v>420.59</v>
      </c>
    </row>
    <row r="633">
      <c r="A633" s="7">
        <v>46063.875963838174</v>
      </c>
      <c r="B633" s="8" t="s">
        <v>2634</v>
      </c>
      <c r="C633" s="8" t="s">
        <v>2635</v>
      </c>
      <c r="D633" s="9">
        <v>46068.0</v>
      </c>
      <c r="E633" s="10">
        <v>182.26</v>
      </c>
      <c r="F633" s="8" t="s">
        <v>245</v>
      </c>
      <c r="G633" s="13">
        <v>27.4038</v>
      </c>
      <c r="H633" s="13">
        <v>6.6509</v>
      </c>
      <c r="I633" s="9">
        <v>46066.0</v>
      </c>
      <c r="J633" s="10">
        <v>182.5</v>
      </c>
      <c r="K633" s="8">
        <v>3167.0</v>
      </c>
      <c r="L633" s="8" t="s">
        <v>2608</v>
      </c>
      <c r="M633" s="11">
        <v>0.13</v>
      </c>
      <c r="N633" s="8" t="s">
        <v>3312</v>
      </c>
      <c r="O633" s="8">
        <v>8837.0</v>
      </c>
      <c r="P633" s="11">
        <v>55.7083</v>
      </c>
      <c r="Q633" s="8" t="s">
        <v>2637</v>
      </c>
      <c r="R633" s="11">
        <v>-0.1862</v>
      </c>
      <c r="S633" s="12">
        <v>7458163.0</v>
      </c>
      <c r="T633" s="12">
        <v>3.66984460257E11</v>
      </c>
      <c r="U633" s="13">
        <v>3.3603</v>
      </c>
      <c r="V633" s="13">
        <v>7.261</v>
      </c>
      <c r="W633" s="13">
        <v>8.9022</v>
      </c>
      <c r="X633" s="13">
        <v>-4.6053</v>
      </c>
      <c r="Y633" s="13">
        <v>0.2186</v>
      </c>
      <c r="Z633" s="23"/>
      <c r="AA633" s="8" t="s">
        <v>2620</v>
      </c>
      <c r="AB633" s="14">
        <f>IFERROR(__xludf.DUMMYFUNCTION("IFERROR(GOOGLEFINANCE(B633,""price""),"""")"),188.55)</f>
        <v>188.55</v>
      </c>
    </row>
    <row r="634">
      <c r="A634" s="15">
        <v>46063.875963838174</v>
      </c>
      <c r="B634" s="16" t="s">
        <v>2704</v>
      </c>
      <c r="C634" s="16" t="s">
        <v>2705</v>
      </c>
      <c r="D634" s="17">
        <v>46068.0</v>
      </c>
      <c r="E634" s="18">
        <v>37.47</v>
      </c>
      <c r="F634" s="16" t="s">
        <v>88</v>
      </c>
      <c r="G634" s="24"/>
      <c r="H634" s="21">
        <v>-0.5438</v>
      </c>
      <c r="I634" s="17">
        <v>46066.0</v>
      </c>
      <c r="J634" s="18">
        <v>38.0</v>
      </c>
      <c r="K634" s="16">
        <v>3171.0</v>
      </c>
      <c r="L634" s="16" t="s">
        <v>2608</v>
      </c>
      <c r="M634" s="19">
        <v>1.41</v>
      </c>
      <c r="N634" s="16" t="s">
        <v>3313</v>
      </c>
      <c r="O634" s="16">
        <v>6920.0</v>
      </c>
      <c r="P634" s="19">
        <v>20.3496</v>
      </c>
      <c r="Q634" s="16" t="s">
        <v>2707</v>
      </c>
      <c r="R634" s="19">
        <v>-2.0648</v>
      </c>
      <c r="S634" s="20">
        <v>2.4413521E7</v>
      </c>
      <c r="T634" s="20">
        <v>1.0476080045E10</v>
      </c>
      <c r="U634" s="21">
        <v>4.0357</v>
      </c>
      <c r="V634" s="21">
        <v>-11.4029</v>
      </c>
      <c r="W634" s="21">
        <v>-26.4624</v>
      </c>
      <c r="X634" s="21">
        <v>33.135</v>
      </c>
      <c r="Y634" s="21">
        <v>1.6778</v>
      </c>
      <c r="Z634" s="21">
        <v>4.8227</v>
      </c>
      <c r="AA634" s="16" t="s">
        <v>2620</v>
      </c>
      <c r="AB634" s="22">
        <f>IFERROR(__xludf.DUMMYFUNCTION("IFERROR(GOOGLEFINANCE(B634,""price""),"""")"),26.24)</f>
        <v>26.24</v>
      </c>
    </row>
    <row r="635">
      <c r="A635" s="7">
        <v>46063.875963838174</v>
      </c>
      <c r="B635" s="8" t="s">
        <v>2344</v>
      </c>
      <c r="C635" s="8" t="s">
        <v>2345</v>
      </c>
      <c r="D635" s="9">
        <v>46068.0</v>
      </c>
      <c r="E635" s="10">
        <v>68.84</v>
      </c>
      <c r="F635" s="8" t="s">
        <v>270</v>
      </c>
      <c r="G635" s="23"/>
      <c r="H635" s="23"/>
      <c r="I635" s="9">
        <v>46066.0</v>
      </c>
      <c r="J635" s="10">
        <v>68.0</v>
      </c>
      <c r="K635" s="8">
        <v>3579.0</v>
      </c>
      <c r="L635" s="8" t="s">
        <v>2608</v>
      </c>
      <c r="M635" s="11">
        <v>1.22</v>
      </c>
      <c r="N635" s="8" t="s">
        <v>3314</v>
      </c>
      <c r="O635" s="8">
        <v>6199.0</v>
      </c>
      <c r="P635" s="11">
        <v>35.0419</v>
      </c>
      <c r="Q635" s="8" t="s">
        <v>2346</v>
      </c>
      <c r="R635" s="11">
        <v>1.4591</v>
      </c>
      <c r="S635" s="12">
        <v>1.5583731E7</v>
      </c>
      <c r="T635" s="12">
        <v>8.4068705263E10</v>
      </c>
      <c r="U635" s="13">
        <v>1.8904</v>
      </c>
      <c r="V635" s="13">
        <v>20.7424</v>
      </c>
      <c r="W635" s="13">
        <v>36.7664</v>
      </c>
      <c r="X635" s="13">
        <v>10.611</v>
      </c>
      <c r="Y635" s="13">
        <v>2.2926</v>
      </c>
      <c r="Z635" s="13">
        <v>0.5313</v>
      </c>
      <c r="AA635" s="8" t="s">
        <v>2611</v>
      </c>
      <c r="AB635" s="14">
        <f>IFERROR(__xludf.DUMMYFUNCTION("IFERROR(GOOGLEFINANCE(B635,""price""),"""")"),72.74)</f>
        <v>72.74</v>
      </c>
    </row>
    <row r="636">
      <c r="A636" s="15">
        <v>46063.875963838174</v>
      </c>
      <c r="B636" s="16" t="s">
        <v>2700</v>
      </c>
      <c r="C636" s="16" t="s">
        <v>2701</v>
      </c>
      <c r="D636" s="17">
        <v>46068.0</v>
      </c>
      <c r="E636" s="18">
        <v>226.61</v>
      </c>
      <c r="F636" s="16" t="s">
        <v>102</v>
      </c>
      <c r="G636" s="21">
        <v>46.4431</v>
      </c>
      <c r="H636" s="21">
        <v>4.8793</v>
      </c>
      <c r="I636" s="17">
        <v>46066.0</v>
      </c>
      <c r="J636" s="18">
        <v>222.5</v>
      </c>
      <c r="K636" s="16">
        <v>2993.0</v>
      </c>
      <c r="L636" s="16" t="s">
        <v>2627</v>
      </c>
      <c r="M636" s="19">
        <v>1.81</v>
      </c>
      <c r="N636" s="16" t="s">
        <v>3315</v>
      </c>
      <c r="O636" s="16">
        <v>5890.0</v>
      </c>
      <c r="P636" s="19">
        <v>34.3201</v>
      </c>
      <c r="Q636" s="16" t="s">
        <v>2703</v>
      </c>
      <c r="R636" s="19">
        <v>-1.1645</v>
      </c>
      <c r="S636" s="20">
        <v>7909502.0</v>
      </c>
      <c r="T636" s="20">
        <v>2.82983993918E11</v>
      </c>
      <c r="U636" s="21">
        <v>12.3871</v>
      </c>
      <c r="V636" s="21">
        <v>65.5649</v>
      </c>
      <c r="W636" s="21">
        <v>33.7646</v>
      </c>
      <c r="X636" s="21">
        <v>26.8457</v>
      </c>
      <c r="Y636" s="21">
        <v>0.4419</v>
      </c>
      <c r="Z636" s="21">
        <v>2.2562</v>
      </c>
      <c r="AA636" s="16" t="s">
        <v>2611</v>
      </c>
      <c r="AB636" s="22">
        <f>IFERROR(__xludf.DUMMYFUNCTION("IFERROR(GOOGLEFINANCE(B636,""price""),"""")"),263.66)</f>
        <v>263.66</v>
      </c>
    </row>
    <row r="637">
      <c r="A637" s="7">
        <v>46063.875963838174</v>
      </c>
      <c r="B637" s="8" t="s">
        <v>1489</v>
      </c>
      <c r="C637" s="8" t="s">
        <v>1490</v>
      </c>
      <c r="D637" s="9">
        <v>46068.0</v>
      </c>
      <c r="E637" s="10">
        <v>86.29</v>
      </c>
      <c r="F637" s="8" t="s">
        <v>308</v>
      </c>
      <c r="G637" s="13">
        <v>32.5365</v>
      </c>
      <c r="H637" s="13">
        <v>2.6521</v>
      </c>
      <c r="I637" s="9">
        <v>46066.0</v>
      </c>
      <c r="J637" s="10">
        <v>85.0</v>
      </c>
      <c r="K637" s="8">
        <v>2140.0</v>
      </c>
      <c r="L637" s="8" t="s">
        <v>2608</v>
      </c>
      <c r="M637" s="11">
        <v>1.49</v>
      </c>
      <c r="N637" s="8" t="s">
        <v>3316</v>
      </c>
      <c r="O637" s="8">
        <v>5709.0</v>
      </c>
      <c r="P637" s="11">
        <v>37.9244</v>
      </c>
      <c r="Q637" s="8" t="s">
        <v>1491</v>
      </c>
      <c r="R637" s="11">
        <v>-0.5646</v>
      </c>
      <c r="S637" s="12">
        <v>3.2113832E7</v>
      </c>
      <c r="T637" s="12">
        <v>3.40939938092E11</v>
      </c>
      <c r="U637" s="13">
        <v>1.9522</v>
      </c>
      <c r="V637" s="13">
        <v>23.0103</v>
      </c>
      <c r="W637" s="13">
        <v>22.9895</v>
      </c>
      <c r="X637" s="13">
        <v>8.9097</v>
      </c>
      <c r="Y637" s="13">
        <v>0.6323</v>
      </c>
      <c r="Z637" s="13">
        <v>0.9274</v>
      </c>
      <c r="AA637" s="8" t="s">
        <v>2611</v>
      </c>
      <c r="AB637" s="14">
        <f>IFERROR(__xludf.DUMMYFUNCTION("IFERROR(GOOGLEFINANCE(B637,""price""),"""")"),82.22)</f>
        <v>82.22</v>
      </c>
    </row>
    <row r="638">
      <c r="A638" s="15">
        <v>46063.875963838174</v>
      </c>
      <c r="B638" s="16" t="s">
        <v>2676</v>
      </c>
      <c r="C638" s="16" t="s">
        <v>2677</v>
      </c>
      <c r="D638" s="17">
        <v>46068.0</v>
      </c>
      <c r="E638" s="18">
        <v>30.82</v>
      </c>
      <c r="F638" s="16" t="s">
        <v>93</v>
      </c>
      <c r="G638" s="21">
        <v>13.4157</v>
      </c>
      <c r="H638" s="21">
        <v>2.2973</v>
      </c>
      <c r="I638" s="17">
        <v>46073.0</v>
      </c>
      <c r="J638" s="18">
        <v>31.0</v>
      </c>
      <c r="K638" s="16">
        <v>3250.0</v>
      </c>
      <c r="L638" s="16" t="s">
        <v>2627</v>
      </c>
      <c r="M638" s="19">
        <v>0.58</v>
      </c>
      <c r="N638" s="16" t="s">
        <v>3317</v>
      </c>
      <c r="O638" s="16">
        <v>5686.0</v>
      </c>
      <c r="P638" s="19">
        <v>27.1747</v>
      </c>
      <c r="Q638" s="16" t="s">
        <v>2679</v>
      </c>
      <c r="R638" s="19">
        <v>0.1951</v>
      </c>
      <c r="S638" s="20">
        <v>1.0145525E7</v>
      </c>
      <c r="T638" s="20">
        <v>2.7025334729E10</v>
      </c>
      <c r="U638" s="21">
        <v>0.6712</v>
      </c>
      <c r="V638" s="21">
        <v>11.6787</v>
      </c>
      <c r="W638" s="21">
        <v>28.7373</v>
      </c>
      <c r="X638" s="21">
        <v>2.137</v>
      </c>
      <c r="Y638" s="21">
        <v>0.2565</v>
      </c>
      <c r="Z638" s="21">
        <v>0.1084</v>
      </c>
      <c r="AA638" s="16" t="s">
        <v>2620</v>
      </c>
      <c r="AB638" s="22">
        <f>IFERROR(__xludf.DUMMYFUNCTION("IFERROR(GOOGLEFINANCE(B638,""price""),"""")"),27.5)</f>
        <v>27.5</v>
      </c>
    </row>
    <row r="639">
      <c r="A639" s="7">
        <v>46063.875963838174</v>
      </c>
      <c r="B639" s="8" t="s">
        <v>2621</v>
      </c>
      <c r="C639" s="8" t="s">
        <v>2622</v>
      </c>
      <c r="D639" s="9">
        <v>46068.0</v>
      </c>
      <c r="E639" s="10">
        <v>63.26</v>
      </c>
      <c r="F639" s="8" t="s">
        <v>335</v>
      </c>
      <c r="G639" s="13">
        <v>41.7834</v>
      </c>
      <c r="H639" s="13">
        <v>1.514</v>
      </c>
      <c r="I639" s="9">
        <v>46066.0</v>
      </c>
      <c r="J639" s="10">
        <v>63.0</v>
      </c>
      <c r="K639" s="8">
        <v>2365.0</v>
      </c>
      <c r="L639" s="8" t="s">
        <v>2608</v>
      </c>
      <c r="M639" s="11">
        <v>0.41</v>
      </c>
      <c r="N639" s="8" t="s">
        <v>3318</v>
      </c>
      <c r="O639" s="8">
        <v>5683.0</v>
      </c>
      <c r="P639" s="11">
        <v>38.1225</v>
      </c>
      <c r="Q639" s="8" t="s">
        <v>2624</v>
      </c>
      <c r="R639" s="11">
        <v>-0.5502</v>
      </c>
      <c r="S639" s="12">
        <v>1.1647363E7</v>
      </c>
      <c r="T639" s="12">
        <v>9.083697468E10</v>
      </c>
      <c r="U639" s="13">
        <v>2.8099</v>
      </c>
      <c r="V639" s="13">
        <v>11.9792</v>
      </c>
      <c r="W639" s="13">
        <v>23.7569</v>
      </c>
      <c r="X639" s="13">
        <v>1.5155</v>
      </c>
      <c r="Y639" s="13">
        <v>0.5497</v>
      </c>
      <c r="Z639" s="13">
        <v>2.2911</v>
      </c>
      <c r="AA639" s="8" t="s">
        <v>2611</v>
      </c>
      <c r="AB639" s="14">
        <f>IFERROR(__xludf.DUMMYFUNCTION("IFERROR(GOOGLEFINANCE(B639,""price""),"""")"),67.8)</f>
        <v>67.8</v>
      </c>
    </row>
    <row r="640">
      <c r="A640" s="15">
        <v>46063.875963838174</v>
      </c>
      <c r="B640" s="16" t="s">
        <v>3080</v>
      </c>
      <c r="C640" s="16" t="s">
        <v>3081</v>
      </c>
      <c r="D640" s="17">
        <v>46068.0</v>
      </c>
      <c r="E640" s="18">
        <v>91.91</v>
      </c>
      <c r="F640" s="16" t="s">
        <v>93</v>
      </c>
      <c r="G640" s="21">
        <v>14.6762</v>
      </c>
      <c r="H640" s="21">
        <v>6.2625</v>
      </c>
      <c r="I640" s="17">
        <v>46066.0</v>
      </c>
      <c r="J640" s="18">
        <v>93.0</v>
      </c>
      <c r="K640" s="16">
        <v>2617.0</v>
      </c>
      <c r="L640" s="16" t="s">
        <v>2627</v>
      </c>
      <c r="M640" s="19">
        <v>1.19</v>
      </c>
      <c r="N640" s="16" t="s">
        <v>3352</v>
      </c>
      <c r="O640" s="16">
        <v>5191.0</v>
      </c>
      <c r="P640" s="19">
        <v>19.1815</v>
      </c>
      <c r="Q640" s="16" t="s">
        <v>3083</v>
      </c>
      <c r="R640" s="19">
        <v>-2.8538</v>
      </c>
      <c r="S640" s="20">
        <v>2.0148421E7</v>
      </c>
      <c r="T640" s="20">
        <v>2.84240876809E11</v>
      </c>
      <c r="U640" s="21">
        <v>2.6249</v>
      </c>
      <c r="V640" s="21">
        <v>11.8466</v>
      </c>
      <c r="W640" s="21">
        <v>20.6965</v>
      </c>
      <c r="X640" s="21">
        <v>-1.9497</v>
      </c>
      <c r="Y640" s="21">
        <v>2.3505</v>
      </c>
      <c r="Z640" s="21">
        <v>0.9006</v>
      </c>
      <c r="AA640" s="16" t="s">
        <v>2620</v>
      </c>
      <c r="AB640" s="22">
        <f>IFERROR(__xludf.DUMMYFUNCTION("IFERROR(GOOGLEFINANCE(B640,""price""),"""")"),85.4)</f>
        <v>85.4</v>
      </c>
    </row>
    <row r="641">
      <c r="A641" s="7">
        <v>46063.875963838174</v>
      </c>
      <c r="B641" s="8" t="s">
        <v>2742</v>
      </c>
      <c r="C641" s="8" t="s">
        <v>2743</v>
      </c>
      <c r="D641" s="9">
        <v>46068.0</v>
      </c>
      <c r="E641" s="10">
        <v>163.17</v>
      </c>
      <c r="F641" s="8" t="s">
        <v>149</v>
      </c>
      <c r="G641" s="13">
        <v>16.478</v>
      </c>
      <c r="H641" s="13">
        <v>9.9023</v>
      </c>
      <c r="I641" s="9">
        <v>46073.0</v>
      </c>
      <c r="J641" s="10">
        <v>165.0</v>
      </c>
      <c r="K641" s="8">
        <v>4564.0</v>
      </c>
      <c r="L641" s="8" t="s">
        <v>2627</v>
      </c>
      <c r="M641" s="11">
        <v>1.12</v>
      </c>
      <c r="N641" s="8" t="s">
        <v>3353</v>
      </c>
      <c r="O641" s="8">
        <v>4564.0</v>
      </c>
      <c r="P641" s="11">
        <v>30.4681</v>
      </c>
      <c r="Q641" s="8" t="s">
        <v>2745</v>
      </c>
      <c r="R641" s="11">
        <v>-4.696</v>
      </c>
      <c r="S641" s="12">
        <v>1084284.0</v>
      </c>
      <c r="T641" s="12">
        <v>7.106107185E9</v>
      </c>
      <c r="U641" s="13">
        <v>7.2001</v>
      </c>
      <c r="V641" s="13">
        <v>177.7995</v>
      </c>
      <c r="W641" s="13">
        <v>10.6902</v>
      </c>
      <c r="X641" s="13">
        <v>17.8772</v>
      </c>
      <c r="Y641" s="13">
        <v>4.6488</v>
      </c>
      <c r="Z641" s="13">
        <v>0.3597</v>
      </c>
      <c r="AA641" s="8" t="s">
        <v>2620</v>
      </c>
      <c r="AB641" s="14">
        <f>IFERROR(__xludf.DUMMYFUNCTION("IFERROR(GOOGLEFINANCE(B641,""price""),"""")"),155.13)</f>
        <v>155.13</v>
      </c>
    </row>
    <row r="642">
      <c r="A642" s="15">
        <v>46063.875963838174</v>
      </c>
      <c r="B642" s="16" t="s">
        <v>2804</v>
      </c>
      <c r="C642" s="16" t="s">
        <v>2805</v>
      </c>
      <c r="D642" s="17">
        <v>46068.0</v>
      </c>
      <c r="E642" s="18">
        <v>128.1</v>
      </c>
      <c r="F642" s="16" t="s">
        <v>308</v>
      </c>
      <c r="G642" s="21">
        <v>69.6612</v>
      </c>
      <c r="H642" s="21">
        <v>1.8389</v>
      </c>
      <c r="I642" s="17">
        <v>46066.0</v>
      </c>
      <c r="J642" s="18">
        <v>126.0</v>
      </c>
      <c r="K642" s="16">
        <v>2681.0</v>
      </c>
      <c r="L642" s="16" t="s">
        <v>2608</v>
      </c>
      <c r="M642" s="19">
        <v>1.64</v>
      </c>
      <c r="N642" s="16" t="s">
        <v>3354</v>
      </c>
      <c r="O642" s="16">
        <v>3947.0</v>
      </c>
      <c r="P642" s="19">
        <v>42.1937</v>
      </c>
      <c r="Q642" s="16" t="s">
        <v>2807</v>
      </c>
      <c r="R642" s="19">
        <v>-2.504</v>
      </c>
      <c r="S642" s="20">
        <v>1.2712184E7</v>
      </c>
      <c r="T642" s="20">
        <v>1.09827860525E11</v>
      </c>
      <c r="U642" s="21">
        <v>6.078</v>
      </c>
      <c r="V642" s="21">
        <v>14.1911</v>
      </c>
      <c r="W642" s="21">
        <v>15.3497</v>
      </c>
      <c r="X642" s="21">
        <v>19.1416</v>
      </c>
      <c r="Y642" s="21">
        <v>0.7143</v>
      </c>
      <c r="Z642" s="21">
        <v>1.5878</v>
      </c>
      <c r="AA642" s="16" t="s">
        <v>2611</v>
      </c>
      <c r="AB642" s="22">
        <f>IFERROR(__xludf.DUMMYFUNCTION("IFERROR(GOOGLEFINANCE(B642,""price""),"""")"),171.24)</f>
        <v>171.24</v>
      </c>
    </row>
    <row r="643">
      <c r="A643" s="7">
        <v>46063.875963838174</v>
      </c>
      <c r="B643" s="8" t="s">
        <v>2606</v>
      </c>
      <c r="C643" s="8" t="s">
        <v>2607</v>
      </c>
      <c r="D643" s="9">
        <v>46068.0</v>
      </c>
      <c r="E643" s="10">
        <v>54.5</v>
      </c>
      <c r="F643" s="8" t="s">
        <v>93</v>
      </c>
      <c r="G643" s="13">
        <v>15.4181</v>
      </c>
      <c r="H643" s="13">
        <v>3.5348</v>
      </c>
      <c r="I643" s="9">
        <v>46073.0</v>
      </c>
      <c r="J643" s="10">
        <v>55.0</v>
      </c>
      <c r="K643" s="8">
        <v>2666.0</v>
      </c>
      <c r="L643" s="8" t="s">
        <v>2608</v>
      </c>
      <c r="M643" s="11">
        <v>0.92</v>
      </c>
      <c r="N643" s="8" t="s">
        <v>3320</v>
      </c>
      <c r="O643" s="8">
        <v>3922.0</v>
      </c>
      <c r="P643" s="11">
        <v>42.1916</v>
      </c>
      <c r="Q643" s="8" t="s">
        <v>2610</v>
      </c>
      <c r="R643" s="11">
        <v>0.3129</v>
      </c>
      <c r="S643" s="12">
        <v>1.0514811E7</v>
      </c>
      <c r="T643" s="12">
        <v>4.9670794063E10</v>
      </c>
      <c r="U643" s="13">
        <v>1.3763</v>
      </c>
      <c r="V643" s="13">
        <v>12.1975</v>
      </c>
      <c r="W643" s="13">
        <v>23.4205</v>
      </c>
      <c r="X643" s="13">
        <v>2.2457</v>
      </c>
      <c r="Y643" s="13">
        <v>0.6682</v>
      </c>
      <c r="Z643" s="13">
        <v>0.2832</v>
      </c>
      <c r="AA643" s="8" t="s">
        <v>2620</v>
      </c>
      <c r="AB643" s="14">
        <f>IFERROR(__xludf.DUMMYFUNCTION("IFERROR(GOOGLEFINANCE(B643,""price""),"""")"),49.31)</f>
        <v>49.31</v>
      </c>
    </row>
    <row r="644">
      <c r="A644" s="15">
        <v>46063.875963838174</v>
      </c>
      <c r="B644" s="16" t="s">
        <v>1570</v>
      </c>
      <c r="C644" s="16" t="s">
        <v>1571</v>
      </c>
      <c r="D644" s="17">
        <v>46068.0</v>
      </c>
      <c r="E644" s="18">
        <v>47.65</v>
      </c>
      <c r="F644" s="16" t="s">
        <v>917</v>
      </c>
      <c r="G644" s="21">
        <v>20.6985</v>
      </c>
      <c r="H644" s="21">
        <v>2.3021</v>
      </c>
      <c r="I644" s="17">
        <v>46073.0</v>
      </c>
      <c r="J644" s="18">
        <v>48.0</v>
      </c>
      <c r="K644" s="16">
        <v>2141.0</v>
      </c>
      <c r="L644" s="16" t="s">
        <v>2608</v>
      </c>
      <c r="M644" s="19">
        <v>0.73</v>
      </c>
      <c r="N644" s="16" t="s">
        <v>3321</v>
      </c>
      <c r="O644" s="16">
        <v>3148.0</v>
      </c>
      <c r="P644" s="19">
        <v>26.7803</v>
      </c>
      <c r="Q644" s="16" t="s">
        <v>1572</v>
      </c>
      <c r="R644" s="19">
        <v>1.7727</v>
      </c>
      <c r="S644" s="20">
        <v>5641346.0</v>
      </c>
      <c r="T644" s="20">
        <v>2.7525765107E10</v>
      </c>
      <c r="U644" s="21">
        <v>0.8208</v>
      </c>
      <c r="V644" s="21">
        <v>10.5451</v>
      </c>
      <c r="W644" s="21">
        <v>19.6489</v>
      </c>
      <c r="X644" s="21">
        <v>7.6402</v>
      </c>
      <c r="Y644" s="21">
        <v>2.1464</v>
      </c>
      <c r="Z644" s="21">
        <v>0.7474</v>
      </c>
      <c r="AA644" s="16" t="s">
        <v>2620</v>
      </c>
      <c r="AB644" s="22">
        <f>IFERROR(__xludf.DUMMYFUNCTION("IFERROR(GOOGLEFINANCE(B644,""price""),"""")"),51.43)</f>
        <v>51.43</v>
      </c>
    </row>
    <row r="645">
      <c r="A645" s="7">
        <v>46063.875963838174</v>
      </c>
      <c r="B645" s="8" t="s">
        <v>2915</v>
      </c>
      <c r="C645" s="8" t="s">
        <v>2916</v>
      </c>
      <c r="D645" s="9">
        <v>46068.0</v>
      </c>
      <c r="E645" s="10">
        <v>147.23</v>
      </c>
      <c r="F645" s="8" t="s">
        <v>117</v>
      </c>
      <c r="G645" s="13">
        <v>22.8044</v>
      </c>
      <c r="H645" s="13">
        <v>6.4562</v>
      </c>
      <c r="I645" s="9">
        <v>46066.0</v>
      </c>
      <c r="J645" s="10">
        <v>150.0</v>
      </c>
      <c r="K645" s="8">
        <v>2025.0</v>
      </c>
      <c r="L645" s="8" t="s">
        <v>2627</v>
      </c>
      <c r="M645" s="11">
        <v>1.88</v>
      </c>
      <c r="N645" s="8" t="s">
        <v>3322</v>
      </c>
      <c r="O645" s="8">
        <v>3051.0</v>
      </c>
      <c r="P645" s="11">
        <v>43.5217</v>
      </c>
      <c r="Q645" s="8" t="s">
        <v>2918</v>
      </c>
      <c r="R645" s="11">
        <v>-2.9338</v>
      </c>
      <c r="S645" s="12">
        <v>1.0774609E7</v>
      </c>
      <c r="T645" s="12">
        <v>1.82665243597E11</v>
      </c>
      <c r="U645" s="13">
        <v>3.7274</v>
      </c>
      <c r="V645" s="13">
        <v>40.5348</v>
      </c>
      <c r="W645" s="13">
        <v>39.0204</v>
      </c>
      <c r="X645" s="13">
        <v>2.7624</v>
      </c>
      <c r="Y645" s="13">
        <v>1.1579</v>
      </c>
      <c r="Z645" s="13">
        <v>1.4534</v>
      </c>
      <c r="AA645" s="8" t="s">
        <v>2620</v>
      </c>
      <c r="AB645" s="14">
        <f>IFERROR(__xludf.DUMMYFUNCTION("IFERROR(GOOGLEFINANCE(B645,""price""),"""")"),139.03)</f>
        <v>139.03</v>
      </c>
    </row>
    <row r="646">
      <c r="A646" s="15">
        <v>46063.875963838174</v>
      </c>
      <c r="B646" s="16" t="s">
        <v>2139</v>
      </c>
      <c r="C646" s="16" t="s">
        <v>2140</v>
      </c>
      <c r="D646" s="17">
        <v>46068.0</v>
      </c>
      <c r="E646" s="18">
        <v>59.15</v>
      </c>
      <c r="F646" s="16" t="s">
        <v>270</v>
      </c>
      <c r="G646" s="21">
        <v>22.7063</v>
      </c>
      <c r="H646" s="21">
        <v>2.605</v>
      </c>
      <c r="I646" s="17">
        <v>46073.0</v>
      </c>
      <c r="J646" s="18">
        <v>60.0</v>
      </c>
      <c r="K646" s="16">
        <v>2866.0</v>
      </c>
      <c r="L646" s="16" t="s">
        <v>2608</v>
      </c>
      <c r="M646" s="19">
        <v>1.44</v>
      </c>
      <c r="N646" s="16" t="s">
        <v>3323</v>
      </c>
      <c r="O646" s="16">
        <v>2866.0</v>
      </c>
      <c r="P646" s="19">
        <v>40.8662</v>
      </c>
      <c r="Q646" s="16" t="s">
        <v>2141</v>
      </c>
      <c r="R646" s="19">
        <v>-0.6717</v>
      </c>
      <c r="S646" s="20">
        <v>9008520.0</v>
      </c>
      <c r="T646" s="20">
        <v>5.8454188891E10</v>
      </c>
      <c r="U646" s="21">
        <v>1.6608</v>
      </c>
      <c r="V646" s="21">
        <v>14.4868</v>
      </c>
      <c r="W646" s="21">
        <v>12.8259</v>
      </c>
      <c r="X646" s="21">
        <v>-0.345</v>
      </c>
      <c r="Y646" s="21">
        <v>0.3558</v>
      </c>
      <c r="Z646" s="21">
        <v>1.3568</v>
      </c>
      <c r="AA646" s="16" t="s">
        <v>2620</v>
      </c>
      <c r="AB646" s="22">
        <f>IFERROR(__xludf.DUMMYFUNCTION("IFERROR(GOOGLEFINANCE(B646,""price""),"""")"),62.83)</f>
        <v>62.83</v>
      </c>
    </row>
    <row r="647">
      <c r="A647" s="7">
        <v>46063.875963838174</v>
      </c>
      <c r="B647" s="8" t="s">
        <v>3355</v>
      </c>
      <c r="C647" s="8" t="s">
        <v>3356</v>
      </c>
      <c r="D647" s="9">
        <v>46068.0</v>
      </c>
      <c r="E647" s="10">
        <v>210.24</v>
      </c>
      <c r="F647" s="8" t="s">
        <v>149</v>
      </c>
      <c r="G647" s="13">
        <v>22.0327</v>
      </c>
      <c r="H647" s="13">
        <v>9.5422</v>
      </c>
      <c r="I647" s="9">
        <v>46073.0</v>
      </c>
      <c r="J647" s="10">
        <v>210.0</v>
      </c>
      <c r="K647" s="8">
        <v>2844.0</v>
      </c>
      <c r="L647" s="8" t="s">
        <v>2608</v>
      </c>
      <c r="M647" s="11">
        <v>0.11</v>
      </c>
      <c r="N647" s="8" t="s">
        <v>3357</v>
      </c>
      <c r="O647" s="8">
        <v>2844.0</v>
      </c>
      <c r="P647" s="11">
        <v>31.5094</v>
      </c>
      <c r="Q647" s="8" t="s">
        <v>3358</v>
      </c>
      <c r="R647" s="11">
        <v>-3.5641</v>
      </c>
      <c r="S647" s="12">
        <v>1372822.0</v>
      </c>
      <c r="T647" s="12">
        <v>2.420687567E10</v>
      </c>
      <c r="U647" s="13">
        <v>5.8031</v>
      </c>
      <c r="V647" s="13">
        <v>54.1035</v>
      </c>
      <c r="W647" s="13">
        <v>11.9278</v>
      </c>
      <c r="X647" s="13">
        <v>8.6138</v>
      </c>
      <c r="Y647" s="13">
        <v>3.9974</v>
      </c>
      <c r="Z647" s="13">
        <v>0.3937</v>
      </c>
      <c r="AA647" s="8" t="s">
        <v>2611</v>
      </c>
      <c r="AB647" s="14">
        <f>IFERROR(__xludf.DUMMYFUNCTION("IFERROR(GOOGLEFINANCE(B647,""price""),"""")"),192.39)</f>
        <v>192.39</v>
      </c>
    </row>
    <row r="648">
      <c r="A648" s="15">
        <v>46063.875963838174</v>
      </c>
      <c r="B648" s="16" t="s">
        <v>2528</v>
      </c>
      <c r="C648" s="16" t="s">
        <v>2529</v>
      </c>
      <c r="D648" s="17">
        <v>46068.0</v>
      </c>
      <c r="E648" s="18">
        <v>64.08</v>
      </c>
      <c r="F648" s="16" t="s">
        <v>93</v>
      </c>
      <c r="G648" s="21">
        <v>10.6677</v>
      </c>
      <c r="H648" s="21">
        <v>6.0069</v>
      </c>
      <c r="I648" s="17">
        <v>46073.0</v>
      </c>
      <c r="J648" s="18">
        <v>65.0</v>
      </c>
      <c r="K648" s="16">
        <v>1706.0</v>
      </c>
      <c r="L648" s="16" t="s">
        <v>2608</v>
      </c>
      <c r="M648" s="19">
        <v>1.44</v>
      </c>
      <c r="N648" s="16" t="s">
        <v>3324</v>
      </c>
      <c r="O648" s="16">
        <v>2795.0</v>
      </c>
      <c r="P648" s="19">
        <v>27.2393</v>
      </c>
      <c r="Q648" s="16" t="s">
        <v>2530</v>
      </c>
      <c r="R648" s="19">
        <v>-1.6575</v>
      </c>
      <c r="S648" s="20">
        <v>1681564.0</v>
      </c>
      <c r="T648" s="20">
        <v>9.460838182E9</v>
      </c>
      <c r="U648" s="21">
        <v>1.5588</v>
      </c>
      <c r="V648" s="21">
        <v>13.3945</v>
      </c>
      <c r="W648" s="21">
        <v>23.7662</v>
      </c>
      <c r="X648" s="21">
        <v>-1.0012</v>
      </c>
      <c r="Y648" s="21">
        <v>0.6373</v>
      </c>
      <c r="Z648" s="21">
        <v>0.1512</v>
      </c>
      <c r="AA648" s="16" t="s">
        <v>2620</v>
      </c>
      <c r="AB648" s="22">
        <f>IFERROR(__xludf.DUMMYFUNCTION("IFERROR(GOOGLEFINANCE(B648,""price""),"""")"),61.05)</f>
        <v>61.05</v>
      </c>
    </row>
    <row r="649">
      <c r="A649" s="7">
        <v>46063.875963838174</v>
      </c>
      <c r="B649" s="8" t="s">
        <v>2973</v>
      </c>
      <c r="C649" s="8" t="s">
        <v>2974</v>
      </c>
      <c r="D649" s="9">
        <v>46068.0</v>
      </c>
      <c r="E649" s="10">
        <v>55.075</v>
      </c>
      <c r="F649" s="8" t="s">
        <v>93</v>
      </c>
      <c r="G649" s="13">
        <v>14.4274</v>
      </c>
      <c r="H649" s="13">
        <v>3.8174</v>
      </c>
      <c r="I649" s="9">
        <v>46073.0</v>
      </c>
      <c r="J649" s="10">
        <v>55.0</v>
      </c>
      <c r="K649" s="8">
        <v>2171.0</v>
      </c>
      <c r="L649" s="8" t="s">
        <v>2608</v>
      </c>
      <c r="M649" s="11">
        <v>0.14</v>
      </c>
      <c r="N649" s="8" t="s">
        <v>3326</v>
      </c>
      <c r="O649" s="8">
        <v>2171.0</v>
      </c>
      <c r="P649" s="11">
        <v>26.4725</v>
      </c>
      <c r="Q649" s="8" t="s">
        <v>2976</v>
      </c>
      <c r="R649" s="11">
        <v>0.5385</v>
      </c>
      <c r="S649" s="12">
        <v>8195911.0</v>
      </c>
      <c r="T649" s="12">
        <v>7.0454483766E10</v>
      </c>
      <c r="U649" s="13">
        <v>1.1031</v>
      </c>
      <c r="V649" s="13">
        <v>8.2363</v>
      </c>
      <c r="W649" s="13">
        <v>21.1616</v>
      </c>
      <c r="X649" s="13">
        <v>24.2886</v>
      </c>
      <c r="Y649" s="13">
        <v>1.0708</v>
      </c>
      <c r="Z649" s="13">
        <v>0.3413</v>
      </c>
      <c r="AA649" s="8" t="s">
        <v>2611</v>
      </c>
      <c r="AB649" s="14">
        <f>IFERROR(__xludf.DUMMYFUNCTION("IFERROR(GOOGLEFINANCE(B649,""price""),"""")"),49.6)</f>
        <v>49.6</v>
      </c>
    </row>
    <row r="650">
      <c r="A650" s="15">
        <v>46063.875963838174</v>
      </c>
      <c r="B650" s="16" t="s">
        <v>2133</v>
      </c>
      <c r="C650" s="16" t="s">
        <v>2134</v>
      </c>
      <c r="D650" s="17">
        <v>46068.0</v>
      </c>
      <c r="E650" s="18">
        <v>367.95</v>
      </c>
      <c r="F650" s="16" t="s">
        <v>162</v>
      </c>
      <c r="G650" s="21">
        <v>20.2969</v>
      </c>
      <c r="H650" s="21">
        <v>18.1284</v>
      </c>
      <c r="I650" s="17">
        <v>46066.0</v>
      </c>
      <c r="J650" s="18">
        <v>375.0</v>
      </c>
      <c r="K650" s="16">
        <v>2063.0</v>
      </c>
      <c r="L650" s="16" t="s">
        <v>2608</v>
      </c>
      <c r="M650" s="19">
        <v>1.92</v>
      </c>
      <c r="N650" s="16" t="s">
        <v>3327</v>
      </c>
      <c r="O650" s="16">
        <v>2063.0</v>
      </c>
      <c r="P650" s="19">
        <v>39.7827</v>
      </c>
      <c r="Q650" s="16" t="s">
        <v>2135</v>
      </c>
      <c r="R650" s="19">
        <v>0.9188</v>
      </c>
      <c r="S650" s="20">
        <v>1478777.0</v>
      </c>
      <c r="T650" s="20">
        <v>8.6513442328E10</v>
      </c>
      <c r="U650" s="21">
        <v>8.2296</v>
      </c>
      <c r="V650" s="21">
        <v>15.8681</v>
      </c>
      <c r="W650" s="21">
        <v>7.0782</v>
      </c>
      <c r="X650" s="21">
        <v>3.0895</v>
      </c>
      <c r="Y650" s="21">
        <v>1.3421</v>
      </c>
      <c r="Z650" s="21">
        <v>1.2738</v>
      </c>
      <c r="AA650" s="16" t="s">
        <v>2620</v>
      </c>
      <c r="AB650" s="22">
        <f>IFERROR(__xludf.DUMMYFUNCTION("IFERROR(GOOGLEFINANCE(B650,""price""),"""")"),374.08)</f>
        <v>374.08</v>
      </c>
    </row>
    <row r="651">
      <c r="A651" s="7">
        <v>46063.875963838174</v>
      </c>
      <c r="B651" s="8" t="s">
        <v>3248</v>
      </c>
      <c r="C651" s="8" t="s">
        <v>3249</v>
      </c>
      <c r="D651" s="9">
        <v>46068.0</v>
      </c>
      <c r="E651" s="10">
        <v>126.45</v>
      </c>
      <c r="F651" s="8" t="s">
        <v>93</v>
      </c>
      <c r="G651" s="13">
        <v>17.065</v>
      </c>
      <c r="H651" s="13">
        <v>7.4099</v>
      </c>
      <c r="I651" s="9">
        <v>46073.0</v>
      </c>
      <c r="J651" s="10">
        <v>125.0</v>
      </c>
      <c r="K651" s="8">
        <v>1967.0</v>
      </c>
      <c r="L651" s="8" t="s">
        <v>2608</v>
      </c>
      <c r="M651" s="11">
        <v>1.15</v>
      </c>
      <c r="N651" s="8" t="s">
        <v>3328</v>
      </c>
      <c r="O651" s="8">
        <v>1967.0</v>
      </c>
      <c r="P651" s="11">
        <v>20.9128</v>
      </c>
      <c r="Q651" s="8" t="s">
        <v>3251</v>
      </c>
      <c r="R651" s="11">
        <v>-0.909</v>
      </c>
      <c r="S651" s="12">
        <v>5230546.0</v>
      </c>
      <c r="T651" s="12">
        <v>8.7027445519E10</v>
      </c>
      <c r="U651" s="13">
        <v>2.7828</v>
      </c>
      <c r="V651" s="13">
        <v>12.9603</v>
      </c>
      <c r="W651" s="13">
        <v>16.9054</v>
      </c>
      <c r="X651" s="13">
        <v>2.081</v>
      </c>
      <c r="Y651" s="13">
        <v>1.2026</v>
      </c>
      <c r="Z651" s="13">
        <v>3.9207</v>
      </c>
      <c r="AA651" s="8" t="s">
        <v>2611</v>
      </c>
      <c r="AB651" s="14">
        <f>IFERROR(__xludf.DUMMYFUNCTION("IFERROR(GOOGLEFINANCE(B651,""price""),"""")"),127.56)</f>
        <v>127.56</v>
      </c>
    </row>
    <row r="652">
      <c r="A652" s="15">
        <v>46063.875963838174</v>
      </c>
      <c r="B652" s="16" t="s">
        <v>2117</v>
      </c>
      <c r="C652" s="16" t="s">
        <v>2118</v>
      </c>
      <c r="D652" s="17">
        <v>46068.0</v>
      </c>
      <c r="E652" s="18">
        <v>158.85</v>
      </c>
      <c r="F652" s="16" t="s">
        <v>149</v>
      </c>
      <c r="G652" s="21">
        <v>28.617</v>
      </c>
      <c r="H652" s="21">
        <v>5.5509</v>
      </c>
      <c r="I652" s="17">
        <v>46073.0</v>
      </c>
      <c r="J652" s="18">
        <v>160.0</v>
      </c>
      <c r="K652" s="16">
        <v>1880.0</v>
      </c>
      <c r="L652" s="16" t="s">
        <v>2608</v>
      </c>
      <c r="M652" s="19">
        <v>0.72</v>
      </c>
      <c r="N652" s="16" t="s">
        <v>3359</v>
      </c>
      <c r="O652" s="16">
        <v>1880.0</v>
      </c>
      <c r="P652" s="19">
        <v>24.325</v>
      </c>
      <c r="Q652" s="16" t="s">
        <v>2119</v>
      </c>
      <c r="R652" s="19">
        <v>-0.0315</v>
      </c>
      <c r="S652" s="20">
        <v>1376857.0</v>
      </c>
      <c r="T652" s="20">
        <v>4.4105150674E10</v>
      </c>
      <c r="U652" s="21">
        <v>3.226</v>
      </c>
      <c r="V652" s="24"/>
      <c r="W652" s="21">
        <v>30.9388</v>
      </c>
      <c r="X652" s="21">
        <v>8.7959</v>
      </c>
      <c r="Y652" s="24"/>
      <c r="Z652" s="21">
        <v>1.3456</v>
      </c>
      <c r="AA652" s="16" t="s">
        <v>2620</v>
      </c>
      <c r="AB652" s="22">
        <f>IFERROR(__xludf.DUMMYFUNCTION("IFERROR(GOOGLEFINANCE(B652,""price""),"""")"),161.76)</f>
        <v>161.76</v>
      </c>
    </row>
    <row r="653">
      <c r="A653" s="7">
        <v>46063.875963838174</v>
      </c>
      <c r="B653" s="8" t="s">
        <v>3185</v>
      </c>
      <c r="C653" s="8" t="s">
        <v>3186</v>
      </c>
      <c r="D653" s="9">
        <v>46068.0</v>
      </c>
      <c r="E653" s="10">
        <v>64.97</v>
      </c>
      <c r="F653" s="8" t="s">
        <v>186</v>
      </c>
      <c r="G653" s="13">
        <v>61.0162</v>
      </c>
      <c r="H653" s="13">
        <v>1.0648</v>
      </c>
      <c r="I653" s="9">
        <v>46073.0</v>
      </c>
      <c r="J653" s="10">
        <v>65.0</v>
      </c>
      <c r="K653" s="8">
        <v>1861.0</v>
      </c>
      <c r="L653" s="8" t="s">
        <v>2608</v>
      </c>
      <c r="M653" s="11">
        <v>0.05</v>
      </c>
      <c r="N653" s="8" t="s">
        <v>3329</v>
      </c>
      <c r="O653" s="8">
        <v>1861.0</v>
      </c>
      <c r="P653" s="11">
        <v>21.8794</v>
      </c>
      <c r="Q653" s="8" t="s">
        <v>3188</v>
      </c>
      <c r="R653" s="11">
        <v>1.0263</v>
      </c>
      <c r="S653" s="12">
        <v>2827044.0</v>
      </c>
      <c r="T653" s="12">
        <v>3.1486332896E10</v>
      </c>
      <c r="U653" s="13">
        <v>0.9902</v>
      </c>
      <c r="V653" s="13">
        <v>36.2085</v>
      </c>
      <c r="W653" s="13">
        <v>19.5906</v>
      </c>
      <c r="X653" s="13">
        <v>11.1665</v>
      </c>
      <c r="Y653" s="13">
        <v>0.5953</v>
      </c>
      <c r="Z653" s="13">
        <v>0.7568</v>
      </c>
      <c r="AA653" s="8" t="s">
        <v>2620</v>
      </c>
      <c r="AB653" s="14">
        <f>IFERROR(__xludf.DUMMYFUNCTION("IFERROR(GOOGLEFINANCE(B653,""price""),"""")"),54.23)</f>
        <v>54.23</v>
      </c>
    </row>
    <row r="654">
      <c r="A654" s="15">
        <v>46063.875963838174</v>
      </c>
      <c r="B654" s="16" t="s">
        <v>2722</v>
      </c>
      <c r="C654" s="16" t="s">
        <v>2723</v>
      </c>
      <c r="D654" s="17">
        <v>46068.0</v>
      </c>
      <c r="E654" s="18">
        <v>90.95</v>
      </c>
      <c r="F654" s="16" t="s">
        <v>308</v>
      </c>
      <c r="G654" s="21">
        <v>461.4409</v>
      </c>
      <c r="H654" s="21">
        <v>0.1971</v>
      </c>
      <c r="I654" s="17">
        <v>46073.0</v>
      </c>
      <c r="J654" s="18">
        <v>90.0</v>
      </c>
      <c r="K654" s="16">
        <v>1761.0</v>
      </c>
      <c r="L654" s="16" t="s">
        <v>2608</v>
      </c>
      <c r="M654" s="19">
        <v>1.04</v>
      </c>
      <c r="N654" s="16" t="s">
        <v>3330</v>
      </c>
      <c r="O654" s="16">
        <v>1761.0</v>
      </c>
      <c r="P654" s="19">
        <v>28.2135</v>
      </c>
      <c r="Q654" s="16" t="s">
        <v>2725</v>
      </c>
      <c r="R654" s="19">
        <v>3.8954</v>
      </c>
      <c r="S654" s="20">
        <v>3881386.0</v>
      </c>
      <c r="T654" s="20">
        <v>1.2440722501E10</v>
      </c>
      <c r="U654" s="21">
        <v>4.1761</v>
      </c>
      <c r="V654" s="21">
        <v>3.8644</v>
      </c>
      <c r="W654" s="21">
        <v>3.2155</v>
      </c>
      <c r="X654" s="21">
        <v>-12.0319</v>
      </c>
      <c r="Y654" s="21">
        <v>0.0289</v>
      </c>
      <c r="Z654" s="21">
        <v>3.2353</v>
      </c>
      <c r="AA654" s="16" t="s">
        <v>2611</v>
      </c>
      <c r="AB654" s="22">
        <f>IFERROR(__xludf.DUMMYFUNCTION("IFERROR(GOOGLEFINANCE(B654,""price""),"""")"),106.1)</f>
        <v>106.1</v>
      </c>
    </row>
    <row r="655">
      <c r="A655" s="7">
        <v>46063.875963838174</v>
      </c>
      <c r="B655" s="8" t="s">
        <v>3291</v>
      </c>
      <c r="C655" s="8" t="s">
        <v>3292</v>
      </c>
      <c r="D655" s="9">
        <v>46068.0</v>
      </c>
      <c r="E655" s="10">
        <v>231.72</v>
      </c>
      <c r="F655" s="8" t="s">
        <v>270</v>
      </c>
      <c r="G655" s="13">
        <v>34.5923</v>
      </c>
      <c r="H655" s="13">
        <v>6.6986</v>
      </c>
      <c r="I655" s="9">
        <v>46073.0</v>
      </c>
      <c r="J655" s="10">
        <v>230.0</v>
      </c>
      <c r="K655" s="8">
        <v>1685.0</v>
      </c>
      <c r="L655" s="8" t="s">
        <v>2608</v>
      </c>
      <c r="M655" s="11">
        <v>0.74</v>
      </c>
      <c r="N655" s="8" t="s">
        <v>3331</v>
      </c>
      <c r="O655" s="8">
        <v>1685.0</v>
      </c>
      <c r="P655" s="11">
        <v>16.9475</v>
      </c>
      <c r="Q655" s="8" t="s">
        <v>3294</v>
      </c>
      <c r="R655" s="11">
        <v>0.5293</v>
      </c>
      <c r="S655" s="12">
        <v>2042284.0</v>
      </c>
      <c r="T655" s="12">
        <v>9.3352356402E10</v>
      </c>
      <c r="U655" s="13">
        <v>4.3726</v>
      </c>
      <c r="V655" s="13">
        <v>29.6897</v>
      </c>
      <c r="W655" s="13">
        <v>18.2788</v>
      </c>
      <c r="X655" s="13">
        <v>14.2365</v>
      </c>
      <c r="Y655" s="13">
        <v>2.3941</v>
      </c>
      <c r="Z655" s="13">
        <v>0.8888</v>
      </c>
      <c r="AA655" s="8" t="s">
        <v>2611</v>
      </c>
      <c r="AB655" s="14">
        <f>IFERROR(__xludf.DUMMYFUNCTION("IFERROR(GOOGLEFINANCE(B655,""price""),"""")"),229.45)</f>
        <v>229.45</v>
      </c>
    </row>
    <row r="656">
      <c r="A656" s="15">
        <v>46063.875963838174</v>
      </c>
      <c r="B656" s="16" t="s">
        <v>3360</v>
      </c>
      <c r="C656" s="16" t="s">
        <v>3361</v>
      </c>
      <c r="D656" s="17">
        <v>46068.0</v>
      </c>
      <c r="E656" s="18">
        <v>50.55</v>
      </c>
      <c r="F656" s="16" t="s">
        <v>93</v>
      </c>
      <c r="G656" s="21">
        <v>8.1893</v>
      </c>
      <c r="H656" s="21">
        <v>6.1727</v>
      </c>
      <c r="I656" s="17">
        <v>46073.0</v>
      </c>
      <c r="J656" s="18">
        <v>50.0</v>
      </c>
      <c r="K656" s="16">
        <v>1668.0</v>
      </c>
      <c r="L656" s="16" t="s">
        <v>2608</v>
      </c>
      <c r="M656" s="19">
        <v>1.09</v>
      </c>
      <c r="N656" s="16" t="s">
        <v>3362</v>
      </c>
      <c r="O656" s="16">
        <v>1668.0</v>
      </c>
      <c r="P656" s="19">
        <v>18.3639</v>
      </c>
      <c r="Q656" s="16" t="s">
        <v>3363</v>
      </c>
      <c r="R656" s="19">
        <v>-1.462</v>
      </c>
      <c r="S656" s="20">
        <v>1006862.0</v>
      </c>
      <c r="T656" s="20">
        <v>5.733982461E9</v>
      </c>
      <c r="U656" s="21">
        <v>1.2407</v>
      </c>
      <c r="V656" s="21">
        <v>12.0904</v>
      </c>
      <c r="W656" s="21">
        <v>33.2976</v>
      </c>
      <c r="X656" s="21">
        <v>1.1473</v>
      </c>
      <c r="Y656" s="21">
        <v>0.0756</v>
      </c>
      <c r="Z656" s="21">
        <v>0.8</v>
      </c>
      <c r="AA656" s="16" t="s">
        <v>2611</v>
      </c>
      <c r="AB656" s="22">
        <f>IFERROR(__xludf.DUMMYFUNCTION("IFERROR(GOOGLEFINANCE(B656,""price""),"""")"),47.94)</f>
        <v>47.94</v>
      </c>
    </row>
    <row r="657">
      <c r="A657" s="7">
        <v>46063.875963838174</v>
      </c>
      <c r="B657" s="8" t="s">
        <v>3134</v>
      </c>
      <c r="C657" s="8" t="s">
        <v>3135</v>
      </c>
      <c r="D657" s="9">
        <v>46068.0</v>
      </c>
      <c r="E657" s="10">
        <v>141.63</v>
      </c>
      <c r="F657" s="8" t="s">
        <v>93</v>
      </c>
      <c r="G657" s="13">
        <v>10.6144</v>
      </c>
      <c r="H657" s="13">
        <v>13.3432</v>
      </c>
      <c r="I657" s="9">
        <v>46073.0</v>
      </c>
      <c r="J657" s="10">
        <v>140.0</v>
      </c>
      <c r="K657" s="8">
        <v>1580.0</v>
      </c>
      <c r="L657" s="8" t="s">
        <v>2608</v>
      </c>
      <c r="M657" s="11">
        <v>1.15</v>
      </c>
      <c r="N657" s="8" t="s">
        <v>3332</v>
      </c>
      <c r="O657" s="8">
        <v>1580.0</v>
      </c>
      <c r="P657" s="11">
        <v>29.873</v>
      </c>
      <c r="Q657" s="8" t="s">
        <v>3137</v>
      </c>
      <c r="R657" s="11">
        <v>1.6143</v>
      </c>
      <c r="S657" s="12">
        <v>2034448.0</v>
      </c>
      <c r="T657" s="12">
        <v>3.9465238918E10</v>
      </c>
      <c r="U657" s="13">
        <v>2.6612</v>
      </c>
      <c r="V657" s="13">
        <v>21.6564</v>
      </c>
      <c r="W657" s="13">
        <v>17.4023</v>
      </c>
      <c r="X657" s="13">
        <v>6.8061</v>
      </c>
      <c r="Y657" s="13">
        <v>0.2303</v>
      </c>
      <c r="Z657" s="13">
        <v>0.2897</v>
      </c>
      <c r="AA657" s="8" t="s">
        <v>2611</v>
      </c>
      <c r="AB657" s="14">
        <f>IFERROR(__xludf.DUMMYFUNCTION("IFERROR(GOOGLEFINANCE(B657,""price""),"""")"),137.23)</f>
        <v>137.23</v>
      </c>
    </row>
    <row r="658">
      <c r="A658" s="15">
        <v>46063.875963838174</v>
      </c>
      <c r="B658" s="16" t="s">
        <v>3242</v>
      </c>
      <c r="C658" s="16" t="s">
        <v>3243</v>
      </c>
      <c r="D658" s="17">
        <v>46068.0</v>
      </c>
      <c r="E658" s="18">
        <v>108.43</v>
      </c>
      <c r="F658" s="16" t="s">
        <v>917</v>
      </c>
      <c r="G658" s="21">
        <v>18.9424</v>
      </c>
      <c r="H658" s="21">
        <v>5.7242</v>
      </c>
      <c r="I658" s="17">
        <v>46073.0</v>
      </c>
      <c r="J658" s="18">
        <v>110.0</v>
      </c>
      <c r="K658" s="16">
        <v>1575.0</v>
      </c>
      <c r="L658" s="16" t="s">
        <v>2608</v>
      </c>
      <c r="M658" s="19">
        <v>1.45</v>
      </c>
      <c r="N658" s="16" t="s">
        <v>3333</v>
      </c>
      <c r="O658" s="16">
        <v>1575.0</v>
      </c>
      <c r="P658" s="19">
        <v>24.8004</v>
      </c>
      <c r="Q658" s="16" t="s">
        <v>3245</v>
      </c>
      <c r="R658" s="19">
        <v>1.6404</v>
      </c>
      <c r="S658" s="20">
        <v>2368103.0</v>
      </c>
      <c r="T658" s="20">
        <v>3.9136248078E10</v>
      </c>
      <c r="U658" s="21">
        <v>2.1186</v>
      </c>
      <c r="V658" s="21">
        <v>8.8351</v>
      </c>
      <c r="W658" s="21">
        <v>17.8218</v>
      </c>
      <c r="X658" s="21">
        <v>10.3485</v>
      </c>
      <c r="Y658" s="21">
        <v>1.1037</v>
      </c>
      <c r="Z658" s="21">
        <v>1.075</v>
      </c>
      <c r="AA658" s="16" t="s">
        <v>2620</v>
      </c>
      <c r="AB658" s="22">
        <f>IFERROR(__xludf.DUMMYFUNCTION("IFERROR(GOOGLEFINANCE(B658,""price""),"""")"),113.56)</f>
        <v>113.56</v>
      </c>
    </row>
    <row r="659">
      <c r="A659" s="7">
        <v>46063.875963838174</v>
      </c>
      <c r="B659" s="8" t="s">
        <v>3334</v>
      </c>
      <c r="C659" s="8" t="s">
        <v>3335</v>
      </c>
      <c r="D659" s="9">
        <v>46068.0</v>
      </c>
      <c r="E659" s="10">
        <v>200.1</v>
      </c>
      <c r="F659" s="8" t="s">
        <v>162</v>
      </c>
      <c r="G659" s="13">
        <v>75.655</v>
      </c>
      <c r="H659" s="13">
        <v>2.6449</v>
      </c>
      <c r="I659" s="9">
        <v>46073.0</v>
      </c>
      <c r="J659" s="10">
        <v>200.0</v>
      </c>
      <c r="K659" s="8">
        <v>1554.0</v>
      </c>
      <c r="L659" s="8" t="s">
        <v>2627</v>
      </c>
      <c r="M659" s="11">
        <v>0.05</v>
      </c>
      <c r="N659" s="8" t="s">
        <v>3336</v>
      </c>
      <c r="O659" s="8">
        <v>1554.0</v>
      </c>
      <c r="P659" s="11">
        <v>34.6766</v>
      </c>
      <c r="Q659" s="8" t="s">
        <v>3337</v>
      </c>
      <c r="R659" s="11">
        <v>-3.2679</v>
      </c>
      <c r="S659" s="12">
        <v>3188099.0</v>
      </c>
      <c r="T659" s="12">
        <v>2.3441187156E10</v>
      </c>
      <c r="U659" s="13">
        <v>8.0396</v>
      </c>
      <c r="V659" s="13">
        <v>18.2553</v>
      </c>
      <c r="W659" s="13">
        <v>8.9382</v>
      </c>
      <c r="X659" s="13">
        <v>1.0532</v>
      </c>
      <c r="Y659" s="13">
        <v>2.1977</v>
      </c>
      <c r="Z659" s="13">
        <v>1.0482</v>
      </c>
      <c r="AA659" s="8" t="s">
        <v>2611</v>
      </c>
      <c r="AB659" s="14">
        <f>IFERROR(__xludf.DUMMYFUNCTION("IFERROR(GOOGLEFINANCE(B659,""price""),"""")"),212.74)</f>
        <v>212.74</v>
      </c>
    </row>
    <row r="660">
      <c r="A660" s="15">
        <v>46063.875963838174</v>
      </c>
      <c r="B660" s="16" t="s">
        <v>2428</v>
      </c>
      <c r="C660" s="16" t="s">
        <v>2429</v>
      </c>
      <c r="D660" s="17">
        <v>46068.0</v>
      </c>
      <c r="E660" s="18">
        <v>127.07</v>
      </c>
      <c r="F660" s="16" t="s">
        <v>102</v>
      </c>
      <c r="G660" s="21">
        <v>28.1739</v>
      </c>
      <c r="H660" s="21">
        <v>4.5102</v>
      </c>
      <c r="I660" s="17">
        <v>46073.0</v>
      </c>
      <c r="J660" s="18">
        <v>128.6</v>
      </c>
      <c r="K660" s="16">
        <v>1305.0</v>
      </c>
      <c r="L660" s="16" t="s">
        <v>2608</v>
      </c>
      <c r="M660" s="19">
        <v>1.2</v>
      </c>
      <c r="N660" s="16" t="s">
        <v>3338</v>
      </c>
      <c r="O660" s="16">
        <v>1305.0</v>
      </c>
      <c r="P660" s="19">
        <v>39.5895</v>
      </c>
      <c r="Q660" s="16" t="s">
        <v>2430</v>
      </c>
      <c r="R660" s="19">
        <v>-0.1493</v>
      </c>
      <c r="S660" s="20">
        <v>2281631.0</v>
      </c>
      <c r="T660" s="20">
        <v>6.6737717329E10</v>
      </c>
      <c r="U660" s="21">
        <v>2.7722</v>
      </c>
      <c r="V660" s="21">
        <v>12.9222</v>
      </c>
      <c r="W660" s="21">
        <v>10.9587</v>
      </c>
      <c r="X660" s="21">
        <v>-15.5047</v>
      </c>
      <c r="Y660" s="24"/>
      <c r="Z660" s="21">
        <v>1.701</v>
      </c>
      <c r="AA660" s="16" t="s">
        <v>2620</v>
      </c>
      <c r="AB660" s="22">
        <f>IFERROR(__xludf.DUMMYFUNCTION("IFERROR(GOOGLEFINANCE(B660,""price""),"""")"),127.19)</f>
        <v>127.19</v>
      </c>
    </row>
    <row r="661">
      <c r="A661" s="7">
        <v>46063.875963838174</v>
      </c>
      <c r="B661" s="8" t="s">
        <v>2710</v>
      </c>
      <c r="C661" s="8" t="s">
        <v>2711</v>
      </c>
      <c r="D661" s="9">
        <v>46068.0</v>
      </c>
      <c r="E661" s="10">
        <v>121.23</v>
      </c>
      <c r="F661" s="8" t="s">
        <v>917</v>
      </c>
      <c r="G661" s="13">
        <v>17.7374</v>
      </c>
      <c r="H661" s="13">
        <v>6.8347</v>
      </c>
      <c r="I661" s="9">
        <v>46073.0</v>
      </c>
      <c r="J661" s="10">
        <v>120.0</v>
      </c>
      <c r="K661" s="8">
        <v>1290.0</v>
      </c>
      <c r="L661" s="8" t="s">
        <v>2608</v>
      </c>
      <c r="M661" s="11">
        <v>1.01</v>
      </c>
      <c r="N661" s="8" t="s">
        <v>3339</v>
      </c>
      <c r="O661" s="8">
        <v>1290.0</v>
      </c>
      <c r="P661" s="11">
        <v>24.121</v>
      </c>
      <c r="Q661" s="8" t="s">
        <v>2713</v>
      </c>
      <c r="R661" s="11">
        <v>0.1073</v>
      </c>
      <c r="S661" s="12">
        <v>3506076.0</v>
      </c>
      <c r="T661" s="12">
        <v>6.4748273288E10</v>
      </c>
      <c r="U661" s="13">
        <v>2.0968</v>
      </c>
      <c r="V661" s="13">
        <v>12.848</v>
      </c>
      <c r="W661" s="13">
        <v>25.4789</v>
      </c>
      <c r="X661" s="13">
        <v>7.6587</v>
      </c>
      <c r="Y661" s="13">
        <v>1.5759</v>
      </c>
      <c r="Z661" s="13">
        <v>0.6862</v>
      </c>
      <c r="AA661" s="8" t="s">
        <v>2611</v>
      </c>
      <c r="AB661" s="14">
        <f>IFERROR(__xludf.DUMMYFUNCTION("IFERROR(GOOGLEFINANCE(B661,""price""),"""")"),136.3)</f>
        <v>136.3</v>
      </c>
    </row>
    <row r="662">
      <c r="A662" s="15">
        <v>46063.875963838174</v>
      </c>
      <c r="B662" s="16" t="s">
        <v>2714</v>
      </c>
      <c r="C662" s="16" t="s">
        <v>2715</v>
      </c>
      <c r="D662" s="17">
        <v>46068.0</v>
      </c>
      <c r="E662" s="18">
        <v>16.34</v>
      </c>
      <c r="F662" s="16" t="s">
        <v>335</v>
      </c>
      <c r="G662" s="24"/>
      <c r="H662" s="21">
        <v>-0.1778</v>
      </c>
      <c r="I662" s="17">
        <v>46066.0</v>
      </c>
      <c r="J662" s="18">
        <v>16.5</v>
      </c>
      <c r="K662" s="16">
        <v>1176.0</v>
      </c>
      <c r="L662" s="16" t="s">
        <v>2627</v>
      </c>
      <c r="M662" s="19">
        <v>0.98</v>
      </c>
      <c r="N662" s="16" t="s">
        <v>3341</v>
      </c>
      <c r="O662" s="16">
        <v>1176.0</v>
      </c>
      <c r="P662" s="19">
        <v>27.6045</v>
      </c>
      <c r="Q662" s="16" t="s">
        <v>2717</v>
      </c>
      <c r="R662" s="19">
        <v>-4.4444</v>
      </c>
      <c r="S662" s="20">
        <v>8869450.0</v>
      </c>
      <c r="T662" s="20">
        <v>7.898387071E9</v>
      </c>
      <c r="U662" s="21">
        <v>1.437</v>
      </c>
      <c r="V662" s="21">
        <v>-7.2866</v>
      </c>
      <c r="W662" s="21">
        <v>-180.4947</v>
      </c>
      <c r="X662" s="21">
        <v>189.1937</v>
      </c>
      <c r="Y662" s="21">
        <v>0.0</v>
      </c>
      <c r="Z662" s="21">
        <v>27.716</v>
      </c>
      <c r="AA662" s="16" t="s">
        <v>2620</v>
      </c>
      <c r="AB662" s="22">
        <f>IFERROR(__xludf.DUMMYFUNCTION("IFERROR(GOOGLEFINANCE(B662,""price""),"""")"),13.53)</f>
        <v>13.53</v>
      </c>
    </row>
    <row r="663">
      <c r="A663" s="7">
        <v>46063.875963838174</v>
      </c>
      <c r="B663" s="8" t="s">
        <v>2684</v>
      </c>
      <c r="C663" s="8" t="s">
        <v>2685</v>
      </c>
      <c r="D663" s="9">
        <v>46068.0</v>
      </c>
      <c r="E663" s="10">
        <v>329.07</v>
      </c>
      <c r="F663" s="8" t="s">
        <v>102</v>
      </c>
      <c r="G663" s="13">
        <v>37.9375</v>
      </c>
      <c r="H663" s="13">
        <v>8.674</v>
      </c>
      <c r="I663" s="9">
        <v>46066.0</v>
      </c>
      <c r="J663" s="10">
        <v>335.0</v>
      </c>
      <c r="K663" s="8">
        <v>1173.0</v>
      </c>
      <c r="L663" s="8" t="s">
        <v>2608</v>
      </c>
      <c r="M663" s="11">
        <v>1.8</v>
      </c>
      <c r="N663" s="8" t="s">
        <v>3342</v>
      </c>
      <c r="O663" s="8">
        <v>1173.0</v>
      </c>
      <c r="P663" s="11">
        <v>31.039</v>
      </c>
      <c r="Q663" s="8" t="s">
        <v>2687</v>
      </c>
      <c r="R663" s="11">
        <v>-0.4538</v>
      </c>
      <c r="S663" s="12">
        <v>6785829.0</v>
      </c>
      <c r="T663" s="12">
        <v>2.60933877051E11</v>
      </c>
      <c r="U663" s="13">
        <v>15.0517</v>
      </c>
      <c r="V663" s="13">
        <v>35.5084</v>
      </c>
      <c r="W663" s="13">
        <v>29.8576</v>
      </c>
      <c r="X663" s="13">
        <v>4.4669</v>
      </c>
      <c r="Y663" s="13">
        <v>0.3453</v>
      </c>
      <c r="Z663" s="13">
        <v>2.6105</v>
      </c>
      <c r="AA663" s="8" t="s">
        <v>2620</v>
      </c>
      <c r="AB663" s="14">
        <f>IFERROR(__xludf.DUMMYFUNCTION("IFERROR(GOOGLEFINANCE(B663,""price""),"""")"),399.5)</f>
        <v>399.5</v>
      </c>
    </row>
    <row r="664">
      <c r="A664" s="15">
        <v>46063.875963838174</v>
      </c>
      <c r="B664" s="16" t="s">
        <v>3141</v>
      </c>
      <c r="C664" s="16" t="s">
        <v>3142</v>
      </c>
      <c r="D664" s="17">
        <v>46068.0</v>
      </c>
      <c r="E664" s="18">
        <v>326.25</v>
      </c>
      <c r="F664" s="16" t="s">
        <v>93</v>
      </c>
      <c r="G664" s="21">
        <v>12.6839</v>
      </c>
      <c r="H664" s="21">
        <v>25.7215</v>
      </c>
      <c r="I664" s="17">
        <v>46073.0</v>
      </c>
      <c r="J664" s="18">
        <v>325.0</v>
      </c>
      <c r="K664" s="16">
        <v>1150.0</v>
      </c>
      <c r="L664" s="16" t="s">
        <v>2608</v>
      </c>
      <c r="M664" s="19">
        <v>0.38</v>
      </c>
      <c r="N664" s="16" t="s">
        <v>3343</v>
      </c>
      <c r="O664" s="16">
        <v>1150.0</v>
      </c>
      <c r="P664" s="19">
        <v>26.3608</v>
      </c>
      <c r="Q664" s="16" t="s">
        <v>3144</v>
      </c>
      <c r="R664" s="19">
        <v>0.0245</v>
      </c>
      <c r="S664" s="20">
        <v>1929417.0</v>
      </c>
      <c r="T664" s="20">
        <v>1.28395967582E11</v>
      </c>
      <c r="U664" s="21">
        <v>6.6182</v>
      </c>
      <c r="V664" s="21">
        <v>14.9661</v>
      </c>
      <c r="W664" s="21">
        <v>21.2322</v>
      </c>
      <c r="X664" s="21">
        <v>6.9142</v>
      </c>
      <c r="Y664" s="24"/>
      <c r="Z664" s="21">
        <v>0.2721</v>
      </c>
      <c r="AA664" s="16" t="s">
        <v>2611</v>
      </c>
      <c r="AB664" s="22">
        <f>IFERROR(__xludf.DUMMYFUNCTION("IFERROR(GOOGLEFINANCE(B664,""price""),"""")"),327.91)</f>
        <v>327.91</v>
      </c>
    </row>
    <row r="665">
      <c r="A665" s="7">
        <v>46063.875963838174</v>
      </c>
      <c r="B665" s="8" t="s">
        <v>1626</v>
      </c>
      <c r="C665" s="8" t="s">
        <v>1627</v>
      </c>
      <c r="D665" s="9">
        <v>46068.0</v>
      </c>
      <c r="E665" s="10">
        <v>44.73</v>
      </c>
      <c r="F665" s="8" t="s">
        <v>917</v>
      </c>
      <c r="G665" s="13">
        <v>23.6254</v>
      </c>
      <c r="H665" s="13">
        <v>1.8933</v>
      </c>
      <c r="I665" s="9">
        <v>46073.0</v>
      </c>
      <c r="J665" s="10">
        <v>45.0</v>
      </c>
      <c r="K665" s="8">
        <v>1150.0</v>
      </c>
      <c r="L665" s="8" t="s">
        <v>2608</v>
      </c>
      <c r="M665" s="11">
        <v>0.6</v>
      </c>
      <c r="N665" s="8" t="s">
        <v>3302</v>
      </c>
      <c r="O665" s="8">
        <v>1150.0</v>
      </c>
      <c r="P665" s="11">
        <v>25.7938</v>
      </c>
      <c r="Q665" s="8" t="s">
        <v>1628</v>
      </c>
      <c r="R665" s="11">
        <v>0.6299</v>
      </c>
      <c r="S665" s="12">
        <v>6151148.0</v>
      </c>
      <c r="T665" s="12">
        <v>2.134495625E10</v>
      </c>
      <c r="U665" s="13">
        <v>0.7526</v>
      </c>
      <c r="V665" s="13">
        <v>10.2329</v>
      </c>
      <c r="W665" s="13">
        <v>27.5403</v>
      </c>
      <c r="X665" s="13">
        <v>19.6207</v>
      </c>
      <c r="Y665" s="13">
        <v>1.7288</v>
      </c>
      <c r="Z665" s="13">
        <v>0.5231</v>
      </c>
      <c r="AA665" s="8" t="s">
        <v>2620</v>
      </c>
      <c r="AB665" s="14">
        <f>IFERROR(__xludf.DUMMYFUNCTION("IFERROR(GOOGLEFINANCE(B665,""price""),"""")"),48.05)</f>
        <v>48.05</v>
      </c>
    </row>
    <row r="666">
      <c r="A666" s="15">
        <v>46063.875963838174</v>
      </c>
      <c r="B666" s="16" t="s">
        <v>3086</v>
      </c>
      <c r="C666" s="16" t="s">
        <v>3087</v>
      </c>
      <c r="D666" s="17">
        <v>46068.0</v>
      </c>
      <c r="E666" s="18">
        <v>74.46</v>
      </c>
      <c r="F666" s="16" t="s">
        <v>162</v>
      </c>
      <c r="G666" s="21">
        <v>9.7186</v>
      </c>
      <c r="H666" s="21">
        <v>7.6616</v>
      </c>
      <c r="I666" s="17">
        <v>46066.0</v>
      </c>
      <c r="J666" s="18">
        <v>75.0</v>
      </c>
      <c r="K666" s="16">
        <v>1132.0</v>
      </c>
      <c r="L666" s="16" t="s">
        <v>2627</v>
      </c>
      <c r="M666" s="19">
        <v>0.73</v>
      </c>
      <c r="N666" s="16" t="s">
        <v>3364</v>
      </c>
      <c r="O666" s="16">
        <v>1132.0</v>
      </c>
      <c r="P666" s="19">
        <v>19.3333</v>
      </c>
      <c r="Q666" s="16" t="s">
        <v>3089</v>
      </c>
      <c r="R666" s="19">
        <v>-0.72</v>
      </c>
      <c r="S666" s="20">
        <v>6634959.0</v>
      </c>
      <c r="T666" s="20">
        <v>4.8619607747E10</v>
      </c>
      <c r="U666" s="21">
        <v>2.3274</v>
      </c>
      <c r="V666" s="21">
        <v>27.7756</v>
      </c>
      <c r="W666" s="21">
        <v>9.1882</v>
      </c>
      <c r="X666" s="21">
        <v>2.7935</v>
      </c>
      <c r="Y666" s="21">
        <v>0.9769</v>
      </c>
      <c r="Z666" s="21">
        <v>0.3964</v>
      </c>
      <c r="AA666" s="16" t="s">
        <v>2620</v>
      </c>
      <c r="AB666" s="22">
        <f>IFERROR(__xludf.DUMMYFUNCTION("IFERROR(GOOGLEFINANCE(B666,""price""),"""")"),67.82)</f>
        <v>67.82</v>
      </c>
    </row>
    <row r="667">
      <c r="A667" s="7">
        <v>46063.875963838174</v>
      </c>
      <c r="B667" s="8" t="s">
        <v>2663</v>
      </c>
      <c r="C667" s="8" t="s">
        <v>2664</v>
      </c>
      <c r="D667" s="9">
        <v>46068.0</v>
      </c>
      <c r="E667" s="10">
        <v>121.53</v>
      </c>
      <c r="F667" s="8" t="s">
        <v>335</v>
      </c>
      <c r="G667" s="13">
        <v>18.8919</v>
      </c>
      <c r="H667" s="13">
        <v>6.4329</v>
      </c>
      <c r="I667" s="9">
        <v>46066.0</v>
      </c>
      <c r="J667" s="10">
        <v>123.0</v>
      </c>
      <c r="K667" s="8">
        <v>1117.0</v>
      </c>
      <c r="L667" s="8" t="s">
        <v>2608</v>
      </c>
      <c r="M667" s="11">
        <v>1.21</v>
      </c>
      <c r="N667" s="8" t="s">
        <v>3344</v>
      </c>
      <c r="O667" s="8">
        <v>1117.0</v>
      </c>
      <c r="P667" s="11">
        <v>24.791</v>
      </c>
      <c r="Q667" s="8" t="s">
        <v>2666</v>
      </c>
      <c r="R667" s="11">
        <v>0.6626</v>
      </c>
      <c r="S667" s="12">
        <v>6718848.0</v>
      </c>
      <c r="T667" s="12">
        <v>1.32621188719E11</v>
      </c>
      <c r="U667" s="13">
        <v>5.5973</v>
      </c>
      <c r="V667" s="13">
        <v>22.8383</v>
      </c>
      <c r="W667" s="13">
        <v>42.3718</v>
      </c>
      <c r="X667" s="13">
        <v>26.2476</v>
      </c>
      <c r="Y667" s="13">
        <v>0.1701</v>
      </c>
      <c r="Z667" s="13">
        <v>2.0393</v>
      </c>
      <c r="AA667" s="8" t="s">
        <v>2620</v>
      </c>
      <c r="AB667" s="14">
        <f>IFERROR(__xludf.DUMMYFUNCTION("IFERROR(GOOGLEFINANCE(B667,""price""),"""")"),120.9)</f>
        <v>120.9</v>
      </c>
    </row>
    <row r="668">
      <c r="A668" s="15">
        <v>46063.875963838174</v>
      </c>
      <c r="B668" s="16" t="s">
        <v>1512</v>
      </c>
      <c r="C668" s="16" t="s">
        <v>1513</v>
      </c>
      <c r="D668" s="17">
        <v>46068.0</v>
      </c>
      <c r="E668" s="18">
        <v>78.75</v>
      </c>
      <c r="F668" s="16" t="s">
        <v>917</v>
      </c>
      <c r="G668" s="21">
        <v>21.6121</v>
      </c>
      <c r="H668" s="21">
        <v>3.6438</v>
      </c>
      <c r="I668" s="17">
        <v>46073.0</v>
      </c>
      <c r="J668" s="18">
        <v>77.5</v>
      </c>
      <c r="K668" s="16">
        <v>1112.0</v>
      </c>
      <c r="L668" s="16" t="s">
        <v>2608</v>
      </c>
      <c r="M668" s="19">
        <v>1.59</v>
      </c>
      <c r="N668" s="16" t="s">
        <v>3345</v>
      </c>
      <c r="O668" s="16">
        <v>1112.0</v>
      </c>
      <c r="P668" s="19">
        <v>27.3116</v>
      </c>
      <c r="Q668" s="16" t="s">
        <v>1514</v>
      </c>
      <c r="R668" s="19">
        <v>2.0739</v>
      </c>
      <c r="S668" s="20">
        <v>2024748.0</v>
      </c>
      <c r="T668" s="20">
        <v>1.8129364029E10</v>
      </c>
      <c r="U668" s="21">
        <v>1.2778</v>
      </c>
      <c r="V668" s="21">
        <v>8.3636</v>
      </c>
      <c r="W668" s="21">
        <v>24.8419</v>
      </c>
      <c r="X668" s="21">
        <v>0.1069</v>
      </c>
      <c r="Y668" s="21">
        <v>1.4305</v>
      </c>
      <c r="Z668" s="21">
        <v>0.5156</v>
      </c>
      <c r="AA668" s="16" t="s">
        <v>2611</v>
      </c>
      <c r="AB668" s="22">
        <f>IFERROR(__xludf.DUMMYFUNCTION("IFERROR(GOOGLEFINANCE(B668,""price""),"""")"),83.58)</f>
        <v>83.58</v>
      </c>
    </row>
    <row r="669">
      <c r="A669" s="7">
        <v>46063.875963838174</v>
      </c>
      <c r="B669" s="8" t="s">
        <v>2692</v>
      </c>
      <c r="C669" s="8" t="s">
        <v>2693</v>
      </c>
      <c r="D669" s="9">
        <v>46068.0</v>
      </c>
      <c r="E669" s="10">
        <v>238.35</v>
      </c>
      <c r="F669" s="8" t="s">
        <v>117</v>
      </c>
      <c r="G669" s="13">
        <v>21.5783</v>
      </c>
      <c r="H669" s="13">
        <v>11.0458</v>
      </c>
      <c r="I669" s="9">
        <v>46066.0</v>
      </c>
      <c r="J669" s="10">
        <v>240.0</v>
      </c>
      <c r="K669" s="8">
        <v>1069.0</v>
      </c>
      <c r="L669" s="8" t="s">
        <v>2608</v>
      </c>
      <c r="M669" s="11">
        <v>0.69</v>
      </c>
      <c r="N669" s="8" t="s">
        <v>3346</v>
      </c>
      <c r="O669" s="8">
        <v>1069.0</v>
      </c>
      <c r="P669" s="11">
        <v>35.4666</v>
      </c>
      <c r="Q669" s="8" t="s">
        <v>2695</v>
      </c>
      <c r="R669" s="11">
        <v>-0.1215</v>
      </c>
      <c r="S669" s="12">
        <v>6723253.0</v>
      </c>
      <c r="T669" s="12">
        <v>5.7425544316E11</v>
      </c>
      <c r="U669" s="13">
        <v>3.7324</v>
      </c>
      <c r="V669" s="23"/>
      <c r="W669" s="13">
        <v>27.4326</v>
      </c>
      <c r="X669" s="13">
        <v>6.0483</v>
      </c>
      <c r="Y669" s="23"/>
      <c r="Z669" s="23"/>
      <c r="AA669" s="8" t="s">
        <v>2620</v>
      </c>
      <c r="AB669" s="14">
        <f>IFERROR(__xludf.DUMMYFUNCTION("IFERROR(GOOGLEFINANCE(B669,""price""),"""")"),238.46)</f>
        <v>238.46</v>
      </c>
    </row>
    <row r="670">
      <c r="A670" s="15">
        <v>46063.875963838174</v>
      </c>
      <c r="B670" s="16" t="s">
        <v>3347</v>
      </c>
      <c r="C670" s="16" t="s">
        <v>3348</v>
      </c>
      <c r="D670" s="17">
        <v>46068.0</v>
      </c>
      <c r="E670" s="18">
        <v>316.33</v>
      </c>
      <c r="F670" s="16" t="s">
        <v>308</v>
      </c>
      <c r="G670" s="21">
        <v>38.8669</v>
      </c>
      <c r="H670" s="21">
        <v>8.1388</v>
      </c>
      <c r="I670" s="17">
        <v>46066.0</v>
      </c>
      <c r="J670" s="18">
        <v>320.0</v>
      </c>
      <c r="K670" s="16">
        <v>1026.0</v>
      </c>
      <c r="L670" s="16" t="s">
        <v>2608</v>
      </c>
      <c r="M670" s="19">
        <v>1.16</v>
      </c>
      <c r="N670" s="16" t="s">
        <v>3349</v>
      </c>
      <c r="O670" s="16">
        <v>1026.0</v>
      </c>
      <c r="P670" s="19">
        <v>19.2078</v>
      </c>
      <c r="Q670" s="16" t="s">
        <v>3350</v>
      </c>
      <c r="R670" s="19">
        <v>-0.1294</v>
      </c>
      <c r="S670" s="20">
        <v>4610611.0</v>
      </c>
      <c r="T670" s="20">
        <v>3.31771195427E11</v>
      </c>
      <c r="U670" s="21">
        <v>8.9871</v>
      </c>
      <c r="V670" s="21">
        <v>45.2353</v>
      </c>
      <c r="W670" s="21">
        <v>18.207</v>
      </c>
      <c r="X670" s="21">
        <v>0.1223</v>
      </c>
      <c r="Y670" s="21">
        <v>1.1542</v>
      </c>
      <c r="Z670" s="21">
        <v>1.0415</v>
      </c>
      <c r="AA670" s="16" t="s">
        <v>2620</v>
      </c>
      <c r="AB670" s="22">
        <f>IFERROR(__xludf.DUMMYFUNCTION("IFERROR(GOOGLEFINANCE(B670,""price""),"""")"),308.35)</f>
        <v>308.35</v>
      </c>
    </row>
    <row r="671">
      <c r="A671" s="7">
        <v>46063.875963838174</v>
      </c>
      <c r="B671" s="8" t="s">
        <v>2646</v>
      </c>
      <c r="C671" s="8" t="s">
        <v>2647</v>
      </c>
      <c r="D671" s="9">
        <v>46068.0</v>
      </c>
      <c r="E671" s="10">
        <v>35.19</v>
      </c>
      <c r="F671" s="8" t="s">
        <v>270</v>
      </c>
      <c r="G671" s="13">
        <v>13.2517</v>
      </c>
      <c r="H671" s="13">
        <v>2.6555</v>
      </c>
      <c r="I671" s="9">
        <v>46066.0</v>
      </c>
      <c r="J671" s="10">
        <v>35.0</v>
      </c>
      <c r="K671" s="8">
        <v>1025.0</v>
      </c>
      <c r="L671" s="8" t="s">
        <v>2608</v>
      </c>
      <c r="M671" s="11">
        <v>0.54</v>
      </c>
      <c r="N671" s="8" t="s">
        <v>3351</v>
      </c>
      <c r="O671" s="8">
        <v>1025.0</v>
      </c>
      <c r="P671" s="11">
        <v>35.1278</v>
      </c>
      <c r="Q671" s="8" t="s">
        <v>2649</v>
      </c>
      <c r="R671" s="11">
        <v>0.0853</v>
      </c>
      <c r="S671" s="12">
        <v>3718462.0</v>
      </c>
      <c r="T671" s="12">
        <v>7.612726724E10</v>
      </c>
      <c r="U671" s="13">
        <v>0.6413</v>
      </c>
      <c r="V671" s="23"/>
      <c r="W671" s="13">
        <v>13.037</v>
      </c>
      <c r="X671" s="13">
        <v>-5.779</v>
      </c>
      <c r="Y671" s="23"/>
      <c r="Z671" s="23"/>
      <c r="AA671" s="8" t="s">
        <v>2611</v>
      </c>
      <c r="AB671" s="14">
        <f>IFERROR(__xludf.DUMMYFUNCTION("IFERROR(GOOGLEFINANCE(B671,""price""),"""")"),37.35)</f>
        <v>37.35</v>
      </c>
    </row>
    <row r="672">
      <c r="A672" s="7">
        <v>46064.62820272257</v>
      </c>
      <c r="B672" s="8" t="s">
        <v>3269</v>
      </c>
      <c r="C672" s="8" t="s">
        <v>3270</v>
      </c>
      <c r="D672" s="9">
        <v>46068.0</v>
      </c>
      <c r="E672" s="10">
        <v>276.135</v>
      </c>
      <c r="F672" s="8" t="s">
        <v>308</v>
      </c>
      <c r="G672" s="13">
        <v>34.937</v>
      </c>
      <c r="H672" s="13">
        <v>7.9038</v>
      </c>
      <c r="I672" s="9">
        <v>46064.0</v>
      </c>
      <c r="J672" s="10">
        <v>280.0</v>
      </c>
      <c r="K672" s="8">
        <v>10716.0</v>
      </c>
      <c r="L672" s="8" t="s">
        <v>2608</v>
      </c>
      <c r="M672" s="11">
        <v>1.4</v>
      </c>
      <c r="N672" s="8" t="s">
        <v>3365</v>
      </c>
      <c r="O672" s="8">
        <v>39449.0</v>
      </c>
      <c r="P672" s="11">
        <v>24.8657</v>
      </c>
      <c r="Q672" s="8" t="s">
        <v>3272</v>
      </c>
      <c r="R672" s="11">
        <v>0.897</v>
      </c>
      <c r="S672" s="12">
        <v>3.9958226E7</v>
      </c>
      <c r="T672" s="12">
        <v>4.053976388328E12</v>
      </c>
      <c r="U672" s="13">
        <v>5.8261</v>
      </c>
      <c r="V672" s="13">
        <v>152.0213</v>
      </c>
      <c r="W672" s="13">
        <v>32.384</v>
      </c>
      <c r="X672" s="13">
        <v>10.071</v>
      </c>
      <c r="Y672" s="13">
        <v>1.0263</v>
      </c>
      <c r="Z672" s="13">
        <v>0.9737</v>
      </c>
      <c r="AA672" s="8" t="s">
        <v>2620</v>
      </c>
      <c r="AB672" s="14">
        <f>IFERROR(__xludf.DUMMYFUNCTION("IFERROR(GOOGLEFINANCE(B672,""price""),"""")"),260.48)</f>
        <v>260.48</v>
      </c>
    </row>
    <row r="673">
      <c r="A673" s="15">
        <v>46064.62820272257</v>
      </c>
      <c r="B673" s="16" t="s">
        <v>2625</v>
      </c>
      <c r="C673" s="16" t="s">
        <v>2626</v>
      </c>
      <c r="D673" s="17">
        <v>46068.0</v>
      </c>
      <c r="E673" s="18">
        <v>129.29</v>
      </c>
      <c r="F673" s="16" t="s">
        <v>137</v>
      </c>
      <c r="G673" s="21">
        <v>45.349</v>
      </c>
      <c r="H673" s="21">
        <v>2.851</v>
      </c>
      <c r="I673" s="17">
        <v>46066.0</v>
      </c>
      <c r="J673" s="18">
        <v>130.0</v>
      </c>
      <c r="K673" s="16">
        <v>4654.0</v>
      </c>
      <c r="L673" s="16" t="s">
        <v>2627</v>
      </c>
      <c r="M673" s="19">
        <v>0.55</v>
      </c>
      <c r="N673" s="16" t="s">
        <v>3366</v>
      </c>
      <c r="O673" s="16">
        <v>23050.0</v>
      </c>
      <c r="P673" s="19">
        <v>33.5756</v>
      </c>
      <c r="Q673" s="16" t="s">
        <v>2629</v>
      </c>
      <c r="R673" s="19">
        <v>2.0442</v>
      </c>
      <c r="S673" s="20">
        <v>1.3178891E7</v>
      </c>
      <c r="T673" s="20">
        <v>1.0304628656E12</v>
      </c>
      <c r="U673" s="21">
        <v>2.8726</v>
      </c>
      <c r="V673" s="21">
        <v>24.8749</v>
      </c>
      <c r="W673" s="21">
        <v>4.1214</v>
      </c>
      <c r="X673" s="21">
        <v>4.3397</v>
      </c>
      <c r="Y673" s="21">
        <v>0.7121</v>
      </c>
      <c r="Z673" s="21">
        <v>0.8029</v>
      </c>
      <c r="AA673" s="16" t="s">
        <v>2620</v>
      </c>
      <c r="AB673" s="22">
        <f>IFERROR(__xludf.DUMMYFUNCTION("IFERROR(GOOGLEFINANCE(B673,""price""),"""")"),126.79)</f>
        <v>126.79</v>
      </c>
    </row>
    <row r="674">
      <c r="A674" s="7">
        <v>46064.62820272257</v>
      </c>
      <c r="B674" s="8" t="s">
        <v>1598</v>
      </c>
      <c r="C674" s="8" t="s">
        <v>1599</v>
      </c>
      <c r="D674" s="9">
        <v>46068.0</v>
      </c>
      <c r="E674" s="10">
        <v>53.89</v>
      </c>
      <c r="F674" s="8" t="s">
        <v>93</v>
      </c>
      <c r="G674" s="13">
        <v>14.0595</v>
      </c>
      <c r="H674" s="13">
        <v>3.833</v>
      </c>
      <c r="I674" s="9">
        <v>46066.0</v>
      </c>
      <c r="J674" s="10">
        <v>54.5</v>
      </c>
      <c r="K674" s="8">
        <v>4515.0</v>
      </c>
      <c r="L674" s="8" t="s">
        <v>2627</v>
      </c>
      <c r="M674" s="11">
        <v>1.13</v>
      </c>
      <c r="N674" s="8" t="s">
        <v>3367</v>
      </c>
      <c r="O674" s="8">
        <v>15340.0</v>
      </c>
      <c r="P674" s="11">
        <v>20.8873</v>
      </c>
      <c r="Q674" s="8" t="s">
        <v>1600</v>
      </c>
      <c r="R674" s="11">
        <v>-2.7081</v>
      </c>
      <c r="S674" s="12">
        <v>3.8286223E7</v>
      </c>
      <c r="T674" s="12">
        <v>3.88679699833E11</v>
      </c>
      <c r="U674" s="13">
        <v>1.3266</v>
      </c>
      <c r="V674" s="13">
        <v>10.2298</v>
      </c>
      <c r="W674" s="13">
        <v>18.0672</v>
      </c>
      <c r="X674" s="13">
        <v>-2.1208</v>
      </c>
      <c r="Y674" s="13">
        <v>2.3434</v>
      </c>
      <c r="Z674" s="13">
        <v>0.9906</v>
      </c>
      <c r="AA674" s="8" t="s">
        <v>2620</v>
      </c>
      <c r="AB674" s="14">
        <f>IFERROR(__xludf.DUMMYFUNCTION("IFERROR(GOOGLEFINANCE(B674,""price""),"""")"),52.54)</f>
        <v>52.54</v>
      </c>
    </row>
    <row r="675">
      <c r="A675" s="15">
        <v>46064.62820272257</v>
      </c>
      <c r="B675" s="16" t="s">
        <v>1489</v>
      </c>
      <c r="C675" s="16" t="s">
        <v>1490</v>
      </c>
      <c r="D675" s="17">
        <v>46068.0</v>
      </c>
      <c r="E675" s="18">
        <v>85.33</v>
      </c>
      <c r="F675" s="16" t="s">
        <v>308</v>
      </c>
      <c r="G675" s="21">
        <v>32.1745</v>
      </c>
      <c r="H675" s="21">
        <v>2.6521</v>
      </c>
      <c r="I675" s="17">
        <v>46066.0</v>
      </c>
      <c r="J675" s="18">
        <v>85.0</v>
      </c>
      <c r="K675" s="16">
        <v>4541.0</v>
      </c>
      <c r="L675" s="16" t="s">
        <v>2627</v>
      </c>
      <c r="M675" s="19">
        <v>0.39</v>
      </c>
      <c r="N675" s="16" t="s">
        <v>3368</v>
      </c>
      <c r="O675" s="16">
        <v>14149.0</v>
      </c>
      <c r="P675" s="19">
        <v>39.3991</v>
      </c>
      <c r="Q675" s="16" t="s">
        <v>1491</v>
      </c>
      <c r="R675" s="19">
        <v>-1.1125</v>
      </c>
      <c r="S675" s="20">
        <v>1.9462146E7</v>
      </c>
      <c r="T675" s="20">
        <v>3.37146895763E11</v>
      </c>
      <c r="U675" s="21">
        <v>1.9478</v>
      </c>
      <c r="V675" s="21">
        <v>23.0103</v>
      </c>
      <c r="W675" s="21">
        <v>22.9895</v>
      </c>
      <c r="X675" s="21">
        <v>8.9097</v>
      </c>
      <c r="Y675" s="21">
        <v>0.6323</v>
      </c>
      <c r="Z675" s="21">
        <v>0.9274</v>
      </c>
      <c r="AA675" s="16" t="s">
        <v>2611</v>
      </c>
      <c r="AB675" s="22">
        <f>IFERROR(__xludf.DUMMYFUNCTION("IFERROR(GOOGLEFINANCE(B675,""price""),"""")"),82.22)</f>
        <v>82.22</v>
      </c>
    </row>
    <row r="676">
      <c r="A676" s="7">
        <v>46064.62820272257</v>
      </c>
      <c r="B676" s="8" t="s">
        <v>2630</v>
      </c>
      <c r="C676" s="8" t="s">
        <v>2631</v>
      </c>
      <c r="D676" s="9">
        <v>46068.0</v>
      </c>
      <c r="E676" s="10">
        <v>413.71</v>
      </c>
      <c r="F676" s="8" t="s">
        <v>308</v>
      </c>
      <c r="G676" s="13">
        <v>39.326</v>
      </c>
      <c r="H676" s="13">
        <v>10.52</v>
      </c>
      <c r="I676" s="9">
        <v>46066.0</v>
      </c>
      <c r="J676" s="10">
        <v>415.0</v>
      </c>
      <c r="K676" s="8">
        <v>5675.0</v>
      </c>
      <c r="L676" s="8" t="s">
        <v>2608</v>
      </c>
      <c r="M676" s="11">
        <v>0.31</v>
      </c>
      <c r="N676" s="8" t="s">
        <v>3369</v>
      </c>
      <c r="O676" s="8">
        <v>13923.0</v>
      </c>
      <c r="P676" s="11">
        <v>37.8102</v>
      </c>
      <c r="Q676" s="8" t="s">
        <v>2633</v>
      </c>
      <c r="R676" s="11">
        <v>10.8399</v>
      </c>
      <c r="S676" s="12">
        <v>4.2031858E7</v>
      </c>
      <c r="T676" s="12">
        <v>4.6563444313E11</v>
      </c>
      <c r="U676" s="13">
        <v>26.0514</v>
      </c>
      <c r="V676" s="13">
        <v>22.5543</v>
      </c>
      <c r="W676" s="13">
        <v>32.9221</v>
      </c>
      <c r="X676" s="13">
        <v>45.432</v>
      </c>
      <c r="Y676" s="13">
        <v>0.2124</v>
      </c>
      <c r="Z676" s="13">
        <v>2.4598</v>
      </c>
      <c r="AA676" s="8" t="s">
        <v>2620</v>
      </c>
      <c r="AB676" s="14">
        <f>IFERROR(__xludf.DUMMYFUNCTION("IFERROR(GOOGLEFINANCE(B676,""price""),"""")"),420.59)</f>
        <v>420.59</v>
      </c>
    </row>
    <row r="677">
      <c r="A677" s="15">
        <v>46064.62820272257</v>
      </c>
      <c r="B677" s="16" t="s">
        <v>2616</v>
      </c>
      <c r="C677" s="16" t="s">
        <v>2617</v>
      </c>
      <c r="D677" s="17">
        <v>46068.0</v>
      </c>
      <c r="E677" s="18">
        <v>78.67</v>
      </c>
      <c r="F677" s="16" t="s">
        <v>286</v>
      </c>
      <c r="G677" s="21">
        <v>25.8911</v>
      </c>
      <c r="H677" s="21">
        <v>3.0385</v>
      </c>
      <c r="I677" s="17">
        <v>46066.0</v>
      </c>
      <c r="J677" s="18">
        <v>79.0</v>
      </c>
      <c r="K677" s="16">
        <v>4103.0</v>
      </c>
      <c r="L677" s="16" t="s">
        <v>2608</v>
      </c>
      <c r="M677" s="19">
        <v>0.42</v>
      </c>
      <c r="N677" s="16" t="s">
        <v>3370</v>
      </c>
      <c r="O677" s="16">
        <v>12780.0</v>
      </c>
      <c r="P677" s="19">
        <v>39.0405</v>
      </c>
      <c r="Q677" s="16" t="s">
        <v>2619</v>
      </c>
      <c r="R677" s="19">
        <v>2.4216</v>
      </c>
      <c r="S677" s="20">
        <v>1.5627641E7</v>
      </c>
      <c r="T677" s="20">
        <v>3.38407560362E11</v>
      </c>
      <c r="U677" s="21">
        <v>1.3442</v>
      </c>
      <c r="V677" s="21">
        <v>45.9693</v>
      </c>
      <c r="W677" s="21">
        <v>29.0951</v>
      </c>
      <c r="X677" s="21">
        <v>3.1925</v>
      </c>
      <c r="Y677" s="21">
        <v>1.4142</v>
      </c>
      <c r="Z677" s="21">
        <v>1.4588</v>
      </c>
      <c r="AA677" s="16" t="s">
        <v>2620</v>
      </c>
      <c r="AB677" s="22">
        <f>IFERROR(__xludf.DUMMYFUNCTION("IFERROR(GOOGLEFINANCE(B677,""price""),"""")"),77.47)</f>
        <v>77.47</v>
      </c>
    </row>
    <row r="678">
      <c r="A678" s="7">
        <v>46064.62820272257</v>
      </c>
      <c r="B678" s="8" t="s">
        <v>2646</v>
      </c>
      <c r="C678" s="8" t="s">
        <v>2647</v>
      </c>
      <c r="D678" s="9">
        <v>46068.0</v>
      </c>
      <c r="E678" s="10">
        <v>35.525</v>
      </c>
      <c r="F678" s="8" t="s">
        <v>270</v>
      </c>
      <c r="G678" s="13">
        <v>13.3779</v>
      </c>
      <c r="H678" s="13">
        <v>2.6555</v>
      </c>
      <c r="I678" s="9">
        <v>46066.0</v>
      </c>
      <c r="J678" s="10">
        <v>36.0</v>
      </c>
      <c r="K678" s="8">
        <v>6604.0</v>
      </c>
      <c r="L678" s="8" t="s">
        <v>2608</v>
      </c>
      <c r="M678" s="11">
        <v>1.34</v>
      </c>
      <c r="N678" s="8" t="s">
        <v>3371</v>
      </c>
      <c r="O678" s="8">
        <v>12277.0</v>
      </c>
      <c r="P678" s="11">
        <v>36.3241</v>
      </c>
      <c r="Q678" s="8" t="s">
        <v>2649</v>
      </c>
      <c r="R678" s="11">
        <v>0.952</v>
      </c>
      <c r="S678" s="12">
        <v>2438599.0</v>
      </c>
      <c r="T678" s="12">
        <v>7.6851977122E10</v>
      </c>
      <c r="U678" s="13">
        <v>0.628</v>
      </c>
      <c r="V678" s="23"/>
      <c r="W678" s="13">
        <v>13.037</v>
      </c>
      <c r="X678" s="13">
        <v>-5.779</v>
      </c>
      <c r="Y678" s="23"/>
      <c r="Z678" s="23"/>
      <c r="AA678" s="8" t="s">
        <v>2620</v>
      </c>
      <c r="AB678" s="14">
        <f>IFERROR(__xludf.DUMMYFUNCTION("IFERROR(GOOGLEFINANCE(B678,""price""),"""")"),37.35)</f>
        <v>37.35</v>
      </c>
    </row>
    <row r="679">
      <c r="A679" s="15">
        <v>46064.62820272257</v>
      </c>
      <c r="B679" s="16" t="s">
        <v>2700</v>
      </c>
      <c r="C679" s="16" t="s">
        <v>2701</v>
      </c>
      <c r="D679" s="17">
        <v>46068.0</v>
      </c>
      <c r="E679" s="18">
        <v>235.65</v>
      </c>
      <c r="F679" s="16" t="s">
        <v>102</v>
      </c>
      <c r="G679" s="21">
        <v>48.2959</v>
      </c>
      <c r="H679" s="21">
        <v>4.8793</v>
      </c>
      <c r="I679" s="17">
        <v>46066.0</v>
      </c>
      <c r="J679" s="18">
        <v>237.5</v>
      </c>
      <c r="K679" s="16">
        <v>5010.0</v>
      </c>
      <c r="L679" s="16" t="s">
        <v>2608</v>
      </c>
      <c r="M679" s="19">
        <v>0.79</v>
      </c>
      <c r="N679" s="16" t="s">
        <v>3372</v>
      </c>
      <c r="O679" s="16">
        <v>11139.0</v>
      </c>
      <c r="P679" s="19">
        <v>33.8546</v>
      </c>
      <c r="Q679" s="16" t="s">
        <v>2703</v>
      </c>
      <c r="R679" s="19">
        <v>3.9892</v>
      </c>
      <c r="S679" s="20">
        <v>7072036.0</v>
      </c>
      <c r="T679" s="20">
        <v>2.94272886022E11</v>
      </c>
      <c r="U679" s="21">
        <v>12.483</v>
      </c>
      <c r="V679" s="21">
        <v>65.5649</v>
      </c>
      <c r="W679" s="21">
        <v>33.7646</v>
      </c>
      <c r="X679" s="21">
        <v>26.8457</v>
      </c>
      <c r="Y679" s="21">
        <v>0.4419</v>
      </c>
      <c r="Z679" s="21">
        <v>2.2562</v>
      </c>
      <c r="AA679" s="16" t="s">
        <v>2620</v>
      </c>
      <c r="AB679" s="22">
        <f>IFERROR(__xludf.DUMMYFUNCTION("IFERROR(GOOGLEFINANCE(B679,""price""),"""")"),263.66)</f>
        <v>263.66</v>
      </c>
    </row>
    <row r="680">
      <c r="A680" s="7">
        <v>46064.62820272257</v>
      </c>
      <c r="B680" s="8" t="s">
        <v>2621</v>
      </c>
      <c r="C680" s="8" t="s">
        <v>2622</v>
      </c>
      <c r="D680" s="9">
        <v>46068.0</v>
      </c>
      <c r="E680" s="10">
        <v>64.9599</v>
      </c>
      <c r="F680" s="8" t="s">
        <v>335</v>
      </c>
      <c r="G680" s="13">
        <v>42.9061</v>
      </c>
      <c r="H680" s="13">
        <v>1.514</v>
      </c>
      <c r="I680" s="9">
        <v>46066.0</v>
      </c>
      <c r="J680" s="10">
        <v>66.0</v>
      </c>
      <c r="K680" s="8">
        <v>3587.0</v>
      </c>
      <c r="L680" s="8" t="s">
        <v>2608</v>
      </c>
      <c r="M680" s="11">
        <v>1.6</v>
      </c>
      <c r="N680" s="8" t="s">
        <v>3373</v>
      </c>
      <c r="O680" s="8">
        <v>8894.0</v>
      </c>
      <c r="P680" s="11">
        <v>37.9201</v>
      </c>
      <c r="Q680" s="8" t="s">
        <v>2624</v>
      </c>
      <c r="R680" s="11">
        <v>2.6872</v>
      </c>
      <c r="S680" s="12">
        <v>1.240933E7</v>
      </c>
      <c r="T680" s="12">
        <v>9.3277909869E10</v>
      </c>
      <c r="U680" s="13">
        <v>2.777</v>
      </c>
      <c r="V680" s="13">
        <v>11.9792</v>
      </c>
      <c r="W680" s="13">
        <v>23.7569</v>
      </c>
      <c r="X680" s="13">
        <v>1.5155</v>
      </c>
      <c r="Y680" s="13">
        <v>0.5497</v>
      </c>
      <c r="Z680" s="13">
        <v>2.2911</v>
      </c>
      <c r="AA680" s="8" t="s">
        <v>2620</v>
      </c>
      <c r="AB680" s="14">
        <f>IFERROR(__xludf.DUMMYFUNCTION("IFERROR(GOOGLEFINANCE(B680,""price""),"""")"),67.8)</f>
        <v>67.8</v>
      </c>
    </row>
    <row r="681">
      <c r="A681" s="15">
        <v>46064.62820272257</v>
      </c>
      <c r="B681" s="16" t="s">
        <v>3067</v>
      </c>
      <c r="C681" s="16" t="s">
        <v>3068</v>
      </c>
      <c r="D681" s="17">
        <v>46068.0</v>
      </c>
      <c r="E681" s="18">
        <v>17.975</v>
      </c>
      <c r="F681" s="16" t="s">
        <v>93</v>
      </c>
      <c r="G681" s="21">
        <v>12.9634</v>
      </c>
      <c r="H681" s="21">
        <v>1.3866</v>
      </c>
      <c r="I681" s="17">
        <v>46073.0</v>
      </c>
      <c r="J681" s="18">
        <v>18.0</v>
      </c>
      <c r="K681" s="16">
        <v>6106.0</v>
      </c>
      <c r="L681" s="16" t="s">
        <v>2608</v>
      </c>
      <c r="M681" s="19">
        <v>0.14</v>
      </c>
      <c r="N681" s="16" t="s">
        <v>3374</v>
      </c>
      <c r="O681" s="16">
        <v>7828.0</v>
      </c>
      <c r="P681" s="19">
        <v>19.6055</v>
      </c>
      <c r="Q681" s="16" t="s">
        <v>3070</v>
      </c>
      <c r="R681" s="19">
        <v>-3.2041</v>
      </c>
      <c r="S681" s="20">
        <v>2.6275408E7</v>
      </c>
      <c r="T681" s="20">
        <v>3.6611535131E10</v>
      </c>
      <c r="U681" s="21">
        <v>0.5378</v>
      </c>
      <c r="V681" s="21">
        <v>10.0313</v>
      </c>
      <c r="W681" s="21">
        <v>21.9353</v>
      </c>
      <c r="X681" s="21">
        <v>4.0422</v>
      </c>
      <c r="Y681" s="21">
        <v>0.7593</v>
      </c>
      <c r="Z681" s="21">
        <v>0.0962</v>
      </c>
      <c r="AA681" s="16" t="s">
        <v>2620</v>
      </c>
      <c r="AB681" s="22">
        <f>IFERROR(__xludf.DUMMYFUNCTION("IFERROR(GOOGLEFINANCE(B681,""price""),"""")"),16.38)</f>
        <v>16.38</v>
      </c>
    </row>
    <row r="682">
      <c r="A682" s="7">
        <v>46064.62820272257</v>
      </c>
      <c r="B682" s="8" t="s">
        <v>2634</v>
      </c>
      <c r="C682" s="8" t="s">
        <v>2635</v>
      </c>
      <c r="D682" s="9">
        <v>46068.0</v>
      </c>
      <c r="E682" s="10">
        <v>185.62</v>
      </c>
      <c r="F682" s="8" t="s">
        <v>245</v>
      </c>
      <c r="G682" s="13">
        <v>27.909</v>
      </c>
      <c r="H682" s="13">
        <v>6.6509</v>
      </c>
      <c r="I682" s="9">
        <v>46066.0</v>
      </c>
      <c r="J682" s="10">
        <v>182.5</v>
      </c>
      <c r="K682" s="8">
        <v>3192.0</v>
      </c>
      <c r="L682" s="8" t="s">
        <v>2608</v>
      </c>
      <c r="M682" s="11">
        <v>1.68</v>
      </c>
      <c r="N682" s="8" t="s">
        <v>3375</v>
      </c>
      <c r="O682" s="8">
        <v>7001.0</v>
      </c>
      <c r="P682" s="11">
        <v>57.1217</v>
      </c>
      <c r="Q682" s="8" t="s">
        <v>2637</v>
      </c>
      <c r="R682" s="11">
        <v>1.8435</v>
      </c>
      <c r="S682" s="12">
        <v>7788839.0</v>
      </c>
      <c r="T682" s="12">
        <v>3.73749869324E11</v>
      </c>
      <c r="U682" s="13">
        <v>3.4245</v>
      </c>
      <c r="V682" s="13">
        <v>7.261</v>
      </c>
      <c r="W682" s="13">
        <v>8.9022</v>
      </c>
      <c r="X682" s="13">
        <v>-4.6053</v>
      </c>
      <c r="Y682" s="13">
        <v>0.2186</v>
      </c>
      <c r="Z682" s="23"/>
      <c r="AA682" s="8" t="s">
        <v>2611</v>
      </c>
      <c r="AB682" s="14">
        <f>IFERROR(__xludf.DUMMYFUNCTION("IFERROR(GOOGLEFINANCE(B682,""price""),"""")"),188.55)</f>
        <v>188.55</v>
      </c>
    </row>
    <row r="683">
      <c r="A683" s="15">
        <v>46064.62820272257</v>
      </c>
      <c r="B683" s="16" t="s">
        <v>2704</v>
      </c>
      <c r="C683" s="16" t="s">
        <v>2705</v>
      </c>
      <c r="D683" s="17">
        <v>46068.0</v>
      </c>
      <c r="E683" s="18">
        <v>36.395</v>
      </c>
      <c r="F683" s="16" t="s">
        <v>88</v>
      </c>
      <c r="G683" s="24"/>
      <c r="H683" s="21">
        <v>-0.5438</v>
      </c>
      <c r="I683" s="17">
        <v>46066.0</v>
      </c>
      <c r="J683" s="18">
        <v>37.0</v>
      </c>
      <c r="K683" s="16">
        <v>2622.0</v>
      </c>
      <c r="L683" s="16" t="s">
        <v>2608</v>
      </c>
      <c r="M683" s="19">
        <v>1.66</v>
      </c>
      <c r="N683" s="16" t="s">
        <v>3376</v>
      </c>
      <c r="O683" s="16">
        <v>6391.0</v>
      </c>
      <c r="P683" s="19">
        <v>19.1463</v>
      </c>
      <c r="Q683" s="16" t="s">
        <v>2707</v>
      </c>
      <c r="R683" s="19">
        <v>-2.869</v>
      </c>
      <c r="S683" s="20">
        <v>2.2011149E7</v>
      </c>
      <c r="T683" s="20">
        <v>1.0175526084E10</v>
      </c>
      <c r="U683" s="21">
        <v>4.0482</v>
      </c>
      <c r="V683" s="21">
        <v>-11.4029</v>
      </c>
      <c r="W683" s="21">
        <v>-26.4624</v>
      </c>
      <c r="X683" s="21">
        <v>33.135</v>
      </c>
      <c r="Y683" s="21">
        <v>1.6778</v>
      </c>
      <c r="Z683" s="21">
        <v>4.8227</v>
      </c>
      <c r="AA683" s="16" t="s">
        <v>2620</v>
      </c>
      <c r="AB683" s="22">
        <f>IFERROR(__xludf.DUMMYFUNCTION("IFERROR(GOOGLEFINANCE(B683,""price""),"""")"),26.24)</f>
        <v>26.24</v>
      </c>
    </row>
    <row r="684">
      <c r="A684" s="7">
        <v>46064.62820272257</v>
      </c>
      <c r="B684" s="8" t="s">
        <v>2676</v>
      </c>
      <c r="C684" s="8" t="s">
        <v>2677</v>
      </c>
      <c r="D684" s="9">
        <v>46068.0</v>
      </c>
      <c r="E684" s="10">
        <v>30.8954</v>
      </c>
      <c r="F684" s="8" t="s">
        <v>93</v>
      </c>
      <c r="G684" s="13">
        <v>13.4486</v>
      </c>
      <c r="H684" s="13">
        <v>2.2973</v>
      </c>
      <c r="I684" s="9">
        <v>46073.0</v>
      </c>
      <c r="J684" s="10">
        <v>31.0</v>
      </c>
      <c r="K684" s="8">
        <v>3254.0</v>
      </c>
      <c r="L684" s="8" t="s">
        <v>2627</v>
      </c>
      <c r="M684" s="11">
        <v>0.34</v>
      </c>
      <c r="N684" s="8" t="s">
        <v>3377</v>
      </c>
      <c r="O684" s="8">
        <v>5725.0</v>
      </c>
      <c r="P684" s="11">
        <v>28.3942</v>
      </c>
      <c r="Q684" s="8" t="s">
        <v>2679</v>
      </c>
      <c r="R684" s="11">
        <v>0.2446</v>
      </c>
      <c r="S684" s="12">
        <v>1.2437527E7</v>
      </c>
      <c r="T684" s="12">
        <v>2.7091450749E10</v>
      </c>
      <c r="U684" s="13">
        <v>0.6868</v>
      </c>
      <c r="V684" s="13">
        <v>11.6787</v>
      </c>
      <c r="W684" s="13">
        <v>28.7373</v>
      </c>
      <c r="X684" s="13">
        <v>2.137</v>
      </c>
      <c r="Y684" s="13">
        <v>0.2565</v>
      </c>
      <c r="Z684" s="13">
        <v>0.1084</v>
      </c>
      <c r="AA684" s="8" t="s">
        <v>2620</v>
      </c>
      <c r="AB684" s="14">
        <f>IFERROR(__xludf.DUMMYFUNCTION("IFERROR(GOOGLEFINANCE(B684,""price""),"""")"),27.5)</f>
        <v>27.5</v>
      </c>
    </row>
    <row r="685">
      <c r="A685" s="15">
        <v>46064.62820272257</v>
      </c>
      <c r="B685" s="16" t="s">
        <v>2638</v>
      </c>
      <c r="C685" s="16" t="s">
        <v>2639</v>
      </c>
      <c r="D685" s="17">
        <v>46068.0</v>
      </c>
      <c r="E685" s="18">
        <v>155.92</v>
      </c>
      <c r="F685" s="16" t="s">
        <v>245</v>
      </c>
      <c r="G685" s="21">
        <v>23.3033</v>
      </c>
      <c r="H685" s="21">
        <v>6.6909</v>
      </c>
      <c r="I685" s="17">
        <v>46066.0</v>
      </c>
      <c r="J685" s="18">
        <v>155.0</v>
      </c>
      <c r="K685" s="16">
        <v>2249.0</v>
      </c>
      <c r="L685" s="16" t="s">
        <v>2608</v>
      </c>
      <c r="M685" s="19">
        <v>0.59</v>
      </c>
      <c r="N685" s="16" t="s">
        <v>3378</v>
      </c>
      <c r="O685" s="16">
        <v>4349.0</v>
      </c>
      <c r="P685" s="19">
        <v>58.2553</v>
      </c>
      <c r="Q685" s="16" t="s">
        <v>2641</v>
      </c>
      <c r="R685" s="19">
        <v>2.8564</v>
      </c>
      <c r="S685" s="20">
        <v>1.6390817E7</v>
      </c>
      <c r="T685" s="20">
        <v>6.57540433138E11</v>
      </c>
      <c r="U685" s="21">
        <v>3.2543</v>
      </c>
      <c r="V685" s="21">
        <v>11.0283</v>
      </c>
      <c r="W685" s="21">
        <v>10.3419</v>
      </c>
      <c r="X685" s="21">
        <v>-4.856</v>
      </c>
      <c r="Y685" s="21">
        <v>0.1678</v>
      </c>
      <c r="Z685" s="21">
        <v>1.1528</v>
      </c>
      <c r="AA685" s="16" t="s">
        <v>2611</v>
      </c>
      <c r="AB685" s="22">
        <f>IFERROR(__xludf.DUMMYFUNCTION("IFERROR(GOOGLEFINANCE(B685,""price""),"""")"),152.51)</f>
        <v>152.51</v>
      </c>
    </row>
    <row r="686">
      <c r="A686" s="7">
        <v>46064.62820272257</v>
      </c>
      <c r="B686" s="8" t="s">
        <v>2606</v>
      </c>
      <c r="C686" s="8" t="s">
        <v>2607</v>
      </c>
      <c r="D686" s="9">
        <v>46068.0</v>
      </c>
      <c r="E686" s="10">
        <v>54.445</v>
      </c>
      <c r="F686" s="8" t="s">
        <v>93</v>
      </c>
      <c r="G686" s="13">
        <v>15.4026</v>
      </c>
      <c r="H686" s="13">
        <v>3.5348</v>
      </c>
      <c r="I686" s="9">
        <v>46073.0</v>
      </c>
      <c r="J686" s="10">
        <v>55.0</v>
      </c>
      <c r="K686" s="8">
        <v>2701.0</v>
      </c>
      <c r="L686" s="8" t="s">
        <v>2608</v>
      </c>
      <c r="M686" s="11">
        <v>1.02</v>
      </c>
      <c r="N686" s="8" t="s">
        <v>3379</v>
      </c>
      <c r="O686" s="8">
        <v>3957.0</v>
      </c>
      <c r="P686" s="11">
        <v>42.578</v>
      </c>
      <c r="Q686" s="8" t="s">
        <v>2610</v>
      </c>
      <c r="R686" s="11">
        <v>-0.1009</v>
      </c>
      <c r="S686" s="12">
        <v>7642200.0</v>
      </c>
      <c r="T686" s="12">
        <v>3.599084997E10</v>
      </c>
      <c r="U686" s="13">
        <v>1.3883</v>
      </c>
      <c r="V686" s="13">
        <v>12.1975</v>
      </c>
      <c r="W686" s="13">
        <v>23.4205</v>
      </c>
      <c r="X686" s="13">
        <v>2.2457</v>
      </c>
      <c r="Y686" s="13">
        <v>0.6682</v>
      </c>
      <c r="Z686" s="13">
        <v>0.2832</v>
      </c>
      <c r="AA686" s="8" t="s">
        <v>2620</v>
      </c>
      <c r="AB686" s="14">
        <f>IFERROR(__xludf.DUMMYFUNCTION("IFERROR(GOOGLEFINANCE(B686,""price""),"""")"),49.31)</f>
        <v>49.31</v>
      </c>
    </row>
    <row r="687">
      <c r="A687" s="15">
        <v>46064.62820272257</v>
      </c>
      <c r="B687" s="16" t="s">
        <v>3080</v>
      </c>
      <c r="C687" s="16" t="s">
        <v>3081</v>
      </c>
      <c r="D687" s="17">
        <v>46068.0</v>
      </c>
      <c r="E687" s="18">
        <v>89.105</v>
      </c>
      <c r="F687" s="16" t="s">
        <v>93</v>
      </c>
      <c r="G687" s="21">
        <v>14.2283</v>
      </c>
      <c r="H687" s="21">
        <v>6.2625</v>
      </c>
      <c r="I687" s="17">
        <v>46066.0</v>
      </c>
      <c r="J687" s="18">
        <v>89.0</v>
      </c>
      <c r="K687" s="16">
        <v>2281.0</v>
      </c>
      <c r="L687" s="16" t="s">
        <v>2627</v>
      </c>
      <c r="M687" s="19">
        <v>0.12</v>
      </c>
      <c r="N687" s="16" t="s">
        <v>3380</v>
      </c>
      <c r="O687" s="16">
        <v>3308.0</v>
      </c>
      <c r="P687" s="19">
        <v>18.7511</v>
      </c>
      <c r="Q687" s="16" t="s">
        <v>3083</v>
      </c>
      <c r="R687" s="19">
        <v>-3.0519</v>
      </c>
      <c r="S687" s="20">
        <v>1.1793465E7</v>
      </c>
      <c r="T687" s="20">
        <v>2.75566142681E11</v>
      </c>
      <c r="U687" s="21">
        <v>2.7645</v>
      </c>
      <c r="V687" s="21">
        <v>11.8466</v>
      </c>
      <c r="W687" s="21">
        <v>20.6965</v>
      </c>
      <c r="X687" s="21">
        <v>-1.9497</v>
      </c>
      <c r="Y687" s="21">
        <v>2.3505</v>
      </c>
      <c r="Z687" s="21">
        <v>0.9006</v>
      </c>
      <c r="AA687" s="16" t="s">
        <v>2611</v>
      </c>
      <c r="AB687" s="22">
        <f>IFERROR(__xludf.DUMMYFUNCTION("IFERROR(GOOGLEFINANCE(B687,""price""),"""")"),85.4)</f>
        <v>85.4</v>
      </c>
    </row>
    <row r="688">
      <c r="A688" s="7">
        <v>46064.62820272257</v>
      </c>
      <c r="B688" s="8" t="s">
        <v>2428</v>
      </c>
      <c r="C688" s="8" t="s">
        <v>2429</v>
      </c>
      <c r="D688" s="9">
        <v>46068.0</v>
      </c>
      <c r="E688" s="10">
        <v>129.75</v>
      </c>
      <c r="F688" s="8" t="s">
        <v>102</v>
      </c>
      <c r="G688" s="13">
        <v>28.7681</v>
      </c>
      <c r="H688" s="13">
        <v>4.5102</v>
      </c>
      <c r="I688" s="9">
        <v>46073.0</v>
      </c>
      <c r="J688" s="10">
        <v>128.6</v>
      </c>
      <c r="K688" s="8">
        <v>1843.0</v>
      </c>
      <c r="L688" s="8" t="s">
        <v>2608</v>
      </c>
      <c r="M688" s="11">
        <v>0.89</v>
      </c>
      <c r="N688" s="8" t="s">
        <v>3381</v>
      </c>
      <c r="O688" s="8">
        <v>3240.0</v>
      </c>
      <c r="P688" s="11">
        <v>39.5479</v>
      </c>
      <c r="Q688" s="8" t="s">
        <v>2430</v>
      </c>
      <c r="R688" s="11">
        <v>2.1091</v>
      </c>
      <c r="S688" s="12">
        <v>2225595.0</v>
      </c>
      <c r="T688" s="12">
        <v>6.8145263691E10</v>
      </c>
      <c r="U688" s="13">
        <v>2.8285</v>
      </c>
      <c r="V688" s="13">
        <v>12.9222</v>
      </c>
      <c r="W688" s="13">
        <v>10.9587</v>
      </c>
      <c r="X688" s="13">
        <v>-15.5047</v>
      </c>
      <c r="Y688" s="23"/>
      <c r="Z688" s="13">
        <v>1.701</v>
      </c>
      <c r="AA688" s="8" t="s">
        <v>2611</v>
      </c>
      <c r="AB688" s="14">
        <f>IFERROR(__xludf.DUMMYFUNCTION("IFERROR(GOOGLEFINANCE(B688,""price""),"""")"),127.19)</f>
        <v>127.19</v>
      </c>
    </row>
    <row r="689">
      <c r="A689" s="15">
        <v>46064.62820272257</v>
      </c>
      <c r="B689" s="16" t="s">
        <v>2775</v>
      </c>
      <c r="C689" s="16" t="s">
        <v>2776</v>
      </c>
      <c r="D689" s="17">
        <v>46068.0</v>
      </c>
      <c r="E689" s="18">
        <v>59.165</v>
      </c>
      <c r="F689" s="16" t="s">
        <v>93</v>
      </c>
      <c r="G689" s="21">
        <v>12.8124</v>
      </c>
      <c r="H689" s="21">
        <v>4.6178</v>
      </c>
      <c r="I689" s="17">
        <v>46066.0</v>
      </c>
      <c r="J689" s="18">
        <v>59.0</v>
      </c>
      <c r="K689" s="16">
        <v>2101.0</v>
      </c>
      <c r="L689" s="16" t="s">
        <v>2627</v>
      </c>
      <c r="M689" s="19">
        <v>0.28</v>
      </c>
      <c r="N689" s="16" t="s">
        <v>3382</v>
      </c>
      <c r="O689" s="16">
        <v>3108.0</v>
      </c>
      <c r="P689" s="19">
        <v>35.317</v>
      </c>
      <c r="Q689" s="16" t="s">
        <v>2778</v>
      </c>
      <c r="R689" s="19">
        <v>-2.2874</v>
      </c>
      <c r="S689" s="20">
        <v>9842943.0</v>
      </c>
      <c r="T689" s="20">
        <v>9.1968091305E10</v>
      </c>
      <c r="U689" s="21">
        <v>1.2626</v>
      </c>
      <c r="V689" s="21">
        <v>12.1773</v>
      </c>
      <c r="W689" s="21">
        <v>23.9548</v>
      </c>
      <c r="X689" s="21">
        <v>2.1447</v>
      </c>
      <c r="Y689" s="21">
        <v>1.1953</v>
      </c>
      <c r="Z689" s="21">
        <v>0.4632</v>
      </c>
      <c r="AA689" s="16" t="s">
        <v>2611</v>
      </c>
      <c r="AB689" s="22">
        <f>IFERROR(__xludf.DUMMYFUNCTION("IFERROR(GOOGLEFINANCE(B689,""price""),"""")"),55.66)</f>
        <v>55.66</v>
      </c>
    </row>
    <row r="690">
      <c r="A690" s="7">
        <v>46064.62820272257</v>
      </c>
      <c r="B690" s="8" t="s">
        <v>2973</v>
      </c>
      <c r="C690" s="8" t="s">
        <v>2974</v>
      </c>
      <c r="D690" s="9">
        <v>46068.0</v>
      </c>
      <c r="E690" s="10">
        <v>54.21</v>
      </c>
      <c r="F690" s="8" t="s">
        <v>93</v>
      </c>
      <c r="G690" s="13">
        <v>14.2008</v>
      </c>
      <c r="H690" s="13">
        <v>3.8174</v>
      </c>
      <c r="I690" s="9">
        <v>46073.0</v>
      </c>
      <c r="J690" s="10">
        <v>55.0</v>
      </c>
      <c r="K690" s="8">
        <v>3012.0</v>
      </c>
      <c r="L690" s="8" t="s">
        <v>2608</v>
      </c>
      <c r="M690" s="11">
        <v>1.46</v>
      </c>
      <c r="N690" s="8" t="s">
        <v>3383</v>
      </c>
      <c r="O690" s="8">
        <v>3012.0</v>
      </c>
      <c r="P690" s="11">
        <v>26.5816</v>
      </c>
      <c r="Q690" s="8" t="s">
        <v>2976</v>
      </c>
      <c r="R690" s="11">
        <v>-1.5706</v>
      </c>
      <c r="S690" s="12">
        <v>6706201.0</v>
      </c>
      <c r="T690" s="12">
        <v>6.9347935439E10</v>
      </c>
      <c r="U690" s="13">
        <v>1.1543</v>
      </c>
      <c r="V690" s="13">
        <v>8.2363</v>
      </c>
      <c r="W690" s="13">
        <v>21.1616</v>
      </c>
      <c r="X690" s="13">
        <v>24.2886</v>
      </c>
      <c r="Y690" s="13">
        <v>1.0708</v>
      </c>
      <c r="Z690" s="13">
        <v>0.3413</v>
      </c>
      <c r="AA690" s="8" t="s">
        <v>2620</v>
      </c>
      <c r="AB690" s="14">
        <f>IFERROR(__xludf.DUMMYFUNCTION("IFERROR(GOOGLEFINANCE(B690,""price""),"""")"),49.6)</f>
        <v>49.6</v>
      </c>
    </row>
    <row r="691">
      <c r="A691" s="15">
        <v>46064.62820272257</v>
      </c>
      <c r="B691" s="16" t="s">
        <v>2139</v>
      </c>
      <c r="C691" s="16" t="s">
        <v>2140</v>
      </c>
      <c r="D691" s="17">
        <v>46068.0</v>
      </c>
      <c r="E691" s="18">
        <v>61.165</v>
      </c>
      <c r="F691" s="16" t="s">
        <v>270</v>
      </c>
      <c r="G691" s="21">
        <v>23.4798</v>
      </c>
      <c r="H691" s="21">
        <v>2.605</v>
      </c>
      <c r="I691" s="17">
        <v>46073.0</v>
      </c>
      <c r="J691" s="18">
        <v>60.0</v>
      </c>
      <c r="K691" s="16">
        <v>2869.0</v>
      </c>
      <c r="L691" s="16" t="s">
        <v>2608</v>
      </c>
      <c r="M691" s="19">
        <v>1.9</v>
      </c>
      <c r="N691" s="16" t="s">
        <v>3384</v>
      </c>
      <c r="O691" s="16">
        <v>2869.0</v>
      </c>
      <c r="P691" s="19">
        <v>41.7056</v>
      </c>
      <c r="Q691" s="16" t="s">
        <v>2141</v>
      </c>
      <c r="R691" s="19">
        <v>3.4066</v>
      </c>
      <c r="S691" s="20">
        <v>1.0081221E7</v>
      </c>
      <c r="T691" s="20">
        <v>6.0445487768E10</v>
      </c>
      <c r="U691" s="21">
        <v>1.7515</v>
      </c>
      <c r="V691" s="21">
        <v>14.4868</v>
      </c>
      <c r="W691" s="21">
        <v>12.8259</v>
      </c>
      <c r="X691" s="21">
        <v>-0.345</v>
      </c>
      <c r="Y691" s="21">
        <v>0.3558</v>
      </c>
      <c r="Z691" s="21">
        <v>1.3568</v>
      </c>
      <c r="AA691" s="16" t="s">
        <v>2611</v>
      </c>
      <c r="AB691" s="22">
        <f>IFERROR(__xludf.DUMMYFUNCTION("IFERROR(GOOGLEFINANCE(B691,""price""),"""")"),62.83)</f>
        <v>62.83</v>
      </c>
    </row>
    <row r="692">
      <c r="A692" s="7">
        <v>46064.62820272257</v>
      </c>
      <c r="B692" s="8" t="s">
        <v>3385</v>
      </c>
      <c r="C692" s="8" t="s">
        <v>3386</v>
      </c>
      <c r="D692" s="9">
        <v>46068.0</v>
      </c>
      <c r="E692" s="10">
        <v>47.065</v>
      </c>
      <c r="F692" s="8" t="s">
        <v>129</v>
      </c>
      <c r="G692" s="13">
        <v>43.0171</v>
      </c>
      <c r="H692" s="13">
        <v>1.0941</v>
      </c>
      <c r="I692" s="9">
        <v>46073.0</v>
      </c>
      <c r="J692" s="10">
        <v>47.5</v>
      </c>
      <c r="K692" s="8">
        <v>2868.0</v>
      </c>
      <c r="L692" s="8" t="s">
        <v>2608</v>
      </c>
      <c r="M692" s="11">
        <v>0.92</v>
      </c>
      <c r="N692" s="8" t="s">
        <v>3387</v>
      </c>
      <c r="O692" s="8">
        <v>2868.0</v>
      </c>
      <c r="P692" s="11">
        <v>23.4894</v>
      </c>
      <c r="Q692" s="8" t="s">
        <v>3388</v>
      </c>
      <c r="R692" s="11">
        <v>0.868</v>
      </c>
      <c r="S692" s="12">
        <v>3513705.0</v>
      </c>
      <c r="T692" s="12">
        <v>5.4039053834E10</v>
      </c>
      <c r="U692" s="13">
        <v>1.1545</v>
      </c>
      <c r="V692" s="13">
        <v>33.2967</v>
      </c>
      <c r="W692" s="13">
        <v>20.1917</v>
      </c>
      <c r="X692" s="13">
        <v>8.6721</v>
      </c>
      <c r="Y692" s="13">
        <v>0.1121</v>
      </c>
      <c r="Z692" s="13">
        <v>4.852</v>
      </c>
      <c r="AA692" s="8" t="s">
        <v>2620</v>
      </c>
      <c r="AB692" s="14">
        <f>IFERROR(__xludf.DUMMYFUNCTION("IFERROR(GOOGLEFINANCE(B692,""price""),"""")"),49.17)</f>
        <v>49.17</v>
      </c>
    </row>
    <row r="693">
      <c r="A693" s="15">
        <v>46064.62820272257</v>
      </c>
      <c r="B693" s="16" t="s">
        <v>2684</v>
      </c>
      <c r="C693" s="16" t="s">
        <v>2685</v>
      </c>
      <c r="D693" s="17">
        <v>46068.0</v>
      </c>
      <c r="E693" s="18">
        <v>341.365</v>
      </c>
      <c r="F693" s="16" t="s">
        <v>102</v>
      </c>
      <c r="G693" s="21">
        <v>39.355</v>
      </c>
      <c r="H693" s="21">
        <v>8.674</v>
      </c>
      <c r="I693" s="17">
        <v>46066.0</v>
      </c>
      <c r="J693" s="18">
        <v>335.0</v>
      </c>
      <c r="K693" s="16">
        <v>1554.0</v>
      </c>
      <c r="L693" s="16" t="s">
        <v>2608</v>
      </c>
      <c r="M693" s="19">
        <v>1.86</v>
      </c>
      <c r="N693" s="16" t="s">
        <v>3389</v>
      </c>
      <c r="O693" s="16">
        <v>2571.0</v>
      </c>
      <c r="P693" s="19">
        <v>31.4095</v>
      </c>
      <c r="Q693" s="16" t="s">
        <v>2687</v>
      </c>
      <c r="R693" s="19">
        <v>3.7363</v>
      </c>
      <c r="S693" s="20">
        <v>4257768.0</v>
      </c>
      <c r="T693" s="20">
        <v>2.70683115897E11</v>
      </c>
      <c r="U693" s="21">
        <v>15.0673</v>
      </c>
      <c r="V693" s="21">
        <v>35.5084</v>
      </c>
      <c r="W693" s="21">
        <v>29.8576</v>
      </c>
      <c r="X693" s="21">
        <v>4.4669</v>
      </c>
      <c r="Y693" s="21">
        <v>0.3453</v>
      </c>
      <c r="Z693" s="21">
        <v>2.6105</v>
      </c>
      <c r="AA693" s="16" t="s">
        <v>2611</v>
      </c>
      <c r="AB693" s="22">
        <f>IFERROR(__xludf.DUMMYFUNCTION("IFERROR(GOOGLEFINANCE(B693,""price""),"""")"),399.5)</f>
        <v>399.5</v>
      </c>
    </row>
    <row r="694">
      <c r="A694" s="7">
        <v>46064.62820272257</v>
      </c>
      <c r="B694" s="8" t="s">
        <v>2663</v>
      </c>
      <c r="C694" s="8" t="s">
        <v>2664</v>
      </c>
      <c r="D694" s="9">
        <v>46068.0</v>
      </c>
      <c r="E694" s="10">
        <v>123.7803</v>
      </c>
      <c r="F694" s="8" t="s">
        <v>335</v>
      </c>
      <c r="G694" s="13">
        <v>19.2418</v>
      </c>
      <c r="H694" s="13">
        <v>6.4329</v>
      </c>
      <c r="I694" s="9">
        <v>46066.0</v>
      </c>
      <c r="J694" s="10">
        <v>125.0</v>
      </c>
      <c r="K694" s="8">
        <v>1128.0</v>
      </c>
      <c r="L694" s="8" t="s">
        <v>2608</v>
      </c>
      <c r="M694" s="11">
        <v>0.99</v>
      </c>
      <c r="N694" s="8" t="s">
        <v>3390</v>
      </c>
      <c r="O694" s="8">
        <v>2246.0</v>
      </c>
      <c r="P694" s="11">
        <v>24.1476</v>
      </c>
      <c r="Q694" s="8" t="s">
        <v>2666</v>
      </c>
      <c r="R694" s="11">
        <v>1.8516</v>
      </c>
      <c r="S694" s="12">
        <v>4713746.0</v>
      </c>
      <c r="T694" s="12">
        <v>1.35076852668E11</v>
      </c>
      <c r="U694" s="13">
        <v>5.4692</v>
      </c>
      <c r="V694" s="13">
        <v>22.8383</v>
      </c>
      <c r="W694" s="13">
        <v>42.3718</v>
      </c>
      <c r="X694" s="13">
        <v>26.2476</v>
      </c>
      <c r="Y694" s="13">
        <v>0.1701</v>
      </c>
      <c r="Z694" s="13">
        <v>2.0393</v>
      </c>
      <c r="AA694" s="8" t="s">
        <v>2620</v>
      </c>
      <c r="AB694" s="14">
        <f>IFERROR(__xludf.DUMMYFUNCTION("IFERROR(GOOGLEFINANCE(B694,""price""),"""")"),120.9)</f>
        <v>120.9</v>
      </c>
    </row>
    <row r="695">
      <c r="A695" s="15">
        <v>46064.62820272257</v>
      </c>
      <c r="B695" s="16" t="s">
        <v>2692</v>
      </c>
      <c r="C695" s="16" t="s">
        <v>2693</v>
      </c>
      <c r="D695" s="17">
        <v>46068.0</v>
      </c>
      <c r="E695" s="18">
        <v>240.97</v>
      </c>
      <c r="F695" s="16" t="s">
        <v>117</v>
      </c>
      <c r="G695" s="21">
        <v>21.8155</v>
      </c>
      <c r="H695" s="21">
        <v>11.0458</v>
      </c>
      <c r="I695" s="17">
        <v>46066.0</v>
      </c>
      <c r="J695" s="18">
        <v>240.0</v>
      </c>
      <c r="K695" s="16">
        <v>1182.0</v>
      </c>
      <c r="L695" s="16" t="s">
        <v>2608</v>
      </c>
      <c r="M695" s="19">
        <v>0.4</v>
      </c>
      <c r="N695" s="16" t="s">
        <v>3391</v>
      </c>
      <c r="O695" s="16">
        <v>2233.0</v>
      </c>
      <c r="P695" s="19">
        <v>36.6421</v>
      </c>
      <c r="Q695" s="16" t="s">
        <v>2695</v>
      </c>
      <c r="R695" s="19">
        <v>1.0992</v>
      </c>
      <c r="S695" s="20">
        <v>4459256.0</v>
      </c>
      <c r="T695" s="20">
        <v>5.80567812191E11</v>
      </c>
      <c r="U695" s="21">
        <v>3.7368</v>
      </c>
      <c r="V695" s="24"/>
      <c r="W695" s="21">
        <v>27.4326</v>
      </c>
      <c r="X695" s="21">
        <v>6.0483</v>
      </c>
      <c r="Y695" s="24"/>
      <c r="Z695" s="24"/>
      <c r="AA695" s="16" t="s">
        <v>2611</v>
      </c>
      <c r="AB695" s="22">
        <f>IFERROR(__xludf.DUMMYFUNCTION("IFERROR(GOOGLEFINANCE(B695,""price""),"""")"),238.46)</f>
        <v>238.46</v>
      </c>
    </row>
    <row r="696">
      <c r="A696" s="7">
        <v>46064.62820272257</v>
      </c>
      <c r="B696" s="8" t="s">
        <v>1570</v>
      </c>
      <c r="C696" s="8" t="s">
        <v>1571</v>
      </c>
      <c r="D696" s="9">
        <v>46068.0</v>
      </c>
      <c r="E696" s="10">
        <v>47.975</v>
      </c>
      <c r="F696" s="8" t="s">
        <v>917</v>
      </c>
      <c r="G696" s="13">
        <v>20.8397</v>
      </c>
      <c r="H696" s="13">
        <v>2.3021</v>
      </c>
      <c r="I696" s="9">
        <v>46073.0</v>
      </c>
      <c r="J696" s="10">
        <v>48.0</v>
      </c>
      <c r="K696" s="8">
        <v>2141.0</v>
      </c>
      <c r="L696" s="8" t="s">
        <v>2608</v>
      </c>
      <c r="M696" s="11">
        <v>0.05</v>
      </c>
      <c r="N696" s="8" t="s">
        <v>3392</v>
      </c>
      <c r="O696" s="8">
        <v>2141.0</v>
      </c>
      <c r="P696" s="11">
        <v>27.5595</v>
      </c>
      <c r="Q696" s="8" t="s">
        <v>1572</v>
      </c>
      <c r="R696" s="11">
        <v>0.6821</v>
      </c>
      <c r="S696" s="12">
        <v>3051234.0</v>
      </c>
      <c r="T696" s="12">
        <v>2.7713506514E10</v>
      </c>
      <c r="U696" s="13">
        <v>0.8058</v>
      </c>
      <c r="V696" s="13">
        <v>10.5451</v>
      </c>
      <c r="W696" s="13">
        <v>19.6489</v>
      </c>
      <c r="X696" s="13">
        <v>7.6402</v>
      </c>
      <c r="Y696" s="13">
        <v>2.1464</v>
      </c>
      <c r="Z696" s="13">
        <v>0.7474</v>
      </c>
      <c r="AA696" s="8" t="s">
        <v>2620</v>
      </c>
      <c r="AB696" s="14">
        <f>IFERROR(__xludf.DUMMYFUNCTION("IFERROR(GOOGLEFINANCE(B696,""price""),"""")"),51.43)</f>
        <v>51.43</v>
      </c>
    </row>
    <row r="697">
      <c r="A697" s="15">
        <v>46064.62820272257</v>
      </c>
      <c r="B697" s="16" t="s">
        <v>2133</v>
      </c>
      <c r="C697" s="16" t="s">
        <v>2134</v>
      </c>
      <c r="D697" s="17">
        <v>46068.0</v>
      </c>
      <c r="E697" s="18">
        <v>368.605</v>
      </c>
      <c r="F697" s="16" t="s">
        <v>162</v>
      </c>
      <c r="G697" s="21">
        <v>20.333</v>
      </c>
      <c r="H697" s="21">
        <v>18.1284</v>
      </c>
      <c r="I697" s="17">
        <v>46066.0</v>
      </c>
      <c r="J697" s="18">
        <v>375.0</v>
      </c>
      <c r="K697" s="16">
        <v>2042.0</v>
      </c>
      <c r="L697" s="16" t="s">
        <v>2608</v>
      </c>
      <c r="M697" s="19">
        <v>1.73</v>
      </c>
      <c r="N697" s="16" t="s">
        <v>3393</v>
      </c>
      <c r="O697" s="16">
        <v>2042.0</v>
      </c>
      <c r="P697" s="19">
        <v>41.9044</v>
      </c>
      <c r="Q697" s="16" t="s">
        <v>2135</v>
      </c>
      <c r="R697" s="19">
        <v>0.178</v>
      </c>
      <c r="S697" s="20">
        <v>1319000.0</v>
      </c>
      <c r="T697" s="20">
        <v>8.6667449202E10</v>
      </c>
      <c r="U697" s="21">
        <v>8.1311</v>
      </c>
      <c r="V697" s="21">
        <v>15.8681</v>
      </c>
      <c r="W697" s="21">
        <v>7.0782</v>
      </c>
      <c r="X697" s="21">
        <v>3.0895</v>
      </c>
      <c r="Y697" s="21">
        <v>1.3421</v>
      </c>
      <c r="Z697" s="21">
        <v>1.2738</v>
      </c>
      <c r="AA697" s="16" t="s">
        <v>2620</v>
      </c>
      <c r="AB697" s="22">
        <f>IFERROR(__xludf.DUMMYFUNCTION("IFERROR(GOOGLEFINANCE(B697,""price""),"""")"),374.08)</f>
        <v>374.08</v>
      </c>
    </row>
    <row r="698">
      <c r="A698" s="7">
        <v>46064.62820272257</v>
      </c>
      <c r="B698" s="8" t="s">
        <v>1372</v>
      </c>
      <c r="C698" s="8" t="s">
        <v>1373</v>
      </c>
      <c r="D698" s="9">
        <v>46068.0</v>
      </c>
      <c r="E698" s="10">
        <v>148.23</v>
      </c>
      <c r="F698" s="8" t="s">
        <v>93</v>
      </c>
      <c r="G698" s="13">
        <v>6.9431</v>
      </c>
      <c r="H698" s="13">
        <v>21.3492</v>
      </c>
      <c r="I698" s="9">
        <v>46073.0</v>
      </c>
      <c r="J698" s="10">
        <v>150.0</v>
      </c>
      <c r="K698" s="8">
        <v>1739.0</v>
      </c>
      <c r="L698" s="8" t="s">
        <v>2608</v>
      </c>
      <c r="M698" s="11">
        <v>1.19</v>
      </c>
      <c r="N698" s="8" t="s">
        <v>3394</v>
      </c>
      <c r="O698" s="8">
        <v>1739.0</v>
      </c>
      <c r="P698" s="11">
        <v>17.2831</v>
      </c>
      <c r="Q698" s="8" t="s">
        <v>1374</v>
      </c>
      <c r="R698" s="11">
        <v>2.2276</v>
      </c>
      <c r="S698" s="12">
        <v>1026552.0</v>
      </c>
      <c r="T698" s="12">
        <v>2.6172461016E10</v>
      </c>
      <c r="U698" s="13">
        <v>3.0638</v>
      </c>
      <c r="V698" s="13">
        <v>21.1256</v>
      </c>
      <c r="W698" s="13">
        <v>50.1522</v>
      </c>
      <c r="X698" s="13">
        <v>1.5536</v>
      </c>
      <c r="Y698" s="13">
        <v>2.3776</v>
      </c>
      <c r="Z698" s="13">
        <v>0.6141</v>
      </c>
      <c r="AA698" s="8" t="s">
        <v>2620</v>
      </c>
      <c r="AB698" s="14">
        <f>IFERROR(__xludf.DUMMYFUNCTION("IFERROR(GOOGLEFINANCE(B698,""price""),"""")"),145.53)</f>
        <v>145.53</v>
      </c>
    </row>
    <row r="699">
      <c r="A699" s="15">
        <v>46064.62820272257</v>
      </c>
      <c r="B699" s="16" t="s">
        <v>2521</v>
      </c>
      <c r="C699" s="16" t="s">
        <v>2522</v>
      </c>
      <c r="D699" s="17">
        <v>46068.0</v>
      </c>
      <c r="E699" s="18">
        <v>337.08</v>
      </c>
      <c r="F699" s="16" t="s">
        <v>308</v>
      </c>
      <c r="G699" s="21">
        <v>73.7706</v>
      </c>
      <c r="H699" s="21">
        <v>4.5693</v>
      </c>
      <c r="I699" s="17">
        <v>46066.0</v>
      </c>
      <c r="J699" s="18">
        <v>332.5</v>
      </c>
      <c r="K699" s="16">
        <v>1630.0</v>
      </c>
      <c r="L699" s="16" t="s">
        <v>2608</v>
      </c>
      <c r="M699" s="19">
        <v>1.36</v>
      </c>
      <c r="N699" s="16" t="s">
        <v>3395</v>
      </c>
      <c r="O699" s="16">
        <v>1630.0</v>
      </c>
      <c r="P699" s="19">
        <v>41.7265</v>
      </c>
      <c r="Q699" s="16" t="s">
        <v>2523</v>
      </c>
      <c r="R699" s="19">
        <v>3.6659</v>
      </c>
      <c r="S699" s="20">
        <v>2361554.0</v>
      </c>
      <c r="T699" s="20">
        <v>1.64706930705E11</v>
      </c>
      <c r="U699" s="21">
        <v>9.1875</v>
      </c>
      <c r="V699" s="21">
        <v>6.5728</v>
      </c>
      <c r="W699" s="21">
        <v>27.2724</v>
      </c>
      <c r="X699" s="21">
        <v>16.8932</v>
      </c>
      <c r="Y699" s="21">
        <v>0.2646</v>
      </c>
      <c r="Z699" s="21">
        <v>2.1899</v>
      </c>
      <c r="AA699" s="16" t="s">
        <v>2611</v>
      </c>
      <c r="AB699" s="22">
        <f>IFERROR(__xludf.DUMMYFUNCTION("IFERROR(GOOGLEFINANCE(B699,""price""),"""")"),350.14)</f>
        <v>350.14</v>
      </c>
    </row>
    <row r="700">
      <c r="A700" s="7">
        <v>46064.62820272257</v>
      </c>
      <c r="B700" s="8" t="s">
        <v>3185</v>
      </c>
      <c r="C700" s="8" t="s">
        <v>3186</v>
      </c>
      <c r="D700" s="9">
        <v>46068.0</v>
      </c>
      <c r="E700" s="10">
        <v>65.805</v>
      </c>
      <c r="F700" s="8" t="s">
        <v>186</v>
      </c>
      <c r="G700" s="13">
        <v>61.8003</v>
      </c>
      <c r="H700" s="13">
        <v>1.0648</v>
      </c>
      <c r="I700" s="9">
        <v>46073.0</v>
      </c>
      <c r="J700" s="10">
        <v>65.0</v>
      </c>
      <c r="K700" s="8">
        <v>1455.0</v>
      </c>
      <c r="L700" s="8" t="s">
        <v>2608</v>
      </c>
      <c r="M700" s="11">
        <v>1.22</v>
      </c>
      <c r="N700" s="8" t="s">
        <v>3396</v>
      </c>
      <c r="O700" s="8">
        <v>1455.0</v>
      </c>
      <c r="P700" s="11">
        <v>23.8623</v>
      </c>
      <c r="Q700" s="8" t="s">
        <v>3188</v>
      </c>
      <c r="R700" s="11">
        <v>1.2852</v>
      </c>
      <c r="S700" s="12">
        <v>2945354.0</v>
      </c>
      <c r="T700" s="12">
        <v>3.189099975E10</v>
      </c>
      <c r="U700" s="13">
        <v>1.0237</v>
      </c>
      <c r="V700" s="13">
        <v>36.2085</v>
      </c>
      <c r="W700" s="13">
        <v>19.5906</v>
      </c>
      <c r="X700" s="13">
        <v>11.1665</v>
      </c>
      <c r="Y700" s="13">
        <v>0.5953</v>
      </c>
      <c r="Z700" s="13">
        <v>0.7568</v>
      </c>
      <c r="AA700" s="8" t="s">
        <v>2611</v>
      </c>
      <c r="AB700" s="14">
        <f>IFERROR(__xludf.DUMMYFUNCTION("IFERROR(GOOGLEFINANCE(B700,""price""),"""")"),54.23)</f>
        <v>54.23</v>
      </c>
    </row>
    <row r="701">
      <c r="A701" s="15">
        <v>46064.62820272257</v>
      </c>
      <c r="B701" s="16" t="s">
        <v>2438</v>
      </c>
      <c r="C701" s="16" t="s">
        <v>2439</v>
      </c>
      <c r="D701" s="17">
        <v>46068.0</v>
      </c>
      <c r="E701" s="18">
        <v>226.395</v>
      </c>
      <c r="F701" s="16" t="s">
        <v>308</v>
      </c>
      <c r="G701" s="21">
        <v>41.5755</v>
      </c>
      <c r="H701" s="21">
        <v>5.4454</v>
      </c>
      <c r="I701" s="17">
        <v>46066.0</v>
      </c>
      <c r="J701" s="18">
        <v>227.5</v>
      </c>
      <c r="K701" s="16">
        <v>1445.0</v>
      </c>
      <c r="L701" s="16" t="s">
        <v>2608</v>
      </c>
      <c r="M701" s="19">
        <v>0.49</v>
      </c>
      <c r="N701" s="16" t="s">
        <v>3397</v>
      </c>
      <c r="O701" s="16">
        <v>1445.0</v>
      </c>
      <c r="P701" s="19">
        <v>49.8039</v>
      </c>
      <c r="Q701" s="16" t="s">
        <v>2440</v>
      </c>
      <c r="R701" s="19">
        <v>2.4783</v>
      </c>
      <c r="S701" s="20">
        <v>6612916.0</v>
      </c>
      <c r="T701" s="20">
        <v>2.054649436E11</v>
      </c>
      <c r="U701" s="21">
        <v>6.7643</v>
      </c>
      <c r="V701" s="21">
        <v>29.9795</v>
      </c>
      <c r="W701" s="21">
        <v>34.7246</v>
      </c>
      <c r="X701" s="21">
        <v>13.049</v>
      </c>
      <c r="Y701" s="21">
        <v>0.9082</v>
      </c>
      <c r="Z701" s="21">
        <v>4.3526</v>
      </c>
      <c r="AA701" s="16" t="s">
        <v>2620</v>
      </c>
      <c r="AB701" s="22">
        <f>IFERROR(__xludf.DUMMYFUNCTION("IFERROR(GOOGLEFINANCE(B701,""price""),"""")"),214.73)</f>
        <v>214.73</v>
      </c>
    </row>
    <row r="702">
      <c r="A702" s="7">
        <v>46064.62820272257</v>
      </c>
      <c r="B702" s="8" t="s">
        <v>2804</v>
      </c>
      <c r="C702" s="8" t="s">
        <v>2805</v>
      </c>
      <c r="D702" s="9">
        <v>46068.0</v>
      </c>
      <c r="E702" s="10">
        <v>133.18</v>
      </c>
      <c r="F702" s="8" t="s">
        <v>308</v>
      </c>
      <c r="G702" s="13">
        <v>72.4237</v>
      </c>
      <c r="H702" s="13">
        <v>1.8389</v>
      </c>
      <c r="I702" s="9">
        <v>46066.0</v>
      </c>
      <c r="J702" s="10">
        <v>133.0</v>
      </c>
      <c r="K702" s="8">
        <v>1441.0</v>
      </c>
      <c r="L702" s="8" t="s">
        <v>2608</v>
      </c>
      <c r="M702" s="11">
        <v>0.14</v>
      </c>
      <c r="N702" s="8" t="s">
        <v>3398</v>
      </c>
      <c r="O702" s="8">
        <v>1441.0</v>
      </c>
      <c r="P702" s="11">
        <v>43.941</v>
      </c>
      <c r="Q702" s="8" t="s">
        <v>2807</v>
      </c>
      <c r="R702" s="11">
        <v>3.9657</v>
      </c>
      <c r="S702" s="12">
        <v>8464101.0</v>
      </c>
      <c r="T702" s="12">
        <v>1.14183257061E11</v>
      </c>
      <c r="U702" s="13">
        <v>6.1839</v>
      </c>
      <c r="V702" s="13">
        <v>14.1911</v>
      </c>
      <c r="W702" s="13">
        <v>15.3497</v>
      </c>
      <c r="X702" s="13">
        <v>19.1416</v>
      </c>
      <c r="Y702" s="13">
        <v>0.7143</v>
      </c>
      <c r="Z702" s="13">
        <v>1.5878</v>
      </c>
      <c r="AA702" s="8" t="s">
        <v>2611</v>
      </c>
      <c r="AB702" s="14">
        <f>IFERROR(__xludf.DUMMYFUNCTION("IFERROR(GOOGLEFINANCE(B702,""price""),"""")"),171.24)</f>
        <v>171.24</v>
      </c>
    </row>
    <row r="703">
      <c r="A703" s="15">
        <v>46064.62820272257</v>
      </c>
      <c r="B703" s="16" t="s">
        <v>2710</v>
      </c>
      <c r="C703" s="16" t="s">
        <v>2711</v>
      </c>
      <c r="D703" s="17">
        <v>46068.0</v>
      </c>
      <c r="E703" s="18">
        <v>122.26</v>
      </c>
      <c r="F703" s="16" t="s">
        <v>917</v>
      </c>
      <c r="G703" s="21">
        <v>17.8881</v>
      </c>
      <c r="H703" s="21">
        <v>6.8347</v>
      </c>
      <c r="I703" s="17">
        <v>46073.0</v>
      </c>
      <c r="J703" s="18">
        <v>120.0</v>
      </c>
      <c r="K703" s="16">
        <v>1283.0</v>
      </c>
      <c r="L703" s="16" t="s">
        <v>2608</v>
      </c>
      <c r="M703" s="19">
        <v>1.85</v>
      </c>
      <c r="N703" s="16" t="s">
        <v>3399</v>
      </c>
      <c r="O703" s="16">
        <v>1283.0</v>
      </c>
      <c r="P703" s="19">
        <v>25.6239</v>
      </c>
      <c r="Q703" s="16" t="s">
        <v>2713</v>
      </c>
      <c r="R703" s="19">
        <v>0.8496</v>
      </c>
      <c r="S703" s="20">
        <v>1810109.0</v>
      </c>
      <c r="T703" s="20">
        <v>6.5298393229E10</v>
      </c>
      <c r="U703" s="21">
        <v>2.0985</v>
      </c>
      <c r="V703" s="21">
        <v>12.848</v>
      </c>
      <c r="W703" s="21">
        <v>25.4789</v>
      </c>
      <c r="X703" s="21">
        <v>7.6587</v>
      </c>
      <c r="Y703" s="21">
        <v>1.5759</v>
      </c>
      <c r="Z703" s="21">
        <v>0.6862</v>
      </c>
      <c r="AA703" s="16" t="s">
        <v>2611</v>
      </c>
      <c r="AB703" s="22">
        <f>IFERROR(__xludf.DUMMYFUNCTION("IFERROR(GOOGLEFINANCE(B703,""price""),"""")"),136.3)</f>
        <v>136.3</v>
      </c>
    </row>
    <row r="704">
      <c r="A704" s="7">
        <v>46064.62820272257</v>
      </c>
      <c r="B704" s="8" t="s">
        <v>2528</v>
      </c>
      <c r="C704" s="8" t="s">
        <v>2529</v>
      </c>
      <c r="D704" s="9">
        <v>46068.0</v>
      </c>
      <c r="E704" s="10">
        <v>62.915</v>
      </c>
      <c r="F704" s="8" t="s">
        <v>93</v>
      </c>
      <c r="G704" s="13">
        <v>10.4738</v>
      </c>
      <c r="H704" s="13">
        <v>6.0069</v>
      </c>
      <c r="I704" s="9">
        <v>46073.0</v>
      </c>
      <c r="J704" s="10">
        <v>62.5</v>
      </c>
      <c r="K704" s="8">
        <v>1194.0</v>
      </c>
      <c r="L704" s="8" t="s">
        <v>2608</v>
      </c>
      <c r="M704" s="11">
        <v>0.66</v>
      </c>
      <c r="N704" s="8" t="s">
        <v>3400</v>
      </c>
      <c r="O704" s="8">
        <v>1194.0</v>
      </c>
      <c r="P704" s="11">
        <v>26.5257</v>
      </c>
      <c r="Q704" s="8" t="s">
        <v>2530</v>
      </c>
      <c r="R704" s="11">
        <v>-1.818</v>
      </c>
      <c r="S704" s="12">
        <v>1583280.0</v>
      </c>
      <c r="T704" s="12">
        <v>9.288836107E9</v>
      </c>
      <c r="U704" s="13">
        <v>1.6532</v>
      </c>
      <c r="V704" s="13">
        <v>13.3945</v>
      </c>
      <c r="W704" s="13">
        <v>23.7662</v>
      </c>
      <c r="X704" s="13">
        <v>-1.0012</v>
      </c>
      <c r="Y704" s="13">
        <v>0.6373</v>
      </c>
      <c r="Z704" s="13">
        <v>0.1512</v>
      </c>
      <c r="AA704" s="8" t="s">
        <v>2611</v>
      </c>
      <c r="AB704" s="14">
        <f>IFERROR(__xludf.DUMMYFUNCTION("IFERROR(GOOGLEFINANCE(B704,""price""),"""")"),61.05)</f>
        <v>61.05</v>
      </c>
    </row>
    <row r="705">
      <c r="A705" s="15">
        <v>46064.62820272257</v>
      </c>
      <c r="B705" s="16" t="s">
        <v>1626</v>
      </c>
      <c r="C705" s="16" t="s">
        <v>1627</v>
      </c>
      <c r="D705" s="17">
        <v>46068.0</v>
      </c>
      <c r="E705" s="18">
        <v>44.785</v>
      </c>
      <c r="F705" s="16" t="s">
        <v>917</v>
      </c>
      <c r="G705" s="21">
        <v>23.6545</v>
      </c>
      <c r="H705" s="21">
        <v>1.8933</v>
      </c>
      <c r="I705" s="17">
        <v>46073.0</v>
      </c>
      <c r="J705" s="18">
        <v>45.0</v>
      </c>
      <c r="K705" s="16">
        <v>1158.0</v>
      </c>
      <c r="L705" s="16" t="s">
        <v>2608</v>
      </c>
      <c r="M705" s="19">
        <v>0.48</v>
      </c>
      <c r="N705" s="16" t="s">
        <v>3401</v>
      </c>
      <c r="O705" s="16">
        <v>1158.0</v>
      </c>
      <c r="P705" s="19">
        <v>26.6863</v>
      </c>
      <c r="Q705" s="16" t="s">
        <v>1628</v>
      </c>
      <c r="R705" s="19">
        <v>0.123</v>
      </c>
      <c r="S705" s="20">
        <v>5080848.0</v>
      </c>
      <c r="T705" s="20">
        <v>2.1371201419E10</v>
      </c>
      <c r="U705" s="21">
        <v>0.77</v>
      </c>
      <c r="V705" s="21">
        <v>10.2329</v>
      </c>
      <c r="W705" s="21">
        <v>27.5403</v>
      </c>
      <c r="X705" s="21">
        <v>19.6207</v>
      </c>
      <c r="Y705" s="21">
        <v>1.7288</v>
      </c>
      <c r="Z705" s="21">
        <v>0.5231</v>
      </c>
      <c r="AA705" s="16" t="s">
        <v>2620</v>
      </c>
      <c r="AB705" s="22">
        <f>IFERROR(__xludf.DUMMYFUNCTION("IFERROR(GOOGLEFINANCE(B705,""price""),"""")"),48.05)</f>
        <v>48.05</v>
      </c>
    </row>
    <row r="706">
      <c r="A706" s="7">
        <v>46064.62820272257</v>
      </c>
      <c r="B706" s="8" t="s">
        <v>1077</v>
      </c>
      <c r="C706" s="8" t="s">
        <v>1078</v>
      </c>
      <c r="D706" s="9">
        <v>46068.0</v>
      </c>
      <c r="E706" s="10">
        <v>8.1</v>
      </c>
      <c r="F706" s="8" t="s">
        <v>335</v>
      </c>
      <c r="G706" s="23"/>
      <c r="H706" s="13">
        <v>-0.041</v>
      </c>
      <c r="I706" s="9">
        <v>46066.0</v>
      </c>
      <c r="J706" s="10">
        <v>8.0</v>
      </c>
      <c r="K706" s="8">
        <v>1107.0</v>
      </c>
      <c r="L706" s="8" t="s">
        <v>2627</v>
      </c>
      <c r="M706" s="11">
        <v>1.23</v>
      </c>
      <c r="N706" s="8" t="s">
        <v>3402</v>
      </c>
      <c r="O706" s="8">
        <v>1107.0</v>
      </c>
      <c r="P706" s="11">
        <v>21.0145</v>
      </c>
      <c r="Q706" s="8" t="s">
        <v>1079</v>
      </c>
      <c r="R706" s="11">
        <v>-0.6135</v>
      </c>
      <c r="S706" s="12">
        <v>1.4927959E7</v>
      </c>
      <c r="T706" s="12">
        <v>1.134288421E9</v>
      </c>
      <c r="U706" s="13">
        <v>1.1926</v>
      </c>
      <c r="V706" s="13">
        <v>-10.5913</v>
      </c>
      <c r="W706" s="13">
        <v>-18.9471</v>
      </c>
      <c r="X706" s="13">
        <v>240.123</v>
      </c>
      <c r="Y706" s="13">
        <v>0.0037</v>
      </c>
      <c r="Z706" s="13">
        <v>5.0784</v>
      </c>
      <c r="AA706" s="8" t="s">
        <v>2611</v>
      </c>
      <c r="AB706" s="14">
        <f>IFERROR(__xludf.DUMMYFUNCTION("IFERROR(GOOGLEFINANCE(B706,""price""),"""")"),8.36)</f>
        <v>8.36</v>
      </c>
    </row>
    <row r="707">
      <c r="A707" s="15">
        <v>46064.62820272257</v>
      </c>
      <c r="B707" s="16" t="s">
        <v>3347</v>
      </c>
      <c r="C707" s="16" t="s">
        <v>3348</v>
      </c>
      <c r="D707" s="17">
        <v>46068.0</v>
      </c>
      <c r="E707" s="18">
        <v>314.745</v>
      </c>
      <c r="F707" s="16" t="s">
        <v>308</v>
      </c>
      <c r="G707" s="21">
        <v>38.6722</v>
      </c>
      <c r="H707" s="21">
        <v>8.1388</v>
      </c>
      <c r="I707" s="17">
        <v>46066.0</v>
      </c>
      <c r="J707" s="18">
        <v>320.0</v>
      </c>
      <c r="K707" s="16">
        <v>1044.0</v>
      </c>
      <c r="L707" s="16" t="s">
        <v>2608</v>
      </c>
      <c r="M707" s="19">
        <v>1.67</v>
      </c>
      <c r="N707" s="16" t="s">
        <v>3403</v>
      </c>
      <c r="O707" s="16">
        <v>1044.0</v>
      </c>
      <c r="P707" s="19">
        <v>18.4366</v>
      </c>
      <c r="Q707" s="16" t="s">
        <v>3350</v>
      </c>
      <c r="R707" s="19">
        <v>-0.5011</v>
      </c>
      <c r="S707" s="20">
        <v>3496084.0</v>
      </c>
      <c r="T707" s="20">
        <v>3.30108822089E11</v>
      </c>
      <c r="U707" s="21">
        <v>8.9894</v>
      </c>
      <c r="V707" s="21">
        <v>45.2353</v>
      </c>
      <c r="W707" s="21">
        <v>18.207</v>
      </c>
      <c r="X707" s="21">
        <v>0.1223</v>
      </c>
      <c r="Y707" s="21">
        <v>1.1542</v>
      </c>
      <c r="Z707" s="21">
        <v>1.0415</v>
      </c>
      <c r="AA707" s="16" t="s">
        <v>2620</v>
      </c>
      <c r="AB707" s="22">
        <f>IFERROR(__xludf.DUMMYFUNCTION("IFERROR(GOOGLEFINANCE(B707,""price""),"""")"),308.35)</f>
        <v>308.35</v>
      </c>
    </row>
    <row r="708">
      <c r="A708" s="7">
        <v>46064.62820272257</v>
      </c>
      <c r="B708" s="8" t="s">
        <v>3237</v>
      </c>
      <c r="C708" s="8" t="s">
        <v>3238</v>
      </c>
      <c r="D708" s="9">
        <v>46068.0</v>
      </c>
      <c r="E708" s="10">
        <v>323.045</v>
      </c>
      <c r="F708" s="8" t="s">
        <v>149</v>
      </c>
      <c r="G708" s="13">
        <v>27.5513</v>
      </c>
      <c r="H708" s="13">
        <v>11.7252</v>
      </c>
      <c r="I708" s="9">
        <v>46066.0</v>
      </c>
      <c r="J708" s="10">
        <v>327.5</v>
      </c>
      <c r="K708" s="8">
        <v>1014.0</v>
      </c>
      <c r="L708" s="8" t="s">
        <v>2608</v>
      </c>
      <c r="M708" s="11">
        <v>1.38</v>
      </c>
      <c r="N708" s="8" t="s">
        <v>3404</v>
      </c>
      <c r="O708" s="8">
        <v>1014.0</v>
      </c>
      <c r="P708" s="11">
        <v>28.1244</v>
      </c>
      <c r="Q708" s="8" t="s">
        <v>3240</v>
      </c>
      <c r="R708" s="11">
        <v>-0.8973</v>
      </c>
      <c r="S708" s="12">
        <v>3061865.0</v>
      </c>
      <c r="T708" s="12">
        <v>2.30057905412E11</v>
      </c>
      <c r="U708" s="13">
        <v>4.8559</v>
      </c>
      <c r="V708" s="23"/>
      <c r="W708" s="13">
        <v>46.1468</v>
      </c>
      <c r="X708" s="13">
        <v>1.2561</v>
      </c>
      <c r="Y708" s="23"/>
      <c r="Z708" s="13">
        <v>1.0</v>
      </c>
      <c r="AA708" s="8" t="s">
        <v>2620</v>
      </c>
      <c r="AB708" s="14">
        <f>IFERROR(__xludf.DUMMYFUNCTION("IFERROR(GOOGLEFINANCE(B708,""price""),"""")"),305.68)</f>
        <v>305.68</v>
      </c>
    </row>
    <row r="709">
      <c r="A709" s="7">
        <v>46065.62854532757</v>
      </c>
      <c r="B709" s="8" t="s">
        <v>3269</v>
      </c>
      <c r="C709" s="8" t="s">
        <v>3270</v>
      </c>
      <c r="D709" s="9">
        <v>46068.0</v>
      </c>
      <c r="E709" s="10">
        <v>260.39</v>
      </c>
      <c r="F709" s="8" t="s">
        <v>308</v>
      </c>
      <c r="G709" s="13">
        <v>32.9449</v>
      </c>
      <c r="H709" s="13">
        <v>7.9038</v>
      </c>
      <c r="I709" s="9">
        <v>46066.0</v>
      </c>
      <c r="J709" s="10">
        <v>260.0</v>
      </c>
      <c r="K709" s="8">
        <v>10751.0</v>
      </c>
      <c r="L709" s="8" t="s">
        <v>2627</v>
      </c>
      <c r="M709" s="11">
        <v>0.15</v>
      </c>
      <c r="N709" s="8" t="s">
        <v>3405</v>
      </c>
      <c r="O709" s="8">
        <v>26390.0</v>
      </c>
      <c r="P709" s="11">
        <v>23.6702</v>
      </c>
      <c r="Q709" s="8" t="s">
        <v>3272</v>
      </c>
      <c r="R709" s="11">
        <v>-5.4846</v>
      </c>
      <c r="S709" s="12">
        <v>5.2280603E7</v>
      </c>
      <c r="T709" s="12">
        <v>3.822821953057E12</v>
      </c>
      <c r="U709" s="13">
        <v>6.52</v>
      </c>
      <c r="V709" s="13">
        <v>152.0213</v>
      </c>
      <c r="W709" s="13">
        <v>32.384</v>
      </c>
      <c r="X709" s="13">
        <v>10.071</v>
      </c>
      <c r="Y709" s="13">
        <v>1.0263</v>
      </c>
      <c r="Z709" s="13">
        <v>0.9737</v>
      </c>
      <c r="AA709" s="8" t="s">
        <v>2611</v>
      </c>
      <c r="AB709" s="14">
        <f>IFERROR(__xludf.DUMMYFUNCTION("IFERROR(GOOGLEFINANCE(B709,""price""),"""")"),260.48)</f>
        <v>260.48</v>
      </c>
    </row>
    <row r="710">
      <c r="A710" s="15">
        <v>46065.62854532757</v>
      </c>
      <c r="B710" s="16" t="s">
        <v>2630</v>
      </c>
      <c r="C710" s="16" t="s">
        <v>2631</v>
      </c>
      <c r="D710" s="17">
        <v>46068.0</v>
      </c>
      <c r="E710" s="18">
        <v>414.56</v>
      </c>
      <c r="F710" s="16" t="s">
        <v>308</v>
      </c>
      <c r="G710" s="21">
        <v>39.4068</v>
      </c>
      <c r="H710" s="21">
        <v>10.52</v>
      </c>
      <c r="I710" s="17">
        <v>46066.0</v>
      </c>
      <c r="J710" s="18">
        <v>420.0</v>
      </c>
      <c r="K710" s="16">
        <v>9649.0</v>
      </c>
      <c r="L710" s="16" t="s">
        <v>2608</v>
      </c>
      <c r="M710" s="19">
        <v>1.31</v>
      </c>
      <c r="N710" s="16" t="s">
        <v>3406</v>
      </c>
      <c r="O710" s="16">
        <v>21047.0</v>
      </c>
      <c r="P710" s="19">
        <v>38.223</v>
      </c>
      <c r="Q710" s="16" t="s">
        <v>2633</v>
      </c>
      <c r="R710" s="19">
        <v>1.0284</v>
      </c>
      <c r="S710" s="20">
        <v>4.0712491E7</v>
      </c>
      <c r="T710" s="20">
        <v>4.66591121851E11</v>
      </c>
      <c r="U710" s="21">
        <v>26.2213</v>
      </c>
      <c r="V710" s="21">
        <v>22.5543</v>
      </c>
      <c r="W710" s="21">
        <v>32.9221</v>
      </c>
      <c r="X710" s="21">
        <v>45.432</v>
      </c>
      <c r="Y710" s="21">
        <v>0.2124</v>
      </c>
      <c r="Z710" s="21">
        <v>2.4598</v>
      </c>
      <c r="AA710" s="16" t="s">
        <v>2620</v>
      </c>
      <c r="AB710" s="22">
        <f>IFERROR(__xludf.DUMMYFUNCTION("IFERROR(GOOGLEFINANCE(B710,""price""),"""")"),420.59)</f>
        <v>420.59</v>
      </c>
    </row>
    <row r="711">
      <c r="A711" s="7">
        <v>46065.62854532757</v>
      </c>
      <c r="B711" s="8" t="s">
        <v>2616</v>
      </c>
      <c r="C711" s="8" t="s">
        <v>2617</v>
      </c>
      <c r="D711" s="9">
        <v>46068.0</v>
      </c>
      <c r="E711" s="10">
        <v>79.145</v>
      </c>
      <c r="F711" s="8" t="s">
        <v>286</v>
      </c>
      <c r="G711" s="13">
        <v>26.0474</v>
      </c>
      <c r="H711" s="13">
        <v>3.0385</v>
      </c>
      <c r="I711" s="9">
        <v>46066.0</v>
      </c>
      <c r="J711" s="10">
        <v>80.0</v>
      </c>
      <c r="K711" s="8">
        <v>4303.0</v>
      </c>
      <c r="L711" s="8" t="s">
        <v>2608</v>
      </c>
      <c r="M711" s="11">
        <v>1.08</v>
      </c>
      <c r="N711" s="8" t="s">
        <v>3407</v>
      </c>
      <c r="O711" s="8">
        <v>13498.0</v>
      </c>
      <c r="P711" s="11">
        <v>39.6542</v>
      </c>
      <c r="Q711" s="8" t="s">
        <v>2619</v>
      </c>
      <c r="R711" s="11">
        <v>0.6934</v>
      </c>
      <c r="S711" s="12">
        <v>1.8640686E7</v>
      </c>
      <c r="T711" s="12">
        <v>3.4045082873E11</v>
      </c>
      <c r="U711" s="13">
        <v>1.3775</v>
      </c>
      <c r="V711" s="13">
        <v>45.9693</v>
      </c>
      <c r="W711" s="13">
        <v>29.0951</v>
      </c>
      <c r="X711" s="13">
        <v>3.1925</v>
      </c>
      <c r="Y711" s="13">
        <v>1.4142</v>
      </c>
      <c r="Z711" s="13">
        <v>1.4588</v>
      </c>
      <c r="AA711" s="8" t="s">
        <v>2620</v>
      </c>
      <c r="AB711" s="14">
        <f>IFERROR(__xludf.DUMMYFUNCTION("IFERROR(GOOGLEFINANCE(B711,""price""),"""")"),77.47)</f>
        <v>77.47</v>
      </c>
    </row>
    <row r="712">
      <c r="A712" s="15">
        <v>46065.62854532757</v>
      </c>
      <c r="B712" s="16" t="s">
        <v>2634</v>
      </c>
      <c r="C712" s="16" t="s">
        <v>2635</v>
      </c>
      <c r="D712" s="17">
        <v>46068.0</v>
      </c>
      <c r="E712" s="18">
        <v>183.0</v>
      </c>
      <c r="F712" s="16" t="s">
        <v>245</v>
      </c>
      <c r="G712" s="21">
        <v>27.5151</v>
      </c>
      <c r="H712" s="21">
        <v>6.6509</v>
      </c>
      <c r="I712" s="17">
        <v>46066.0</v>
      </c>
      <c r="J712" s="18">
        <v>182.5</v>
      </c>
      <c r="K712" s="16">
        <v>3060.0</v>
      </c>
      <c r="L712" s="16" t="s">
        <v>2608</v>
      </c>
      <c r="M712" s="19">
        <v>0.27</v>
      </c>
      <c r="N712" s="16" t="s">
        <v>3408</v>
      </c>
      <c r="O712" s="16">
        <v>10706.0</v>
      </c>
      <c r="P712" s="19">
        <v>57.6307</v>
      </c>
      <c r="Q712" s="16" t="s">
        <v>2637</v>
      </c>
      <c r="R712" s="19">
        <v>-1.5176</v>
      </c>
      <c r="S712" s="20">
        <v>7430213.0</v>
      </c>
      <c r="T712" s="20">
        <v>3.68474468503E11</v>
      </c>
      <c r="U712" s="21">
        <v>3.4462</v>
      </c>
      <c r="V712" s="21">
        <v>7.261</v>
      </c>
      <c r="W712" s="21">
        <v>8.9022</v>
      </c>
      <c r="X712" s="21">
        <v>-4.6053</v>
      </c>
      <c r="Y712" s="21">
        <v>0.2186</v>
      </c>
      <c r="Z712" s="24"/>
      <c r="AA712" s="16" t="s">
        <v>2611</v>
      </c>
      <c r="AB712" s="22">
        <f>IFERROR(__xludf.DUMMYFUNCTION("IFERROR(GOOGLEFINANCE(B712,""price""),"""")"),188.55)</f>
        <v>188.55</v>
      </c>
    </row>
    <row r="713">
      <c r="A713" s="7">
        <v>46065.62854532757</v>
      </c>
      <c r="B713" s="8" t="s">
        <v>1598</v>
      </c>
      <c r="C713" s="8" t="s">
        <v>1599</v>
      </c>
      <c r="D713" s="9">
        <v>46068.0</v>
      </c>
      <c r="E713" s="10">
        <v>52.475</v>
      </c>
      <c r="F713" s="8" t="s">
        <v>93</v>
      </c>
      <c r="G713" s="13">
        <v>13.6903</v>
      </c>
      <c r="H713" s="13">
        <v>3.833</v>
      </c>
      <c r="I713" s="9">
        <v>46066.0</v>
      </c>
      <c r="J713" s="10">
        <v>53.0</v>
      </c>
      <c r="K713" s="8">
        <v>4213.0</v>
      </c>
      <c r="L713" s="8" t="s">
        <v>2627</v>
      </c>
      <c r="M713" s="11">
        <v>1.0</v>
      </c>
      <c r="N713" s="8" t="s">
        <v>3409</v>
      </c>
      <c r="O713" s="8">
        <v>9840.0</v>
      </c>
      <c r="P713" s="11">
        <v>20.8994</v>
      </c>
      <c r="Q713" s="8" t="s">
        <v>1600</v>
      </c>
      <c r="R713" s="11">
        <v>-2.5081</v>
      </c>
      <c r="S713" s="12">
        <v>4.5752661E7</v>
      </c>
      <c r="T713" s="12">
        <v>3.78474056329E11</v>
      </c>
      <c r="U713" s="13">
        <v>1.3858</v>
      </c>
      <c r="V713" s="13">
        <v>10.2298</v>
      </c>
      <c r="W713" s="13">
        <v>18.0672</v>
      </c>
      <c r="X713" s="13">
        <v>-2.1208</v>
      </c>
      <c r="Y713" s="13">
        <v>2.3434</v>
      </c>
      <c r="Z713" s="13">
        <v>0.9906</v>
      </c>
      <c r="AA713" s="8" t="s">
        <v>2620</v>
      </c>
      <c r="AB713" s="14">
        <f>IFERROR(__xludf.DUMMYFUNCTION("IFERROR(GOOGLEFINANCE(B713,""price""),"""")"),52.54)</f>
        <v>52.54</v>
      </c>
    </row>
    <row r="714">
      <c r="A714" s="15">
        <v>46065.62854532757</v>
      </c>
      <c r="B714" s="16" t="s">
        <v>2646</v>
      </c>
      <c r="C714" s="16" t="s">
        <v>2647</v>
      </c>
      <c r="D714" s="17">
        <v>46068.0</v>
      </c>
      <c r="E714" s="18">
        <v>35.5</v>
      </c>
      <c r="F714" s="16" t="s">
        <v>270</v>
      </c>
      <c r="G714" s="21">
        <v>13.3685</v>
      </c>
      <c r="H714" s="21">
        <v>2.6555</v>
      </c>
      <c r="I714" s="17">
        <v>46066.0</v>
      </c>
      <c r="J714" s="18">
        <v>36.0</v>
      </c>
      <c r="K714" s="16">
        <v>4720.0</v>
      </c>
      <c r="L714" s="16" t="s">
        <v>2608</v>
      </c>
      <c r="M714" s="19">
        <v>1.41</v>
      </c>
      <c r="N714" s="16" t="s">
        <v>3410</v>
      </c>
      <c r="O714" s="16">
        <v>9145.0</v>
      </c>
      <c r="P714" s="19">
        <v>37.6762</v>
      </c>
      <c r="Q714" s="16" t="s">
        <v>2649</v>
      </c>
      <c r="R714" s="19">
        <v>0.141</v>
      </c>
      <c r="S714" s="20">
        <v>3701760.0</v>
      </c>
      <c r="T714" s="20">
        <v>7.6797898748E10</v>
      </c>
      <c r="U714" s="21">
        <v>0.6163</v>
      </c>
      <c r="V714" s="24"/>
      <c r="W714" s="21">
        <v>13.037</v>
      </c>
      <c r="X714" s="21">
        <v>-5.779</v>
      </c>
      <c r="Y714" s="24"/>
      <c r="Z714" s="24"/>
      <c r="AA714" s="16" t="s">
        <v>2620</v>
      </c>
      <c r="AB714" s="22">
        <f>IFERROR(__xludf.DUMMYFUNCTION("IFERROR(GOOGLEFINANCE(B714,""price""),"""")"),37.35)</f>
        <v>37.35</v>
      </c>
    </row>
    <row r="715">
      <c r="A715" s="7">
        <v>46065.62854532757</v>
      </c>
      <c r="B715" s="8" t="s">
        <v>2676</v>
      </c>
      <c r="C715" s="8" t="s">
        <v>2677</v>
      </c>
      <c r="D715" s="9">
        <v>46068.0</v>
      </c>
      <c r="E715" s="10">
        <v>29.85</v>
      </c>
      <c r="F715" s="8" t="s">
        <v>93</v>
      </c>
      <c r="G715" s="13">
        <v>12.9935</v>
      </c>
      <c r="H715" s="13">
        <v>2.2973</v>
      </c>
      <c r="I715" s="9">
        <v>46073.0</v>
      </c>
      <c r="J715" s="10">
        <v>30.0</v>
      </c>
      <c r="K715" s="8">
        <v>4287.0</v>
      </c>
      <c r="L715" s="8" t="s">
        <v>2608</v>
      </c>
      <c r="M715" s="11">
        <v>0.5</v>
      </c>
      <c r="N715" s="8" t="s">
        <v>3411</v>
      </c>
      <c r="O715" s="8">
        <v>7725.0</v>
      </c>
      <c r="P715" s="11">
        <v>27.6657</v>
      </c>
      <c r="Q715" s="8" t="s">
        <v>2679</v>
      </c>
      <c r="R715" s="11">
        <v>-3.5541</v>
      </c>
      <c r="S715" s="12">
        <v>1.588218E7</v>
      </c>
      <c r="T715" s="12">
        <v>2.6174764943E10</v>
      </c>
      <c r="U715" s="13">
        <v>0.7856</v>
      </c>
      <c r="V715" s="13">
        <v>11.6787</v>
      </c>
      <c r="W715" s="13">
        <v>28.7373</v>
      </c>
      <c r="X715" s="13">
        <v>2.137</v>
      </c>
      <c r="Y715" s="13">
        <v>0.2565</v>
      </c>
      <c r="Z715" s="13">
        <v>0.1084</v>
      </c>
      <c r="AA715" s="8" t="s">
        <v>2620</v>
      </c>
      <c r="AB715" s="14">
        <f>IFERROR(__xludf.DUMMYFUNCTION("IFERROR(GOOGLEFINANCE(B715,""price""),"""")"),27.5)</f>
        <v>27.5</v>
      </c>
    </row>
    <row r="716">
      <c r="A716" s="15">
        <v>46065.62854532757</v>
      </c>
      <c r="B716" s="16" t="s">
        <v>2700</v>
      </c>
      <c r="C716" s="16" t="s">
        <v>2701</v>
      </c>
      <c r="D716" s="17">
        <v>46068.0</v>
      </c>
      <c r="E716" s="18">
        <v>232.445</v>
      </c>
      <c r="F716" s="16" t="s">
        <v>102</v>
      </c>
      <c r="G716" s="21">
        <v>47.639</v>
      </c>
      <c r="H716" s="21">
        <v>4.8793</v>
      </c>
      <c r="I716" s="17">
        <v>46066.0</v>
      </c>
      <c r="J716" s="18">
        <v>235.0</v>
      </c>
      <c r="K716" s="16">
        <v>1489.0</v>
      </c>
      <c r="L716" s="16" t="s">
        <v>2608</v>
      </c>
      <c r="M716" s="19">
        <v>1.1</v>
      </c>
      <c r="N716" s="16" t="s">
        <v>3412</v>
      </c>
      <c r="O716" s="16">
        <v>6782.0</v>
      </c>
      <c r="P716" s="19">
        <v>33.3783</v>
      </c>
      <c r="Q716" s="16" t="s">
        <v>2703</v>
      </c>
      <c r="R716" s="19">
        <v>-1.1377</v>
      </c>
      <c r="S716" s="20">
        <v>6484328.0</v>
      </c>
      <c r="T716" s="20">
        <v>2.90270568159E11</v>
      </c>
      <c r="U716" s="21">
        <v>12.2535</v>
      </c>
      <c r="V716" s="21">
        <v>65.5649</v>
      </c>
      <c r="W716" s="21">
        <v>33.7646</v>
      </c>
      <c r="X716" s="21">
        <v>26.8457</v>
      </c>
      <c r="Y716" s="21">
        <v>0.4419</v>
      </c>
      <c r="Z716" s="21">
        <v>2.2562</v>
      </c>
      <c r="AA716" s="16" t="s">
        <v>2620</v>
      </c>
      <c r="AB716" s="22">
        <f>IFERROR(__xludf.DUMMYFUNCTION("IFERROR(GOOGLEFINANCE(B716,""price""),"""")"),263.66)</f>
        <v>263.66</v>
      </c>
    </row>
    <row r="717">
      <c r="A717" s="7">
        <v>46065.62854532757</v>
      </c>
      <c r="B717" s="8" t="s">
        <v>1489</v>
      </c>
      <c r="C717" s="8" t="s">
        <v>1490</v>
      </c>
      <c r="D717" s="9">
        <v>46068.0</v>
      </c>
      <c r="E717" s="10">
        <v>74.375</v>
      </c>
      <c r="F717" s="8" t="s">
        <v>308</v>
      </c>
      <c r="G717" s="13">
        <v>28.0438</v>
      </c>
      <c r="H717" s="13">
        <v>2.6521</v>
      </c>
      <c r="I717" s="9">
        <v>46066.0</v>
      </c>
      <c r="J717" s="10">
        <v>75.0</v>
      </c>
      <c r="K717" s="8">
        <v>4097.0</v>
      </c>
      <c r="L717" s="8" t="s">
        <v>2627</v>
      </c>
      <c r="M717" s="11">
        <v>0.84</v>
      </c>
      <c r="N717" s="8" t="s">
        <v>3413</v>
      </c>
      <c r="O717" s="8">
        <v>6584.0</v>
      </c>
      <c r="P717" s="11">
        <v>37.6196</v>
      </c>
      <c r="Q717" s="8" t="s">
        <v>1491</v>
      </c>
      <c r="R717" s="11">
        <v>-13.0524</v>
      </c>
      <c r="S717" s="12">
        <v>5.6043233E7</v>
      </c>
      <c r="T717" s="12">
        <v>2.93862655276E11</v>
      </c>
      <c r="U717" s="13">
        <v>2.6352</v>
      </c>
      <c r="V717" s="13">
        <v>23.0103</v>
      </c>
      <c r="W717" s="13">
        <v>22.9895</v>
      </c>
      <c r="X717" s="13">
        <v>8.9097</v>
      </c>
      <c r="Y717" s="13">
        <v>0.6323</v>
      </c>
      <c r="Z717" s="13">
        <v>0.9274</v>
      </c>
      <c r="AA717" s="8" t="s">
        <v>2620</v>
      </c>
      <c r="AB717" s="14">
        <f>IFERROR(__xludf.DUMMYFUNCTION("IFERROR(GOOGLEFINANCE(B717,""price""),"""")"),82.22)</f>
        <v>82.22</v>
      </c>
    </row>
    <row r="718">
      <c r="A718" s="15">
        <v>46065.62854532757</v>
      </c>
      <c r="B718" s="16" t="s">
        <v>3385</v>
      </c>
      <c r="C718" s="16" t="s">
        <v>3386</v>
      </c>
      <c r="D718" s="17">
        <v>46068.0</v>
      </c>
      <c r="E718" s="18">
        <v>45.6</v>
      </c>
      <c r="F718" s="16" t="s">
        <v>129</v>
      </c>
      <c r="G718" s="21">
        <v>41.6781</v>
      </c>
      <c r="H718" s="21">
        <v>1.0941</v>
      </c>
      <c r="I718" s="17">
        <v>46073.0</v>
      </c>
      <c r="J718" s="18">
        <v>45.0</v>
      </c>
      <c r="K718" s="16">
        <v>6112.0</v>
      </c>
      <c r="L718" s="16" t="s">
        <v>2608</v>
      </c>
      <c r="M718" s="19">
        <v>1.32</v>
      </c>
      <c r="N718" s="16" t="s">
        <v>3414</v>
      </c>
      <c r="O718" s="16">
        <v>6112.0</v>
      </c>
      <c r="P718" s="19">
        <v>23.4213</v>
      </c>
      <c r="Q718" s="16" t="s">
        <v>3388</v>
      </c>
      <c r="R718" s="19">
        <v>-3.02</v>
      </c>
      <c r="S718" s="20">
        <v>7224147.0</v>
      </c>
      <c r="T718" s="20">
        <v>5.2356971994E10</v>
      </c>
      <c r="U718" s="21">
        <v>1.2327</v>
      </c>
      <c r="V718" s="21">
        <v>33.2967</v>
      </c>
      <c r="W718" s="21">
        <v>20.1917</v>
      </c>
      <c r="X718" s="21">
        <v>8.6721</v>
      </c>
      <c r="Y718" s="21">
        <v>0.1121</v>
      </c>
      <c r="Z718" s="21">
        <v>4.852</v>
      </c>
      <c r="AA718" s="16" t="s">
        <v>2611</v>
      </c>
      <c r="AB718" s="22">
        <f>IFERROR(__xludf.DUMMYFUNCTION("IFERROR(GOOGLEFINANCE(B718,""price""),"""")"),49.17)</f>
        <v>49.17</v>
      </c>
    </row>
    <row r="719">
      <c r="A719" s="7">
        <v>46065.62854532757</v>
      </c>
      <c r="B719" s="8" t="s">
        <v>2704</v>
      </c>
      <c r="C719" s="8" t="s">
        <v>2705</v>
      </c>
      <c r="D719" s="9">
        <v>46068.0</v>
      </c>
      <c r="E719" s="10">
        <v>35.6804</v>
      </c>
      <c r="F719" s="8" t="s">
        <v>88</v>
      </c>
      <c r="G719" s="23"/>
      <c r="H719" s="13">
        <v>-0.5438</v>
      </c>
      <c r="I719" s="9">
        <v>46066.0</v>
      </c>
      <c r="J719" s="10">
        <v>35.0</v>
      </c>
      <c r="K719" s="8">
        <v>1978.0</v>
      </c>
      <c r="L719" s="8" t="s">
        <v>2627</v>
      </c>
      <c r="M719" s="11">
        <v>1.91</v>
      </c>
      <c r="N719" s="8" t="s">
        <v>3415</v>
      </c>
      <c r="O719" s="8">
        <v>5928.0</v>
      </c>
      <c r="P719" s="11">
        <v>17.8607</v>
      </c>
      <c r="Q719" s="8" t="s">
        <v>2707</v>
      </c>
      <c r="R719" s="11">
        <v>-2.5126</v>
      </c>
      <c r="S719" s="12">
        <v>1.5397529E7</v>
      </c>
      <c r="T719" s="12">
        <v>9.975733313E9</v>
      </c>
      <c r="U719" s="13">
        <v>3.9497</v>
      </c>
      <c r="V719" s="13">
        <v>-11.4029</v>
      </c>
      <c r="W719" s="13">
        <v>-26.4624</v>
      </c>
      <c r="X719" s="13">
        <v>33.135</v>
      </c>
      <c r="Y719" s="13">
        <v>1.6778</v>
      </c>
      <c r="Z719" s="13">
        <v>4.8227</v>
      </c>
      <c r="AA719" s="8" t="s">
        <v>2611</v>
      </c>
      <c r="AB719" s="14">
        <f>IFERROR(__xludf.DUMMYFUNCTION("IFERROR(GOOGLEFINANCE(B719,""price""),"""")"),26.24)</f>
        <v>26.24</v>
      </c>
    </row>
    <row r="720">
      <c r="A720" s="15">
        <v>46065.62854532757</v>
      </c>
      <c r="B720" s="16" t="s">
        <v>3416</v>
      </c>
      <c r="C720" s="16" t="s">
        <v>3417</v>
      </c>
      <c r="D720" s="17">
        <v>46068.0</v>
      </c>
      <c r="E720" s="18">
        <v>66.835</v>
      </c>
      <c r="F720" s="16" t="s">
        <v>286</v>
      </c>
      <c r="G720" s="21">
        <v>16.2351</v>
      </c>
      <c r="H720" s="21">
        <v>4.1167</v>
      </c>
      <c r="I720" s="17">
        <v>46066.0</v>
      </c>
      <c r="J720" s="18">
        <v>67.0</v>
      </c>
      <c r="K720" s="16">
        <v>4267.0</v>
      </c>
      <c r="L720" s="16" t="s">
        <v>2608</v>
      </c>
      <c r="M720" s="19">
        <v>0.25</v>
      </c>
      <c r="N720" s="16" t="s">
        <v>3418</v>
      </c>
      <c r="O720" s="16">
        <v>5715.0</v>
      </c>
      <c r="P720" s="19">
        <v>25.307</v>
      </c>
      <c r="Q720" s="16" t="s">
        <v>3419</v>
      </c>
      <c r="R720" s="19">
        <v>1.388</v>
      </c>
      <c r="S720" s="20">
        <v>6229567.0</v>
      </c>
      <c r="T720" s="20">
        <v>1.12194007174E11</v>
      </c>
      <c r="U720" s="21">
        <v>1.4742</v>
      </c>
      <c r="V720" s="24"/>
      <c r="W720" s="21">
        <v>63.7221</v>
      </c>
      <c r="X720" s="21">
        <v>-1.4919</v>
      </c>
      <c r="Y720" s="24"/>
      <c r="Z720" s="21">
        <v>0.648</v>
      </c>
      <c r="AA720" s="16" t="s">
        <v>2620</v>
      </c>
      <c r="AB720" s="22">
        <f>IFERROR(__xludf.DUMMYFUNCTION("IFERROR(GOOGLEFINANCE(B720,""price""),"""")"),67.38)</f>
        <v>67.38</v>
      </c>
    </row>
    <row r="721">
      <c r="A721" s="7">
        <v>46065.62854532757</v>
      </c>
      <c r="B721" s="8" t="s">
        <v>2621</v>
      </c>
      <c r="C721" s="8" t="s">
        <v>2622</v>
      </c>
      <c r="D721" s="9">
        <v>46068.0</v>
      </c>
      <c r="E721" s="10">
        <v>62.175</v>
      </c>
      <c r="F721" s="8" t="s">
        <v>335</v>
      </c>
      <c r="G721" s="13">
        <v>41.0667</v>
      </c>
      <c r="H721" s="13">
        <v>1.514</v>
      </c>
      <c r="I721" s="9">
        <v>46066.0</v>
      </c>
      <c r="J721" s="10">
        <v>63.0</v>
      </c>
      <c r="K721" s="8">
        <v>2387.0</v>
      </c>
      <c r="L721" s="8" t="s">
        <v>2608</v>
      </c>
      <c r="M721" s="11">
        <v>1.33</v>
      </c>
      <c r="N721" s="8" t="s">
        <v>3420</v>
      </c>
      <c r="O721" s="8">
        <v>5700.0</v>
      </c>
      <c r="P721" s="11">
        <v>37.0042</v>
      </c>
      <c r="Q721" s="8" t="s">
        <v>2624</v>
      </c>
      <c r="R721" s="11">
        <v>-5.0183</v>
      </c>
      <c r="S721" s="12">
        <v>1.8801543E7</v>
      </c>
      <c r="T721" s="12">
        <v>8.927898779E10</v>
      </c>
      <c r="U721" s="13">
        <v>2.9218</v>
      </c>
      <c r="V721" s="13">
        <v>11.9792</v>
      </c>
      <c r="W721" s="13">
        <v>23.7569</v>
      </c>
      <c r="X721" s="13">
        <v>1.5155</v>
      </c>
      <c r="Y721" s="13">
        <v>0.5497</v>
      </c>
      <c r="Z721" s="13">
        <v>2.2911</v>
      </c>
      <c r="AA721" s="8" t="s">
        <v>2620</v>
      </c>
      <c r="AB721" s="14">
        <f>IFERROR(__xludf.DUMMYFUNCTION("IFERROR(GOOGLEFINANCE(B721,""price""),"""")"),67.8)</f>
        <v>67.8</v>
      </c>
    </row>
    <row r="722">
      <c r="A722" s="15">
        <v>46065.62854532757</v>
      </c>
      <c r="B722" s="16" t="s">
        <v>2710</v>
      </c>
      <c r="C722" s="16" t="s">
        <v>2711</v>
      </c>
      <c r="D722" s="17">
        <v>46068.0</v>
      </c>
      <c r="E722" s="18">
        <v>126.675</v>
      </c>
      <c r="F722" s="16" t="s">
        <v>917</v>
      </c>
      <c r="G722" s="21">
        <v>18.5341</v>
      </c>
      <c r="H722" s="21">
        <v>6.8347</v>
      </c>
      <c r="I722" s="17">
        <v>46073.0</v>
      </c>
      <c r="J722" s="18">
        <v>125.0</v>
      </c>
      <c r="K722" s="16">
        <v>5293.0</v>
      </c>
      <c r="L722" s="16" t="s">
        <v>2608</v>
      </c>
      <c r="M722" s="19">
        <v>1.32</v>
      </c>
      <c r="N722" s="16" t="s">
        <v>3421</v>
      </c>
      <c r="O722" s="16">
        <v>5293.0</v>
      </c>
      <c r="P722" s="19">
        <v>28.6876</v>
      </c>
      <c r="Q722" s="16" t="s">
        <v>2713</v>
      </c>
      <c r="R722" s="19">
        <v>3.6196</v>
      </c>
      <c r="S722" s="20">
        <v>4605009.0</v>
      </c>
      <c r="T722" s="20">
        <v>6.7656418561E10</v>
      </c>
      <c r="U722" s="21">
        <v>2.425</v>
      </c>
      <c r="V722" s="21">
        <v>12.848</v>
      </c>
      <c r="W722" s="21">
        <v>25.4789</v>
      </c>
      <c r="X722" s="21">
        <v>7.6587</v>
      </c>
      <c r="Y722" s="21">
        <v>1.5759</v>
      </c>
      <c r="Z722" s="21">
        <v>0.6862</v>
      </c>
      <c r="AA722" s="16" t="s">
        <v>2611</v>
      </c>
      <c r="AB722" s="22">
        <f>IFERROR(__xludf.DUMMYFUNCTION("IFERROR(GOOGLEFINANCE(B722,""price""),"""")"),136.3)</f>
        <v>136.3</v>
      </c>
    </row>
    <row r="723">
      <c r="A723" s="7">
        <v>46065.62854532757</v>
      </c>
      <c r="B723" s="8" t="s">
        <v>2625</v>
      </c>
      <c r="C723" s="8" t="s">
        <v>2626</v>
      </c>
      <c r="D723" s="9">
        <v>46068.0</v>
      </c>
      <c r="E723" s="10">
        <v>133.87</v>
      </c>
      <c r="F723" s="8" t="s">
        <v>137</v>
      </c>
      <c r="G723" s="13">
        <v>46.9555</v>
      </c>
      <c r="H723" s="13">
        <v>2.851</v>
      </c>
      <c r="I723" s="9">
        <v>46066.0</v>
      </c>
      <c r="J723" s="10">
        <v>132.0</v>
      </c>
      <c r="K723" s="8">
        <v>2121.0</v>
      </c>
      <c r="L723" s="8" t="s">
        <v>2608</v>
      </c>
      <c r="M723" s="11">
        <v>1.4</v>
      </c>
      <c r="N723" s="8" t="s">
        <v>3422</v>
      </c>
      <c r="O723" s="8">
        <v>4686.0</v>
      </c>
      <c r="P723" s="11">
        <v>35.2862</v>
      </c>
      <c r="Q723" s="8" t="s">
        <v>2629</v>
      </c>
      <c r="R723" s="11">
        <v>3.9605</v>
      </c>
      <c r="S723" s="12">
        <v>2.1337122E7</v>
      </c>
      <c r="T723" s="12">
        <v>1.066966290645E12</v>
      </c>
      <c r="U723" s="13">
        <v>3.0759</v>
      </c>
      <c r="V723" s="13">
        <v>24.8749</v>
      </c>
      <c r="W723" s="13">
        <v>4.1214</v>
      </c>
      <c r="X723" s="13">
        <v>4.3397</v>
      </c>
      <c r="Y723" s="13">
        <v>0.7121</v>
      </c>
      <c r="Z723" s="13">
        <v>0.8029</v>
      </c>
      <c r="AA723" s="8" t="s">
        <v>2611</v>
      </c>
      <c r="AB723" s="14">
        <f>IFERROR(__xludf.DUMMYFUNCTION("IFERROR(GOOGLEFINANCE(B723,""price""),"""")"),126.79)</f>
        <v>126.79</v>
      </c>
    </row>
    <row r="724">
      <c r="A724" s="15">
        <v>46065.62854532757</v>
      </c>
      <c r="B724" s="16" t="s">
        <v>2638</v>
      </c>
      <c r="C724" s="16" t="s">
        <v>2639</v>
      </c>
      <c r="D724" s="17">
        <v>46068.0</v>
      </c>
      <c r="E724" s="18">
        <v>150.735</v>
      </c>
      <c r="F724" s="16" t="s">
        <v>245</v>
      </c>
      <c r="G724" s="21">
        <v>22.5284</v>
      </c>
      <c r="H724" s="21">
        <v>6.6909</v>
      </c>
      <c r="I724" s="17">
        <v>46066.0</v>
      </c>
      <c r="J724" s="18">
        <v>150.0</v>
      </c>
      <c r="K724" s="16">
        <v>2425.0</v>
      </c>
      <c r="L724" s="16" t="s">
        <v>2627</v>
      </c>
      <c r="M724" s="19">
        <v>0.49</v>
      </c>
      <c r="N724" s="16" t="s">
        <v>3423</v>
      </c>
      <c r="O724" s="16">
        <v>3825.0</v>
      </c>
      <c r="P724" s="19">
        <v>58.3401</v>
      </c>
      <c r="Q724" s="16" t="s">
        <v>2641</v>
      </c>
      <c r="R724" s="19">
        <v>-3.1017</v>
      </c>
      <c r="S724" s="20">
        <v>1.9731718E7</v>
      </c>
      <c r="T724" s="20">
        <v>6.35674435788E11</v>
      </c>
      <c r="U724" s="21">
        <v>3.4055</v>
      </c>
      <c r="V724" s="21">
        <v>11.0283</v>
      </c>
      <c r="W724" s="21">
        <v>10.3419</v>
      </c>
      <c r="X724" s="21">
        <v>-4.856</v>
      </c>
      <c r="Y724" s="21">
        <v>0.1678</v>
      </c>
      <c r="Z724" s="21">
        <v>1.1528</v>
      </c>
      <c r="AA724" s="16" t="s">
        <v>2611</v>
      </c>
      <c r="AB724" s="22">
        <f>IFERROR(__xludf.DUMMYFUNCTION("IFERROR(GOOGLEFINANCE(B724,""price""),"""")"),152.51)</f>
        <v>152.51</v>
      </c>
    </row>
    <row r="725">
      <c r="A725" s="7">
        <v>46065.62854532757</v>
      </c>
      <c r="B725" s="8" t="s">
        <v>2973</v>
      </c>
      <c r="C725" s="8" t="s">
        <v>2974</v>
      </c>
      <c r="D725" s="9">
        <v>46068.0</v>
      </c>
      <c r="E725" s="10">
        <v>52.14</v>
      </c>
      <c r="F725" s="8" t="s">
        <v>93</v>
      </c>
      <c r="G725" s="13">
        <v>13.6585</v>
      </c>
      <c r="H725" s="13">
        <v>3.8174</v>
      </c>
      <c r="I725" s="9">
        <v>46073.0</v>
      </c>
      <c r="J725" s="10">
        <v>52.5</v>
      </c>
      <c r="K725" s="8">
        <v>2626.0</v>
      </c>
      <c r="L725" s="8" t="s">
        <v>2608</v>
      </c>
      <c r="M725" s="11">
        <v>0.69</v>
      </c>
      <c r="N725" s="8" t="s">
        <v>3424</v>
      </c>
      <c r="O725" s="8">
        <v>2626.0</v>
      </c>
      <c r="P725" s="11">
        <v>24.8058</v>
      </c>
      <c r="Q725" s="8" t="s">
        <v>2976</v>
      </c>
      <c r="R725" s="11">
        <v>-3.5159</v>
      </c>
      <c r="S725" s="12">
        <v>8355770.0</v>
      </c>
      <c r="T725" s="12">
        <v>6.6699898823E10</v>
      </c>
      <c r="U725" s="13">
        <v>1.2908</v>
      </c>
      <c r="V725" s="13">
        <v>8.2363</v>
      </c>
      <c r="W725" s="13">
        <v>21.1616</v>
      </c>
      <c r="X725" s="13">
        <v>24.2886</v>
      </c>
      <c r="Y725" s="13">
        <v>1.0708</v>
      </c>
      <c r="Z725" s="13">
        <v>0.3413</v>
      </c>
      <c r="AA725" s="8" t="s">
        <v>2620</v>
      </c>
      <c r="AB725" s="14">
        <f>IFERROR(__xludf.DUMMYFUNCTION("IFERROR(GOOGLEFINANCE(B725,""price""),"""")"),49.6)</f>
        <v>49.6</v>
      </c>
    </row>
    <row r="726">
      <c r="A726" s="15">
        <v>46065.62854532757</v>
      </c>
      <c r="B726" s="16" t="s">
        <v>2344</v>
      </c>
      <c r="C726" s="16" t="s">
        <v>2345</v>
      </c>
      <c r="D726" s="17">
        <v>46068.0</v>
      </c>
      <c r="E726" s="18">
        <v>71.29</v>
      </c>
      <c r="F726" s="16" t="s">
        <v>270</v>
      </c>
      <c r="G726" s="24"/>
      <c r="H726" s="24"/>
      <c r="I726" s="17">
        <v>46066.0</v>
      </c>
      <c r="J726" s="18">
        <v>70.0</v>
      </c>
      <c r="K726" s="16">
        <v>2582.0</v>
      </c>
      <c r="L726" s="16" t="s">
        <v>2608</v>
      </c>
      <c r="M726" s="19">
        <v>1.81</v>
      </c>
      <c r="N726" s="16" t="s">
        <v>3425</v>
      </c>
      <c r="O726" s="16">
        <v>2582.0</v>
      </c>
      <c r="P726" s="19">
        <v>38.5622</v>
      </c>
      <c r="Q726" s="16" t="s">
        <v>2346</v>
      </c>
      <c r="R726" s="19">
        <v>0.239</v>
      </c>
      <c r="S726" s="20">
        <v>5099887.0</v>
      </c>
      <c r="T726" s="20">
        <v>8.7060696752E10</v>
      </c>
      <c r="U726" s="21">
        <v>1.8949</v>
      </c>
      <c r="V726" s="21">
        <v>20.7424</v>
      </c>
      <c r="W726" s="21">
        <v>36.7664</v>
      </c>
      <c r="X726" s="21">
        <v>10.611</v>
      </c>
      <c r="Y726" s="21">
        <v>2.2926</v>
      </c>
      <c r="Z726" s="21">
        <v>0.5313</v>
      </c>
      <c r="AA726" s="16" t="s">
        <v>2611</v>
      </c>
      <c r="AB726" s="22">
        <f>IFERROR(__xludf.DUMMYFUNCTION("IFERROR(GOOGLEFINANCE(B726,""price""),"""")"),72.74)</f>
        <v>72.74</v>
      </c>
    </row>
    <row r="727">
      <c r="A727" s="7">
        <v>46065.62854532757</v>
      </c>
      <c r="B727" s="8" t="s">
        <v>3426</v>
      </c>
      <c r="C727" s="8" t="s">
        <v>3427</v>
      </c>
      <c r="D727" s="9">
        <v>46068.0</v>
      </c>
      <c r="E727" s="10">
        <v>230.64</v>
      </c>
      <c r="F727" s="8" t="s">
        <v>190</v>
      </c>
      <c r="G727" s="13">
        <v>14.8896</v>
      </c>
      <c r="H727" s="13">
        <v>15.49</v>
      </c>
      <c r="I727" s="9">
        <v>46073.0</v>
      </c>
      <c r="J727" s="10">
        <v>230.0</v>
      </c>
      <c r="K727" s="8">
        <v>2370.0</v>
      </c>
      <c r="L727" s="8" t="s">
        <v>2608</v>
      </c>
      <c r="M727" s="11">
        <v>0.28</v>
      </c>
      <c r="N727" s="8" t="s">
        <v>3428</v>
      </c>
      <c r="O727" s="8">
        <v>2370.0</v>
      </c>
      <c r="P727" s="11">
        <v>17.9365</v>
      </c>
      <c r="Q727" s="8" t="s">
        <v>3429</v>
      </c>
      <c r="R727" s="11">
        <v>1.8953</v>
      </c>
      <c r="S727" s="12">
        <v>1815215.0</v>
      </c>
      <c r="T727" s="12">
        <v>2.0269797439E10</v>
      </c>
      <c r="U727" s="13">
        <v>9.1395</v>
      </c>
      <c r="V727" s="13">
        <v>33.5359</v>
      </c>
      <c r="W727" s="13">
        <v>16.138</v>
      </c>
      <c r="X727" s="13">
        <v>3.1212</v>
      </c>
      <c r="Y727" s="13">
        <v>3.1211</v>
      </c>
      <c r="Z727" s="13">
        <v>1.7587</v>
      </c>
      <c r="AA727" s="8" t="s">
        <v>2611</v>
      </c>
      <c r="AB727" s="14">
        <f>IFERROR(__xludf.DUMMYFUNCTION("IFERROR(GOOGLEFINANCE(B727,""price""),"""")"),195.24)</f>
        <v>195.24</v>
      </c>
    </row>
    <row r="728">
      <c r="A728" s="15">
        <v>46065.62854532757</v>
      </c>
      <c r="B728" s="16" t="s">
        <v>2915</v>
      </c>
      <c r="C728" s="16" t="s">
        <v>2916</v>
      </c>
      <c r="D728" s="17">
        <v>46068.0</v>
      </c>
      <c r="E728" s="18">
        <v>151.94</v>
      </c>
      <c r="F728" s="16" t="s">
        <v>117</v>
      </c>
      <c r="G728" s="21">
        <v>22.41</v>
      </c>
      <c r="H728" s="21">
        <v>6.78</v>
      </c>
      <c r="I728" s="17">
        <v>46066.0</v>
      </c>
      <c r="J728" s="18">
        <v>150.0</v>
      </c>
      <c r="K728" s="16">
        <v>2221.0</v>
      </c>
      <c r="L728" s="16" t="s">
        <v>2627</v>
      </c>
      <c r="M728" s="19">
        <v>1.28</v>
      </c>
      <c r="N728" s="16" t="s">
        <v>3430</v>
      </c>
      <c r="O728" s="16">
        <v>2221.0</v>
      </c>
      <c r="P728" s="19">
        <v>45.9395</v>
      </c>
      <c r="Q728" s="16" t="s">
        <v>2918</v>
      </c>
      <c r="R728" s="19">
        <v>-2.4775</v>
      </c>
      <c r="S728" s="20">
        <v>6642645.0</v>
      </c>
      <c r="T728" s="20">
        <v>1.88508856864E11</v>
      </c>
      <c r="U728" s="21">
        <v>4.2369</v>
      </c>
      <c r="V728" s="21">
        <v>40.574</v>
      </c>
      <c r="W728" s="21">
        <v>40.0843</v>
      </c>
      <c r="X728" s="21">
        <v>2.4054</v>
      </c>
      <c r="Y728" s="24"/>
      <c r="Z728" s="21">
        <v>1.6834</v>
      </c>
      <c r="AA728" s="16" t="s">
        <v>2611</v>
      </c>
      <c r="AB728" s="22">
        <f>IFERROR(__xludf.DUMMYFUNCTION("IFERROR(GOOGLEFINANCE(B728,""price""),"""")"),139.03)</f>
        <v>139.03</v>
      </c>
    </row>
    <row r="729">
      <c r="A729" s="7">
        <v>46065.62854532757</v>
      </c>
      <c r="B729" s="8" t="s">
        <v>1570</v>
      </c>
      <c r="C729" s="8" t="s">
        <v>1571</v>
      </c>
      <c r="D729" s="9">
        <v>46068.0</v>
      </c>
      <c r="E729" s="10">
        <v>48.925</v>
      </c>
      <c r="F729" s="8" t="s">
        <v>917</v>
      </c>
      <c r="G729" s="13">
        <v>21.2523</v>
      </c>
      <c r="H729" s="13">
        <v>2.3021</v>
      </c>
      <c r="I729" s="9">
        <v>46073.0</v>
      </c>
      <c r="J729" s="10">
        <v>48.0</v>
      </c>
      <c r="K729" s="8">
        <v>2104.0</v>
      </c>
      <c r="L729" s="8" t="s">
        <v>2608</v>
      </c>
      <c r="M729" s="11">
        <v>1.89</v>
      </c>
      <c r="N729" s="8" t="s">
        <v>3431</v>
      </c>
      <c r="O729" s="8">
        <v>2104.0</v>
      </c>
      <c r="P729" s="11">
        <v>29.3458</v>
      </c>
      <c r="Q729" s="8" t="s">
        <v>1572</v>
      </c>
      <c r="R729" s="11">
        <v>2.0759</v>
      </c>
      <c r="S729" s="12">
        <v>4941879.0</v>
      </c>
      <c r="T729" s="12">
        <v>2.8262289091E10</v>
      </c>
      <c r="U729" s="13">
        <v>0.8411</v>
      </c>
      <c r="V729" s="13">
        <v>10.5451</v>
      </c>
      <c r="W729" s="13">
        <v>19.6489</v>
      </c>
      <c r="X729" s="13">
        <v>7.6402</v>
      </c>
      <c r="Y729" s="13">
        <v>2.1464</v>
      </c>
      <c r="Z729" s="13">
        <v>0.7474</v>
      </c>
      <c r="AA729" s="8" t="s">
        <v>2611</v>
      </c>
      <c r="AB729" s="14">
        <f>IFERROR(__xludf.DUMMYFUNCTION("IFERROR(GOOGLEFINANCE(B729,""price""),"""")"),51.43)</f>
        <v>51.43</v>
      </c>
    </row>
    <row r="730">
      <c r="A730" s="15">
        <v>46065.62854532757</v>
      </c>
      <c r="B730" s="16" t="s">
        <v>2650</v>
      </c>
      <c r="C730" s="16" t="s">
        <v>2651</v>
      </c>
      <c r="D730" s="17">
        <v>46068.0</v>
      </c>
      <c r="E730" s="18">
        <v>215.99</v>
      </c>
      <c r="F730" s="16" t="s">
        <v>308</v>
      </c>
      <c r="G730" s="21">
        <v>213.7668</v>
      </c>
      <c r="H730" s="21">
        <v>1.0104</v>
      </c>
      <c r="I730" s="17">
        <v>46066.0</v>
      </c>
      <c r="J730" s="18">
        <v>217.5</v>
      </c>
      <c r="K730" s="16">
        <v>1918.0</v>
      </c>
      <c r="L730" s="16" t="s">
        <v>2627</v>
      </c>
      <c r="M730" s="19">
        <v>0.7</v>
      </c>
      <c r="N730" s="16" t="s">
        <v>3432</v>
      </c>
      <c r="O730" s="16">
        <v>1918.0</v>
      </c>
      <c r="P730" s="19">
        <v>20.0502</v>
      </c>
      <c r="Q730" s="16" t="s">
        <v>2653</v>
      </c>
      <c r="R730" s="19">
        <v>-3.4423</v>
      </c>
      <c r="S730" s="20">
        <v>5639854.0</v>
      </c>
      <c r="T730" s="20">
        <v>4.04942068E10</v>
      </c>
      <c r="U730" s="21">
        <v>19.1489</v>
      </c>
      <c r="V730" s="21">
        <v>3.6337</v>
      </c>
      <c r="W730" s="21">
        <v>11.7943</v>
      </c>
      <c r="X730" s="21">
        <v>18.6256</v>
      </c>
      <c r="Y730" s="21">
        <v>0.4153</v>
      </c>
      <c r="Z730" s="21">
        <v>2.2518</v>
      </c>
      <c r="AA730" s="16" t="s">
        <v>2620</v>
      </c>
      <c r="AB730" s="22">
        <f>IFERROR(__xludf.DUMMYFUNCTION("IFERROR(GOOGLEFINANCE(B730,""price""),"""")"),307.5)</f>
        <v>307.5</v>
      </c>
    </row>
    <row r="731">
      <c r="A731" s="7">
        <v>46065.62854532757</v>
      </c>
      <c r="B731" s="8" t="s">
        <v>2117</v>
      </c>
      <c r="C731" s="8" t="s">
        <v>2118</v>
      </c>
      <c r="D731" s="9">
        <v>46068.0</v>
      </c>
      <c r="E731" s="10">
        <v>163.025</v>
      </c>
      <c r="F731" s="8" t="s">
        <v>149</v>
      </c>
      <c r="G731" s="13">
        <v>29.3691</v>
      </c>
      <c r="H731" s="13">
        <v>5.5509</v>
      </c>
      <c r="I731" s="9">
        <v>46073.0</v>
      </c>
      <c r="J731" s="10">
        <v>160.0</v>
      </c>
      <c r="K731" s="8">
        <v>1876.0</v>
      </c>
      <c r="L731" s="8" t="s">
        <v>2608</v>
      </c>
      <c r="M731" s="11">
        <v>1.86</v>
      </c>
      <c r="N731" s="8" t="s">
        <v>3433</v>
      </c>
      <c r="O731" s="8">
        <v>1876.0</v>
      </c>
      <c r="P731" s="11">
        <v>24.795</v>
      </c>
      <c r="Q731" s="8" t="s">
        <v>2119</v>
      </c>
      <c r="R731" s="11">
        <v>2.5057</v>
      </c>
      <c r="S731" s="12">
        <v>1269135.0</v>
      </c>
      <c r="T731" s="12">
        <v>4.5264352247E10</v>
      </c>
      <c r="U731" s="13">
        <v>3.3437</v>
      </c>
      <c r="V731" s="23"/>
      <c r="W731" s="13">
        <v>30.9388</v>
      </c>
      <c r="X731" s="13">
        <v>8.7959</v>
      </c>
      <c r="Y731" s="23"/>
      <c r="Z731" s="13">
        <v>1.3456</v>
      </c>
      <c r="AA731" s="8" t="s">
        <v>2611</v>
      </c>
      <c r="AB731" s="14">
        <f>IFERROR(__xludf.DUMMYFUNCTION("IFERROR(GOOGLEFINANCE(B731,""price""),"""")"),161.76)</f>
        <v>161.76</v>
      </c>
    </row>
    <row r="732">
      <c r="A732" s="15">
        <v>46065.62854532757</v>
      </c>
      <c r="B732" s="16" t="s">
        <v>2684</v>
      </c>
      <c r="C732" s="16" t="s">
        <v>2685</v>
      </c>
      <c r="D732" s="17">
        <v>46068.0</v>
      </c>
      <c r="E732" s="18">
        <v>329.935</v>
      </c>
      <c r="F732" s="16" t="s">
        <v>102</v>
      </c>
      <c r="G732" s="21">
        <v>38.0372</v>
      </c>
      <c r="H732" s="21">
        <v>8.674</v>
      </c>
      <c r="I732" s="17">
        <v>46066.0</v>
      </c>
      <c r="J732" s="18">
        <v>335.0</v>
      </c>
      <c r="K732" s="16">
        <v>1829.0</v>
      </c>
      <c r="L732" s="16" t="s">
        <v>2608</v>
      </c>
      <c r="M732" s="19">
        <v>1.54</v>
      </c>
      <c r="N732" s="16" t="s">
        <v>3434</v>
      </c>
      <c r="O732" s="16">
        <v>1829.0</v>
      </c>
      <c r="P732" s="19">
        <v>31.2539</v>
      </c>
      <c r="Q732" s="16" t="s">
        <v>2687</v>
      </c>
      <c r="R732" s="19">
        <v>-2.926</v>
      </c>
      <c r="S732" s="20">
        <v>5286005.0</v>
      </c>
      <c r="T732" s="20">
        <v>2.61876485599E11</v>
      </c>
      <c r="U732" s="21">
        <v>15.0989</v>
      </c>
      <c r="V732" s="21">
        <v>35.5084</v>
      </c>
      <c r="W732" s="21">
        <v>29.8576</v>
      </c>
      <c r="X732" s="21">
        <v>4.4669</v>
      </c>
      <c r="Y732" s="21">
        <v>0.3453</v>
      </c>
      <c r="Z732" s="21">
        <v>2.6105</v>
      </c>
      <c r="AA732" s="16" t="s">
        <v>2620</v>
      </c>
      <c r="AB732" s="22">
        <f>IFERROR(__xludf.DUMMYFUNCTION("IFERROR(GOOGLEFINANCE(B732,""price""),"""")"),399.5)</f>
        <v>399.5</v>
      </c>
    </row>
    <row r="733">
      <c r="A733" s="7">
        <v>46065.62854532757</v>
      </c>
      <c r="B733" s="8" t="s">
        <v>2726</v>
      </c>
      <c r="C733" s="8" t="s">
        <v>2727</v>
      </c>
      <c r="D733" s="9">
        <v>46068.0</v>
      </c>
      <c r="E733" s="10">
        <v>81.155</v>
      </c>
      <c r="F733" s="8" t="s">
        <v>286</v>
      </c>
      <c r="G733" s="13">
        <v>46.2</v>
      </c>
      <c r="H733" s="13">
        <v>1.7566</v>
      </c>
      <c r="I733" s="9">
        <v>46073.0</v>
      </c>
      <c r="J733" s="10">
        <v>82.5</v>
      </c>
      <c r="K733" s="8">
        <v>1744.0</v>
      </c>
      <c r="L733" s="8" t="s">
        <v>2608</v>
      </c>
      <c r="M733" s="11">
        <v>1.66</v>
      </c>
      <c r="N733" s="8" t="s">
        <v>3435</v>
      </c>
      <c r="O733" s="8">
        <v>1744.0</v>
      </c>
      <c r="P733" s="11">
        <v>34.1627</v>
      </c>
      <c r="Q733" s="8" t="s">
        <v>2729</v>
      </c>
      <c r="R733" s="11">
        <v>0.4518</v>
      </c>
      <c r="S733" s="12">
        <v>2553708.0</v>
      </c>
      <c r="T733" s="12">
        <v>7.9290154696E10</v>
      </c>
      <c r="U733" s="13">
        <v>1.476</v>
      </c>
      <c r="V733" s="13">
        <v>25.538</v>
      </c>
      <c r="W733" s="13">
        <v>29.9505</v>
      </c>
      <c r="X733" s="13">
        <v>7.618</v>
      </c>
      <c r="Y733" s="13">
        <v>0.0</v>
      </c>
      <c r="Z733" s="13">
        <v>3.1855</v>
      </c>
      <c r="AA733" s="8" t="s">
        <v>2620</v>
      </c>
      <c r="AB733" s="14">
        <f>IFERROR(__xludf.DUMMYFUNCTION("IFERROR(GOOGLEFINANCE(B733,""price""),"""")"),75.72)</f>
        <v>75.72</v>
      </c>
    </row>
    <row r="734">
      <c r="A734" s="15">
        <v>46065.62854532757</v>
      </c>
      <c r="B734" s="16" t="s">
        <v>1372</v>
      </c>
      <c r="C734" s="16" t="s">
        <v>1373</v>
      </c>
      <c r="D734" s="17">
        <v>46068.0</v>
      </c>
      <c r="E734" s="18">
        <v>147.49</v>
      </c>
      <c r="F734" s="16" t="s">
        <v>93</v>
      </c>
      <c r="G734" s="21">
        <v>6.9085</v>
      </c>
      <c r="H734" s="21">
        <v>21.3492</v>
      </c>
      <c r="I734" s="17">
        <v>46073.0</v>
      </c>
      <c r="J734" s="18">
        <v>150.0</v>
      </c>
      <c r="K734" s="16">
        <v>1738.0</v>
      </c>
      <c r="L734" s="16" t="s">
        <v>2608</v>
      </c>
      <c r="M734" s="19">
        <v>1.7</v>
      </c>
      <c r="N734" s="16" t="s">
        <v>3436</v>
      </c>
      <c r="O734" s="16">
        <v>1738.0</v>
      </c>
      <c r="P734" s="19">
        <v>16.3975</v>
      </c>
      <c r="Q734" s="16" t="s">
        <v>1374</v>
      </c>
      <c r="R734" s="19">
        <v>-0.5059</v>
      </c>
      <c r="S734" s="20">
        <v>1435161.0</v>
      </c>
      <c r="T734" s="20">
        <v>2.6041802728E10</v>
      </c>
      <c r="U734" s="21">
        <v>3.1391</v>
      </c>
      <c r="V734" s="21">
        <v>21.1256</v>
      </c>
      <c r="W734" s="21">
        <v>50.1522</v>
      </c>
      <c r="X734" s="21">
        <v>1.5536</v>
      </c>
      <c r="Y734" s="21">
        <v>2.3776</v>
      </c>
      <c r="Z734" s="21">
        <v>0.6141</v>
      </c>
      <c r="AA734" s="16" t="s">
        <v>2620</v>
      </c>
      <c r="AB734" s="22">
        <f>IFERROR(__xludf.DUMMYFUNCTION("IFERROR(GOOGLEFINANCE(B734,""price""),"""")"),145.53)</f>
        <v>145.53</v>
      </c>
    </row>
    <row r="735">
      <c r="A735" s="7">
        <v>46065.62854532757</v>
      </c>
      <c r="B735" s="8" t="s">
        <v>3291</v>
      </c>
      <c r="C735" s="8" t="s">
        <v>3292</v>
      </c>
      <c r="D735" s="9">
        <v>46068.0</v>
      </c>
      <c r="E735" s="10">
        <v>231.77</v>
      </c>
      <c r="F735" s="8" t="s">
        <v>270</v>
      </c>
      <c r="G735" s="13">
        <v>34.5998</v>
      </c>
      <c r="H735" s="13">
        <v>6.6986</v>
      </c>
      <c r="I735" s="9">
        <v>46073.0</v>
      </c>
      <c r="J735" s="10">
        <v>230.0</v>
      </c>
      <c r="K735" s="8">
        <v>1641.0</v>
      </c>
      <c r="L735" s="8" t="s">
        <v>2608</v>
      </c>
      <c r="M735" s="11">
        <v>0.76</v>
      </c>
      <c r="N735" s="8" t="s">
        <v>3437</v>
      </c>
      <c r="O735" s="8">
        <v>1641.0</v>
      </c>
      <c r="P735" s="11">
        <v>19.0639</v>
      </c>
      <c r="Q735" s="8" t="s">
        <v>3294</v>
      </c>
      <c r="R735" s="11">
        <v>-1.2316</v>
      </c>
      <c r="S735" s="12">
        <v>1996539.0</v>
      </c>
      <c r="T735" s="12">
        <v>9.3481136328E10</v>
      </c>
      <c r="U735" s="13">
        <v>4.5344</v>
      </c>
      <c r="V735" s="13">
        <v>29.6897</v>
      </c>
      <c r="W735" s="13">
        <v>18.2788</v>
      </c>
      <c r="X735" s="13">
        <v>14.2365</v>
      </c>
      <c r="Y735" s="13">
        <v>2.3941</v>
      </c>
      <c r="Z735" s="13">
        <v>0.8888</v>
      </c>
      <c r="AA735" s="8" t="s">
        <v>2611</v>
      </c>
      <c r="AB735" s="14">
        <f>IFERROR(__xludf.DUMMYFUNCTION("IFERROR(GOOGLEFINANCE(B735,""price""),"""")"),229.45)</f>
        <v>229.45</v>
      </c>
    </row>
    <row r="736">
      <c r="A736" s="15">
        <v>46065.62854532757</v>
      </c>
      <c r="B736" s="16" t="s">
        <v>2521</v>
      </c>
      <c r="C736" s="16" t="s">
        <v>2522</v>
      </c>
      <c r="D736" s="17">
        <v>46068.0</v>
      </c>
      <c r="E736" s="18">
        <v>332.63</v>
      </c>
      <c r="F736" s="16" t="s">
        <v>308</v>
      </c>
      <c r="G736" s="21">
        <v>72.7967</v>
      </c>
      <c r="H736" s="21">
        <v>4.5693</v>
      </c>
      <c r="I736" s="17">
        <v>46066.0</v>
      </c>
      <c r="J736" s="18">
        <v>332.5</v>
      </c>
      <c r="K736" s="16">
        <v>1627.0</v>
      </c>
      <c r="L736" s="16" t="s">
        <v>2608</v>
      </c>
      <c r="M736" s="19">
        <v>0.04</v>
      </c>
      <c r="N736" s="16" t="s">
        <v>3438</v>
      </c>
      <c r="O736" s="16">
        <v>1627.0</v>
      </c>
      <c r="P736" s="19">
        <v>43.5527</v>
      </c>
      <c r="Q736" s="16" t="s">
        <v>2523</v>
      </c>
      <c r="R736" s="19">
        <v>-1.2967</v>
      </c>
      <c r="S736" s="20">
        <v>2715734.0</v>
      </c>
      <c r="T736" s="20">
        <v>1.62532531575E11</v>
      </c>
      <c r="U736" s="21">
        <v>9.4983</v>
      </c>
      <c r="V736" s="21">
        <v>6.5728</v>
      </c>
      <c r="W736" s="21">
        <v>27.2724</v>
      </c>
      <c r="X736" s="21">
        <v>16.8932</v>
      </c>
      <c r="Y736" s="21">
        <v>0.2646</v>
      </c>
      <c r="Z736" s="21">
        <v>2.1899</v>
      </c>
      <c r="AA736" s="16" t="s">
        <v>2611</v>
      </c>
      <c r="AB736" s="22">
        <f>IFERROR(__xludf.DUMMYFUNCTION("IFERROR(GOOGLEFINANCE(B736,""price""),"""")"),350.14)</f>
        <v>350.14</v>
      </c>
    </row>
    <row r="737">
      <c r="A737" s="7">
        <v>46065.62854532757</v>
      </c>
      <c r="B737" s="8" t="s">
        <v>3237</v>
      </c>
      <c r="C737" s="8" t="s">
        <v>3238</v>
      </c>
      <c r="D737" s="9">
        <v>46068.0</v>
      </c>
      <c r="E737" s="10">
        <v>330.16</v>
      </c>
      <c r="F737" s="8" t="s">
        <v>149</v>
      </c>
      <c r="G737" s="13">
        <v>28.1582</v>
      </c>
      <c r="H737" s="13">
        <v>11.7252</v>
      </c>
      <c r="I737" s="9">
        <v>46066.0</v>
      </c>
      <c r="J737" s="10">
        <v>325.0</v>
      </c>
      <c r="K737" s="8">
        <v>1589.0</v>
      </c>
      <c r="L737" s="8" t="s">
        <v>2608</v>
      </c>
      <c r="M737" s="11">
        <v>1.56</v>
      </c>
      <c r="N737" s="8" t="s">
        <v>3439</v>
      </c>
      <c r="O737" s="8">
        <v>1589.0</v>
      </c>
      <c r="P737" s="11">
        <v>29.5765</v>
      </c>
      <c r="Q737" s="8" t="s">
        <v>3240</v>
      </c>
      <c r="R737" s="11">
        <v>2.1503</v>
      </c>
      <c r="S737" s="12">
        <v>5051430.0</v>
      </c>
      <c r="T737" s="12">
        <v>2.35124876592E11</v>
      </c>
      <c r="U737" s="13">
        <v>5.4541</v>
      </c>
      <c r="V737" s="23"/>
      <c r="W737" s="13">
        <v>46.1468</v>
      </c>
      <c r="X737" s="13">
        <v>1.2561</v>
      </c>
      <c r="Y737" s="23"/>
      <c r="Z737" s="13">
        <v>0.9546</v>
      </c>
      <c r="AA737" s="8" t="s">
        <v>2611</v>
      </c>
      <c r="AB737" s="14">
        <f>IFERROR(__xludf.DUMMYFUNCTION("IFERROR(GOOGLEFINANCE(B737,""price""),"""")"),305.68)</f>
        <v>305.68</v>
      </c>
    </row>
    <row r="738">
      <c r="A738" s="15">
        <v>46065.62854532757</v>
      </c>
      <c r="B738" s="16" t="s">
        <v>3134</v>
      </c>
      <c r="C738" s="16" t="s">
        <v>3135</v>
      </c>
      <c r="D738" s="17">
        <v>46068.0</v>
      </c>
      <c r="E738" s="18">
        <v>142.58</v>
      </c>
      <c r="F738" s="16" t="s">
        <v>93</v>
      </c>
      <c r="G738" s="21">
        <v>10.6856</v>
      </c>
      <c r="H738" s="21">
        <v>13.3432</v>
      </c>
      <c r="I738" s="17">
        <v>46073.0</v>
      </c>
      <c r="J738" s="18">
        <v>140.0</v>
      </c>
      <c r="K738" s="16">
        <v>1580.0</v>
      </c>
      <c r="L738" s="16" t="s">
        <v>2608</v>
      </c>
      <c r="M738" s="19">
        <v>1.81</v>
      </c>
      <c r="N738" s="16" t="s">
        <v>3332</v>
      </c>
      <c r="O738" s="16">
        <v>1580.0</v>
      </c>
      <c r="P738" s="19">
        <v>30.5717</v>
      </c>
      <c r="Q738" s="16" t="s">
        <v>3137</v>
      </c>
      <c r="R738" s="19">
        <v>0.3943</v>
      </c>
      <c r="S738" s="20">
        <v>1046708.0</v>
      </c>
      <c r="T738" s="20">
        <v>3.9729956486E10</v>
      </c>
      <c r="U738" s="21">
        <v>2.6176</v>
      </c>
      <c r="V738" s="21">
        <v>21.6564</v>
      </c>
      <c r="W738" s="21">
        <v>17.4023</v>
      </c>
      <c r="X738" s="21">
        <v>6.8061</v>
      </c>
      <c r="Y738" s="21">
        <v>0.2303</v>
      </c>
      <c r="Z738" s="21">
        <v>0.2897</v>
      </c>
      <c r="AA738" s="16" t="s">
        <v>2611</v>
      </c>
      <c r="AB738" s="22">
        <f>IFERROR(__xludf.DUMMYFUNCTION("IFERROR(GOOGLEFINANCE(B738,""price""),"""")"),137.23)</f>
        <v>137.23</v>
      </c>
    </row>
    <row r="739">
      <c r="A739" s="7">
        <v>46065.62854532757</v>
      </c>
      <c r="B739" s="8" t="s">
        <v>2438</v>
      </c>
      <c r="C739" s="8" t="s">
        <v>2439</v>
      </c>
      <c r="D739" s="9">
        <v>46068.0</v>
      </c>
      <c r="E739" s="10">
        <v>223.52</v>
      </c>
      <c r="F739" s="8" t="s">
        <v>308</v>
      </c>
      <c r="G739" s="13">
        <v>41.0475</v>
      </c>
      <c r="H739" s="13">
        <v>5.4454</v>
      </c>
      <c r="I739" s="9">
        <v>46066.0</v>
      </c>
      <c r="J739" s="10">
        <v>227.5</v>
      </c>
      <c r="K739" s="8">
        <v>1485.0</v>
      </c>
      <c r="L739" s="8" t="s">
        <v>2608</v>
      </c>
      <c r="M739" s="11">
        <v>1.78</v>
      </c>
      <c r="N739" s="8" t="s">
        <v>3440</v>
      </c>
      <c r="O739" s="8">
        <v>1485.0</v>
      </c>
      <c r="P739" s="11">
        <v>50.2221</v>
      </c>
      <c r="Q739" s="8" t="s">
        <v>2440</v>
      </c>
      <c r="R739" s="11">
        <v>-1.3418</v>
      </c>
      <c r="S739" s="12">
        <v>5645625.0</v>
      </c>
      <c r="T739" s="12">
        <v>2.02855734796E11</v>
      </c>
      <c r="U739" s="13">
        <v>6.8261</v>
      </c>
      <c r="V739" s="13">
        <v>29.9795</v>
      </c>
      <c r="W739" s="13">
        <v>34.7246</v>
      </c>
      <c r="X739" s="13">
        <v>13.049</v>
      </c>
      <c r="Y739" s="13">
        <v>0.9082</v>
      </c>
      <c r="Z739" s="13">
        <v>4.3526</v>
      </c>
      <c r="AA739" s="8" t="s">
        <v>2620</v>
      </c>
      <c r="AB739" s="14">
        <f>IFERROR(__xludf.DUMMYFUNCTION("IFERROR(GOOGLEFINANCE(B739,""price""),"""")"),214.73)</f>
        <v>214.73</v>
      </c>
    </row>
    <row r="740">
      <c r="A740" s="15">
        <v>46065.62854532757</v>
      </c>
      <c r="B740" s="16" t="s">
        <v>2804</v>
      </c>
      <c r="C740" s="16" t="s">
        <v>2805</v>
      </c>
      <c r="D740" s="17">
        <v>46068.0</v>
      </c>
      <c r="E740" s="18">
        <v>133.005</v>
      </c>
      <c r="F740" s="16" t="s">
        <v>308</v>
      </c>
      <c r="G740" s="21">
        <v>72.3286</v>
      </c>
      <c r="H740" s="21">
        <v>1.8389</v>
      </c>
      <c r="I740" s="17">
        <v>46066.0</v>
      </c>
      <c r="J740" s="18">
        <v>133.0</v>
      </c>
      <c r="K740" s="16">
        <v>1427.0</v>
      </c>
      <c r="L740" s="16" t="s">
        <v>2608</v>
      </c>
      <c r="M740" s="19">
        <v>0.0</v>
      </c>
      <c r="N740" s="16" t="s">
        <v>3441</v>
      </c>
      <c r="O740" s="16">
        <v>1427.0</v>
      </c>
      <c r="P740" s="19">
        <v>45.6918</v>
      </c>
      <c r="Q740" s="16" t="s">
        <v>2807</v>
      </c>
      <c r="R740" s="19">
        <v>0.079</v>
      </c>
      <c r="S740" s="20">
        <v>1.004851E7</v>
      </c>
      <c r="T740" s="20">
        <v>1.14033208323E11</v>
      </c>
      <c r="U740" s="21">
        <v>6.1147</v>
      </c>
      <c r="V740" s="21">
        <v>14.1911</v>
      </c>
      <c r="W740" s="21">
        <v>15.3497</v>
      </c>
      <c r="X740" s="21">
        <v>19.1416</v>
      </c>
      <c r="Y740" s="21">
        <v>0.7143</v>
      </c>
      <c r="Z740" s="21">
        <v>1.5878</v>
      </c>
      <c r="AA740" s="16" t="s">
        <v>2611</v>
      </c>
      <c r="AB740" s="22">
        <f>IFERROR(__xludf.DUMMYFUNCTION("IFERROR(GOOGLEFINANCE(B740,""price""),"""")"),171.24)</f>
        <v>171.24</v>
      </c>
    </row>
    <row r="741">
      <c r="A741" s="7">
        <v>46065.62854532757</v>
      </c>
      <c r="B741" s="8" t="s">
        <v>3347</v>
      </c>
      <c r="C741" s="8" t="s">
        <v>3348</v>
      </c>
      <c r="D741" s="9">
        <v>46068.0</v>
      </c>
      <c r="E741" s="10">
        <v>312.66</v>
      </c>
      <c r="F741" s="8" t="s">
        <v>308</v>
      </c>
      <c r="G741" s="13">
        <v>38.416</v>
      </c>
      <c r="H741" s="13">
        <v>8.1388</v>
      </c>
      <c r="I741" s="9">
        <v>46066.0</v>
      </c>
      <c r="J741" s="10">
        <v>307.5</v>
      </c>
      <c r="K741" s="8">
        <v>1372.0</v>
      </c>
      <c r="L741" s="8" t="s">
        <v>2627</v>
      </c>
      <c r="M741" s="11">
        <v>1.65</v>
      </c>
      <c r="N741" s="8" t="s">
        <v>3442</v>
      </c>
      <c r="O741" s="8">
        <v>1372.0</v>
      </c>
      <c r="P741" s="11">
        <v>18.1067</v>
      </c>
      <c r="Q741" s="8" t="s">
        <v>3350</v>
      </c>
      <c r="R741" s="11">
        <v>-0.3411</v>
      </c>
      <c r="S741" s="12">
        <v>4244860.0</v>
      </c>
      <c r="T741" s="12">
        <v>3.27922071232E11</v>
      </c>
      <c r="U741" s="13">
        <v>9.2373</v>
      </c>
      <c r="V741" s="13">
        <v>45.2353</v>
      </c>
      <c r="W741" s="13">
        <v>18.207</v>
      </c>
      <c r="X741" s="13">
        <v>0.1223</v>
      </c>
      <c r="Y741" s="13">
        <v>1.1542</v>
      </c>
      <c r="Z741" s="13">
        <v>1.0415</v>
      </c>
      <c r="AA741" s="8" t="s">
        <v>2611</v>
      </c>
      <c r="AB741" s="14">
        <f>IFERROR(__xludf.DUMMYFUNCTION("IFERROR(GOOGLEFINANCE(B741,""price""),"""")"),308.35)</f>
        <v>308.35</v>
      </c>
    </row>
    <row r="742">
      <c r="A742" s="15">
        <v>46065.62854532757</v>
      </c>
      <c r="B742" s="16" t="s">
        <v>3443</v>
      </c>
      <c r="C742" s="16" t="s">
        <v>3444</v>
      </c>
      <c r="D742" s="17">
        <v>46068.0</v>
      </c>
      <c r="E742" s="18">
        <v>109.05</v>
      </c>
      <c r="F742" s="16" t="s">
        <v>162</v>
      </c>
      <c r="G742" s="21">
        <v>10.6582</v>
      </c>
      <c r="H742" s="21">
        <v>10.2316</v>
      </c>
      <c r="I742" s="17">
        <v>46066.0</v>
      </c>
      <c r="J742" s="18">
        <v>110.0</v>
      </c>
      <c r="K742" s="16">
        <v>1193.0</v>
      </c>
      <c r="L742" s="16" t="s">
        <v>2627</v>
      </c>
      <c r="M742" s="19">
        <v>0.87</v>
      </c>
      <c r="N742" s="16" t="s">
        <v>3445</v>
      </c>
      <c r="O742" s="16">
        <v>1193.0</v>
      </c>
      <c r="P742" s="19">
        <v>19.0765</v>
      </c>
      <c r="Q742" s="16" t="s">
        <v>3446</v>
      </c>
      <c r="R742" s="19">
        <v>-4.2917</v>
      </c>
      <c r="S742" s="20">
        <v>5601216.0</v>
      </c>
      <c r="T742" s="20">
        <v>3.5303630375E10</v>
      </c>
      <c r="U742" s="21">
        <v>4.8929</v>
      </c>
      <c r="V742" s="21">
        <v>23.9868</v>
      </c>
      <c r="W742" s="21">
        <v>8.4221</v>
      </c>
      <c r="X742" s="21">
        <v>3.5189</v>
      </c>
      <c r="Y742" s="21">
        <v>2.0309</v>
      </c>
      <c r="Z742" s="21">
        <v>0.645</v>
      </c>
      <c r="AA742" s="16" t="s">
        <v>2620</v>
      </c>
      <c r="AB742" s="22">
        <f>IFERROR(__xludf.DUMMYFUNCTION("IFERROR(GOOGLEFINANCE(B742,""price""),"""")"),96.4)</f>
        <v>96.4</v>
      </c>
    </row>
    <row r="743">
      <c r="A743" s="7">
        <v>46065.62854532757</v>
      </c>
      <c r="B743" s="8" t="s">
        <v>1626</v>
      </c>
      <c r="C743" s="8" t="s">
        <v>1627</v>
      </c>
      <c r="D743" s="9">
        <v>46068.0</v>
      </c>
      <c r="E743" s="10">
        <v>45.345</v>
      </c>
      <c r="F743" s="8" t="s">
        <v>917</v>
      </c>
      <c r="G743" s="13">
        <v>23.2157</v>
      </c>
      <c r="H743" s="13">
        <v>1.9532</v>
      </c>
      <c r="I743" s="9">
        <v>46073.0</v>
      </c>
      <c r="J743" s="10">
        <v>45.0</v>
      </c>
      <c r="K743" s="8">
        <v>1160.0</v>
      </c>
      <c r="L743" s="8" t="s">
        <v>2608</v>
      </c>
      <c r="M743" s="11">
        <v>0.76</v>
      </c>
      <c r="N743" s="8" t="s">
        <v>3447</v>
      </c>
      <c r="O743" s="8">
        <v>1160.0</v>
      </c>
      <c r="P743" s="11">
        <v>27.6817</v>
      </c>
      <c r="Q743" s="8" t="s">
        <v>1628</v>
      </c>
      <c r="R743" s="11">
        <v>1.5338</v>
      </c>
      <c r="S743" s="12">
        <v>4574676.0</v>
      </c>
      <c r="T743" s="12">
        <v>2.1638431058E10</v>
      </c>
      <c r="U743" s="13">
        <v>0.7971</v>
      </c>
      <c r="V743" s="13">
        <v>10.2226</v>
      </c>
      <c r="W743" s="13">
        <v>27.6399</v>
      </c>
      <c r="X743" s="13">
        <v>21.7613</v>
      </c>
      <c r="Y743" s="13">
        <v>1.7185</v>
      </c>
      <c r="Z743" s="13">
        <v>0.6876</v>
      </c>
      <c r="AA743" s="8" t="s">
        <v>2611</v>
      </c>
      <c r="AB743" s="14">
        <f>IFERROR(__xludf.DUMMYFUNCTION("IFERROR(GOOGLEFINANCE(B743,""price""),"""")"),48.05)</f>
        <v>48.05</v>
      </c>
    </row>
    <row r="744">
      <c r="A744" s="15">
        <v>46065.62854532757</v>
      </c>
      <c r="B744" s="16" t="s">
        <v>2692</v>
      </c>
      <c r="C744" s="16" t="s">
        <v>2693</v>
      </c>
      <c r="D744" s="17">
        <v>46068.0</v>
      </c>
      <c r="E744" s="18">
        <v>245.42</v>
      </c>
      <c r="F744" s="16" t="s">
        <v>117</v>
      </c>
      <c r="G744" s="21">
        <v>22.2184</v>
      </c>
      <c r="H744" s="21">
        <v>11.0458</v>
      </c>
      <c r="I744" s="17">
        <v>46066.0</v>
      </c>
      <c r="J744" s="18">
        <v>245.0</v>
      </c>
      <c r="K744" s="16">
        <v>1039.0</v>
      </c>
      <c r="L744" s="16" t="s">
        <v>2608</v>
      </c>
      <c r="M744" s="19">
        <v>0.17</v>
      </c>
      <c r="N744" s="16" t="s">
        <v>3448</v>
      </c>
      <c r="O744" s="16">
        <v>1039.0</v>
      </c>
      <c r="P744" s="19">
        <v>38.3551</v>
      </c>
      <c r="Q744" s="16" t="s">
        <v>2695</v>
      </c>
      <c r="R744" s="19">
        <v>1.8932</v>
      </c>
      <c r="S744" s="20">
        <v>6561212.0</v>
      </c>
      <c r="T744" s="20">
        <v>5.91289161225E11</v>
      </c>
      <c r="U744" s="21">
        <v>3.9507</v>
      </c>
      <c r="V744" s="24"/>
      <c r="W744" s="21">
        <v>27.4326</v>
      </c>
      <c r="X744" s="21">
        <v>6.0483</v>
      </c>
      <c r="Y744" s="24"/>
      <c r="Z744" s="24"/>
      <c r="AA744" s="16" t="s">
        <v>2611</v>
      </c>
      <c r="AB744" s="22">
        <f>IFERROR(__xludf.DUMMYFUNCTION("IFERROR(GOOGLEFINANCE(B744,""price""),"""")"),238.46)</f>
        <v>238.46</v>
      </c>
    </row>
    <row r="745">
      <c r="A745" s="7">
        <v>46066.62626812882</v>
      </c>
      <c r="B745" s="8" t="s">
        <v>3269</v>
      </c>
      <c r="C745" s="8" t="s">
        <v>3270</v>
      </c>
      <c r="D745" s="9">
        <v>46068.0</v>
      </c>
      <c r="E745" s="10">
        <v>255.76</v>
      </c>
      <c r="F745" s="8" t="s">
        <v>308</v>
      </c>
      <c r="G745" s="13">
        <v>32.3591</v>
      </c>
      <c r="H745" s="13">
        <v>7.9038</v>
      </c>
      <c r="I745" s="9">
        <v>46066.0</v>
      </c>
      <c r="J745" s="10">
        <v>260.0</v>
      </c>
      <c r="K745" s="8">
        <v>23606.0</v>
      </c>
      <c r="L745" s="8" t="s">
        <v>2627</v>
      </c>
      <c r="M745" s="11">
        <v>1.66</v>
      </c>
      <c r="N745" s="8" t="s">
        <v>3449</v>
      </c>
      <c r="O745" s="8">
        <v>42406.0</v>
      </c>
      <c r="P745" s="11">
        <v>23.1314</v>
      </c>
      <c r="Q745" s="8" t="s">
        <v>3272</v>
      </c>
      <c r="R745" s="11">
        <v>-2.281</v>
      </c>
      <c r="S745" s="12">
        <v>3.5426115E7</v>
      </c>
      <c r="T745" s="12">
        <v>3.754848434097E12</v>
      </c>
      <c r="U745" s="13">
        <v>6.5385</v>
      </c>
      <c r="V745" s="13">
        <v>152.0213</v>
      </c>
      <c r="W745" s="13">
        <v>32.384</v>
      </c>
      <c r="X745" s="13">
        <v>10.071</v>
      </c>
      <c r="Y745" s="13">
        <v>1.0263</v>
      </c>
      <c r="Z745" s="13">
        <v>0.9737</v>
      </c>
      <c r="AA745" s="8" t="s">
        <v>2620</v>
      </c>
      <c r="AB745" s="14">
        <f>IFERROR(__xludf.DUMMYFUNCTION("IFERROR(GOOGLEFINANCE(B745,""price""),"""")"),260.48)</f>
        <v>260.48</v>
      </c>
    </row>
    <row r="746">
      <c r="A746" s="15">
        <v>46066.62626812882</v>
      </c>
      <c r="B746" s="16" t="s">
        <v>2625</v>
      </c>
      <c r="C746" s="16" t="s">
        <v>2626</v>
      </c>
      <c r="D746" s="17">
        <v>46068.0</v>
      </c>
      <c r="E746" s="18">
        <v>133.805</v>
      </c>
      <c r="F746" s="16" t="s">
        <v>137</v>
      </c>
      <c r="G746" s="21">
        <v>46.9327</v>
      </c>
      <c r="H746" s="21">
        <v>2.851</v>
      </c>
      <c r="I746" s="17">
        <v>46066.0</v>
      </c>
      <c r="J746" s="18">
        <v>134.0</v>
      </c>
      <c r="K746" s="16">
        <v>3443.0</v>
      </c>
      <c r="L746" s="16" t="s">
        <v>2608</v>
      </c>
      <c r="M746" s="19">
        <v>0.15</v>
      </c>
      <c r="N746" s="16" t="s">
        <v>3450</v>
      </c>
      <c r="O746" s="16">
        <v>19940.0</v>
      </c>
      <c r="P746" s="19">
        <v>36.8995</v>
      </c>
      <c r="Q746" s="16" t="s">
        <v>2629</v>
      </c>
      <c r="R746" s="19">
        <v>0.1235</v>
      </c>
      <c r="S746" s="20">
        <v>1.7071085E7</v>
      </c>
      <c r="T746" s="20">
        <v>1.066448189519E12</v>
      </c>
      <c r="U746" s="21">
        <v>3.0634</v>
      </c>
      <c r="V746" s="21">
        <v>24.8749</v>
      </c>
      <c r="W746" s="21">
        <v>4.1214</v>
      </c>
      <c r="X746" s="21">
        <v>4.3397</v>
      </c>
      <c r="Y746" s="21">
        <v>0.7121</v>
      </c>
      <c r="Z746" s="21">
        <v>0.8029</v>
      </c>
      <c r="AA746" s="16" t="s">
        <v>2620</v>
      </c>
      <c r="AB746" s="22">
        <f>IFERROR(__xludf.DUMMYFUNCTION("IFERROR(GOOGLEFINANCE(B746,""price""),"""")"),126.79)</f>
        <v>126.79</v>
      </c>
    </row>
    <row r="747">
      <c r="A747" s="7">
        <v>46066.62626812882</v>
      </c>
      <c r="B747" s="8" t="s">
        <v>2616</v>
      </c>
      <c r="C747" s="8" t="s">
        <v>2617</v>
      </c>
      <c r="D747" s="9">
        <v>46068.0</v>
      </c>
      <c r="E747" s="10">
        <v>78.52</v>
      </c>
      <c r="F747" s="8" t="s">
        <v>286</v>
      </c>
      <c r="G747" s="13">
        <v>25.8417</v>
      </c>
      <c r="H747" s="13">
        <v>3.0385</v>
      </c>
      <c r="I747" s="9">
        <v>46066.0</v>
      </c>
      <c r="J747" s="10">
        <v>80.0</v>
      </c>
      <c r="K747" s="8">
        <v>4086.0</v>
      </c>
      <c r="L747" s="8" t="s">
        <v>2608</v>
      </c>
      <c r="M747" s="11">
        <v>1.88</v>
      </c>
      <c r="N747" s="8" t="s">
        <v>3451</v>
      </c>
      <c r="O747" s="8">
        <v>19031.0</v>
      </c>
      <c r="P747" s="11">
        <v>39.5642</v>
      </c>
      <c r="Q747" s="8" t="s">
        <v>2619</v>
      </c>
      <c r="R747" s="11">
        <v>-0.6076</v>
      </c>
      <c r="S747" s="12">
        <v>1.1291784E7</v>
      </c>
      <c r="T747" s="12">
        <v>3.37762329785E11</v>
      </c>
      <c r="U747" s="13">
        <v>1.3698</v>
      </c>
      <c r="V747" s="13">
        <v>45.9693</v>
      </c>
      <c r="W747" s="13">
        <v>29.0951</v>
      </c>
      <c r="X747" s="13">
        <v>3.1925</v>
      </c>
      <c r="Y747" s="13">
        <v>1.4142</v>
      </c>
      <c r="Z747" s="13">
        <v>1.4588</v>
      </c>
      <c r="AA747" s="8" t="s">
        <v>2620</v>
      </c>
      <c r="AB747" s="14">
        <f>IFERROR(__xludf.DUMMYFUNCTION("IFERROR(GOOGLEFINANCE(B747,""price""),"""")"),77.47)</f>
        <v>77.47</v>
      </c>
    </row>
    <row r="748">
      <c r="A748" s="15">
        <v>46066.62626812882</v>
      </c>
      <c r="B748" s="16" t="s">
        <v>2630</v>
      </c>
      <c r="C748" s="16" t="s">
        <v>2631</v>
      </c>
      <c r="D748" s="17">
        <v>46068.0</v>
      </c>
      <c r="E748" s="18">
        <v>410.55</v>
      </c>
      <c r="F748" s="16" t="s">
        <v>308</v>
      </c>
      <c r="G748" s="21">
        <v>39.0257</v>
      </c>
      <c r="H748" s="21">
        <v>10.52</v>
      </c>
      <c r="I748" s="17">
        <v>46066.0</v>
      </c>
      <c r="J748" s="18">
        <v>410.0</v>
      </c>
      <c r="K748" s="16">
        <v>4864.0</v>
      </c>
      <c r="L748" s="16" t="s">
        <v>2608</v>
      </c>
      <c r="M748" s="19">
        <v>0.13</v>
      </c>
      <c r="N748" s="16" t="s">
        <v>3452</v>
      </c>
      <c r="O748" s="16">
        <v>16022.0</v>
      </c>
      <c r="P748" s="19">
        <v>37.5191</v>
      </c>
      <c r="Q748" s="16" t="s">
        <v>2633</v>
      </c>
      <c r="R748" s="19">
        <v>-0.8261</v>
      </c>
      <c r="S748" s="20">
        <v>2.9541238E7</v>
      </c>
      <c r="T748" s="20">
        <v>4.62077835176E11</v>
      </c>
      <c r="U748" s="21">
        <v>26.3605</v>
      </c>
      <c r="V748" s="21">
        <v>22.5543</v>
      </c>
      <c r="W748" s="21">
        <v>32.9221</v>
      </c>
      <c r="X748" s="21">
        <v>45.432</v>
      </c>
      <c r="Y748" s="21">
        <v>0.2124</v>
      </c>
      <c r="Z748" s="21">
        <v>2.4598</v>
      </c>
      <c r="AA748" s="16" t="s">
        <v>2611</v>
      </c>
      <c r="AB748" s="22">
        <f>IFERROR(__xludf.DUMMYFUNCTION("IFERROR(GOOGLEFINANCE(B748,""price""),"""")"),420.59)</f>
        <v>420.59</v>
      </c>
    </row>
    <row r="749">
      <c r="A749" s="7">
        <v>46066.62626812882</v>
      </c>
      <c r="B749" s="8" t="s">
        <v>3416</v>
      </c>
      <c r="C749" s="8" t="s">
        <v>3417</v>
      </c>
      <c r="D749" s="9">
        <v>46068.0</v>
      </c>
      <c r="E749" s="10">
        <v>67.11</v>
      </c>
      <c r="F749" s="8" t="s">
        <v>286</v>
      </c>
      <c r="G749" s="13">
        <v>16.3019</v>
      </c>
      <c r="H749" s="13">
        <v>4.1167</v>
      </c>
      <c r="I749" s="9">
        <v>46066.0</v>
      </c>
      <c r="J749" s="10">
        <v>68.0</v>
      </c>
      <c r="K749" s="8">
        <v>8137.0</v>
      </c>
      <c r="L749" s="8" t="s">
        <v>2608</v>
      </c>
      <c r="M749" s="11">
        <v>1.33</v>
      </c>
      <c r="N749" s="8" t="s">
        <v>3453</v>
      </c>
      <c r="O749" s="8">
        <v>14939.0</v>
      </c>
      <c r="P749" s="11">
        <v>26.0129</v>
      </c>
      <c r="Q749" s="8" t="s">
        <v>3419</v>
      </c>
      <c r="R749" s="11">
        <v>0.1492</v>
      </c>
      <c r="S749" s="12">
        <v>5583599.0</v>
      </c>
      <c r="T749" s="12">
        <v>1.12655648546E11</v>
      </c>
      <c r="U749" s="13">
        <v>1.4657</v>
      </c>
      <c r="V749" s="23"/>
      <c r="W749" s="13">
        <v>63.7221</v>
      </c>
      <c r="X749" s="13">
        <v>-1.4919</v>
      </c>
      <c r="Y749" s="23"/>
      <c r="Z749" s="13">
        <v>0.648</v>
      </c>
      <c r="AA749" s="8" t="s">
        <v>2620</v>
      </c>
      <c r="AB749" s="14">
        <f>IFERROR(__xludf.DUMMYFUNCTION("IFERROR(GOOGLEFINANCE(B749,""price""),"""")"),67.38)</f>
        <v>67.38</v>
      </c>
    </row>
    <row r="750">
      <c r="A750" s="15">
        <v>46066.62626812882</v>
      </c>
      <c r="B750" s="16" t="s">
        <v>2580</v>
      </c>
      <c r="C750" s="16" t="s">
        <v>2581</v>
      </c>
      <c r="D750" s="17">
        <v>46068.0</v>
      </c>
      <c r="E750" s="18">
        <v>293.6</v>
      </c>
      <c r="F750" s="16" t="s">
        <v>93</v>
      </c>
      <c r="G750" s="21">
        <v>10.6631</v>
      </c>
      <c r="H750" s="21">
        <v>27.5341</v>
      </c>
      <c r="I750" s="17">
        <v>46073.0</v>
      </c>
      <c r="J750" s="18">
        <v>290.0</v>
      </c>
      <c r="K750" s="16">
        <v>13551.0</v>
      </c>
      <c r="L750" s="16" t="s">
        <v>2627</v>
      </c>
      <c r="M750" s="19">
        <v>1.23</v>
      </c>
      <c r="N750" s="16" t="s">
        <v>3454</v>
      </c>
      <c r="O750" s="16">
        <v>13551.0</v>
      </c>
      <c r="P750" s="19">
        <v>22.9377</v>
      </c>
      <c r="Q750" s="16" t="s">
        <v>2582</v>
      </c>
      <c r="R750" s="19">
        <v>-1.2877</v>
      </c>
      <c r="S750" s="20">
        <v>1007304.0</v>
      </c>
      <c r="T750" s="20">
        <v>6.5491417187E10</v>
      </c>
      <c r="U750" s="21">
        <v>6.1099</v>
      </c>
      <c r="V750" s="21">
        <v>20.6985</v>
      </c>
      <c r="W750" s="21">
        <v>16.8367</v>
      </c>
      <c r="X750" s="21">
        <v>5.1806</v>
      </c>
      <c r="Y750" s="21">
        <v>0.2817</v>
      </c>
      <c r="Z750" s="21">
        <v>0.3474</v>
      </c>
      <c r="AA750" s="16" t="s">
        <v>2611</v>
      </c>
      <c r="AB750" s="22">
        <f>IFERROR(__xludf.DUMMYFUNCTION("IFERROR(GOOGLEFINANCE(B750,""price""),"""")"),297.26)</f>
        <v>297.26</v>
      </c>
    </row>
    <row r="751">
      <c r="A751" s="7">
        <v>46066.62626812882</v>
      </c>
      <c r="B751" s="8" t="s">
        <v>1489</v>
      </c>
      <c r="C751" s="8" t="s">
        <v>1490</v>
      </c>
      <c r="D751" s="9">
        <v>46068.0</v>
      </c>
      <c r="E751" s="10">
        <v>76.745</v>
      </c>
      <c r="F751" s="8" t="s">
        <v>308</v>
      </c>
      <c r="G751" s="13">
        <v>26.9669</v>
      </c>
      <c r="H751" s="13">
        <v>2.8459</v>
      </c>
      <c r="I751" s="9">
        <v>46066.0</v>
      </c>
      <c r="J751" s="10">
        <v>78.0</v>
      </c>
      <c r="K751" s="8">
        <v>4234.0</v>
      </c>
      <c r="L751" s="8" t="s">
        <v>2627</v>
      </c>
      <c r="M751" s="11">
        <v>1.64</v>
      </c>
      <c r="N751" s="8" t="s">
        <v>3455</v>
      </c>
      <c r="O751" s="8">
        <v>12197.0</v>
      </c>
      <c r="P751" s="11">
        <v>36.239</v>
      </c>
      <c r="Q751" s="8" t="s">
        <v>1491</v>
      </c>
      <c r="R751" s="11">
        <v>2.3267</v>
      </c>
      <c r="S751" s="12">
        <v>3.178601E7</v>
      </c>
      <c r="T751" s="12">
        <v>3.03226746054E11</v>
      </c>
      <c r="U751" s="13">
        <v>2.7219</v>
      </c>
      <c r="V751" s="13">
        <v>24.3402</v>
      </c>
      <c r="W751" s="13">
        <v>23.824</v>
      </c>
      <c r="X751" s="13">
        <v>9.004</v>
      </c>
      <c r="Y751" s="13">
        <v>0.6304</v>
      </c>
      <c r="Z751" s="13">
        <v>0.955</v>
      </c>
      <c r="AA751" s="8" t="s">
        <v>2620</v>
      </c>
      <c r="AB751" s="14">
        <f>IFERROR(__xludf.DUMMYFUNCTION("IFERROR(GOOGLEFINANCE(B751,""price""),"""")"),82.22)</f>
        <v>82.22</v>
      </c>
    </row>
    <row r="752">
      <c r="A752" s="15">
        <v>46066.62626812882</v>
      </c>
      <c r="B752" s="16" t="s">
        <v>2634</v>
      </c>
      <c r="C752" s="16" t="s">
        <v>2635</v>
      </c>
      <c r="D752" s="17">
        <v>46068.0</v>
      </c>
      <c r="E752" s="18">
        <v>183.64</v>
      </c>
      <c r="F752" s="16" t="s">
        <v>245</v>
      </c>
      <c r="G752" s="21">
        <v>27.6113</v>
      </c>
      <c r="H752" s="21">
        <v>6.6509</v>
      </c>
      <c r="I752" s="17">
        <v>46066.0</v>
      </c>
      <c r="J752" s="18">
        <v>185.0</v>
      </c>
      <c r="K752" s="16">
        <v>3469.0</v>
      </c>
      <c r="L752" s="16" t="s">
        <v>2608</v>
      </c>
      <c r="M752" s="19">
        <v>0.74</v>
      </c>
      <c r="N752" s="16" t="s">
        <v>3456</v>
      </c>
      <c r="O752" s="16">
        <v>11974.0</v>
      </c>
      <c r="P752" s="19">
        <v>57.9001</v>
      </c>
      <c r="Q752" s="16" t="s">
        <v>2637</v>
      </c>
      <c r="R752" s="19">
        <v>0.6798</v>
      </c>
      <c r="S752" s="20">
        <v>6218700.0</v>
      </c>
      <c r="T752" s="20">
        <v>3.69763095434E11</v>
      </c>
      <c r="U752" s="21">
        <v>3.4229</v>
      </c>
      <c r="V752" s="21">
        <v>7.261</v>
      </c>
      <c r="W752" s="21">
        <v>8.9022</v>
      </c>
      <c r="X752" s="21">
        <v>-4.6053</v>
      </c>
      <c r="Y752" s="21">
        <v>0.2186</v>
      </c>
      <c r="Z752" s="24"/>
      <c r="AA752" s="16" t="s">
        <v>2620</v>
      </c>
      <c r="AB752" s="22">
        <f>IFERROR(__xludf.DUMMYFUNCTION("IFERROR(GOOGLEFINANCE(B752,""price""),"""")"),188.55)</f>
        <v>188.55</v>
      </c>
    </row>
    <row r="753">
      <c r="A753" s="7">
        <v>46066.62626812882</v>
      </c>
      <c r="B753" s="8" t="s">
        <v>2638</v>
      </c>
      <c r="C753" s="8" t="s">
        <v>2639</v>
      </c>
      <c r="D753" s="9">
        <v>46068.0</v>
      </c>
      <c r="E753" s="10">
        <v>148.58</v>
      </c>
      <c r="F753" s="8" t="s">
        <v>245</v>
      </c>
      <c r="G753" s="13">
        <v>22.2063</v>
      </c>
      <c r="H753" s="13">
        <v>6.6909</v>
      </c>
      <c r="I753" s="9">
        <v>46066.0</v>
      </c>
      <c r="J753" s="10">
        <v>150.0</v>
      </c>
      <c r="K753" s="8">
        <v>5568.0</v>
      </c>
      <c r="L753" s="8" t="s">
        <v>2627</v>
      </c>
      <c r="M753" s="11">
        <v>0.96</v>
      </c>
      <c r="N753" s="8" t="s">
        <v>3457</v>
      </c>
      <c r="O753" s="8">
        <v>11763.0</v>
      </c>
      <c r="P753" s="11">
        <v>57.4042</v>
      </c>
      <c r="Q753" s="8" t="s">
        <v>2641</v>
      </c>
      <c r="R753" s="11">
        <v>-0.9004</v>
      </c>
      <c r="S753" s="12">
        <v>1.3682891E7</v>
      </c>
      <c r="T753" s="12">
        <v>6.26586423443E11</v>
      </c>
      <c r="U753" s="13">
        <v>3.4456</v>
      </c>
      <c r="V753" s="13">
        <v>11.0283</v>
      </c>
      <c r="W753" s="13">
        <v>10.3419</v>
      </c>
      <c r="X753" s="13">
        <v>-4.856</v>
      </c>
      <c r="Y753" s="13">
        <v>0.1678</v>
      </c>
      <c r="Z753" s="13">
        <v>1.1528</v>
      </c>
      <c r="AA753" s="8" t="s">
        <v>2620</v>
      </c>
      <c r="AB753" s="14">
        <f>IFERROR(__xludf.DUMMYFUNCTION("IFERROR(GOOGLEFINANCE(B753,""price""),"""")"),152.51)</f>
        <v>152.51</v>
      </c>
    </row>
    <row r="754">
      <c r="A754" s="15">
        <v>46066.62626812882</v>
      </c>
      <c r="B754" s="16" t="s">
        <v>2676</v>
      </c>
      <c r="C754" s="16" t="s">
        <v>2677</v>
      </c>
      <c r="D754" s="17">
        <v>46068.0</v>
      </c>
      <c r="E754" s="18">
        <v>29.6209</v>
      </c>
      <c r="F754" s="16" t="s">
        <v>93</v>
      </c>
      <c r="G754" s="21">
        <v>12.8938</v>
      </c>
      <c r="H754" s="21">
        <v>2.2973</v>
      </c>
      <c r="I754" s="17">
        <v>46073.0</v>
      </c>
      <c r="J754" s="18">
        <v>30.0</v>
      </c>
      <c r="K754" s="16">
        <v>4289.0</v>
      </c>
      <c r="L754" s="16" t="s">
        <v>2608</v>
      </c>
      <c r="M754" s="19">
        <v>1.28</v>
      </c>
      <c r="N754" s="16" t="s">
        <v>3458</v>
      </c>
      <c r="O754" s="16">
        <v>7727.0</v>
      </c>
      <c r="P754" s="19">
        <v>26.7188</v>
      </c>
      <c r="Q754" s="16" t="s">
        <v>2679</v>
      </c>
      <c r="R754" s="19">
        <v>-0.5343</v>
      </c>
      <c r="S754" s="20">
        <v>8902025.0</v>
      </c>
      <c r="T754" s="20">
        <v>2.5973872485E10</v>
      </c>
      <c r="U754" s="21">
        <v>0.7738</v>
      </c>
      <c r="V754" s="21">
        <v>11.6787</v>
      </c>
      <c r="W754" s="21">
        <v>28.7373</v>
      </c>
      <c r="X754" s="21">
        <v>2.137</v>
      </c>
      <c r="Y754" s="21">
        <v>0.2565</v>
      </c>
      <c r="Z754" s="21">
        <v>0.1084</v>
      </c>
      <c r="AA754" s="16" t="s">
        <v>2620</v>
      </c>
      <c r="AB754" s="22">
        <f>IFERROR(__xludf.DUMMYFUNCTION("IFERROR(GOOGLEFINANCE(B754,""price""),"""")"),27.5)</f>
        <v>27.5</v>
      </c>
    </row>
    <row r="755">
      <c r="A755" s="7">
        <v>46066.62626812882</v>
      </c>
      <c r="B755" s="8" t="s">
        <v>2684</v>
      </c>
      <c r="C755" s="8" t="s">
        <v>2685</v>
      </c>
      <c r="D755" s="9">
        <v>46068.0</v>
      </c>
      <c r="E755" s="10">
        <v>355.8</v>
      </c>
      <c r="F755" s="8" t="s">
        <v>102</v>
      </c>
      <c r="G755" s="13">
        <v>36.428</v>
      </c>
      <c r="H755" s="13">
        <v>9.7672</v>
      </c>
      <c r="I755" s="9">
        <v>46066.0</v>
      </c>
      <c r="J755" s="10">
        <v>360.0</v>
      </c>
      <c r="K755" s="8">
        <v>2816.0</v>
      </c>
      <c r="L755" s="8" t="s">
        <v>2608</v>
      </c>
      <c r="M755" s="11">
        <v>1.18</v>
      </c>
      <c r="N755" s="8" t="s">
        <v>3459</v>
      </c>
      <c r="O755" s="8">
        <v>7122.0</v>
      </c>
      <c r="P755" s="11">
        <v>32.463</v>
      </c>
      <c r="Q755" s="8" t="s">
        <v>2687</v>
      </c>
      <c r="R755" s="11">
        <v>8.3468</v>
      </c>
      <c r="S755" s="12">
        <v>1.2599601E7</v>
      </c>
      <c r="T755" s="12">
        <v>2.82406099365E11</v>
      </c>
      <c r="U755" s="13">
        <v>17.444</v>
      </c>
      <c r="V755" s="13">
        <v>38.8627</v>
      </c>
      <c r="W755" s="13">
        <v>29.7406</v>
      </c>
      <c r="X755" s="13">
        <v>2.1543</v>
      </c>
      <c r="Y755" s="13">
        <v>0.3017</v>
      </c>
      <c r="Z755" s="13">
        <v>2.7149</v>
      </c>
      <c r="AA755" s="8" t="s">
        <v>2620</v>
      </c>
      <c r="AB755" s="14">
        <f>IFERROR(__xludf.DUMMYFUNCTION("IFERROR(GOOGLEFINANCE(B755,""price""),"""")"),399.5)</f>
        <v>399.5</v>
      </c>
    </row>
    <row r="756">
      <c r="A756" s="15">
        <v>46066.62626812882</v>
      </c>
      <c r="B756" s="16" t="s">
        <v>2700</v>
      </c>
      <c r="C756" s="16" t="s">
        <v>2701</v>
      </c>
      <c r="D756" s="17">
        <v>46068.0</v>
      </c>
      <c r="E756" s="18">
        <v>235.0</v>
      </c>
      <c r="F756" s="16" t="s">
        <v>102</v>
      </c>
      <c r="G756" s="21">
        <v>48.1626</v>
      </c>
      <c r="H756" s="21">
        <v>4.8793</v>
      </c>
      <c r="I756" s="17">
        <v>46066.0</v>
      </c>
      <c r="J756" s="18">
        <v>237.5</v>
      </c>
      <c r="K756" s="16">
        <v>3637.0</v>
      </c>
      <c r="L756" s="16" t="s">
        <v>2608</v>
      </c>
      <c r="M756" s="19">
        <v>1.06</v>
      </c>
      <c r="N756" s="16" t="s">
        <v>3460</v>
      </c>
      <c r="O756" s="16">
        <v>6451.0</v>
      </c>
      <c r="P756" s="19">
        <v>33.1845</v>
      </c>
      <c r="Q756" s="16" t="s">
        <v>2703</v>
      </c>
      <c r="R756" s="19">
        <v>1.604</v>
      </c>
      <c r="S756" s="20">
        <v>7314034.0</v>
      </c>
      <c r="T756" s="20">
        <v>2.93461175563E11</v>
      </c>
      <c r="U756" s="21">
        <v>12.199</v>
      </c>
      <c r="V756" s="21">
        <v>65.5649</v>
      </c>
      <c r="W756" s="21">
        <v>33.7646</v>
      </c>
      <c r="X756" s="21">
        <v>26.8457</v>
      </c>
      <c r="Y756" s="21">
        <v>0.4419</v>
      </c>
      <c r="Z756" s="21">
        <v>2.2562</v>
      </c>
      <c r="AA756" s="16" t="s">
        <v>2620</v>
      </c>
      <c r="AB756" s="22">
        <f>IFERROR(__xludf.DUMMYFUNCTION("IFERROR(GOOGLEFINANCE(B756,""price""),"""")"),263.66)</f>
        <v>263.66</v>
      </c>
    </row>
    <row r="757">
      <c r="A757" s="7">
        <v>46066.62626812882</v>
      </c>
      <c r="B757" s="8" t="s">
        <v>1766</v>
      </c>
      <c r="C757" s="8" t="s">
        <v>1767</v>
      </c>
      <c r="D757" s="9">
        <v>46068.0</v>
      </c>
      <c r="E757" s="10">
        <v>94.62</v>
      </c>
      <c r="F757" s="8" t="s">
        <v>917</v>
      </c>
      <c r="G757" s="13">
        <v>29.1345</v>
      </c>
      <c r="H757" s="13">
        <v>3.2477</v>
      </c>
      <c r="I757" s="9">
        <v>46073.0</v>
      </c>
      <c r="J757" s="10">
        <v>95.0</v>
      </c>
      <c r="K757" s="8">
        <v>5099.0</v>
      </c>
      <c r="L757" s="8" t="s">
        <v>2608</v>
      </c>
      <c r="M757" s="11">
        <v>0.4</v>
      </c>
      <c r="N757" s="8" t="s">
        <v>3461</v>
      </c>
      <c r="O757" s="8">
        <v>5099.0</v>
      </c>
      <c r="P757" s="11">
        <v>26.44</v>
      </c>
      <c r="Q757" s="8" t="s">
        <v>1768</v>
      </c>
      <c r="R757" s="11">
        <v>1.9722</v>
      </c>
      <c r="S757" s="12">
        <v>3601566.0</v>
      </c>
      <c r="T757" s="12">
        <v>6.1756725895E10</v>
      </c>
      <c r="U757" s="13">
        <v>1.9909</v>
      </c>
      <c r="V757" s="13">
        <v>7.0975</v>
      </c>
      <c r="W757" s="13">
        <v>23.4727</v>
      </c>
      <c r="X757" s="13">
        <v>9.067</v>
      </c>
      <c r="Y757" s="13">
        <v>1.0777</v>
      </c>
      <c r="Z757" s="13">
        <v>1.5873</v>
      </c>
      <c r="AA757" s="8" t="s">
        <v>2620</v>
      </c>
      <c r="AB757" s="14">
        <f>IFERROR(__xludf.DUMMYFUNCTION("IFERROR(GOOGLEFINANCE(B757,""price""),"""")"),98.82)</f>
        <v>98.82</v>
      </c>
    </row>
    <row r="758">
      <c r="A758" s="15">
        <v>46066.62626812882</v>
      </c>
      <c r="B758" s="16" t="s">
        <v>2621</v>
      </c>
      <c r="C758" s="16" t="s">
        <v>2622</v>
      </c>
      <c r="D758" s="17">
        <v>46068.0</v>
      </c>
      <c r="E758" s="18">
        <v>62.53</v>
      </c>
      <c r="F758" s="16" t="s">
        <v>335</v>
      </c>
      <c r="G758" s="21">
        <v>41.3012</v>
      </c>
      <c r="H758" s="21">
        <v>1.514</v>
      </c>
      <c r="I758" s="17">
        <v>46066.0</v>
      </c>
      <c r="J758" s="18">
        <v>63.0</v>
      </c>
      <c r="K758" s="16">
        <v>2442.0</v>
      </c>
      <c r="L758" s="16" t="s">
        <v>2608</v>
      </c>
      <c r="M758" s="19">
        <v>0.75</v>
      </c>
      <c r="N758" s="16" t="s">
        <v>3462</v>
      </c>
      <c r="O758" s="16">
        <v>4577.0</v>
      </c>
      <c r="P758" s="19">
        <v>35.7094</v>
      </c>
      <c r="Q758" s="16" t="s">
        <v>2624</v>
      </c>
      <c r="R758" s="19">
        <v>0.7898</v>
      </c>
      <c r="S758" s="20">
        <v>1.1757613E7</v>
      </c>
      <c r="T758" s="20">
        <v>8.9788745749E10</v>
      </c>
      <c r="U758" s="21">
        <v>2.941</v>
      </c>
      <c r="V758" s="21">
        <v>11.9792</v>
      </c>
      <c r="W758" s="21">
        <v>23.7569</v>
      </c>
      <c r="X758" s="21">
        <v>1.5155</v>
      </c>
      <c r="Y758" s="21">
        <v>0.5497</v>
      </c>
      <c r="Z758" s="21">
        <v>2.2911</v>
      </c>
      <c r="AA758" s="16" t="s">
        <v>2620</v>
      </c>
      <c r="AB758" s="22">
        <f>IFERROR(__xludf.DUMMYFUNCTION("IFERROR(GOOGLEFINANCE(B758,""price""),"""")"),67.8)</f>
        <v>67.8</v>
      </c>
    </row>
    <row r="759">
      <c r="A759" s="7">
        <v>46066.62626812882</v>
      </c>
      <c r="B759" s="8" t="s">
        <v>3463</v>
      </c>
      <c r="C759" s="8" t="s">
        <v>3464</v>
      </c>
      <c r="D759" s="9">
        <v>46068.0</v>
      </c>
      <c r="E759" s="10">
        <v>58.495</v>
      </c>
      <c r="F759" s="8" t="s">
        <v>245</v>
      </c>
      <c r="G759" s="13">
        <v>19.956</v>
      </c>
      <c r="H759" s="13">
        <v>2.9312</v>
      </c>
      <c r="I759" s="9">
        <v>46066.0</v>
      </c>
      <c r="J759" s="10">
        <v>59.0</v>
      </c>
      <c r="K759" s="8">
        <v>3839.0</v>
      </c>
      <c r="L759" s="8" t="s">
        <v>2608</v>
      </c>
      <c r="M759" s="11">
        <v>0.86</v>
      </c>
      <c r="N759" s="8" t="s">
        <v>3465</v>
      </c>
      <c r="O759" s="8">
        <v>3839.0</v>
      </c>
      <c r="P759" s="11">
        <v>17.9436</v>
      </c>
      <c r="Q759" s="8" t="s">
        <v>3466</v>
      </c>
      <c r="R759" s="11">
        <v>2.2998</v>
      </c>
      <c r="S759" s="12">
        <v>6578912.0</v>
      </c>
      <c r="T759" s="12">
        <v>3.6505021686E10</v>
      </c>
      <c r="U759" s="13">
        <v>1.8991</v>
      </c>
      <c r="V759" s="13">
        <v>8.189</v>
      </c>
      <c r="W759" s="13">
        <v>33.1264</v>
      </c>
      <c r="X759" s="13">
        <v>64.8355</v>
      </c>
      <c r="Y759" s="13">
        <v>0.355</v>
      </c>
      <c r="Z759" s="13">
        <v>0.5782</v>
      </c>
      <c r="AA759" s="8" t="s">
        <v>2620</v>
      </c>
      <c r="AB759" s="14">
        <f>IFERROR(__xludf.DUMMYFUNCTION("IFERROR(GOOGLEFINANCE(B759,""price""),"""")"),58.68)</f>
        <v>58.68</v>
      </c>
    </row>
    <row r="760">
      <c r="A760" s="15">
        <v>46066.62626812882</v>
      </c>
      <c r="B760" s="16" t="s">
        <v>2704</v>
      </c>
      <c r="C760" s="16" t="s">
        <v>2705</v>
      </c>
      <c r="D760" s="17">
        <v>46068.0</v>
      </c>
      <c r="E760" s="18">
        <v>35.05</v>
      </c>
      <c r="F760" s="16" t="s">
        <v>88</v>
      </c>
      <c r="G760" s="24"/>
      <c r="H760" s="21">
        <v>-0.5438</v>
      </c>
      <c r="I760" s="17">
        <v>46066.0</v>
      </c>
      <c r="J760" s="18">
        <v>35.0</v>
      </c>
      <c r="K760" s="16">
        <v>2114.0</v>
      </c>
      <c r="L760" s="16" t="s">
        <v>2627</v>
      </c>
      <c r="M760" s="19">
        <v>0.14</v>
      </c>
      <c r="N760" s="16" t="s">
        <v>3467</v>
      </c>
      <c r="O760" s="16">
        <v>3205.0</v>
      </c>
      <c r="P760" s="19">
        <v>16.812</v>
      </c>
      <c r="Q760" s="16" t="s">
        <v>2707</v>
      </c>
      <c r="R760" s="19">
        <v>-3.0965</v>
      </c>
      <c r="S760" s="20">
        <v>1.9937888E7</v>
      </c>
      <c r="T760" s="20">
        <v>9.799482335E9</v>
      </c>
      <c r="U760" s="21">
        <v>3.9497</v>
      </c>
      <c r="V760" s="21">
        <v>-11.4029</v>
      </c>
      <c r="W760" s="21">
        <v>-26.4624</v>
      </c>
      <c r="X760" s="21">
        <v>33.135</v>
      </c>
      <c r="Y760" s="21">
        <v>1.6778</v>
      </c>
      <c r="Z760" s="21">
        <v>4.8227</v>
      </c>
      <c r="AA760" s="16" t="s">
        <v>2611</v>
      </c>
      <c r="AB760" s="22">
        <f>IFERROR(__xludf.DUMMYFUNCTION("IFERROR(GOOGLEFINANCE(B760,""price""),"""")"),26.24)</f>
        <v>26.24</v>
      </c>
    </row>
    <row r="761">
      <c r="A761" s="7">
        <v>46066.62626812882</v>
      </c>
      <c r="B761" s="8" t="s">
        <v>2915</v>
      </c>
      <c r="C761" s="8" t="s">
        <v>2916</v>
      </c>
      <c r="D761" s="9">
        <v>46068.0</v>
      </c>
      <c r="E761" s="10">
        <v>155.355</v>
      </c>
      <c r="F761" s="8" t="s">
        <v>117</v>
      </c>
      <c r="G761" s="13">
        <v>22.9137</v>
      </c>
      <c r="H761" s="13">
        <v>6.78</v>
      </c>
      <c r="I761" s="9">
        <v>46066.0</v>
      </c>
      <c r="J761" s="10">
        <v>152.5</v>
      </c>
      <c r="K761" s="8">
        <v>1808.0</v>
      </c>
      <c r="L761" s="8" t="s">
        <v>2608</v>
      </c>
      <c r="M761" s="11">
        <v>1.84</v>
      </c>
      <c r="N761" s="8" t="s">
        <v>3468</v>
      </c>
      <c r="O761" s="8">
        <v>3079.0</v>
      </c>
      <c r="P761" s="11">
        <v>47.1545</v>
      </c>
      <c r="Q761" s="8" t="s">
        <v>2918</v>
      </c>
      <c r="R761" s="11">
        <v>2.3352</v>
      </c>
      <c r="S761" s="12">
        <v>4223795.0</v>
      </c>
      <c r="T761" s="12">
        <v>1.92745770788E11</v>
      </c>
      <c r="U761" s="13">
        <v>4.3264</v>
      </c>
      <c r="V761" s="13">
        <v>40.574</v>
      </c>
      <c r="W761" s="13">
        <v>40.0843</v>
      </c>
      <c r="X761" s="13">
        <v>2.4054</v>
      </c>
      <c r="Y761" s="23"/>
      <c r="Z761" s="13">
        <v>1.6834</v>
      </c>
      <c r="AA761" s="8" t="s">
        <v>2611</v>
      </c>
      <c r="AB761" s="14">
        <f>IFERROR(__xludf.DUMMYFUNCTION("IFERROR(GOOGLEFINANCE(B761,""price""),"""")"),139.03)</f>
        <v>139.03</v>
      </c>
    </row>
    <row r="762">
      <c r="A762" s="15">
        <v>46066.62626812882</v>
      </c>
      <c r="B762" s="16" t="s">
        <v>2139</v>
      </c>
      <c r="C762" s="16" t="s">
        <v>2140</v>
      </c>
      <c r="D762" s="17">
        <v>46068.0</v>
      </c>
      <c r="E762" s="18">
        <v>61.095</v>
      </c>
      <c r="F762" s="16" t="s">
        <v>270</v>
      </c>
      <c r="G762" s="21">
        <v>23.453</v>
      </c>
      <c r="H762" s="21">
        <v>2.605</v>
      </c>
      <c r="I762" s="17">
        <v>46073.0</v>
      </c>
      <c r="J762" s="18">
        <v>60.0</v>
      </c>
      <c r="K762" s="16">
        <v>2799.0</v>
      </c>
      <c r="L762" s="16" t="s">
        <v>2608</v>
      </c>
      <c r="M762" s="19">
        <v>1.79</v>
      </c>
      <c r="N762" s="16" t="s">
        <v>3469</v>
      </c>
      <c r="O762" s="16">
        <v>2799.0</v>
      </c>
      <c r="P762" s="19">
        <v>42.95</v>
      </c>
      <c r="Q762" s="16" t="s">
        <v>2141</v>
      </c>
      <c r="R762" s="19">
        <v>-0.4805</v>
      </c>
      <c r="S762" s="20">
        <v>5841251.0</v>
      </c>
      <c r="T762" s="20">
        <v>6.0376309053E10</v>
      </c>
      <c r="U762" s="21">
        <v>1.7179</v>
      </c>
      <c r="V762" s="21">
        <v>14.4868</v>
      </c>
      <c r="W762" s="21">
        <v>12.8259</v>
      </c>
      <c r="X762" s="21">
        <v>-0.345</v>
      </c>
      <c r="Y762" s="21">
        <v>0.3558</v>
      </c>
      <c r="Z762" s="21">
        <v>1.3568</v>
      </c>
      <c r="AA762" s="16" t="s">
        <v>2611</v>
      </c>
      <c r="AB762" s="22">
        <f>IFERROR(__xludf.DUMMYFUNCTION("IFERROR(GOOGLEFINANCE(B762,""price""),"""")"),62.83)</f>
        <v>62.83</v>
      </c>
    </row>
    <row r="763">
      <c r="A763" s="7">
        <v>46066.62626812882</v>
      </c>
      <c r="B763" s="8" t="s">
        <v>2973</v>
      </c>
      <c r="C763" s="8" t="s">
        <v>2974</v>
      </c>
      <c r="D763" s="9">
        <v>46068.0</v>
      </c>
      <c r="E763" s="10">
        <v>51.715</v>
      </c>
      <c r="F763" s="8" t="s">
        <v>93</v>
      </c>
      <c r="G763" s="13">
        <v>13.5472</v>
      </c>
      <c r="H763" s="13">
        <v>3.8174</v>
      </c>
      <c r="I763" s="9">
        <v>46073.0</v>
      </c>
      <c r="J763" s="10">
        <v>52.5</v>
      </c>
      <c r="K763" s="8">
        <v>2541.0</v>
      </c>
      <c r="L763" s="8" t="s">
        <v>2608</v>
      </c>
      <c r="M763" s="11">
        <v>1.52</v>
      </c>
      <c r="N763" s="8" t="s">
        <v>3470</v>
      </c>
      <c r="O763" s="8">
        <v>2541.0</v>
      </c>
      <c r="P763" s="11">
        <v>23.6401</v>
      </c>
      <c r="Q763" s="8" t="s">
        <v>2976</v>
      </c>
      <c r="R763" s="11">
        <v>-0.6818</v>
      </c>
      <c r="S763" s="12">
        <v>4984350.0</v>
      </c>
      <c r="T763" s="12">
        <v>6.6156217663E10</v>
      </c>
      <c r="U763" s="13">
        <v>1.2811</v>
      </c>
      <c r="V763" s="13">
        <v>8.2363</v>
      </c>
      <c r="W763" s="13">
        <v>21.1616</v>
      </c>
      <c r="X763" s="13">
        <v>24.2886</v>
      </c>
      <c r="Y763" s="13">
        <v>1.0708</v>
      </c>
      <c r="Z763" s="13">
        <v>0.3413</v>
      </c>
      <c r="AA763" s="8" t="s">
        <v>2620</v>
      </c>
      <c r="AB763" s="14">
        <f>IFERROR(__xludf.DUMMYFUNCTION("IFERROR(GOOGLEFINANCE(B763,""price""),"""")"),49.6)</f>
        <v>49.6</v>
      </c>
    </row>
    <row r="764">
      <c r="A764" s="15">
        <v>46066.62626812882</v>
      </c>
      <c r="B764" s="16" t="s">
        <v>2505</v>
      </c>
      <c r="C764" s="16" t="s">
        <v>2506</v>
      </c>
      <c r="D764" s="17">
        <v>46068.0</v>
      </c>
      <c r="E764" s="18">
        <v>182.54</v>
      </c>
      <c r="F764" s="16" t="s">
        <v>335</v>
      </c>
      <c r="G764" s="21">
        <v>24.2173</v>
      </c>
      <c r="H764" s="21">
        <v>7.5376</v>
      </c>
      <c r="I764" s="17">
        <v>46073.0</v>
      </c>
      <c r="J764" s="18">
        <v>180.0</v>
      </c>
      <c r="K764" s="16">
        <v>1470.0</v>
      </c>
      <c r="L764" s="16" t="s">
        <v>2627</v>
      </c>
      <c r="M764" s="19">
        <v>1.39</v>
      </c>
      <c r="N764" s="16" t="s">
        <v>3471</v>
      </c>
      <c r="O764" s="16">
        <v>2508.0</v>
      </c>
      <c r="P764" s="19">
        <v>23.2408</v>
      </c>
      <c r="Q764" s="16" t="s">
        <v>2507</v>
      </c>
      <c r="R764" s="19">
        <v>-3.3208</v>
      </c>
      <c r="S764" s="20">
        <v>1929666.0</v>
      </c>
      <c r="T764" s="20">
        <v>4.1775858861E10</v>
      </c>
      <c r="U764" s="21">
        <v>5.8714</v>
      </c>
      <c r="V764" s="21">
        <v>8.4356</v>
      </c>
      <c r="W764" s="21">
        <v>8.2261</v>
      </c>
      <c r="X764" s="21">
        <v>5.7251</v>
      </c>
      <c r="Y764" s="21">
        <v>0.3401</v>
      </c>
      <c r="Z764" s="21">
        <v>2.9383</v>
      </c>
      <c r="AA764" s="16" t="s">
        <v>2611</v>
      </c>
      <c r="AB764" s="22">
        <f>IFERROR(__xludf.DUMMYFUNCTION("IFERROR(GOOGLEFINANCE(B764,""price""),"""")"),186.12)</f>
        <v>186.12</v>
      </c>
    </row>
    <row r="765">
      <c r="A765" s="7">
        <v>46066.62626812882</v>
      </c>
      <c r="B765" s="8" t="s">
        <v>2663</v>
      </c>
      <c r="C765" s="8" t="s">
        <v>2664</v>
      </c>
      <c r="D765" s="9">
        <v>46068.0</v>
      </c>
      <c r="E765" s="10">
        <v>125.15</v>
      </c>
      <c r="F765" s="8" t="s">
        <v>335</v>
      </c>
      <c r="G765" s="13">
        <v>19.4547</v>
      </c>
      <c r="H765" s="13">
        <v>6.4329</v>
      </c>
      <c r="I765" s="9">
        <v>46066.0</v>
      </c>
      <c r="J765" s="10">
        <v>125.0</v>
      </c>
      <c r="K765" s="8">
        <v>1319.0</v>
      </c>
      <c r="L765" s="8" t="s">
        <v>2608</v>
      </c>
      <c r="M765" s="11">
        <v>0.12</v>
      </c>
      <c r="N765" s="8" t="s">
        <v>3472</v>
      </c>
      <c r="O765" s="8">
        <v>2508.0</v>
      </c>
      <c r="P765" s="11">
        <v>21.8666</v>
      </c>
      <c r="Q765" s="8" t="s">
        <v>2666</v>
      </c>
      <c r="R765" s="11">
        <v>5.9516</v>
      </c>
      <c r="S765" s="12">
        <v>5547054.0</v>
      </c>
      <c r="T765" s="12">
        <v>1.36571560048E11</v>
      </c>
      <c r="U765" s="13">
        <v>5.8033</v>
      </c>
      <c r="V765" s="13">
        <v>22.8383</v>
      </c>
      <c r="W765" s="13">
        <v>42.3718</v>
      </c>
      <c r="X765" s="13">
        <v>26.2476</v>
      </c>
      <c r="Y765" s="13">
        <v>0.1701</v>
      </c>
      <c r="Z765" s="13">
        <v>2.0393</v>
      </c>
      <c r="AA765" s="8" t="s">
        <v>2611</v>
      </c>
      <c r="AB765" s="14">
        <f>IFERROR(__xludf.DUMMYFUNCTION("IFERROR(GOOGLEFINANCE(B765,""price""),"""")"),120.9)</f>
        <v>120.9</v>
      </c>
    </row>
    <row r="766">
      <c r="A766" s="15">
        <v>46066.62626812882</v>
      </c>
      <c r="B766" s="16" t="s">
        <v>3237</v>
      </c>
      <c r="C766" s="16" t="s">
        <v>3238</v>
      </c>
      <c r="D766" s="17">
        <v>46068.0</v>
      </c>
      <c r="E766" s="18">
        <v>327.44</v>
      </c>
      <c r="F766" s="16" t="s">
        <v>149</v>
      </c>
      <c r="G766" s="21">
        <v>27.3951</v>
      </c>
      <c r="H766" s="21">
        <v>11.9525</v>
      </c>
      <c r="I766" s="17">
        <v>46066.0</v>
      </c>
      <c r="J766" s="18">
        <v>325.0</v>
      </c>
      <c r="K766" s="16">
        <v>1385.0</v>
      </c>
      <c r="L766" s="16" t="s">
        <v>2608</v>
      </c>
      <c r="M766" s="19">
        <v>0.75</v>
      </c>
      <c r="N766" s="16" t="s">
        <v>3473</v>
      </c>
      <c r="O766" s="16">
        <v>2500.0</v>
      </c>
      <c r="P766" s="19">
        <v>31.1872</v>
      </c>
      <c r="Q766" s="16" t="s">
        <v>3240</v>
      </c>
      <c r="R766" s="19">
        <v>-1.3973</v>
      </c>
      <c r="S766" s="20">
        <v>2453939.0</v>
      </c>
      <c r="T766" s="20">
        <v>2.33187813525E11</v>
      </c>
      <c r="U766" s="21">
        <v>5.6802</v>
      </c>
      <c r="V766" s="24"/>
      <c r="W766" s="21">
        <v>46.1038</v>
      </c>
      <c r="X766" s="21">
        <v>3.723</v>
      </c>
      <c r="Y766" s="24"/>
      <c r="Z766" s="21">
        <v>0.9546</v>
      </c>
      <c r="AA766" s="16" t="s">
        <v>2611</v>
      </c>
      <c r="AB766" s="22">
        <f>IFERROR(__xludf.DUMMYFUNCTION("IFERROR(GOOGLEFINANCE(B766,""price""),"""")"),305.68)</f>
        <v>305.68</v>
      </c>
    </row>
    <row r="767">
      <c r="A767" s="7">
        <v>46066.62626812882</v>
      </c>
      <c r="B767" s="8" t="s">
        <v>2344</v>
      </c>
      <c r="C767" s="8" t="s">
        <v>2345</v>
      </c>
      <c r="D767" s="9">
        <v>46068.0</v>
      </c>
      <c r="E767" s="10">
        <v>72.23</v>
      </c>
      <c r="F767" s="8" t="s">
        <v>270</v>
      </c>
      <c r="G767" s="23"/>
      <c r="H767" s="23"/>
      <c r="I767" s="9">
        <v>46066.0</v>
      </c>
      <c r="J767" s="10">
        <v>73.0</v>
      </c>
      <c r="K767" s="8">
        <v>2214.0</v>
      </c>
      <c r="L767" s="8" t="s">
        <v>2608</v>
      </c>
      <c r="M767" s="11">
        <v>1.07</v>
      </c>
      <c r="N767" s="8" t="s">
        <v>3474</v>
      </c>
      <c r="O767" s="8">
        <v>2214.0</v>
      </c>
      <c r="P767" s="11">
        <v>40.3166</v>
      </c>
      <c r="Q767" s="8" t="s">
        <v>2346</v>
      </c>
      <c r="R767" s="11">
        <v>1.5465</v>
      </c>
      <c r="S767" s="12">
        <v>4334213.0</v>
      </c>
      <c r="T767" s="12">
        <v>8.8208635723E10</v>
      </c>
      <c r="U767" s="13">
        <v>1.8827</v>
      </c>
      <c r="V767" s="13">
        <v>20.7424</v>
      </c>
      <c r="W767" s="13">
        <v>36.7664</v>
      </c>
      <c r="X767" s="13">
        <v>10.611</v>
      </c>
      <c r="Y767" s="13">
        <v>2.2926</v>
      </c>
      <c r="Z767" s="13">
        <v>0.5313</v>
      </c>
      <c r="AA767" s="8" t="s">
        <v>2620</v>
      </c>
      <c r="AB767" s="14">
        <f>IFERROR(__xludf.DUMMYFUNCTION("IFERROR(GOOGLEFINANCE(B767,""price""),"""")"),72.74)</f>
        <v>72.74</v>
      </c>
    </row>
    <row r="768">
      <c r="A768" s="15">
        <v>46066.62626812882</v>
      </c>
      <c r="B768" s="16" t="s">
        <v>2650</v>
      </c>
      <c r="C768" s="16" t="s">
        <v>2651</v>
      </c>
      <c r="D768" s="17">
        <v>46068.0</v>
      </c>
      <c r="E768" s="18">
        <v>216.0</v>
      </c>
      <c r="F768" s="16" t="s">
        <v>308</v>
      </c>
      <c r="G768" s="21">
        <v>213.7767</v>
      </c>
      <c r="H768" s="21">
        <v>1.0104</v>
      </c>
      <c r="I768" s="17">
        <v>46066.0</v>
      </c>
      <c r="J768" s="18">
        <v>217.5</v>
      </c>
      <c r="K768" s="16">
        <v>1918.0</v>
      </c>
      <c r="L768" s="16" t="s">
        <v>2627</v>
      </c>
      <c r="M768" s="19">
        <v>0.69</v>
      </c>
      <c r="N768" s="16" t="s">
        <v>3432</v>
      </c>
      <c r="O768" s="16">
        <v>1918.0</v>
      </c>
      <c r="P768" s="19">
        <v>18.9293</v>
      </c>
      <c r="Q768" s="16" t="s">
        <v>2653</v>
      </c>
      <c r="R768" s="19">
        <v>-0.0463</v>
      </c>
      <c r="S768" s="20">
        <v>3308740.0</v>
      </c>
      <c r="T768" s="20">
        <v>4.0496082321E10</v>
      </c>
      <c r="U768" s="21">
        <v>18.6654</v>
      </c>
      <c r="V768" s="21">
        <v>3.6337</v>
      </c>
      <c r="W768" s="21">
        <v>11.7943</v>
      </c>
      <c r="X768" s="21">
        <v>18.6256</v>
      </c>
      <c r="Y768" s="21">
        <v>0.4153</v>
      </c>
      <c r="Z768" s="21">
        <v>2.2518</v>
      </c>
      <c r="AA768" s="16" t="s">
        <v>2620</v>
      </c>
      <c r="AB768" s="22">
        <f>IFERROR(__xludf.DUMMYFUNCTION("IFERROR(GOOGLEFINANCE(B768,""price""),"""")"),307.5)</f>
        <v>307.5</v>
      </c>
    </row>
    <row r="769">
      <c r="A769" s="7">
        <v>46066.62626812882</v>
      </c>
      <c r="B769" s="8" t="s">
        <v>2117</v>
      </c>
      <c r="C769" s="8" t="s">
        <v>2118</v>
      </c>
      <c r="D769" s="9">
        <v>46068.0</v>
      </c>
      <c r="E769" s="10">
        <v>160.81</v>
      </c>
      <c r="F769" s="8" t="s">
        <v>149</v>
      </c>
      <c r="G769" s="13">
        <v>28.9701</v>
      </c>
      <c r="H769" s="13">
        <v>5.5509</v>
      </c>
      <c r="I769" s="9">
        <v>46073.0</v>
      </c>
      <c r="J769" s="10">
        <v>160.0</v>
      </c>
      <c r="K769" s="8">
        <v>1867.0</v>
      </c>
      <c r="L769" s="8" t="s">
        <v>2608</v>
      </c>
      <c r="M769" s="11">
        <v>0.5</v>
      </c>
      <c r="N769" s="8" t="s">
        <v>3475</v>
      </c>
      <c r="O769" s="8">
        <v>1867.0</v>
      </c>
      <c r="P769" s="11">
        <v>25.8723</v>
      </c>
      <c r="Q769" s="8" t="s">
        <v>2119</v>
      </c>
      <c r="R769" s="11">
        <v>-1.5127</v>
      </c>
      <c r="S769" s="12">
        <v>1279268.0</v>
      </c>
      <c r="T769" s="12">
        <v>4.4649351585E10</v>
      </c>
      <c r="U769" s="13">
        <v>3.4599</v>
      </c>
      <c r="V769" s="23"/>
      <c r="W769" s="13">
        <v>30.9388</v>
      </c>
      <c r="X769" s="13">
        <v>8.7959</v>
      </c>
      <c r="Y769" s="23"/>
      <c r="Z769" s="13">
        <v>1.3456</v>
      </c>
      <c r="AA769" s="8" t="s">
        <v>2611</v>
      </c>
      <c r="AB769" s="14">
        <f>IFERROR(__xludf.DUMMYFUNCTION("IFERROR(GOOGLEFINANCE(B769,""price""),"""")"),161.76)</f>
        <v>161.76</v>
      </c>
    </row>
    <row r="770">
      <c r="A770" s="15">
        <v>46066.62626812882</v>
      </c>
      <c r="B770" s="16" t="s">
        <v>2726</v>
      </c>
      <c r="C770" s="16" t="s">
        <v>2727</v>
      </c>
      <c r="D770" s="17">
        <v>46068.0</v>
      </c>
      <c r="E770" s="18">
        <v>81.11</v>
      </c>
      <c r="F770" s="16" t="s">
        <v>286</v>
      </c>
      <c r="G770" s="21">
        <v>46.1744</v>
      </c>
      <c r="H770" s="21">
        <v>1.7566</v>
      </c>
      <c r="I770" s="17">
        <v>46073.0</v>
      </c>
      <c r="J770" s="18">
        <v>82.5</v>
      </c>
      <c r="K770" s="16">
        <v>1803.0</v>
      </c>
      <c r="L770" s="16" t="s">
        <v>2608</v>
      </c>
      <c r="M770" s="19">
        <v>1.71</v>
      </c>
      <c r="N770" s="16" t="s">
        <v>3476</v>
      </c>
      <c r="O770" s="16">
        <v>1803.0</v>
      </c>
      <c r="P770" s="19">
        <v>33.8351</v>
      </c>
      <c r="Q770" s="16" t="s">
        <v>2729</v>
      </c>
      <c r="R770" s="19">
        <v>-0.0739</v>
      </c>
      <c r="S770" s="20">
        <v>2915311.0</v>
      </c>
      <c r="T770" s="20">
        <v>7.9246186058E10</v>
      </c>
      <c r="U770" s="21">
        <v>1.4992</v>
      </c>
      <c r="V770" s="21">
        <v>25.538</v>
      </c>
      <c r="W770" s="21">
        <v>29.9505</v>
      </c>
      <c r="X770" s="21">
        <v>7.618</v>
      </c>
      <c r="Y770" s="21">
        <v>0.0</v>
      </c>
      <c r="Z770" s="21">
        <v>3.1855</v>
      </c>
      <c r="AA770" s="16" t="s">
        <v>2620</v>
      </c>
      <c r="AB770" s="22">
        <f>IFERROR(__xludf.DUMMYFUNCTION("IFERROR(GOOGLEFINANCE(B770,""price""),"""")"),75.72)</f>
        <v>75.72</v>
      </c>
    </row>
    <row r="771">
      <c r="A771" s="7">
        <v>46066.62626812882</v>
      </c>
      <c r="B771" s="8" t="s">
        <v>2521</v>
      </c>
      <c r="C771" s="8" t="s">
        <v>2522</v>
      </c>
      <c r="D771" s="9">
        <v>46068.0</v>
      </c>
      <c r="E771" s="10">
        <v>337.1</v>
      </c>
      <c r="F771" s="8" t="s">
        <v>308</v>
      </c>
      <c r="G771" s="13">
        <v>73.775</v>
      </c>
      <c r="H771" s="13">
        <v>4.5693</v>
      </c>
      <c r="I771" s="9">
        <v>46066.0</v>
      </c>
      <c r="J771" s="10">
        <v>332.5</v>
      </c>
      <c r="K771" s="8">
        <v>1710.0</v>
      </c>
      <c r="L771" s="8" t="s">
        <v>2608</v>
      </c>
      <c r="M771" s="11">
        <v>1.36</v>
      </c>
      <c r="N771" s="8" t="s">
        <v>3477</v>
      </c>
      <c r="O771" s="8">
        <v>1710.0</v>
      </c>
      <c r="P771" s="11">
        <v>44.6678</v>
      </c>
      <c r="Q771" s="8" t="s">
        <v>2523</v>
      </c>
      <c r="R771" s="11">
        <v>1.7323</v>
      </c>
      <c r="S771" s="12">
        <v>2273029.0</v>
      </c>
      <c r="T771" s="12">
        <v>1.6471669414E11</v>
      </c>
      <c r="U771" s="13">
        <v>9.4995</v>
      </c>
      <c r="V771" s="13">
        <v>6.5728</v>
      </c>
      <c r="W771" s="13">
        <v>27.2724</v>
      </c>
      <c r="X771" s="13">
        <v>16.8932</v>
      </c>
      <c r="Y771" s="13">
        <v>0.2646</v>
      </c>
      <c r="Z771" s="13">
        <v>2.1899</v>
      </c>
      <c r="AA771" s="8" t="s">
        <v>2611</v>
      </c>
      <c r="AB771" s="14">
        <f>IFERROR(__xludf.DUMMYFUNCTION("IFERROR(GOOGLEFINANCE(B771,""price""),"""")"),350.14)</f>
        <v>350.14</v>
      </c>
    </row>
    <row r="772">
      <c r="A772" s="15">
        <v>46066.62626812882</v>
      </c>
      <c r="B772" s="16" t="s">
        <v>3291</v>
      </c>
      <c r="C772" s="16" t="s">
        <v>3292</v>
      </c>
      <c r="D772" s="17">
        <v>46068.0</v>
      </c>
      <c r="E772" s="18">
        <v>233.9208</v>
      </c>
      <c r="F772" s="16" t="s">
        <v>270</v>
      </c>
      <c r="G772" s="21">
        <v>34.9208</v>
      </c>
      <c r="H772" s="21">
        <v>6.6986</v>
      </c>
      <c r="I772" s="17">
        <v>46073.0</v>
      </c>
      <c r="J772" s="18">
        <v>230.0</v>
      </c>
      <c r="K772" s="16">
        <v>1639.0</v>
      </c>
      <c r="L772" s="16" t="s">
        <v>2608</v>
      </c>
      <c r="M772" s="19">
        <v>1.68</v>
      </c>
      <c r="N772" s="16" t="s">
        <v>3478</v>
      </c>
      <c r="O772" s="16">
        <v>1639.0</v>
      </c>
      <c r="P772" s="19">
        <v>19.7669</v>
      </c>
      <c r="Q772" s="16" t="s">
        <v>3294</v>
      </c>
      <c r="R772" s="19">
        <v>1.26</v>
      </c>
      <c r="S772" s="20">
        <v>2180964.0</v>
      </c>
      <c r="T772" s="20">
        <v>9.4348627232E10</v>
      </c>
      <c r="U772" s="21">
        <v>4.6673</v>
      </c>
      <c r="V772" s="21">
        <v>29.6897</v>
      </c>
      <c r="W772" s="21">
        <v>18.2788</v>
      </c>
      <c r="X772" s="21">
        <v>14.2365</v>
      </c>
      <c r="Y772" s="21">
        <v>2.3941</v>
      </c>
      <c r="Z772" s="21">
        <v>0.8888</v>
      </c>
      <c r="AA772" s="16" t="s">
        <v>2611</v>
      </c>
      <c r="AB772" s="22">
        <f>IFERROR(__xludf.DUMMYFUNCTION("IFERROR(GOOGLEFINANCE(B772,""price""),"""")"),229.45)</f>
        <v>229.45</v>
      </c>
    </row>
    <row r="773">
      <c r="A773" s="7">
        <v>46066.62626812882</v>
      </c>
      <c r="B773" s="8" t="s">
        <v>2696</v>
      </c>
      <c r="C773" s="8" t="s">
        <v>2697</v>
      </c>
      <c r="D773" s="9">
        <v>46068.0</v>
      </c>
      <c r="E773" s="10">
        <v>173.93</v>
      </c>
      <c r="F773" s="8" t="s">
        <v>162</v>
      </c>
      <c r="G773" s="13">
        <v>35.991</v>
      </c>
      <c r="H773" s="13">
        <v>4.8326</v>
      </c>
      <c r="I773" s="9">
        <v>46073.0</v>
      </c>
      <c r="J773" s="10">
        <v>175.0</v>
      </c>
      <c r="K773" s="8">
        <v>1635.0</v>
      </c>
      <c r="L773" s="8" t="s">
        <v>2608</v>
      </c>
      <c r="M773" s="11">
        <v>0.62</v>
      </c>
      <c r="N773" s="8" t="s">
        <v>3479</v>
      </c>
      <c r="O773" s="8">
        <v>1635.0</v>
      </c>
      <c r="P773" s="11">
        <v>48.9156</v>
      </c>
      <c r="Q773" s="8" t="s">
        <v>2699</v>
      </c>
      <c r="R773" s="11">
        <v>3.6655</v>
      </c>
      <c r="S773" s="12">
        <v>5452379.0</v>
      </c>
      <c r="T773" s="12">
        <v>2.0547598961E10</v>
      </c>
      <c r="U773" s="13">
        <v>8.297</v>
      </c>
      <c r="V773" s="13">
        <v>32.9109</v>
      </c>
      <c r="W773" s="13">
        <v>4.906</v>
      </c>
      <c r="X773" s="13">
        <v>-8.4186</v>
      </c>
      <c r="Y773" s="13">
        <v>0.756</v>
      </c>
      <c r="Z773" s="13">
        <v>1.5278</v>
      </c>
      <c r="AA773" s="8" t="s">
        <v>2620</v>
      </c>
      <c r="AB773" s="14">
        <f>IFERROR(__xludf.DUMMYFUNCTION("IFERROR(GOOGLEFINANCE(B773,""price""),"""")"),163.49)</f>
        <v>163.49</v>
      </c>
    </row>
    <row r="774">
      <c r="A774" s="15">
        <v>46066.62626812882</v>
      </c>
      <c r="B774" s="16" t="s">
        <v>2438</v>
      </c>
      <c r="C774" s="16" t="s">
        <v>2439</v>
      </c>
      <c r="D774" s="17">
        <v>46068.0</v>
      </c>
      <c r="E774" s="18">
        <v>225.89</v>
      </c>
      <c r="F774" s="16" t="s">
        <v>308</v>
      </c>
      <c r="G774" s="21">
        <v>41.4827</v>
      </c>
      <c r="H774" s="21">
        <v>5.4454</v>
      </c>
      <c r="I774" s="17">
        <v>46066.0</v>
      </c>
      <c r="J774" s="18">
        <v>227.5</v>
      </c>
      <c r="K774" s="16">
        <v>1521.0</v>
      </c>
      <c r="L774" s="16" t="s">
        <v>2608</v>
      </c>
      <c r="M774" s="19">
        <v>0.71</v>
      </c>
      <c r="N774" s="16" t="s">
        <v>3480</v>
      </c>
      <c r="O774" s="16">
        <v>1521.0</v>
      </c>
      <c r="P774" s="19">
        <v>50.524</v>
      </c>
      <c r="Q774" s="16" t="s">
        <v>2440</v>
      </c>
      <c r="R774" s="19">
        <v>1.296</v>
      </c>
      <c r="S774" s="20">
        <v>3067775.0</v>
      </c>
      <c r="T774" s="20">
        <v>2.05006632189E11</v>
      </c>
      <c r="U774" s="21">
        <v>6.7203</v>
      </c>
      <c r="V774" s="21">
        <v>29.9795</v>
      </c>
      <c r="W774" s="21">
        <v>34.7246</v>
      </c>
      <c r="X774" s="21">
        <v>13.049</v>
      </c>
      <c r="Y774" s="21">
        <v>0.9082</v>
      </c>
      <c r="Z774" s="21">
        <v>4.3526</v>
      </c>
      <c r="AA774" s="16" t="s">
        <v>2620</v>
      </c>
      <c r="AB774" s="22">
        <f>IFERROR(__xludf.DUMMYFUNCTION("IFERROR(GOOGLEFINANCE(B774,""price""),"""")"),214.73)</f>
        <v>214.73</v>
      </c>
    </row>
    <row r="775">
      <c r="A775" s="7">
        <v>46066.62626812882</v>
      </c>
      <c r="B775" s="8" t="s">
        <v>3443</v>
      </c>
      <c r="C775" s="8" t="s">
        <v>3444</v>
      </c>
      <c r="D775" s="9">
        <v>46068.0</v>
      </c>
      <c r="E775" s="10">
        <v>109.87</v>
      </c>
      <c r="F775" s="8" t="s">
        <v>162</v>
      </c>
      <c r="G775" s="13">
        <v>10.7383</v>
      </c>
      <c r="H775" s="13">
        <v>10.2316</v>
      </c>
      <c r="I775" s="9">
        <v>46066.0</v>
      </c>
      <c r="J775" s="10">
        <v>110.0</v>
      </c>
      <c r="K775" s="8">
        <v>1403.0</v>
      </c>
      <c r="L775" s="8" t="s">
        <v>2627</v>
      </c>
      <c r="M775" s="11">
        <v>0.12</v>
      </c>
      <c r="N775" s="8" t="s">
        <v>3481</v>
      </c>
      <c r="O775" s="8">
        <v>1403.0</v>
      </c>
      <c r="P775" s="11">
        <v>18.3426</v>
      </c>
      <c r="Q775" s="8" t="s">
        <v>3446</v>
      </c>
      <c r="R775" s="11">
        <v>0.5215</v>
      </c>
      <c r="S775" s="12">
        <v>3680529.0</v>
      </c>
      <c r="T775" s="12">
        <v>3.5569095777E10</v>
      </c>
      <c r="U775" s="13">
        <v>4.8591</v>
      </c>
      <c r="V775" s="13">
        <v>23.9868</v>
      </c>
      <c r="W775" s="13">
        <v>8.4221</v>
      </c>
      <c r="X775" s="13">
        <v>3.5189</v>
      </c>
      <c r="Y775" s="13">
        <v>2.0309</v>
      </c>
      <c r="Z775" s="13">
        <v>0.645</v>
      </c>
      <c r="AA775" s="8" t="s">
        <v>2620</v>
      </c>
      <c r="AB775" s="14">
        <f>IFERROR(__xludf.DUMMYFUNCTION("IFERROR(GOOGLEFINANCE(B775,""price""),"""")"),96.4)</f>
        <v>96.4</v>
      </c>
    </row>
    <row r="776">
      <c r="A776" s="15">
        <v>46066.62626812882</v>
      </c>
      <c r="B776" s="16" t="s">
        <v>3347</v>
      </c>
      <c r="C776" s="16" t="s">
        <v>3348</v>
      </c>
      <c r="D776" s="17">
        <v>46068.0</v>
      </c>
      <c r="E776" s="18">
        <v>313.76</v>
      </c>
      <c r="F776" s="16" t="s">
        <v>308</v>
      </c>
      <c r="G776" s="21">
        <v>38.5511</v>
      </c>
      <c r="H776" s="21">
        <v>8.1388</v>
      </c>
      <c r="I776" s="17">
        <v>46066.0</v>
      </c>
      <c r="J776" s="18">
        <v>307.5</v>
      </c>
      <c r="K776" s="16">
        <v>1364.0</v>
      </c>
      <c r="L776" s="16" t="s">
        <v>2627</v>
      </c>
      <c r="M776" s="19">
        <v>2.0</v>
      </c>
      <c r="N776" s="16" t="s">
        <v>3482</v>
      </c>
      <c r="O776" s="16">
        <v>1364.0</v>
      </c>
      <c r="P776" s="19">
        <v>18.0194</v>
      </c>
      <c r="Q776" s="16" t="s">
        <v>3350</v>
      </c>
      <c r="R776" s="19">
        <v>0.2781</v>
      </c>
      <c r="S776" s="20">
        <v>3153013.0</v>
      </c>
      <c r="T776" s="20">
        <v>3.29075770114E11</v>
      </c>
      <c r="U776" s="21">
        <v>9.6129</v>
      </c>
      <c r="V776" s="21">
        <v>45.2353</v>
      </c>
      <c r="W776" s="21">
        <v>18.207</v>
      </c>
      <c r="X776" s="21">
        <v>0.1223</v>
      </c>
      <c r="Y776" s="21">
        <v>1.1542</v>
      </c>
      <c r="Z776" s="21">
        <v>1.0415</v>
      </c>
      <c r="AA776" s="16" t="s">
        <v>2611</v>
      </c>
      <c r="AB776" s="22">
        <f>IFERROR(__xludf.DUMMYFUNCTION("IFERROR(GOOGLEFINANCE(B776,""price""),"""")"),308.35)</f>
        <v>308.35</v>
      </c>
    </row>
    <row r="777">
      <c r="A777" s="7">
        <v>46066.62626812882</v>
      </c>
      <c r="B777" s="8" t="s">
        <v>3141</v>
      </c>
      <c r="C777" s="8" t="s">
        <v>3142</v>
      </c>
      <c r="D777" s="9">
        <v>46068.0</v>
      </c>
      <c r="E777" s="10">
        <v>324.2075</v>
      </c>
      <c r="F777" s="8" t="s">
        <v>93</v>
      </c>
      <c r="G777" s="13">
        <v>12.6045</v>
      </c>
      <c r="H777" s="13">
        <v>25.7215</v>
      </c>
      <c r="I777" s="9">
        <v>46073.0</v>
      </c>
      <c r="J777" s="10">
        <v>325.0</v>
      </c>
      <c r="K777" s="8">
        <v>1156.0</v>
      </c>
      <c r="L777" s="8" t="s">
        <v>2608</v>
      </c>
      <c r="M777" s="11">
        <v>0.24</v>
      </c>
      <c r="N777" s="8" t="s">
        <v>3483</v>
      </c>
      <c r="O777" s="8">
        <v>1156.0</v>
      </c>
      <c r="P777" s="11">
        <v>28.8943</v>
      </c>
      <c r="Q777" s="8" t="s">
        <v>3144</v>
      </c>
      <c r="R777" s="11">
        <v>-2.4969</v>
      </c>
      <c r="S777" s="12">
        <v>1365024.0</v>
      </c>
      <c r="T777" s="12">
        <v>1.27592138448E11</v>
      </c>
      <c r="U777" s="13">
        <v>7.056</v>
      </c>
      <c r="V777" s="13">
        <v>14.9661</v>
      </c>
      <c r="W777" s="13">
        <v>21.2322</v>
      </c>
      <c r="X777" s="13">
        <v>6.9142</v>
      </c>
      <c r="Y777" s="23"/>
      <c r="Z777" s="13">
        <v>0.2721</v>
      </c>
      <c r="AA777" s="8" t="s">
        <v>2620</v>
      </c>
      <c r="AB777" s="14">
        <f>IFERROR(__xludf.DUMMYFUNCTION("IFERROR(GOOGLEFINANCE(B777,""price""),"""")"),327.91)</f>
        <v>327.91</v>
      </c>
    </row>
    <row r="778">
      <c r="A778" s="15">
        <v>46066.62626812882</v>
      </c>
      <c r="B778" s="16" t="s">
        <v>2528</v>
      </c>
      <c r="C778" s="16" t="s">
        <v>2529</v>
      </c>
      <c r="D778" s="17">
        <v>46068.0</v>
      </c>
      <c r="E778" s="18">
        <v>61.095</v>
      </c>
      <c r="F778" s="16" t="s">
        <v>93</v>
      </c>
      <c r="G778" s="21">
        <v>10.1708</v>
      </c>
      <c r="H778" s="21">
        <v>6.0069</v>
      </c>
      <c r="I778" s="17">
        <v>46073.0</v>
      </c>
      <c r="J778" s="18">
        <v>60.0</v>
      </c>
      <c r="K778" s="16">
        <v>1058.0</v>
      </c>
      <c r="L778" s="16" t="s">
        <v>2608</v>
      </c>
      <c r="M778" s="19">
        <v>1.79</v>
      </c>
      <c r="N778" s="16" t="s">
        <v>3484</v>
      </c>
      <c r="O778" s="16">
        <v>1058.0</v>
      </c>
      <c r="P778" s="19">
        <v>23.9171</v>
      </c>
      <c r="Q778" s="16" t="s">
        <v>2530</v>
      </c>
      <c r="R778" s="19">
        <v>1.5036</v>
      </c>
      <c r="S778" s="20">
        <v>1854850.0</v>
      </c>
      <c r="T778" s="20">
        <v>9.020128949E9</v>
      </c>
      <c r="U778" s="21">
        <v>1.8528</v>
      </c>
      <c r="V778" s="21">
        <v>13.3945</v>
      </c>
      <c r="W778" s="21">
        <v>23.7662</v>
      </c>
      <c r="X778" s="21">
        <v>-1.0012</v>
      </c>
      <c r="Y778" s="21">
        <v>0.6373</v>
      </c>
      <c r="Z778" s="21">
        <v>0.1512</v>
      </c>
      <c r="AA778" s="16" t="s">
        <v>2611</v>
      </c>
      <c r="AB778" s="22">
        <f>IFERROR(__xludf.DUMMYFUNCTION("IFERROR(GOOGLEFINANCE(B778,""price""),"""")"),61.05)</f>
        <v>61.05</v>
      </c>
    </row>
    <row r="779">
      <c r="A779" s="7">
        <v>46069.62611062368</v>
      </c>
      <c r="B779" s="8" t="s">
        <v>1489</v>
      </c>
      <c r="C779" s="8" t="s">
        <v>1490</v>
      </c>
      <c r="D779" s="9">
        <v>46075.0</v>
      </c>
      <c r="E779" s="10">
        <v>76.85</v>
      </c>
      <c r="F779" s="8" t="s">
        <v>308</v>
      </c>
      <c r="G779" s="13">
        <v>27.0038</v>
      </c>
      <c r="H779" s="13">
        <v>2.8459</v>
      </c>
      <c r="I779" s="9">
        <v>46073.0</v>
      </c>
      <c r="J779" s="10">
        <v>77.5</v>
      </c>
      <c r="K779" s="8">
        <v>12175.0</v>
      </c>
      <c r="L779" s="8" t="s">
        <v>2608</v>
      </c>
      <c r="M779" s="11">
        <v>0.85</v>
      </c>
      <c r="N779" s="8" t="s">
        <v>3485</v>
      </c>
      <c r="O779" s="8">
        <v>23052.0</v>
      </c>
      <c r="P779" s="11">
        <v>36.239</v>
      </c>
      <c r="Q779" s="8" t="s">
        <v>1491</v>
      </c>
      <c r="R779" s="11">
        <v>2.4667</v>
      </c>
      <c r="S779" s="12">
        <v>4.2886422E7</v>
      </c>
      <c r="T779" s="12">
        <v>3.03641604945E11</v>
      </c>
      <c r="U779" s="13">
        <v>2.7241</v>
      </c>
      <c r="V779" s="13">
        <v>24.3402</v>
      </c>
      <c r="W779" s="13">
        <v>23.824</v>
      </c>
      <c r="X779" s="13">
        <v>9.004</v>
      </c>
      <c r="Y779" s="13">
        <v>0.6304</v>
      </c>
      <c r="Z779" s="13">
        <v>0.955</v>
      </c>
      <c r="AA779" s="8" t="s">
        <v>2620</v>
      </c>
      <c r="AB779" s="14">
        <f>IFERROR(__xludf.DUMMYFUNCTION("IFERROR(GOOGLEFINANCE(B779,""price""),"""")"),82.22)</f>
        <v>82.22</v>
      </c>
    </row>
    <row r="780">
      <c r="A780" s="15">
        <v>46069.62611062368</v>
      </c>
      <c r="B780" s="16" t="s">
        <v>2616</v>
      </c>
      <c r="C780" s="16" t="s">
        <v>2617</v>
      </c>
      <c r="D780" s="17">
        <v>46075.0</v>
      </c>
      <c r="E780" s="18">
        <v>78.68</v>
      </c>
      <c r="F780" s="16" t="s">
        <v>286</v>
      </c>
      <c r="G780" s="21">
        <v>25.8944</v>
      </c>
      <c r="H780" s="21">
        <v>3.0385</v>
      </c>
      <c r="I780" s="17">
        <v>46073.0</v>
      </c>
      <c r="J780" s="18">
        <v>80.0</v>
      </c>
      <c r="K780" s="16">
        <v>6615.0</v>
      </c>
      <c r="L780" s="16" t="s">
        <v>2608</v>
      </c>
      <c r="M780" s="19">
        <v>1.68</v>
      </c>
      <c r="N780" s="16" t="s">
        <v>3486</v>
      </c>
      <c r="O780" s="16">
        <v>18145.0</v>
      </c>
      <c r="P780" s="19">
        <v>39.5642</v>
      </c>
      <c r="Q780" s="16" t="s">
        <v>2619</v>
      </c>
      <c r="R780" s="19">
        <v>-0.4051</v>
      </c>
      <c r="S780" s="20">
        <v>1.671185E7</v>
      </c>
      <c r="T780" s="20">
        <v>3.3845058852E11</v>
      </c>
      <c r="U780" s="21">
        <v>1.3698</v>
      </c>
      <c r="V780" s="21">
        <v>45.9693</v>
      </c>
      <c r="W780" s="21">
        <v>29.0951</v>
      </c>
      <c r="X780" s="21">
        <v>3.1925</v>
      </c>
      <c r="Y780" s="21">
        <v>1.4142</v>
      </c>
      <c r="Z780" s="21">
        <v>1.4588</v>
      </c>
      <c r="AA780" s="16" t="s">
        <v>2620</v>
      </c>
      <c r="AB780" s="22">
        <f>IFERROR(__xludf.DUMMYFUNCTION("IFERROR(GOOGLEFINANCE(B780,""price""),"""")"),77.47)</f>
        <v>77.47</v>
      </c>
    </row>
    <row r="781">
      <c r="A781" s="7">
        <v>46069.62611062368</v>
      </c>
      <c r="B781" s="8" t="s">
        <v>3086</v>
      </c>
      <c r="C781" s="8" t="s">
        <v>3087</v>
      </c>
      <c r="D781" s="9">
        <v>46075.0</v>
      </c>
      <c r="E781" s="10">
        <v>69.0</v>
      </c>
      <c r="F781" s="8" t="s">
        <v>162</v>
      </c>
      <c r="G781" s="13">
        <v>9.008</v>
      </c>
      <c r="H781" s="13">
        <v>7.6599</v>
      </c>
      <c r="I781" s="9">
        <v>46073.0</v>
      </c>
      <c r="J781" s="10">
        <v>70.0</v>
      </c>
      <c r="K781" s="8">
        <v>7281.0</v>
      </c>
      <c r="L781" s="8" t="s">
        <v>2627</v>
      </c>
      <c r="M781" s="11">
        <v>1.45</v>
      </c>
      <c r="N781" s="8" t="s">
        <v>3487</v>
      </c>
      <c r="O781" s="8">
        <v>15206.0</v>
      </c>
      <c r="P781" s="11">
        <v>17.6143</v>
      </c>
      <c r="Q781" s="8" t="s">
        <v>3089</v>
      </c>
      <c r="R781" s="11">
        <v>-0.7194</v>
      </c>
      <c r="S781" s="12">
        <v>7381308.0</v>
      </c>
      <c r="T781" s="12">
        <v>4.5066016663E10</v>
      </c>
      <c r="U781" s="13">
        <v>2.6839</v>
      </c>
      <c r="V781" s="13">
        <v>27.6988</v>
      </c>
      <c r="W781" s="13">
        <v>9.1882</v>
      </c>
      <c r="X781" s="13">
        <v>2.7935</v>
      </c>
      <c r="Y781" s="13">
        <v>0.9722</v>
      </c>
      <c r="Z781" s="13">
        <v>0.397</v>
      </c>
      <c r="AA781" s="8" t="s">
        <v>2620</v>
      </c>
      <c r="AB781" s="14">
        <f>IFERROR(__xludf.DUMMYFUNCTION("IFERROR(GOOGLEFINANCE(B781,""price""),"""")"),67.82)</f>
        <v>67.82</v>
      </c>
    </row>
    <row r="782">
      <c r="A782" s="15">
        <v>46069.62611062368</v>
      </c>
      <c r="B782" s="16" t="s">
        <v>2621</v>
      </c>
      <c r="C782" s="16" t="s">
        <v>2622</v>
      </c>
      <c r="D782" s="17">
        <v>46075.0</v>
      </c>
      <c r="E782" s="18">
        <v>62.84</v>
      </c>
      <c r="F782" s="16" t="s">
        <v>335</v>
      </c>
      <c r="G782" s="21">
        <v>41.5059</v>
      </c>
      <c r="H782" s="21">
        <v>1.514</v>
      </c>
      <c r="I782" s="17">
        <v>46073.0</v>
      </c>
      <c r="J782" s="18">
        <v>63.0</v>
      </c>
      <c r="K782" s="16">
        <v>3926.0</v>
      </c>
      <c r="L782" s="16" t="s">
        <v>2608</v>
      </c>
      <c r="M782" s="19">
        <v>0.25</v>
      </c>
      <c r="N782" s="16" t="s">
        <v>3488</v>
      </c>
      <c r="O782" s="16">
        <v>14127.0</v>
      </c>
      <c r="P782" s="19">
        <v>35.7094</v>
      </c>
      <c r="Q782" s="16" t="s">
        <v>2624</v>
      </c>
      <c r="R782" s="19">
        <v>1.2895</v>
      </c>
      <c r="S782" s="20">
        <v>1.4370639E7</v>
      </c>
      <c r="T782" s="20">
        <v>9.0233883149E10</v>
      </c>
      <c r="U782" s="21">
        <v>2.941</v>
      </c>
      <c r="V782" s="21">
        <v>11.9792</v>
      </c>
      <c r="W782" s="21">
        <v>22.7913</v>
      </c>
      <c r="X782" s="21">
        <v>-0.0477</v>
      </c>
      <c r="Y782" s="21">
        <v>0.5552</v>
      </c>
      <c r="Z782" s="21">
        <v>2.2911</v>
      </c>
      <c r="AA782" s="16" t="s">
        <v>2620</v>
      </c>
      <c r="AB782" s="22">
        <f>IFERROR(__xludf.DUMMYFUNCTION("IFERROR(GOOGLEFINANCE(B782,""price""),"""")"),67.8)</f>
        <v>67.8</v>
      </c>
    </row>
    <row r="783">
      <c r="A783" s="7">
        <v>46069.62611062368</v>
      </c>
      <c r="B783" s="8" t="s">
        <v>2580</v>
      </c>
      <c r="C783" s="8" t="s">
        <v>2581</v>
      </c>
      <c r="D783" s="9">
        <v>46075.0</v>
      </c>
      <c r="E783" s="10">
        <v>294.21</v>
      </c>
      <c r="F783" s="8" t="s">
        <v>93</v>
      </c>
      <c r="G783" s="13">
        <v>10.6853</v>
      </c>
      <c r="H783" s="13">
        <v>27.5341</v>
      </c>
      <c r="I783" s="9">
        <v>46073.0</v>
      </c>
      <c r="J783" s="10">
        <v>290.0</v>
      </c>
      <c r="K783" s="8">
        <v>13551.0</v>
      </c>
      <c r="L783" s="8" t="s">
        <v>2627</v>
      </c>
      <c r="M783" s="11">
        <v>1.43</v>
      </c>
      <c r="N783" s="8" t="s">
        <v>3454</v>
      </c>
      <c r="O783" s="8">
        <v>13551.0</v>
      </c>
      <c r="P783" s="11">
        <v>22.9377</v>
      </c>
      <c r="Q783" s="8" t="s">
        <v>2582</v>
      </c>
      <c r="R783" s="11">
        <v>-1.0826</v>
      </c>
      <c r="S783" s="12">
        <v>1764456.0</v>
      </c>
      <c r="T783" s="12">
        <v>6.3619350647E10</v>
      </c>
      <c r="U783" s="13">
        <v>6.1099</v>
      </c>
      <c r="V783" s="13">
        <v>20.6985</v>
      </c>
      <c r="W783" s="13">
        <v>16.8367</v>
      </c>
      <c r="X783" s="13">
        <v>5.1806</v>
      </c>
      <c r="Y783" s="13">
        <v>0.2892</v>
      </c>
      <c r="Z783" s="13">
        <v>0.4416</v>
      </c>
      <c r="AA783" s="8" t="s">
        <v>2611</v>
      </c>
      <c r="AB783" s="14">
        <f>IFERROR(__xludf.DUMMYFUNCTION("IFERROR(GOOGLEFINANCE(B783,""price""),"""")"),297.26)</f>
        <v>297.26</v>
      </c>
    </row>
    <row r="784">
      <c r="A784" s="15">
        <v>46069.62611062368</v>
      </c>
      <c r="B784" s="16" t="s">
        <v>2630</v>
      </c>
      <c r="C784" s="16" t="s">
        <v>2631</v>
      </c>
      <c r="D784" s="17">
        <v>46075.0</v>
      </c>
      <c r="E784" s="18">
        <v>411.66</v>
      </c>
      <c r="F784" s="16" t="s">
        <v>308</v>
      </c>
      <c r="G784" s="21">
        <v>39.1312</v>
      </c>
      <c r="H784" s="21">
        <v>10.52</v>
      </c>
      <c r="I784" s="17">
        <v>46073.0</v>
      </c>
      <c r="J784" s="18">
        <v>410.0</v>
      </c>
      <c r="K784" s="16">
        <v>6808.0</v>
      </c>
      <c r="L784" s="16" t="s">
        <v>2608</v>
      </c>
      <c r="M784" s="19">
        <v>0.4</v>
      </c>
      <c r="N784" s="16" t="s">
        <v>3489</v>
      </c>
      <c r="O784" s="16">
        <v>12822.0</v>
      </c>
      <c r="P784" s="19">
        <v>37.5191</v>
      </c>
      <c r="Q784" s="16" t="s">
        <v>2633</v>
      </c>
      <c r="R784" s="19">
        <v>-0.558</v>
      </c>
      <c r="S784" s="20">
        <v>3.3807483E7</v>
      </c>
      <c r="T784" s="20">
        <v>4.63327153233E11</v>
      </c>
      <c r="U784" s="21">
        <v>26.3605</v>
      </c>
      <c r="V784" s="21">
        <v>22.5543</v>
      </c>
      <c r="W784" s="21">
        <v>32.9221</v>
      </c>
      <c r="X784" s="21">
        <v>45.432</v>
      </c>
      <c r="Y784" s="21">
        <v>0.2124</v>
      </c>
      <c r="Z784" s="21">
        <v>2.4598</v>
      </c>
      <c r="AA784" s="16" t="s">
        <v>2611</v>
      </c>
      <c r="AB784" s="22">
        <f>IFERROR(__xludf.DUMMYFUNCTION("IFERROR(GOOGLEFINANCE(B784,""price""),"""")"),420.59)</f>
        <v>420.59</v>
      </c>
    </row>
    <row r="785">
      <c r="A785" s="7">
        <v>46069.62611062368</v>
      </c>
      <c r="B785" s="8" t="s">
        <v>2638</v>
      </c>
      <c r="C785" s="8" t="s">
        <v>2639</v>
      </c>
      <c r="D785" s="9">
        <v>46075.0</v>
      </c>
      <c r="E785" s="10">
        <v>148.45</v>
      </c>
      <c r="F785" s="8" t="s">
        <v>245</v>
      </c>
      <c r="G785" s="13">
        <v>22.1869</v>
      </c>
      <c r="H785" s="13">
        <v>6.6909</v>
      </c>
      <c r="I785" s="9">
        <v>46073.0</v>
      </c>
      <c r="J785" s="10">
        <v>150.0</v>
      </c>
      <c r="K785" s="8">
        <v>6398.0</v>
      </c>
      <c r="L785" s="8" t="s">
        <v>2627</v>
      </c>
      <c r="M785" s="11">
        <v>1.04</v>
      </c>
      <c r="N785" s="8" t="s">
        <v>3490</v>
      </c>
      <c r="O785" s="8">
        <v>11830.0</v>
      </c>
      <c r="P785" s="11">
        <v>57.4042</v>
      </c>
      <c r="Q785" s="8" t="s">
        <v>2641</v>
      </c>
      <c r="R785" s="11">
        <v>-0.9871</v>
      </c>
      <c r="S785" s="12">
        <v>2.0166031E7</v>
      </c>
      <c r="T785" s="12">
        <v>6.26038209664E11</v>
      </c>
      <c r="U785" s="13">
        <v>3.4456</v>
      </c>
      <c r="V785" s="13">
        <v>11.0283</v>
      </c>
      <c r="W785" s="13">
        <v>10.3419</v>
      </c>
      <c r="X785" s="13">
        <v>-4.856</v>
      </c>
      <c r="Y785" s="13">
        <v>0.1678</v>
      </c>
      <c r="Z785" s="13">
        <v>1.1528</v>
      </c>
      <c r="AA785" s="8" t="s">
        <v>2620</v>
      </c>
      <c r="AB785" s="14">
        <f>IFERROR(__xludf.DUMMYFUNCTION("IFERROR(GOOGLEFINANCE(B785,""price""),"""")"),152.51)</f>
        <v>152.51</v>
      </c>
    </row>
    <row r="786">
      <c r="A786" s="15">
        <v>46069.62611062368</v>
      </c>
      <c r="B786" s="16" t="s">
        <v>2759</v>
      </c>
      <c r="C786" s="16" t="s">
        <v>2760</v>
      </c>
      <c r="D786" s="17">
        <v>46075.0</v>
      </c>
      <c r="E786" s="18">
        <v>369.19</v>
      </c>
      <c r="F786" s="16" t="s">
        <v>117</v>
      </c>
      <c r="G786" s="21">
        <v>25.9387</v>
      </c>
      <c r="H786" s="21">
        <v>14.2332</v>
      </c>
      <c r="I786" s="17">
        <v>46073.0</v>
      </c>
      <c r="J786" s="18">
        <v>365.0</v>
      </c>
      <c r="K786" s="16">
        <v>10727.0</v>
      </c>
      <c r="L786" s="16" t="s">
        <v>2608</v>
      </c>
      <c r="M786" s="19">
        <v>1.13</v>
      </c>
      <c r="N786" s="16" t="s">
        <v>3491</v>
      </c>
      <c r="O786" s="16">
        <v>10727.0</v>
      </c>
      <c r="P786" s="19">
        <v>25.7146</v>
      </c>
      <c r="Q786" s="16" t="s">
        <v>2762</v>
      </c>
      <c r="R786" s="19">
        <v>0.8165</v>
      </c>
      <c r="S786" s="20">
        <v>2414170.0</v>
      </c>
      <c r="T786" s="20">
        <v>1.98801695707E11</v>
      </c>
      <c r="U786" s="21">
        <v>9.9572</v>
      </c>
      <c r="V786" s="21">
        <v>106.1025</v>
      </c>
      <c r="W786" s="21">
        <v>27.9306</v>
      </c>
      <c r="X786" s="21">
        <v>10.5591</v>
      </c>
      <c r="Y786" s="21">
        <v>6.4027</v>
      </c>
      <c r="Z786" s="21">
        <v>1.14</v>
      </c>
      <c r="AA786" s="16" t="s">
        <v>2611</v>
      </c>
      <c r="AB786" s="22">
        <f>IFERROR(__xludf.DUMMYFUNCTION("IFERROR(GOOGLEFINANCE(B786,""price""),"""")"),351.0)</f>
        <v>351</v>
      </c>
    </row>
    <row r="787">
      <c r="A787" s="7">
        <v>46069.62611062368</v>
      </c>
      <c r="B787" s="8" t="s">
        <v>2625</v>
      </c>
      <c r="C787" s="8" t="s">
        <v>2626</v>
      </c>
      <c r="D787" s="9">
        <v>46075.0</v>
      </c>
      <c r="E787" s="10">
        <v>133.89</v>
      </c>
      <c r="F787" s="8" t="s">
        <v>137</v>
      </c>
      <c r="G787" s="13">
        <v>46.9625</v>
      </c>
      <c r="H787" s="13">
        <v>2.851</v>
      </c>
      <c r="I787" s="9">
        <v>46073.0</v>
      </c>
      <c r="J787" s="10">
        <v>135.0</v>
      </c>
      <c r="K787" s="8">
        <v>7327.0</v>
      </c>
      <c r="L787" s="8" t="s">
        <v>2608</v>
      </c>
      <c r="M787" s="11">
        <v>0.83</v>
      </c>
      <c r="N787" s="8" t="s">
        <v>3492</v>
      </c>
      <c r="O787" s="8">
        <v>9130.0</v>
      </c>
      <c r="P787" s="11">
        <v>36.8995</v>
      </c>
      <c r="Q787" s="8" t="s">
        <v>2629</v>
      </c>
      <c r="R787" s="11">
        <v>0.1871</v>
      </c>
      <c r="S787" s="12">
        <v>2.4131173E7</v>
      </c>
      <c r="T787" s="12">
        <v>1.067125653719E12</v>
      </c>
      <c r="U787" s="13">
        <v>3.0634</v>
      </c>
      <c r="V787" s="13">
        <v>24.8749</v>
      </c>
      <c r="W787" s="13">
        <v>4.1214</v>
      </c>
      <c r="X787" s="13">
        <v>4.3397</v>
      </c>
      <c r="Y787" s="13">
        <v>0.7121</v>
      </c>
      <c r="Z787" s="13">
        <v>0.8029</v>
      </c>
      <c r="AA787" s="8" t="s">
        <v>2620</v>
      </c>
      <c r="AB787" s="14">
        <f>IFERROR(__xludf.DUMMYFUNCTION("IFERROR(GOOGLEFINANCE(B787,""price""),"""")"),126.79)</f>
        <v>126.79</v>
      </c>
    </row>
    <row r="788">
      <c r="A788" s="15">
        <v>46069.62611062368</v>
      </c>
      <c r="B788" s="16" t="s">
        <v>2804</v>
      </c>
      <c r="C788" s="16" t="s">
        <v>2805</v>
      </c>
      <c r="D788" s="17">
        <v>46075.0</v>
      </c>
      <c r="E788" s="18">
        <v>133.46</v>
      </c>
      <c r="F788" s="16" t="s">
        <v>308</v>
      </c>
      <c r="G788" s="21">
        <v>72.576</v>
      </c>
      <c r="H788" s="21">
        <v>1.8389</v>
      </c>
      <c r="I788" s="17">
        <v>46073.0</v>
      </c>
      <c r="J788" s="18">
        <v>132.0</v>
      </c>
      <c r="K788" s="16">
        <v>7700.0</v>
      </c>
      <c r="L788" s="16" t="s">
        <v>2608</v>
      </c>
      <c r="M788" s="19">
        <v>1.09</v>
      </c>
      <c r="N788" s="16" t="s">
        <v>3493</v>
      </c>
      <c r="O788" s="16">
        <v>8784.0</v>
      </c>
      <c r="P788" s="19">
        <v>45.6816</v>
      </c>
      <c r="Q788" s="16" t="s">
        <v>2807</v>
      </c>
      <c r="R788" s="19">
        <v>1.4905</v>
      </c>
      <c r="S788" s="20">
        <v>1.0952727E7</v>
      </c>
      <c r="T788" s="20">
        <v>1.14501761871E11</v>
      </c>
      <c r="U788" s="21">
        <v>6.3208</v>
      </c>
      <c r="V788" s="21">
        <v>14.1911</v>
      </c>
      <c r="W788" s="21">
        <v>15.3241</v>
      </c>
      <c r="X788" s="21">
        <v>19.1416</v>
      </c>
      <c r="Y788" s="21">
        <v>0.7942</v>
      </c>
      <c r="Z788" s="21">
        <v>1.5878</v>
      </c>
      <c r="AA788" s="16" t="s">
        <v>2611</v>
      </c>
      <c r="AB788" s="22">
        <f>IFERROR(__xludf.DUMMYFUNCTION("IFERROR(GOOGLEFINANCE(B788,""price""),"""")"),171.24)</f>
        <v>171.24</v>
      </c>
    </row>
    <row r="789">
      <c r="A789" s="7">
        <v>46069.62611062368</v>
      </c>
      <c r="B789" s="8" t="s">
        <v>2676</v>
      </c>
      <c r="C789" s="8" t="s">
        <v>2677</v>
      </c>
      <c r="D789" s="9">
        <v>46075.0</v>
      </c>
      <c r="E789" s="10">
        <v>29.74</v>
      </c>
      <c r="F789" s="8" t="s">
        <v>93</v>
      </c>
      <c r="G789" s="13">
        <v>12.9456</v>
      </c>
      <c r="H789" s="13">
        <v>2.2973</v>
      </c>
      <c r="I789" s="9">
        <v>46073.0</v>
      </c>
      <c r="J789" s="10">
        <v>30.0</v>
      </c>
      <c r="K789" s="8">
        <v>4289.0</v>
      </c>
      <c r="L789" s="8" t="s">
        <v>2608</v>
      </c>
      <c r="M789" s="11">
        <v>0.87</v>
      </c>
      <c r="N789" s="8" t="s">
        <v>3458</v>
      </c>
      <c r="O789" s="8">
        <v>7727.0</v>
      </c>
      <c r="P789" s="11">
        <v>26.7188</v>
      </c>
      <c r="Q789" s="8" t="s">
        <v>2679</v>
      </c>
      <c r="R789" s="11">
        <v>-0.1343</v>
      </c>
      <c r="S789" s="12">
        <v>1.107389E7</v>
      </c>
      <c r="T789" s="12">
        <v>2.6078307679E10</v>
      </c>
      <c r="U789" s="13">
        <v>0.7738</v>
      </c>
      <c r="V789" s="13">
        <v>11.6787</v>
      </c>
      <c r="W789" s="13">
        <v>28.7373</v>
      </c>
      <c r="X789" s="13">
        <v>2.137</v>
      </c>
      <c r="Y789" s="13">
        <v>0.2565</v>
      </c>
      <c r="Z789" s="13">
        <v>0.1084</v>
      </c>
      <c r="AA789" s="8" t="s">
        <v>2620</v>
      </c>
      <c r="AB789" s="14">
        <f>IFERROR(__xludf.DUMMYFUNCTION("IFERROR(GOOGLEFINANCE(B789,""price""),"""")"),27.5)</f>
        <v>27.5</v>
      </c>
    </row>
    <row r="790">
      <c r="A790" s="15">
        <v>46069.62611062368</v>
      </c>
      <c r="B790" s="16" t="s">
        <v>2700</v>
      </c>
      <c r="C790" s="16" t="s">
        <v>2701</v>
      </c>
      <c r="D790" s="17">
        <v>46075.0</v>
      </c>
      <c r="E790" s="18">
        <v>235.53</v>
      </c>
      <c r="F790" s="16" t="s">
        <v>102</v>
      </c>
      <c r="G790" s="21">
        <v>48.2713</v>
      </c>
      <c r="H790" s="21">
        <v>4.8793</v>
      </c>
      <c r="I790" s="17">
        <v>46073.0</v>
      </c>
      <c r="J790" s="18">
        <v>240.0</v>
      </c>
      <c r="K790" s="16">
        <v>4011.0</v>
      </c>
      <c r="L790" s="16" t="s">
        <v>2608</v>
      </c>
      <c r="M790" s="19">
        <v>1.9</v>
      </c>
      <c r="N790" s="16" t="s">
        <v>3494</v>
      </c>
      <c r="O790" s="16">
        <v>7479.0</v>
      </c>
      <c r="P790" s="19">
        <v>33.1845</v>
      </c>
      <c r="Q790" s="16" t="s">
        <v>2703</v>
      </c>
      <c r="R790" s="19">
        <v>1.8332</v>
      </c>
      <c r="S790" s="20">
        <v>9905432.0</v>
      </c>
      <c r="T790" s="20">
        <v>2.94123031186E11</v>
      </c>
      <c r="U790" s="21">
        <v>12.199</v>
      </c>
      <c r="V790" s="21">
        <v>65.5649</v>
      </c>
      <c r="W790" s="21">
        <v>33.7646</v>
      </c>
      <c r="X790" s="21">
        <v>26.8457</v>
      </c>
      <c r="Y790" s="21">
        <v>0.4419</v>
      </c>
      <c r="Z790" s="21">
        <v>2.2562</v>
      </c>
      <c r="AA790" s="16" t="s">
        <v>2620</v>
      </c>
      <c r="AB790" s="22">
        <f>IFERROR(__xludf.DUMMYFUNCTION("IFERROR(GOOGLEFINANCE(B790,""price""),"""")"),263.66)</f>
        <v>263.66</v>
      </c>
    </row>
    <row r="791">
      <c r="A791" s="7">
        <v>46069.62611062368</v>
      </c>
      <c r="B791" s="8" t="s">
        <v>1492</v>
      </c>
      <c r="C791" s="8" t="s">
        <v>1493</v>
      </c>
      <c r="D791" s="9">
        <v>46075.0</v>
      </c>
      <c r="E791" s="10">
        <v>24.56</v>
      </c>
      <c r="F791" s="8" t="s">
        <v>93</v>
      </c>
      <c r="G791" s="13">
        <v>13.0889</v>
      </c>
      <c r="H791" s="13">
        <v>1.8764</v>
      </c>
      <c r="I791" s="9">
        <v>46073.0</v>
      </c>
      <c r="J791" s="10">
        <v>25.0</v>
      </c>
      <c r="K791" s="8">
        <v>5418.0</v>
      </c>
      <c r="L791" s="8" t="s">
        <v>2608</v>
      </c>
      <c r="M791" s="11">
        <v>1.79</v>
      </c>
      <c r="N791" s="8" t="s">
        <v>3495</v>
      </c>
      <c r="O791" s="8">
        <v>7194.0</v>
      </c>
      <c r="P791" s="11">
        <v>24.843</v>
      </c>
      <c r="Q791" s="8" t="s">
        <v>1494</v>
      </c>
      <c r="R791" s="11">
        <v>0.1223</v>
      </c>
      <c r="S791" s="12">
        <v>4764176.0</v>
      </c>
      <c r="T791" s="12">
        <v>1.1911599741E10</v>
      </c>
      <c r="U791" s="13">
        <v>0.6868</v>
      </c>
      <c r="V791" s="13">
        <v>11.1193</v>
      </c>
      <c r="W791" s="13">
        <v>25.6333</v>
      </c>
      <c r="X791" s="13">
        <v>-0.5598</v>
      </c>
      <c r="Y791" s="13">
        <v>0.517</v>
      </c>
      <c r="Z791" s="13">
        <v>0.2349</v>
      </c>
      <c r="AA791" s="8" t="s">
        <v>2620</v>
      </c>
      <c r="AB791" s="14">
        <f>IFERROR(__xludf.DUMMYFUNCTION("IFERROR(GOOGLEFINANCE(B791,""price""),"""")"),24.05)</f>
        <v>24.05</v>
      </c>
    </row>
    <row r="792">
      <c r="A792" s="15">
        <v>46069.62611062368</v>
      </c>
      <c r="B792" s="16" t="s">
        <v>2634</v>
      </c>
      <c r="C792" s="16" t="s">
        <v>2635</v>
      </c>
      <c r="D792" s="17">
        <v>46075.0</v>
      </c>
      <c r="E792" s="18">
        <v>183.74</v>
      </c>
      <c r="F792" s="16" t="s">
        <v>245</v>
      </c>
      <c r="G792" s="21">
        <v>27.6263</v>
      </c>
      <c r="H792" s="21">
        <v>6.6509</v>
      </c>
      <c r="I792" s="17">
        <v>46073.0</v>
      </c>
      <c r="J792" s="18">
        <v>185.0</v>
      </c>
      <c r="K792" s="16">
        <v>3940.0</v>
      </c>
      <c r="L792" s="16" t="s">
        <v>2608</v>
      </c>
      <c r="M792" s="19">
        <v>0.69</v>
      </c>
      <c r="N792" s="16" t="s">
        <v>3496</v>
      </c>
      <c r="O792" s="16">
        <v>6515.0</v>
      </c>
      <c r="P792" s="19">
        <v>57.9001</v>
      </c>
      <c r="Q792" s="16" t="s">
        <v>2637</v>
      </c>
      <c r="R792" s="19">
        <v>0.7346</v>
      </c>
      <c r="S792" s="20">
        <v>9034683.0</v>
      </c>
      <c r="T792" s="20">
        <v>3.69964471029E11</v>
      </c>
      <c r="U792" s="21">
        <v>3.4229</v>
      </c>
      <c r="V792" s="21">
        <v>7.261</v>
      </c>
      <c r="W792" s="21">
        <v>8.9022</v>
      </c>
      <c r="X792" s="21">
        <v>-4.6053</v>
      </c>
      <c r="Y792" s="21">
        <v>0.2186</v>
      </c>
      <c r="Z792" s="24"/>
      <c r="AA792" s="16" t="s">
        <v>2620</v>
      </c>
      <c r="AB792" s="22">
        <f>IFERROR(__xludf.DUMMYFUNCTION("IFERROR(GOOGLEFINANCE(B792,""price""),"""")"),188.55)</f>
        <v>188.55</v>
      </c>
    </row>
    <row r="793">
      <c r="A793" s="7">
        <v>46069.62611062368</v>
      </c>
      <c r="B793" s="8" t="s">
        <v>2438</v>
      </c>
      <c r="C793" s="8" t="s">
        <v>2439</v>
      </c>
      <c r="D793" s="9">
        <v>46075.0</v>
      </c>
      <c r="E793" s="10">
        <v>226.16</v>
      </c>
      <c r="F793" s="8" t="s">
        <v>308</v>
      </c>
      <c r="G793" s="13">
        <v>41.5323</v>
      </c>
      <c r="H793" s="13">
        <v>5.4454</v>
      </c>
      <c r="I793" s="9">
        <v>46073.0</v>
      </c>
      <c r="J793" s="10">
        <v>230.0</v>
      </c>
      <c r="K793" s="8">
        <v>3615.0</v>
      </c>
      <c r="L793" s="8" t="s">
        <v>2608</v>
      </c>
      <c r="M793" s="11">
        <v>1.7</v>
      </c>
      <c r="N793" s="8" t="s">
        <v>3497</v>
      </c>
      <c r="O793" s="8">
        <v>6459.0</v>
      </c>
      <c r="P793" s="11">
        <v>50.524</v>
      </c>
      <c r="Q793" s="8" t="s">
        <v>2440</v>
      </c>
      <c r="R793" s="11">
        <v>1.417</v>
      </c>
      <c r="S793" s="12">
        <v>5011904.0</v>
      </c>
      <c r="T793" s="12">
        <v>2.05251674207E11</v>
      </c>
      <c r="U793" s="13">
        <v>6.7203</v>
      </c>
      <c r="V793" s="13">
        <v>29.9795</v>
      </c>
      <c r="W793" s="13">
        <v>34.7246</v>
      </c>
      <c r="X793" s="13">
        <v>13.049</v>
      </c>
      <c r="Y793" s="13">
        <v>0.9082</v>
      </c>
      <c r="Z793" s="13">
        <v>4.3526</v>
      </c>
      <c r="AA793" s="8" t="s">
        <v>2620</v>
      </c>
      <c r="AB793" s="14">
        <f>IFERROR(__xludf.DUMMYFUNCTION("IFERROR(GOOGLEFINANCE(B793,""price""),"""")"),214.73)</f>
        <v>214.73</v>
      </c>
    </row>
    <row r="794">
      <c r="A794" s="15">
        <v>46069.62611062368</v>
      </c>
      <c r="B794" s="16" t="s">
        <v>2704</v>
      </c>
      <c r="C794" s="16" t="s">
        <v>2705</v>
      </c>
      <c r="D794" s="17">
        <v>46075.0</v>
      </c>
      <c r="E794" s="18">
        <v>35.28</v>
      </c>
      <c r="F794" s="16" t="s">
        <v>88</v>
      </c>
      <c r="G794" s="24"/>
      <c r="H794" s="21">
        <v>-0.5438</v>
      </c>
      <c r="I794" s="17">
        <v>46073.0</v>
      </c>
      <c r="J794" s="18">
        <v>35.0</v>
      </c>
      <c r="K794" s="16">
        <v>4202.0</v>
      </c>
      <c r="L794" s="16" t="s">
        <v>2608</v>
      </c>
      <c r="M794" s="19">
        <v>0.79</v>
      </c>
      <c r="N794" s="16" t="s">
        <v>3498</v>
      </c>
      <c r="O794" s="16">
        <v>5701.0</v>
      </c>
      <c r="P794" s="19">
        <v>16.812</v>
      </c>
      <c r="Q794" s="16" t="s">
        <v>2707</v>
      </c>
      <c r="R794" s="19">
        <v>-2.4606</v>
      </c>
      <c r="S794" s="20">
        <v>2.2436175E7</v>
      </c>
      <c r="T794" s="20">
        <v>9.863787227E9</v>
      </c>
      <c r="U794" s="21">
        <v>3.9497</v>
      </c>
      <c r="V794" s="21">
        <v>-11.4029</v>
      </c>
      <c r="W794" s="21">
        <v>-26.4624</v>
      </c>
      <c r="X794" s="21">
        <v>33.135</v>
      </c>
      <c r="Y794" s="21">
        <v>1.6778</v>
      </c>
      <c r="Z794" s="21">
        <v>4.8227</v>
      </c>
      <c r="AA794" s="16" t="s">
        <v>2611</v>
      </c>
      <c r="AB794" s="22">
        <f>IFERROR(__xludf.DUMMYFUNCTION("IFERROR(GOOGLEFINANCE(B794,""price""),"""")"),26.24)</f>
        <v>26.24</v>
      </c>
    </row>
    <row r="795">
      <c r="A795" s="7">
        <v>46069.62611062368</v>
      </c>
      <c r="B795" s="8" t="s">
        <v>3443</v>
      </c>
      <c r="C795" s="8" t="s">
        <v>3444</v>
      </c>
      <c r="D795" s="9">
        <v>46075.0</v>
      </c>
      <c r="E795" s="10">
        <v>109.29</v>
      </c>
      <c r="F795" s="8" t="s">
        <v>162</v>
      </c>
      <c r="G795" s="13">
        <v>10.6816</v>
      </c>
      <c r="H795" s="13">
        <v>10.2316</v>
      </c>
      <c r="I795" s="9">
        <v>46073.0</v>
      </c>
      <c r="J795" s="10">
        <v>110.0</v>
      </c>
      <c r="K795" s="8">
        <v>4312.0</v>
      </c>
      <c r="L795" s="8" t="s">
        <v>2608</v>
      </c>
      <c r="M795" s="11">
        <v>0.65</v>
      </c>
      <c r="N795" s="8" t="s">
        <v>3499</v>
      </c>
      <c r="O795" s="8">
        <v>5458.0</v>
      </c>
      <c r="P795" s="11">
        <v>18.3426</v>
      </c>
      <c r="Q795" s="8" t="s">
        <v>3446</v>
      </c>
      <c r="R795" s="11">
        <v>-0.0091</v>
      </c>
      <c r="S795" s="12">
        <v>4748978.0</v>
      </c>
      <c r="T795" s="12">
        <v>3.5347710889E10</v>
      </c>
      <c r="U795" s="13">
        <v>4.8591</v>
      </c>
      <c r="V795" s="13">
        <v>23.9868</v>
      </c>
      <c r="W795" s="13">
        <v>8.4204</v>
      </c>
      <c r="X795" s="13">
        <v>3.5189</v>
      </c>
      <c r="Y795" s="13">
        <v>2.0309</v>
      </c>
      <c r="Z795" s="13">
        <v>0.645</v>
      </c>
      <c r="AA795" s="8" t="s">
        <v>2620</v>
      </c>
      <c r="AB795" s="14">
        <f>IFERROR(__xludf.DUMMYFUNCTION("IFERROR(GOOGLEFINANCE(B795,""price""),"""")"),96.4)</f>
        <v>96.4</v>
      </c>
    </row>
    <row r="796">
      <c r="A796" s="15">
        <v>46069.62611062368</v>
      </c>
      <c r="B796" s="16" t="s">
        <v>1766</v>
      </c>
      <c r="C796" s="16" t="s">
        <v>1767</v>
      </c>
      <c r="D796" s="17">
        <v>46075.0</v>
      </c>
      <c r="E796" s="18">
        <v>94.78</v>
      </c>
      <c r="F796" s="16" t="s">
        <v>917</v>
      </c>
      <c r="G796" s="21">
        <v>29.1837</v>
      </c>
      <c r="H796" s="21">
        <v>3.2477</v>
      </c>
      <c r="I796" s="17">
        <v>46073.0</v>
      </c>
      <c r="J796" s="18">
        <v>95.0</v>
      </c>
      <c r="K796" s="16">
        <v>5099.0</v>
      </c>
      <c r="L796" s="16" t="s">
        <v>2608</v>
      </c>
      <c r="M796" s="19">
        <v>0.23</v>
      </c>
      <c r="N796" s="16" t="s">
        <v>3461</v>
      </c>
      <c r="O796" s="16">
        <v>5099.0</v>
      </c>
      <c r="P796" s="19">
        <v>26.44</v>
      </c>
      <c r="Q796" s="16" t="s">
        <v>1768</v>
      </c>
      <c r="R796" s="19">
        <v>2.1446</v>
      </c>
      <c r="S796" s="20">
        <v>6225140.0</v>
      </c>
      <c r="T796" s="20">
        <v>6.1861153532E10</v>
      </c>
      <c r="U796" s="21">
        <v>1.9909</v>
      </c>
      <c r="V796" s="21">
        <v>7.0975</v>
      </c>
      <c r="W796" s="21">
        <v>23.4727</v>
      </c>
      <c r="X796" s="21">
        <v>9.067</v>
      </c>
      <c r="Y796" s="21">
        <v>1.0777</v>
      </c>
      <c r="Z796" s="21">
        <v>1.5873</v>
      </c>
      <c r="AA796" s="16" t="s">
        <v>2620</v>
      </c>
      <c r="AB796" s="22">
        <f>IFERROR(__xludf.DUMMYFUNCTION("IFERROR(GOOGLEFINANCE(B796,""price""),"""")"),98.82)</f>
        <v>98.82</v>
      </c>
    </row>
    <row r="797">
      <c r="A797" s="7">
        <v>46069.62611062368</v>
      </c>
      <c r="B797" s="8" t="s">
        <v>3347</v>
      </c>
      <c r="C797" s="8" t="s">
        <v>3348</v>
      </c>
      <c r="D797" s="9">
        <v>46075.0</v>
      </c>
      <c r="E797" s="10">
        <v>315.41</v>
      </c>
      <c r="F797" s="8" t="s">
        <v>308</v>
      </c>
      <c r="G797" s="13">
        <v>38.7539</v>
      </c>
      <c r="H797" s="13">
        <v>8.1388</v>
      </c>
      <c r="I797" s="9">
        <v>46073.0</v>
      </c>
      <c r="J797" s="10">
        <v>320.0</v>
      </c>
      <c r="K797" s="8">
        <v>3412.0</v>
      </c>
      <c r="L797" s="8" t="s">
        <v>2627</v>
      </c>
      <c r="M797" s="11">
        <v>1.46</v>
      </c>
      <c r="N797" s="8" t="s">
        <v>3500</v>
      </c>
      <c r="O797" s="8">
        <v>4934.0</v>
      </c>
      <c r="P797" s="11">
        <v>18.0194</v>
      </c>
      <c r="Q797" s="8" t="s">
        <v>3350</v>
      </c>
      <c r="R797" s="11">
        <v>0.8054</v>
      </c>
      <c r="S797" s="12">
        <v>4393744.0</v>
      </c>
      <c r="T797" s="12">
        <v>3.30806300986E11</v>
      </c>
      <c r="U797" s="13">
        <v>9.6129</v>
      </c>
      <c r="V797" s="13">
        <v>45.2353</v>
      </c>
      <c r="W797" s="13">
        <v>18.207</v>
      </c>
      <c r="X797" s="13">
        <v>0.1223</v>
      </c>
      <c r="Y797" s="13">
        <v>1.1542</v>
      </c>
      <c r="Z797" s="13">
        <v>1.0415</v>
      </c>
      <c r="AA797" s="8" t="s">
        <v>2620</v>
      </c>
      <c r="AB797" s="14">
        <f>IFERROR(__xludf.DUMMYFUNCTION("IFERROR(GOOGLEFINANCE(B797,""price""),"""")"),308.35)</f>
        <v>308.35</v>
      </c>
    </row>
    <row r="798">
      <c r="A798" s="15">
        <v>46069.62611062368</v>
      </c>
      <c r="B798" s="16" t="s">
        <v>2585</v>
      </c>
      <c r="C798" s="16" t="s">
        <v>2586</v>
      </c>
      <c r="D798" s="17">
        <v>46075.0</v>
      </c>
      <c r="E798" s="18">
        <v>125.97</v>
      </c>
      <c r="F798" s="16" t="s">
        <v>335</v>
      </c>
      <c r="G798" s="21">
        <v>25.0677</v>
      </c>
      <c r="H798" s="21">
        <v>5.0252</v>
      </c>
      <c r="I798" s="17">
        <v>46073.0</v>
      </c>
      <c r="J798" s="18">
        <v>125.0</v>
      </c>
      <c r="K798" s="16">
        <v>3538.0</v>
      </c>
      <c r="L798" s="16" t="s">
        <v>2627</v>
      </c>
      <c r="M798" s="19">
        <v>0.77</v>
      </c>
      <c r="N798" s="16" t="s">
        <v>3501</v>
      </c>
      <c r="O798" s="16">
        <v>4863.0</v>
      </c>
      <c r="P798" s="19">
        <v>17.6436</v>
      </c>
      <c r="Q798" s="16" t="s">
        <v>2587</v>
      </c>
      <c r="R798" s="19">
        <v>2.5397</v>
      </c>
      <c r="S798" s="20">
        <v>4190966.0</v>
      </c>
      <c r="T798" s="20">
        <v>8.4297019679E10</v>
      </c>
      <c r="U798" s="21">
        <v>3.5277</v>
      </c>
      <c r="V798" s="21">
        <v>15.0806</v>
      </c>
      <c r="W798" s="21">
        <v>13.9834</v>
      </c>
      <c r="X798" s="21">
        <v>4.2784</v>
      </c>
      <c r="Y798" s="21">
        <v>0.8861</v>
      </c>
      <c r="Z798" s="21">
        <v>1.4533</v>
      </c>
      <c r="AA798" s="16" t="s">
        <v>2611</v>
      </c>
      <c r="AB798" s="22">
        <f>IFERROR(__xludf.DUMMYFUNCTION("IFERROR(GOOGLEFINANCE(B798,""price""),"""")"),117.89)</f>
        <v>117.89</v>
      </c>
    </row>
    <row r="799">
      <c r="A799" s="7">
        <v>46069.62611062368</v>
      </c>
      <c r="B799" s="8" t="s">
        <v>3237</v>
      </c>
      <c r="C799" s="8" t="s">
        <v>3238</v>
      </c>
      <c r="D799" s="9">
        <v>46075.0</v>
      </c>
      <c r="E799" s="10">
        <v>327.58</v>
      </c>
      <c r="F799" s="8" t="s">
        <v>149</v>
      </c>
      <c r="G799" s="13">
        <v>27.4068</v>
      </c>
      <c r="H799" s="13">
        <v>11.9525</v>
      </c>
      <c r="I799" s="9">
        <v>46073.0</v>
      </c>
      <c r="J799" s="10">
        <v>325.0</v>
      </c>
      <c r="K799" s="8">
        <v>2364.0</v>
      </c>
      <c r="L799" s="8" t="s">
        <v>2608</v>
      </c>
      <c r="M799" s="11">
        <v>0.79</v>
      </c>
      <c r="N799" s="8" t="s">
        <v>3502</v>
      </c>
      <c r="O799" s="8">
        <v>4544.0</v>
      </c>
      <c r="P799" s="11">
        <v>31.1872</v>
      </c>
      <c r="Q799" s="8" t="s">
        <v>3240</v>
      </c>
      <c r="R799" s="11">
        <v>-1.3551</v>
      </c>
      <c r="S799" s="12">
        <v>3587877.0</v>
      </c>
      <c r="T799" s="12">
        <v>2.33287515002E11</v>
      </c>
      <c r="U799" s="13">
        <v>5.7174</v>
      </c>
      <c r="V799" s="23"/>
      <c r="W799" s="13">
        <v>46.1038</v>
      </c>
      <c r="X799" s="13">
        <v>3.723</v>
      </c>
      <c r="Y799" s="23"/>
      <c r="Z799" s="13">
        <v>0.9546</v>
      </c>
      <c r="AA799" s="8" t="s">
        <v>2611</v>
      </c>
      <c r="AB799" s="14">
        <f>IFERROR(__xludf.DUMMYFUNCTION("IFERROR(GOOGLEFINANCE(B799,""price""),"""")"),305.68)</f>
        <v>305.68</v>
      </c>
    </row>
    <row r="800">
      <c r="A800" s="15">
        <v>46069.62611062368</v>
      </c>
      <c r="B800" s="16" t="s">
        <v>2658</v>
      </c>
      <c r="C800" s="16" t="s">
        <v>2659</v>
      </c>
      <c r="D800" s="17">
        <v>46075.0</v>
      </c>
      <c r="E800" s="18">
        <v>93.8</v>
      </c>
      <c r="F800" s="16" t="s">
        <v>917</v>
      </c>
      <c r="G800" s="21">
        <v>28.4217</v>
      </c>
      <c r="H800" s="21">
        <v>3.3003</v>
      </c>
      <c r="I800" s="17">
        <v>46073.0</v>
      </c>
      <c r="J800" s="18">
        <v>92.0</v>
      </c>
      <c r="K800" s="16">
        <v>1964.0</v>
      </c>
      <c r="L800" s="16" t="s">
        <v>2608</v>
      </c>
      <c r="M800" s="19">
        <v>1.92</v>
      </c>
      <c r="N800" s="16" t="s">
        <v>3503</v>
      </c>
      <c r="O800" s="16">
        <v>4521.0</v>
      </c>
      <c r="P800" s="19">
        <v>38.4658</v>
      </c>
      <c r="Q800" s="16" t="s">
        <v>2661</v>
      </c>
      <c r="R800" s="19">
        <v>2.0342</v>
      </c>
      <c r="S800" s="20">
        <v>1.0402752E7</v>
      </c>
      <c r="T800" s="20">
        <v>1.95348788631E11</v>
      </c>
      <c r="U800" s="21">
        <v>2.0463</v>
      </c>
      <c r="V800" s="21">
        <v>13.0533</v>
      </c>
      <c r="W800" s="21">
        <v>26.8934</v>
      </c>
      <c r="X800" s="21">
        <v>8.6905</v>
      </c>
      <c r="Y800" s="21">
        <v>1.7594</v>
      </c>
      <c r="Z800" s="21">
        <v>0.5953</v>
      </c>
      <c r="AA800" s="16" t="s">
        <v>2611</v>
      </c>
      <c r="AB800" s="22">
        <f>IFERROR(__xludf.DUMMYFUNCTION("IFERROR(GOOGLEFINANCE(B800,""price""),"""")"),94.08)</f>
        <v>94.08</v>
      </c>
    </row>
    <row r="801">
      <c r="A801" s="7">
        <v>46069.62611062368</v>
      </c>
      <c r="B801" s="8" t="s">
        <v>2775</v>
      </c>
      <c r="C801" s="8" t="s">
        <v>2776</v>
      </c>
      <c r="D801" s="9">
        <v>46075.0</v>
      </c>
      <c r="E801" s="10">
        <v>57.69</v>
      </c>
      <c r="F801" s="8" t="s">
        <v>93</v>
      </c>
      <c r="G801" s="13">
        <v>12.493</v>
      </c>
      <c r="H801" s="13">
        <v>4.6178</v>
      </c>
      <c r="I801" s="9">
        <v>46073.0</v>
      </c>
      <c r="J801" s="10">
        <v>57.5</v>
      </c>
      <c r="K801" s="8">
        <v>3037.0</v>
      </c>
      <c r="L801" s="8" t="s">
        <v>2608</v>
      </c>
      <c r="M801" s="11">
        <v>0.33</v>
      </c>
      <c r="N801" s="8" t="s">
        <v>3504</v>
      </c>
      <c r="O801" s="8">
        <v>4295.0</v>
      </c>
      <c r="P801" s="11">
        <v>31.2715</v>
      </c>
      <c r="Q801" s="8" t="s">
        <v>2778</v>
      </c>
      <c r="R801" s="11">
        <v>-0.2421</v>
      </c>
      <c r="S801" s="12">
        <v>9284424.0</v>
      </c>
      <c r="T801" s="12">
        <v>8.9675300058E10</v>
      </c>
      <c r="U801" s="13">
        <v>1.3647</v>
      </c>
      <c r="V801" s="13">
        <v>12.1773</v>
      </c>
      <c r="W801" s="13">
        <v>23.9548</v>
      </c>
      <c r="X801" s="13">
        <v>2.1447</v>
      </c>
      <c r="Y801" s="13">
        <v>1.1953</v>
      </c>
      <c r="Z801" s="13">
        <v>0.4632</v>
      </c>
      <c r="AA801" s="8" t="s">
        <v>2611</v>
      </c>
      <c r="AB801" s="14">
        <f>IFERROR(__xludf.DUMMYFUNCTION("IFERROR(GOOGLEFINANCE(B801,""price""),"""")"),55.66)</f>
        <v>55.66</v>
      </c>
    </row>
    <row r="802">
      <c r="A802" s="15">
        <v>46069.62611062368</v>
      </c>
      <c r="B802" s="16" t="s">
        <v>3505</v>
      </c>
      <c r="C802" s="16" t="s">
        <v>3506</v>
      </c>
      <c r="D802" s="17">
        <v>46075.0</v>
      </c>
      <c r="E802" s="18">
        <v>254.58</v>
      </c>
      <c r="F802" s="16" t="s">
        <v>102</v>
      </c>
      <c r="G802" s="21">
        <v>39.6005</v>
      </c>
      <c r="H802" s="21">
        <v>6.4287</v>
      </c>
      <c r="I802" s="17">
        <v>46073.0</v>
      </c>
      <c r="J802" s="18">
        <v>250.0</v>
      </c>
      <c r="K802" s="16">
        <v>2727.0</v>
      </c>
      <c r="L802" s="16" t="s">
        <v>2608</v>
      </c>
      <c r="M802" s="19">
        <v>1.8</v>
      </c>
      <c r="N802" s="16" t="s">
        <v>3507</v>
      </c>
      <c r="O802" s="16">
        <v>4232.0</v>
      </c>
      <c r="P802" s="19">
        <v>23.4606</v>
      </c>
      <c r="Q802" s="16" t="s">
        <v>3508</v>
      </c>
      <c r="R802" s="19">
        <v>1.3738</v>
      </c>
      <c r="S802" s="20">
        <v>1033912.0</v>
      </c>
      <c r="T802" s="20">
        <v>2.6882443584E10</v>
      </c>
      <c r="U802" s="21">
        <v>11.0323</v>
      </c>
      <c r="V802" s="21">
        <v>47.872</v>
      </c>
      <c r="W802" s="21">
        <v>5.014</v>
      </c>
      <c r="X802" s="21">
        <v>13.1793</v>
      </c>
      <c r="Y802" s="21">
        <v>2.506</v>
      </c>
      <c r="Z802" s="21">
        <v>0.9887</v>
      </c>
      <c r="AA802" s="16" t="s">
        <v>2611</v>
      </c>
      <c r="AB802" s="22">
        <f>IFERROR(__xludf.DUMMYFUNCTION("IFERROR(GOOGLEFINANCE(B802,""price""),"""")"),299.5)</f>
        <v>299.5</v>
      </c>
    </row>
    <row r="803">
      <c r="A803" s="7">
        <v>46069.62611062368</v>
      </c>
      <c r="B803" s="8" t="s">
        <v>2692</v>
      </c>
      <c r="C803" s="8" t="s">
        <v>2693</v>
      </c>
      <c r="D803" s="9">
        <v>46075.0</v>
      </c>
      <c r="E803" s="10">
        <v>243.45</v>
      </c>
      <c r="F803" s="8" t="s">
        <v>117</v>
      </c>
      <c r="G803" s="13">
        <v>22.0401</v>
      </c>
      <c r="H803" s="13">
        <v>11.0458</v>
      </c>
      <c r="I803" s="9">
        <v>46073.0</v>
      </c>
      <c r="J803" s="10">
        <v>245.0</v>
      </c>
      <c r="K803" s="8">
        <v>3679.0</v>
      </c>
      <c r="L803" s="8" t="s">
        <v>2608</v>
      </c>
      <c r="M803" s="11">
        <v>0.64</v>
      </c>
      <c r="N803" s="8" t="s">
        <v>3509</v>
      </c>
      <c r="O803" s="8">
        <v>3679.0</v>
      </c>
      <c r="P803" s="11">
        <v>39.9376</v>
      </c>
      <c r="Q803" s="8" t="s">
        <v>2695</v>
      </c>
      <c r="R803" s="11">
        <v>-0.4498</v>
      </c>
      <c r="S803" s="12">
        <v>1.3268519E7</v>
      </c>
      <c r="T803" s="12">
        <v>5.86689886127E11</v>
      </c>
      <c r="U803" s="13">
        <v>3.8356</v>
      </c>
      <c r="V803" s="13">
        <v>35.0301</v>
      </c>
      <c r="W803" s="13">
        <v>27.2081</v>
      </c>
      <c r="X803" s="13">
        <v>6.046</v>
      </c>
      <c r="Y803" s="13">
        <v>0.605</v>
      </c>
      <c r="Z803" s="13">
        <v>1.0277</v>
      </c>
      <c r="AA803" s="8" t="s">
        <v>2620</v>
      </c>
      <c r="AB803" s="14">
        <f>IFERROR(__xludf.DUMMYFUNCTION("IFERROR(GOOGLEFINANCE(B803,""price""),"""")"),238.46)</f>
        <v>238.46</v>
      </c>
    </row>
    <row r="804">
      <c r="A804" s="15">
        <v>46069.62611062368</v>
      </c>
      <c r="B804" s="16" t="s">
        <v>2843</v>
      </c>
      <c r="C804" s="16" t="s">
        <v>2844</v>
      </c>
      <c r="D804" s="17">
        <v>46075.0</v>
      </c>
      <c r="E804" s="18">
        <v>200.06</v>
      </c>
      <c r="F804" s="16" t="s">
        <v>308</v>
      </c>
      <c r="G804" s="21">
        <v>40.3152</v>
      </c>
      <c r="H804" s="21">
        <v>4.9624</v>
      </c>
      <c r="I804" s="17">
        <v>46073.0</v>
      </c>
      <c r="J804" s="18">
        <v>200.0</v>
      </c>
      <c r="K804" s="16">
        <v>3621.0</v>
      </c>
      <c r="L804" s="16" t="s">
        <v>2608</v>
      </c>
      <c r="M804" s="19">
        <v>0.03</v>
      </c>
      <c r="N804" s="16" t="s">
        <v>3510</v>
      </c>
      <c r="O804" s="16">
        <v>3621.0</v>
      </c>
      <c r="P804" s="19">
        <v>35.7604</v>
      </c>
      <c r="Q804" s="16" t="s">
        <v>2846</v>
      </c>
      <c r="R804" s="19">
        <v>-0.5369</v>
      </c>
      <c r="S804" s="20">
        <v>4939001.0</v>
      </c>
      <c r="T804" s="20">
        <v>2.6853805351E11</v>
      </c>
      <c r="U804" s="21">
        <v>4.8173</v>
      </c>
      <c r="V804" s="21">
        <v>10.7368</v>
      </c>
      <c r="W804" s="21">
        <v>10.0301</v>
      </c>
      <c r="X804" s="21">
        <v>9.7414</v>
      </c>
      <c r="Y804" s="21">
        <v>0.6124</v>
      </c>
      <c r="Z804" s="21">
        <v>0.9804</v>
      </c>
      <c r="AA804" s="16" t="s">
        <v>2611</v>
      </c>
      <c r="AB804" s="22">
        <f>IFERROR(__xludf.DUMMYFUNCTION("IFERROR(GOOGLEFINANCE(B804,""price""),"""")"),201.56)</f>
        <v>201.56</v>
      </c>
    </row>
    <row r="805">
      <c r="A805" s="7">
        <v>46069.62611062368</v>
      </c>
      <c r="B805" s="8" t="s">
        <v>3511</v>
      </c>
      <c r="C805" s="8" t="s">
        <v>3512</v>
      </c>
      <c r="D805" s="9">
        <v>46075.0</v>
      </c>
      <c r="E805" s="10">
        <v>114.91</v>
      </c>
      <c r="F805" s="8" t="s">
        <v>93</v>
      </c>
      <c r="G805" s="13">
        <v>16.6868</v>
      </c>
      <c r="H805" s="13">
        <v>6.8863</v>
      </c>
      <c r="I805" s="9">
        <v>46073.0</v>
      </c>
      <c r="J805" s="10">
        <v>115.0</v>
      </c>
      <c r="K805" s="8">
        <v>1678.0</v>
      </c>
      <c r="L805" s="8" t="s">
        <v>2608</v>
      </c>
      <c r="M805" s="11">
        <v>0.08</v>
      </c>
      <c r="N805" s="8" t="s">
        <v>3513</v>
      </c>
      <c r="O805" s="8">
        <v>3212.0</v>
      </c>
      <c r="P805" s="11">
        <v>20.995</v>
      </c>
      <c r="Q805" s="8" t="s">
        <v>3514</v>
      </c>
      <c r="R805" s="11">
        <v>-0.8371</v>
      </c>
      <c r="S805" s="12">
        <v>2524547.0</v>
      </c>
      <c r="T805" s="12">
        <v>6.0225929203E10</v>
      </c>
      <c r="U805" s="13">
        <v>2.5895</v>
      </c>
      <c r="V805" s="13">
        <v>15.3345</v>
      </c>
      <c r="W805" s="13">
        <v>27.5608</v>
      </c>
      <c r="X805" s="13">
        <v>-9.4737</v>
      </c>
      <c r="Y805" s="13">
        <v>0.3919</v>
      </c>
      <c r="Z805" s="13">
        <v>0.1099</v>
      </c>
      <c r="AA805" s="8" t="s">
        <v>2620</v>
      </c>
      <c r="AB805" s="14">
        <f>IFERROR(__xludf.DUMMYFUNCTION("IFERROR(GOOGLEFINANCE(B805,""price""),"""")"),110.7)</f>
        <v>110.7</v>
      </c>
    </row>
    <row r="806">
      <c r="A806" s="15">
        <v>46069.62611062368</v>
      </c>
      <c r="B806" s="16" t="s">
        <v>3269</v>
      </c>
      <c r="C806" s="16" t="s">
        <v>3270</v>
      </c>
      <c r="D806" s="17">
        <v>46075.0</v>
      </c>
      <c r="E806" s="18">
        <v>255.78</v>
      </c>
      <c r="F806" s="16" t="s">
        <v>308</v>
      </c>
      <c r="G806" s="21">
        <v>32.3616</v>
      </c>
      <c r="H806" s="21">
        <v>7.9038</v>
      </c>
      <c r="I806" s="17">
        <v>46071.0</v>
      </c>
      <c r="J806" s="18">
        <v>260.0</v>
      </c>
      <c r="K806" s="16">
        <v>1953.0</v>
      </c>
      <c r="L806" s="16" t="s">
        <v>2627</v>
      </c>
      <c r="M806" s="19">
        <v>1.65</v>
      </c>
      <c r="N806" s="16" t="s">
        <v>3515</v>
      </c>
      <c r="O806" s="16">
        <v>3063.0</v>
      </c>
      <c r="P806" s="19">
        <v>23.1314</v>
      </c>
      <c r="Q806" s="16" t="s">
        <v>3272</v>
      </c>
      <c r="R806" s="19">
        <v>-2.2733</v>
      </c>
      <c r="S806" s="20">
        <v>5.6289683E7</v>
      </c>
      <c r="T806" s="20">
        <v>3.755141881356E12</v>
      </c>
      <c r="U806" s="21">
        <v>6.5385</v>
      </c>
      <c r="V806" s="21">
        <v>152.0213</v>
      </c>
      <c r="W806" s="21">
        <v>32.384</v>
      </c>
      <c r="X806" s="21">
        <v>10.071</v>
      </c>
      <c r="Y806" s="21">
        <v>1.0263</v>
      </c>
      <c r="Z806" s="21">
        <v>0.9737</v>
      </c>
      <c r="AA806" s="16" t="s">
        <v>2620</v>
      </c>
      <c r="AB806" s="22">
        <f>IFERROR(__xludf.DUMMYFUNCTION("IFERROR(GOOGLEFINANCE(B806,""price""),"""")"),260.48)</f>
        <v>260.48</v>
      </c>
    </row>
    <row r="807">
      <c r="A807" s="7">
        <v>46069.62611062368</v>
      </c>
      <c r="B807" s="8" t="s">
        <v>3516</v>
      </c>
      <c r="C807" s="8" t="s">
        <v>3517</v>
      </c>
      <c r="D807" s="9">
        <v>46075.0</v>
      </c>
      <c r="E807" s="10">
        <v>287.39</v>
      </c>
      <c r="F807" s="8" t="s">
        <v>137</v>
      </c>
      <c r="G807" s="13">
        <v>23.8251</v>
      </c>
      <c r="H807" s="13">
        <v>12.0625</v>
      </c>
      <c r="I807" s="9">
        <v>46073.0</v>
      </c>
      <c r="J807" s="10">
        <v>290.0</v>
      </c>
      <c r="K807" s="8">
        <v>2917.0</v>
      </c>
      <c r="L807" s="8" t="s">
        <v>2608</v>
      </c>
      <c r="M807" s="11">
        <v>0.91</v>
      </c>
      <c r="N807" s="8" t="s">
        <v>3518</v>
      </c>
      <c r="O807" s="8">
        <v>2917.0</v>
      </c>
      <c r="P807" s="11">
        <v>27.9158</v>
      </c>
      <c r="Q807" s="8" t="s">
        <v>3519</v>
      </c>
      <c r="R807" s="11">
        <v>0.6514</v>
      </c>
      <c r="S807" s="12">
        <v>2241885.0</v>
      </c>
      <c r="T807" s="12">
        <v>1.61211835666E11</v>
      </c>
      <c r="U807" s="13">
        <v>6.615</v>
      </c>
      <c r="V807" s="23"/>
      <c r="W807" s="13">
        <v>12.099</v>
      </c>
      <c r="X807" s="13">
        <v>0.6366</v>
      </c>
      <c r="Y807" s="23"/>
      <c r="Z807" s="13">
        <v>1.0395</v>
      </c>
      <c r="AA807" s="8" t="s">
        <v>2620</v>
      </c>
      <c r="AB807" s="14">
        <f>IFERROR(__xludf.DUMMYFUNCTION("IFERROR(GOOGLEFINANCE(B807,""price""),"""")"),244.22)</f>
        <v>244.22</v>
      </c>
    </row>
    <row r="808">
      <c r="A808" s="15">
        <v>46069.62611062368</v>
      </c>
      <c r="B808" s="16" t="s">
        <v>2139</v>
      </c>
      <c r="C808" s="16" t="s">
        <v>2140</v>
      </c>
      <c r="D808" s="17">
        <v>46075.0</v>
      </c>
      <c r="E808" s="18">
        <v>61.2</v>
      </c>
      <c r="F808" s="16" t="s">
        <v>270</v>
      </c>
      <c r="G808" s="21">
        <v>23.4933</v>
      </c>
      <c r="H808" s="21">
        <v>2.605</v>
      </c>
      <c r="I808" s="17">
        <v>46073.0</v>
      </c>
      <c r="J808" s="18">
        <v>60.0</v>
      </c>
      <c r="K808" s="16">
        <v>2799.0</v>
      </c>
      <c r="L808" s="16" t="s">
        <v>2608</v>
      </c>
      <c r="M808" s="19">
        <v>1.96</v>
      </c>
      <c r="N808" s="16" t="s">
        <v>3469</v>
      </c>
      <c r="O808" s="16">
        <v>2799.0</v>
      </c>
      <c r="P808" s="19">
        <v>42.95</v>
      </c>
      <c r="Q808" s="16" t="s">
        <v>2141</v>
      </c>
      <c r="R808" s="19">
        <v>-0.3095</v>
      </c>
      <c r="S808" s="20">
        <v>8143708.0</v>
      </c>
      <c r="T808" s="20">
        <v>6.0480075241E10</v>
      </c>
      <c r="U808" s="21">
        <v>1.7179</v>
      </c>
      <c r="V808" s="21">
        <v>14.4868</v>
      </c>
      <c r="W808" s="21">
        <v>12.8259</v>
      </c>
      <c r="X808" s="21">
        <v>-0.345</v>
      </c>
      <c r="Y808" s="21">
        <v>0.3558</v>
      </c>
      <c r="Z808" s="21">
        <v>1.3568</v>
      </c>
      <c r="AA808" s="16" t="s">
        <v>2611</v>
      </c>
      <c r="AB808" s="22">
        <f>IFERROR(__xludf.DUMMYFUNCTION("IFERROR(GOOGLEFINANCE(B808,""price""),"""")"),62.83)</f>
        <v>62.83</v>
      </c>
    </row>
    <row r="809">
      <c r="A809" s="7">
        <v>46069.62611062368</v>
      </c>
      <c r="B809" s="8" t="s">
        <v>2684</v>
      </c>
      <c r="C809" s="8" t="s">
        <v>2685</v>
      </c>
      <c r="D809" s="9">
        <v>46075.0</v>
      </c>
      <c r="E809" s="10">
        <v>354.91</v>
      </c>
      <c r="F809" s="8" t="s">
        <v>102</v>
      </c>
      <c r="G809" s="13">
        <v>36.3369</v>
      </c>
      <c r="H809" s="13">
        <v>9.7672</v>
      </c>
      <c r="I809" s="9">
        <v>46073.0</v>
      </c>
      <c r="J809" s="10">
        <v>350.0</v>
      </c>
      <c r="K809" s="8">
        <v>2665.0</v>
      </c>
      <c r="L809" s="8" t="s">
        <v>2608</v>
      </c>
      <c r="M809" s="11">
        <v>1.38</v>
      </c>
      <c r="N809" s="8" t="s">
        <v>3520</v>
      </c>
      <c r="O809" s="8">
        <v>2665.0</v>
      </c>
      <c r="P809" s="11">
        <v>32.463</v>
      </c>
      <c r="Q809" s="8" t="s">
        <v>2687</v>
      </c>
      <c r="R809" s="11">
        <v>8.0758</v>
      </c>
      <c r="S809" s="12">
        <v>1.570497E7</v>
      </c>
      <c r="T809" s="12">
        <v>2.81699677597E11</v>
      </c>
      <c r="U809" s="13">
        <v>17.444</v>
      </c>
      <c r="V809" s="13">
        <v>38.8627</v>
      </c>
      <c r="W809" s="13">
        <v>29.7406</v>
      </c>
      <c r="X809" s="13">
        <v>2.1543</v>
      </c>
      <c r="Y809" s="13">
        <v>0.3017</v>
      </c>
      <c r="Z809" s="13">
        <v>2.7149</v>
      </c>
      <c r="AA809" s="8" t="s">
        <v>2611</v>
      </c>
      <c r="AB809" s="14">
        <f>IFERROR(__xludf.DUMMYFUNCTION("IFERROR(GOOGLEFINANCE(B809,""price""),"""")"),399.5)</f>
        <v>399.5</v>
      </c>
    </row>
    <row r="810">
      <c r="A810" s="15">
        <v>46069.62611062368</v>
      </c>
      <c r="B810" s="16" t="s">
        <v>2344</v>
      </c>
      <c r="C810" s="16" t="s">
        <v>2345</v>
      </c>
      <c r="D810" s="17">
        <v>46075.0</v>
      </c>
      <c r="E810" s="18">
        <v>72.28</v>
      </c>
      <c r="F810" s="16" t="s">
        <v>270</v>
      </c>
      <c r="G810" s="24"/>
      <c r="H810" s="24"/>
      <c r="I810" s="17">
        <v>46073.0</v>
      </c>
      <c r="J810" s="18">
        <v>73.0</v>
      </c>
      <c r="K810" s="16">
        <v>1548.0</v>
      </c>
      <c r="L810" s="16" t="s">
        <v>2608</v>
      </c>
      <c r="M810" s="19">
        <v>1.0</v>
      </c>
      <c r="N810" s="16" t="s">
        <v>3521</v>
      </c>
      <c r="O810" s="16">
        <v>2577.0</v>
      </c>
      <c r="P810" s="19">
        <v>40.3166</v>
      </c>
      <c r="Q810" s="16" t="s">
        <v>2346</v>
      </c>
      <c r="R810" s="19">
        <v>1.6168</v>
      </c>
      <c r="S810" s="20">
        <v>5874782.0</v>
      </c>
      <c r="T810" s="20">
        <v>8.8269698582E10</v>
      </c>
      <c r="U810" s="21">
        <v>1.8827</v>
      </c>
      <c r="V810" s="21">
        <v>20.7424</v>
      </c>
      <c r="W810" s="21">
        <v>36.7664</v>
      </c>
      <c r="X810" s="21">
        <v>10.611</v>
      </c>
      <c r="Y810" s="21">
        <v>2.2926</v>
      </c>
      <c r="Z810" s="21">
        <v>0.5313</v>
      </c>
      <c r="AA810" s="16" t="s">
        <v>2620</v>
      </c>
      <c r="AB810" s="22">
        <f>IFERROR(__xludf.DUMMYFUNCTION("IFERROR(GOOGLEFINANCE(B810,""price""),"""")"),72.74)</f>
        <v>72.74</v>
      </c>
    </row>
    <row r="811">
      <c r="A811" s="7">
        <v>46069.62611062368</v>
      </c>
      <c r="B811" s="8" t="s">
        <v>2973</v>
      </c>
      <c r="C811" s="8" t="s">
        <v>2974</v>
      </c>
      <c r="D811" s="9">
        <v>46075.0</v>
      </c>
      <c r="E811" s="10">
        <v>51.9</v>
      </c>
      <c r="F811" s="8" t="s">
        <v>93</v>
      </c>
      <c r="G811" s="13">
        <v>13.5956</v>
      </c>
      <c r="H811" s="13">
        <v>3.8174</v>
      </c>
      <c r="I811" s="9">
        <v>46073.0</v>
      </c>
      <c r="J811" s="10">
        <v>52.5</v>
      </c>
      <c r="K811" s="8">
        <v>2541.0</v>
      </c>
      <c r="L811" s="8" t="s">
        <v>2608</v>
      </c>
      <c r="M811" s="11">
        <v>1.16</v>
      </c>
      <c r="N811" s="8" t="s">
        <v>3470</v>
      </c>
      <c r="O811" s="8">
        <v>2541.0</v>
      </c>
      <c r="P811" s="11">
        <v>23.6401</v>
      </c>
      <c r="Q811" s="8" t="s">
        <v>2976</v>
      </c>
      <c r="R811" s="11">
        <v>-0.3265</v>
      </c>
      <c r="S811" s="12">
        <v>7003032.0</v>
      </c>
      <c r="T811" s="12">
        <v>6.6392880553E10</v>
      </c>
      <c r="U811" s="13">
        <v>1.2811</v>
      </c>
      <c r="V811" s="13">
        <v>8.2363</v>
      </c>
      <c r="W811" s="13">
        <v>21.1616</v>
      </c>
      <c r="X811" s="13">
        <v>24.2886</v>
      </c>
      <c r="Y811" s="13">
        <v>1.0708</v>
      </c>
      <c r="Z811" s="13">
        <v>0.3413</v>
      </c>
      <c r="AA811" s="8" t="s">
        <v>2620</v>
      </c>
      <c r="AB811" s="14">
        <f>IFERROR(__xludf.DUMMYFUNCTION("IFERROR(GOOGLEFINANCE(B811,""price""),"""")"),49.6)</f>
        <v>49.6</v>
      </c>
    </row>
    <row r="812">
      <c r="A812" s="15">
        <v>46069.62611062368</v>
      </c>
      <c r="B812" s="16" t="s">
        <v>2505</v>
      </c>
      <c r="C812" s="16" t="s">
        <v>2506</v>
      </c>
      <c r="D812" s="17">
        <v>46075.0</v>
      </c>
      <c r="E812" s="18">
        <v>183.23</v>
      </c>
      <c r="F812" s="16" t="s">
        <v>335</v>
      </c>
      <c r="G812" s="21">
        <v>24.3088</v>
      </c>
      <c r="H812" s="21">
        <v>7.5376</v>
      </c>
      <c r="I812" s="17">
        <v>46073.0</v>
      </c>
      <c r="J812" s="18">
        <v>180.0</v>
      </c>
      <c r="K812" s="16">
        <v>1470.0</v>
      </c>
      <c r="L812" s="16" t="s">
        <v>2627</v>
      </c>
      <c r="M812" s="19">
        <v>1.76</v>
      </c>
      <c r="N812" s="16" t="s">
        <v>3471</v>
      </c>
      <c r="O812" s="16">
        <v>2508.0</v>
      </c>
      <c r="P812" s="19">
        <v>23.2408</v>
      </c>
      <c r="Q812" s="16" t="s">
        <v>2507</v>
      </c>
      <c r="R812" s="19">
        <v>-2.9554</v>
      </c>
      <c r="S812" s="20">
        <v>2454153.0</v>
      </c>
      <c r="T812" s="20">
        <v>4.1933770898E10</v>
      </c>
      <c r="U812" s="21">
        <v>5.8714</v>
      </c>
      <c r="V812" s="21">
        <v>8.4356</v>
      </c>
      <c r="W812" s="21">
        <v>8.2261</v>
      </c>
      <c r="X812" s="21">
        <v>5.7251</v>
      </c>
      <c r="Y812" s="21">
        <v>0.3401</v>
      </c>
      <c r="Z812" s="21">
        <v>2.9383</v>
      </c>
      <c r="AA812" s="16" t="s">
        <v>2611</v>
      </c>
      <c r="AB812" s="22">
        <f>IFERROR(__xludf.DUMMYFUNCTION("IFERROR(GOOGLEFINANCE(B812,""price""),"""")"),186.12)</f>
        <v>186.12</v>
      </c>
    </row>
    <row r="813">
      <c r="A813" s="7">
        <v>46069.62611062368</v>
      </c>
      <c r="B813" s="8" t="s">
        <v>2680</v>
      </c>
      <c r="C813" s="8" t="s">
        <v>2681</v>
      </c>
      <c r="D813" s="9">
        <v>46075.0</v>
      </c>
      <c r="E813" s="10">
        <v>200.17</v>
      </c>
      <c r="F813" s="8" t="s">
        <v>245</v>
      </c>
      <c r="G813" s="13">
        <v>26.1732</v>
      </c>
      <c r="H813" s="13">
        <v>7.6479</v>
      </c>
      <c r="I813" s="9">
        <v>46073.0</v>
      </c>
      <c r="J813" s="10">
        <v>200.0</v>
      </c>
      <c r="K813" s="8">
        <v>1417.0</v>
      </c>
      <c r="L813" s="8" t="s">
        <v>2608</v>
      </c>
      <c r="M813" s="11">
        <v>0.08</v>
      </c>
      <c r="N813" s="8" t="s">
        <v>3522</v>
      </c>
      <c r="O813" s="8">
        <v>2470.0</v>
      </c>
      <c r="P813" s="11">
        <v>38.0602</v>
      </c>
      <c r="Q813" s="8" t="s">
        <v>2683</v>
      </c>
      <c r="R813" s="11">
        <v>1.6556</v>
      </c>
      <c r="S813" s="12">
        <v>2170723.0</v>
      </c>
      <c r="T813" s="12">
        <v>6.1053755357E10</v>
      </c>
      <c r="U813" s="13">
        <v>6.5932</v>
      </c>
      <c r="V813" s="13">
        <v>9.7104</v>
      </c>
      <c r="W813" s="13">
        <v>3.6059</v>
      </c>
      <c r="X813" s="13">
        <v>-5.4437</v>
      </c>
      <c r="Y813" s="13">
        <v>0.4476</v>
      </c>
      <c r="Z813" s="13">
        <v>1.645</v>
      </c>
      <c r="AA813" s="8" t="s">
        <v>2611</v>
      </c>
      <c r="AB813" s="14">
        <f>IFERROR(__xludf.DUMMYFUNCTION("IFERROR(GOOGLEFINANCE(B813,""price""),"""")"),238.82)</f>
        <v>238.82</v>
      </c>
    </row>
    <row r="814">
      <c r="A814" s="15">
        <v>46069.62611062368</v>
      </c>
      <c r="B814" s="16" t="s">
        <v>3523</v>
      </c>
      <c r="C814" s="16" t="s">
        <v>3524</v>
      </c>
      <c r="D814" s="17">
        <v>46075.0</v>
      </c>
      <c r="E814" s="18">
        <v>40.87</v>
      </c>
      <c r="F814" s="16" t="s">
        <v>162</v>
      </c>
      <c r="G814" s="21">
        <v>26.4874</v>
      </c>
      <c r="H814" s="21">
        <v>1.543</v>
      </c>
      <c r="I814" s="17">
        <v>46073.0</v>
      </c>
      <c r="J814" s="18">
        <v>41.0</v>
      </c>
      <c r="K814" s="16">
        <v>2161.0</v>
      </c>
      <c r="L814" s="16" t="s">
        <v>2608</v>
      </c>
      <c r="M814" s="19">
        <v>0.32</v>
      </c>
      <c r="N814" s="16" t="s">
        <v>3525</v>
      </c>
      <c r="O814" s="16">
        <v>2161.0</v>
      </c>
      <c r="P814" s="19">
        <v>40.8225</v>
      </c>
      <c r="Q814" s="16" t="s">
        <v>3526</v>
      </c>
      <c r="R814" s="19">
        <v>0.4177</v>
      </c>
      <c r="S814" s="20">
        <v>1.0547875E7</v>
      </c>
      <c r="T814" s="20">
        <v>7.6000082905E10</v>
      </c>
      <c r="U814" s="21">
        <v>0.8619</v>
      </c>
      <c r="V814" s="21">
        <v>22.5202</v>
      </c>
      <c r="W814" s="21">
        <v>33.2458</v>
      </c>
      <c r="X814" s="21">
        <v>-3.0812</v>
      </c>
      <c r="Y814" s="21">
        <v>1.4762</v>
      </c>
      <c r="Z814" s="21">
        <v>0.8139</v>
      </c>
      <c r="AA814" s="16" t="s">
        <v>2620</v>
      </c>
      <c r="AB814" s="22">
        <f>IFERROR(__xludf.DUMMYFUNCTION("IFERROR(GOOGLEFINANCE(B814,""price""),"""")"),42.24)</f>
        <v>42.24</v>
      </c>
    </row>
    <row r="815">
      <c r="A815" s="7">
        <v>46069.62611062368</v>
      </c>
      <c r="B815" s="8" t="s">
        <v>3049</v>
      </c>
      <c r="C815" s="8" t="s">
        <v>3050</v>
      </c>
      <c r="D815" s="9">
        <v>46075.0</v>
      </c>
      <c r="E815" s="10">
        <v>74.75</v>
      </c>
      <c r="F815" s="8" t="s">
        <v>93</v>
      </c>
      <c r="G815" s="13">
        <v>33.8067</v>
      </c>
      <c r="H815" s="13">
        <v>2.2111</v>
      </c>
      <c r="I815" s="9">
        <v>46073.0</v>
      </c>
      <c r="J815" s="10">
        <v>75.0</v>
      </c>
      <c r="K815" s="8">
        <v>1127.0</v>
      </c>
      <c r="L815" s="8" t="s">
        <v>2627</v>
      </c>
      <c r="M815" s="11">
        <v>0.33</v>
      </c>
      <c r="N815" s="8" t="s">
        <v>3527</v>
      </c>
      <c r="O815" s="8">
        <v>2138.0</v>
      </c>
      <c r="P815" s="11">
        <v>23.3983</v>
      </c>
      <c r="Q815" s="8" t="s">
        <v>3052</v>
      </c>
      <c r="R815" s="11">
        <v>2.3132</v>
      </c>
      <c r="S815" s="12">
        <v>4385359.0</v>
      </c>
      <c r="T815" s="12">
        <v>1.26781130092E11</v>
      </c>
      <c r="U815" s="13">
        <v>3.2323</v>
      </c>
      <c r="V815" s="13">
        <v>20.4086</v>
      </c>
      <c r="W815" s="13">
        <v>86.2403</v>
      </c>
      <c r="X815" s="13">
        <v>11.0531</v>
      </c>
      <c r="Y815" s="13">
        <v>4.6187</v>
      </c>
      <c r="Z815" s="13">
        <v>1.2729</v>
      </c>
      <c r="AA815" s="8" t="s">
        <v>2620</v>
      </c>
      <c r="AB815" s="14">
        <f>IFERROR(__xludf.DUMMYFUNCTION("IFERROR(GOOGLEFINANCE(B815,""price""),"""")"),71.21)</f>
        <v>71.21</v>
      </c>
    </row>
    <row r="816">
      <c r="A816" s="15">
        <v>46069.62611062368</v>
      </c>
      <c r="B816" s="16" t="s">
        <v>2366</v>
      </c>
      <c r="C816" s="16" t="s">
        <v>2367</v>
      </c>
      <c r="D816" s="17">
        <v>46075.0</v>
      </c>
      <c r="E816" s="18">
        <v>256.06</v>
      </c>
      <c r="F816" s="16" t="s">
        <v>102</v>
      </c>
      <c r="G816" s="21">
        <v>37.4927</v>
      </c>
      <c r="H816" s="21">
        <v>6.8296</v>
      </c>
      <c r="I816" s="17">
        <v>46073.0</v>
      </c>
      <c r="J816" s="18">
        <v>260.0</v>
      </c>
      <c r="K816" s="16">
        <v>2015.0</v>
      </c>
      <c r="L816" s="16" t="s">
        <v>2608</v>
      </c>
      <c r="M816" s="19">
        <v>1.54</v>
      </c>
      <c r="N816" s="16" t="s">
        <v>3528</v>
      </c>
      <c r="O816" s="16">
        <v>2015.0</v>
      </c>
      <c r="P816" s="19">
        <v>41.4736</v>
      </c>
      <c r="Q816" s="16" t="s">
        <v>2368</v>
      </c>
      <c r="R816" s="19">
        <v>0.8944</v>
      </c>
      <c r="S816" s="20">
        <v>1066967.0</v>
      </c>
      <c r="T816" s="20">
        <v>4.3775296076E10</v>
      </c>
      <c r="U816" s="21">
        <v>5.809</v>
      </c>
      <c r="V816" s="21">
        <v>11.0112</v>
      </c>
      <c r="W816" s="21">
        <v>16.3428</v>
      </c>
      <c r="X816" s="21">
        <v>7.5094</v>
      </c>
      <c r="Y816" s="21">
        <v>0.5325</v>
      </c>
      <c r="Z816" s="21">
        <v>1.1056</v>
      </c>
      <c r="AA816" s="16" t="s">
        <v>2620</v>
      </c>
      <c r="AB816" s="22">
        <f>IFERROR(__xludf.DUMMYFUNCTION("IFERROR(GOOGLEFINANCE(B816,""price""),"""")"),267.28)</f>
        <v>267.28</v>
      </c>
    </row>
    <row r="817">
      <c r="A817" s="7">
        <v>46069.62611062368</v>
      </c>
      <c r="B817" s="8" t="s">
        <v>2663</v>
      </c>
      <c r="C817" s="8" t="s">
        <v>2664</v>
      </c>
      <c r="D817" s="9">
        <v>46075.0</v>
      </c>
      <c r="E817" s="10">
        <v>125.8</v>
      </c>
      <c r="F817" s="8" t="s">
        <v>335</v>
      </c>
      <c r="G817" s="13">
        <v>19.5557</v>
      </c>
      <c r="H817" s="13">
        <v>6.4329</v>
      </c>
      <c r="I817" s="9">
        <v>46073.0</v>
      </c>
      <c r="J817" s="10">
        <v>125.0</v>
      </c>
      <c r="K817" s="8">
        <v>2002.0</v>
      </c>
      <c r="L817" s="8" t="s">
        <v>2608</v>
      </c>
      <c r="M817" s="11">
        <v>0.64</v>
      </c>
      <c r="N817" s="8" t="s">
        <v>3529</v>
      </c>
      <c r="O817" s="8">
        <v>2002.0</v>
      </c>
      <c r="P817" s="11">
        <v>21.8666</v>
      </c>
      <c r="Q817" s="8" t="s">
        <v>2666</v>
      </c>
      <c r="R817" s="11">
        <v>6.5019</v>
      </c>
      <c r="S817" s="12">
        <v>7623413.0</v>
      </c>
      <c r="T817" s="12">
        <v>1.37280881113E11</v>
      </c>
      <c r="U817" s="13">
        <v>5.8033</v>
      </c>
      <c r="V817" s="13">
        <v>22.8383</v>
      </c>
      <c r="W817" s="13">
        <v>42.3718</v>
      </c>
      <c r="X817" s="13">
        <v>26.2476</v>
      </c>
      <c r="Y817" s="13">
        <v>0.1701</v>
      </c>
      <c r="Z817" s="13">
        <v>2.0393</v>
      </c>
      <c r="AA817" s="8" t="s">
        <v>2611</v>
      </c>
      <c r="AB817" s="14">
        <f>IFERROR(__xludf.DUMMYFUNCTION("IFERROR(GOOGLEFINANCE(B817,""price""),"""")"),120.9)</f>
        <v>120.9</v>
      </c>
    </row>
    <row r="818">
      <c r="A818" s="15">
        <v>46069.62611062368</v>
      </c>
      <c r="B818" s="16" t="s">
        <v>2117</v>
      </c>
      <c r="C818" s="16" t="s">
        <v>2118</v>
      </c>
      <c r="D818" s="17">
        <v>46075.0</v>
      </c>
      <c r="E818" s="18">
        <v>160.57</v>
      </c>
      <c r="F818" s="16" t="s">
        <v>149</v>
      </c>
      <c r="G818" s="21">
        <v>28.9268</v>
      </c>
      <c r="H818" s="21">
        <v>5.5509</v>
      </c>
      <c r="I818" s="17">
        <v>46073.0</v>
      </c>
      <c r="J818" s="18">
        <v>160.0</v>
      </c>
      <c r="K818" s="16">
        <v>1867.0</v>
      </c>
      <c r="L818" s="16" t="s">
        <v>2608</v>
      </c>
      <c r="M818" s="19">
        <v>0.35</v>
      </c>
      <c r="N818" s="16" t="s">
        <v>3475</v>
      </c>
      <c r="O818" s="16">
        <v>1867.0</v>
      </c>
      <c r="P818" s="19">
        <v>25.8723</v>
      </c>
      <c r="Q818" s="16" t="s">
        <v>2119</v>
      </c>
      <c r="R818" s="19">
        <v>-1.6597</v>
      </c>
      <c r="S818" s="20">
        <v>2237195.0</v>
      </c>
      <c r="T818" s="20">
        <v>4.4582717273E10</v>
      </c>
      <c r="U818" s="21">
        <v>3.4784</v>
      </c>
      <c r="V818" s="24"/>
      <c r="W818" s="21">
        <v>30.9388</v>
      </c>
      <c r="X818" s="21">
        <v>8.7959</v>
      </c>
      <c r="Y818" s="24"/>
      <c r="Z818" s="21">
        <v>1.3456</v>
      </c>
      <c r="AA818" s="16" t="s">
        <v>2611</v>
      </c>
      <c r="AB818" s="22">
        <f>IFERROR(__xludf.DUMMYFUNCTION("IFERROR(GOOGLEFINANCE(B818,""price""),"""")"),161.76)</f>
        <v>161.76</v>
      </c>
    </row>
    <row r="819">
      <c r="A819" s="7">
        <v>46069.62611062368</v>
      </c>
      <c r="B819" s="8" t="s">
        <v>2726</v>
      </c>
      <c r="C819" s="8" t="s">
        <v>2727</v>
      </c>
      <c r="D819" s="9">
        <v>46075.0</v>
      </c>
      <c r="E819" s="10">
        <v>81.48</v>
      </c>
      <c r="F819" s="8" t="s">
        <v>286</v>
      </c>
      <c r="G819" s="13">
        <v>46.3851</v>
      </c>
      <c r="H819" s="13">
        <v>1.7566</v>
      </c>
      <c r="I819" s="9">
        <v>46073.0</v>
      </c>
      <c r="J819" s="10">
        <v>82.5</v>
      </c>
      <c r="K819" s="8">
        <v>1803.0</v>
      </c>
      <c r="L819" s="8" t="s">
        <v>2608</v>
      </c>
      <c r="M819" s="11">
        <v>1.25</v>
      </c>
      <c r="N819" s="8" t="s">
        <v>3476</v>
      </c>
      <c r="O819" s="8">
        <v>1803.0</v>
      </c>
      <c r="P819" s="11">
        <v>33.8351</v>
      </c>
      <c r="Q819" s="8" t="s">
        <v>2729</v>
      </c>
      <c r="R819" s="11">
        <v>0.3819</v>
      </c>
      <c r="S819" s="12">
        <v>5175998.0</v>
      </c>
      <c r="T819" s="12">
        <v>7.9607688961E10</v>
      </c>
      <c r="U819" s="13">
        <v>1.4992</v>
      </c>
      <c r="V819" s="13">
        <v>25.538</v>
      </c>
      <c r="W819" s="13">
        <v>29.9505</v>
      </c>
      <c r="X819" s="13">
        <v>7.618</v>
      </c>
      <c r="Y819" s="13">
        <v>0.0</v>
      </c>
      <c r="Z819" s="13">
        <v>3.1855</v>
      </c>
      <c r="AA819" s="8" t="s">
        <v>2620</v>
      </c>
      <c r="AB819" s="14">
        <f>IFERROR(__xludf.DUMMYFUNCTION("IFERROR(GOOGLEFINANCE(B819,""price""),"""")"),75.72)</f>
        <v>75.72</v>
      </c>
    </row>
    <row r="820">
      <c r="A820" s="15">
        <v>46069.62611062368</v>
      </c>
      <c r="B820" s="16" t="s">
        <v>1372</v>
      </c>
      <c r="C820" s="16" t="s">
        <v>1373</v>
      </c>
      <c r="D820" s="17">
        <v>46075.0</v>
      </c>
      <c r="E820" s="18">
        <v>150.43</v>
      </c>
      <c r="F820" s="16" t="s">
        <v>93</v>
      </c>
      <c r="G820" s="21">
        <v>7.0453</v>
      </c>
      <c r="H820" s="21">
        <v>21.3518</v>
      </c>
      <c r="I820" s="17">
        <v>46073.0</v>
      </c>
      <c r="J820" s="18">
        <v>150.0</v>
      </c>
      <c r="K820" s="16">
        <v>1738.0</v>
      </c>
      <c r="L820" s="16" t="s">
        <v>2608</v>
      </c>
      <c r="M820" s="19">
        <v>0.29</v>
      </c>
      <c r="N820" s="16" t="s">
        <v>3530</v>
      </c>
      <c r="O820" s="16">
        <v>1738.0</v>
      </c>
      <c r="P820" s="19">
        <v>16.124</v>
      </c>
      <c r="Q820" s="16" t="s">
        <v>1374</v>
      </c>
      <c r="R820" s="19">
        <v>1.807</v>
      </c>
      <c r="S820" s="20">
        <v>1276834.0</v>
      </c>
      <c r="T820" s="20">
        <v>2.5103236861E10</v>
      </c>
      <c r="U820" s="21">
        <v>3.251</v>
      </c>
      <c r="V820" s="21">
        <v>21.1255</v>
      </c>
      <c r="W820" s="21">
        <v>49.1887</v>
      </c>
      <c r="X820" s="21">
        <v>-1.741</v>
      </c>
      <c r="Y820" s="21">
        <v>2.3803</v>
      </c>
      <c r="Z820" s="21">
        <v>0.6041</v>
      </c>
      <c r="AA820" s="16" t="s">
        <v>2611</v>
      </c>
      <c r="AB820" s="22">
        <f>IFERROR(__xludf.DUMMYFUNCTION("IFERROR(GOOGLEFINANCE(B820,""price""),"""")"),145.53)</f>
        <v>145.53</v>
      </c>
    </row>
    <row r="821">
      <c r="A821" s="7">
        <v>46069.62611062368</v>
      </c>
      <c r="B821" s="8" t="s">
        <v>3531</v>
      </c>
      <c r="C821" s="8" t="s">
        <v>3532</v>
      </c>
      <c r="D821" s="9">
        <v>46075.0</v>
      </c>
      <c r="E821" s="10">
        <v>260.68</v>
      </c>
      <c r="F821" s="8" t="s">
        <v>162</v>
      </c>
      <c r="G821" s="13">
        <v>21.7536</v>
      </c>
      <c r="H821" s="13">
        <v>11.9833</v>
      </c>
      <c r="I821" s="9">
        <v>46073.0</v>
      </c>
      <c r="J821" s="10">
        <v>260.0</v>
      </c>
      <c r="K821" s="8">
        <v>1698.0</v>
      </c>
      <c r="L821" s="8" t="s">
        <v>2608</v>
      </c>
      <c r="M821" s="11">
        <v>0.26</v>
      </c>
      <c r="N821" s="8" t="s">
        <v>3533</v>
      </c>
      <c r="O821" s="8">
        <v>1698.0</v>
      </c>
      <c r="P821" s="11">
        <v>35.3725</v>
      </c>
      <c r="Q821" s="8" t="s">
        <v>3534</v>
      </c>
      <c r="R821" s="11">
        <v>-0.4164</v>
      </c>
      <c r="S821" s="12">
        <v>3976725.0</v>
      </c>
      <c r="T821" s="12">
        <v>1.54685270617E11</v>
      </c>
      <c r="U821" s="13">
        <v>5.247</v>
      </c>
      <c r="V821" s="13">
        <v>40.3767</v>
      </c>
      <c r="W821" s="13">
        <v>40.0408</v>
      </c>
      <c r="X821" s="13">
        <v>1.0722</v>
      </c>
      <c r="Y821" s="13">
        <v>1.7773</v>
      </c>
      <c r="Z821" s="13">
        <v>0.9085</v>
      </c>
      <c r="AA821" s="8" t="s">
        <v>2611</v>
      </c>
      <c r="AB821" s="14">
        <f>IFERROR(__xludf.DUMMYFUNCTION("IFERROR(GOOGLEFINANCE(B821,""price""),"""")"),250.51)</f>
        <v>250.51</v>
      </c>
    </row>
    <row r="822">
      <c r="A822" s="15">
        <v>46069.62611062368</v>
      </c>
      <c r="B822" s="16" t="s">
        <v>1663</v>
      </c>
      <c r="C822" s="16" t="s">
        <v>1664</v>
      </c>
      <c r="D822" s="17">
        <v>46075.0</v>
      </c>
      <c r="E822" s="18">
        <v>171.82</v>
      </c>
      <c r="F822" s="16" t="s">
        <v>102</v>
      </c>
      <c r="G822" s="21">
        <v>28.6586</v>
      </c>
      <c r="H822" s="21">
        <v>5.9954</v>
      </c>
      <c r="I822" s="17">
        <v>46073.0</v>
      </c>
      <c r="J822" s="18">
        <v>170.0</v>
      </c>
      <c r="K822" s="16">
        <v>1666.0</v>
      </c>
      <c r="L822" s="16" t="s">
        <v>2608</v>
      </c>
      <c r="M822" s="19">
        <v>1.06</v>
      </c>
      <c r="N822" s="16" t="s">
        <v>3535</v>
      </c>
      <c r="O822" s="16">
        <v>1666.0</v>
      </c>
      <c r="P822" s="19">
        <v>23.1731</v>
      </c>
      <c r="Q822" s="16" t="s">
        <v>1665</v>
      </c>
      <c r="R822" s="19">
        <v>-1.5978</v>
      </c>
      <c r="S822" s="20">
        <v>3178374.0</v>
      </c>
      <c r="T822" s="20">
        <v>9.0497599955E10</v>
      </c>
      <c r="U822" s="21">
        <v>4.5358</v>
      </c>
      <c r="V822" s="21">
        <v>76.0768</v>
      </c>
      <c r="W822" s="21">
        <v>18.9594</v>
      </c>
      <c r="X822" s="21">
        <v>-6.0763</v>
      </c>
      <c r="Y822" s="21">
        <v>2.7929</v>
      </c>
      <c r="Z822" s="21">
        <v>1.7079</v>
      </c>
      <c r="AA822" s="16" t="s">
        <v>2611</v>
      </c>
      <c r="AB822" s="22">
        <f>IFERROR(__xludf.DUMMYFUNCTION("IFERROR(GOOGLEFINANCE(B822,""price""),"""")"),150.32)</f>
        <v>150.32</v>
      </c>
    </row>
    <row r="823">
      <c r="A823" s="7">
        <v>46069.62611062368</v>
      </c>
      <c r="B823" s="8" t="s">
        <v>3416</v>
      </c>
      <c r="C823" s="8" t="s">
        <v>3417</v>
      </c>
      <c r="D823" s="9">
        <v>46075.0</v>
      </c>
      <c r="E823" s="10">
        <v>67.25</v>
      </c>
      <c r="F823" s="8" t="s">
        <v>286</v>
      </c>
      <c r="G823" s="13">
        <v>16.3359</v>
      </c>
      <c r="H823" s="13">
        <v>4.1167</v>
      </c>
      <c r="I823" s="9">
        <v>46073.0</v>
      </c>
      <c r="J823" s="10">
        <v>66.0</v>
      </c>
      <c r="K823" s="8">
        <v>1662.0</v>
      </c>
      <c r="L823" s="8" t="s">
        <v>2608</v>
      </c>
      <c r="M823" s="11">
        <v>1.86</v>
      </c>
      <c r="N823" s="8" t="s">
        <v>3536</v>
      </c>
      <c r="O823" s="8">
        <v>1662.0</v>
      </c>
      <c r="P823" s="11">
        <v>26.0129</v>
      </c>
      <c r="Q823" s="8" t="s">
        <v>3419</v>
      </c>
      <c r="R823" s="11">
        <v>0.3582</v>
      </c>
      <c r="S823" s="12">
        <v>8578418.0</v>
      </c>
      <c r="T823" s="12">
        <v>1.12890658966E11</v>
      </c>
      <c r="U823" s="13">
        <v>1.4657</v>
      </c>
      <c r="V823" s="23"/>
      <c r="W823" s="13">
        <v>63.7221</v>
      </c>
      <c r="X823" s="13">
        <v>-1.4919</v>
      </c>
      <c r="Y823" s="23"/>
      <c r="Z823" s="13">
        <v>0.648</v>
      </c>
      <c r="AA823" s="8" t="s">
        <v>2611</v>
      </c>
      <c r="AB823" s="14">
        <f>IFERROR(__xludf.DUMMYFUNCTION("IFERROR(GOOGLEFINANCE(B823,""price""),"""")"),67.38)</f>
        <v>67.38</v>
      </c>
    </row>
    <row r="824">
      <c r="A824" s="15">
        <v>46069.62611062368</v>
      </c>
      <c r="B824" s="16" t="s">
        <v>3291</v>
      </c>
      <c r="C824" s="16" t="s">
        <v>3292</v>
      </c>
      <c r="D824" s="17">
        <v>46075.0</v>
      </c>
      <c r="E824" s="18">
        <v>234.52</v>
      </c>
      <c r="F824" s="16" t="s">
        <v>270</v>
      </c>
      <c r="G824" s="21">
        <v>35.0103</v>
      </c>
      <c r="H824" s="21">
        <v>6.6986</v>
      </c>
      <c r="I824" s="17">
        <v>46073.0</v>
      </c>
      <c r="J824" s="18">
        <v>230.0</v>
      </c>
      <c r="K824" s="16">
        <v>1639.0</v>
      </c>
      <c r="L824" s="16" t="s">
        <v>2608</v>
      </c>
      <c r="M824" s="19">
        <v>1.93</v>
      </c>
      <c r="N824" s="16" t="s">
        <v>3478</v>
      </c>
      <c r="O824" s="16">
        <v>1639.0</v>
      </c>
      <c r="P824" s="19">
        <v>19.7669</v>
      </c>
      <c r="Q824" s="16" t="s">
        <v>3294</v>
      </c>
      <c r="R824" s="19">
        <v>1.5194</v>
      </c>
      <c r="S824" s="20">
        <v>3085205.0</v>
      </c>
      <c r="T824" s="20">
        <v>9.4590310001E10</v>
      </c>
      <c r="U824" s="21">
        <v>4.6673</v>
      </c>
      <c r="V824" s="21">
        <v>29.6897</v>
      </c>
      <c r="W824" s="21">
        <v>18.2788</v>
      </c>
      <c r="X824" s="21">
        <v>14.2365</v>
      </c>
      <c r="Y824" s="21">
        <v>2.3941</v>
      </c>
      <c r="Z824" s="21">
        <v>0.8888</v>
      </c>
      <c r="AA824" s="16" t="s">
        <v>2611</v>
      </c>
      <c r="AB824" s="22">
        <f>IFERROR(__xludf.DUMMYFUNCTION("IFERROR(GOOGLEFINANCE(B824,""price""),"""")"),229.45)</f>
        <v>229.45</v>
      </c>
    </row>
    <row r="825">
      <c r="A825" s="7">
        <v>46069.62611062368</v>
      </c>
      <c r="B825" s="8" t="s">
        <v>2696</v>
      </c>
      <c r="C825" s="8" t="s">
        <v>2697</v>
      </c>
      <c r="D825" s="9">
        <v>46075.0</v>
      </c>
      <c r="E825" s="10">
        <v>176.01</v>
      </c>
      <c r="F825" s="8" t="s">
        <v>162</v>
      </c>
      <c r="G825" s="13">
        <v>36.4176</v>
      </c>
      <c r="H825" s="13">
        <v>4.8331</v>
      </c>
      <c r="I825" s="9">
        <v>46073.0</v>
      </c>
      <c r="J825" s="10">
        <v>175.0</v>
      </c>
      <c r="K825" s="8">
        <v>1635.0</v>
      </c>
      <c r="L825" s="8" t="s">
        <v>2608</v>
      </c>
      <c r="M825" s="11">
        <v>0.57</v>
      </c>
      <c r="N825" s="8" t="s">
        <v>3537</v>
      </c>
      <c r="O825" s="8">
        <v>1635.0</v>
      </c>
      <c r="P825" s="11">
        <v>48.9156</v>
      </c>
      <c r="Q825" s="8" t="s">
        <v>2699</v>
      </c>
      <c r="R825" s="11">
        <v>4.9052</v>
      </c>
      <c r="S825" s="12">
        <v>6397697.0</v>
      </c>
      <c r="T825" s="12">
        <v>2.0793323789E10</v>
      </c>
      <c r="U825" s="13">
        <v>8.297</v>
      </c>
      <c r="V825" s="13">
        <v>32.9109</v>
      </c>
      <c r="W825" s="13">
        <v>4.9029</v>
      </c>
      <c r="X825" s="13">
        <v>-8.4186</v>
      </c>
      <c r="Y825" s="13">
        <v>0.756</v>
      </c>
      <c r="Z825" s="13">
        <v>1.5278</v>
      </c>
      <c r="AA825" s="8" t="s">
        <v>2611</v>
      </c>
      <c r="AB825" s="14">
        <f>IFERROR(__xludf.DUMMYFUNCTION("IFERROR(GOOGLEFINANCE(B825,""price""),"""")"),163.49)</f>
        <v>163.49</v>
      </c>
    </row>
    <row r="826">
      <c r="A826" s="15">
        <v>46069.62611062368</v>
      </c>
      <c r="B826" s="16" t="s">
        <v>3538</v>
      </c>
      <c r="C826" s="16" t="s">
        <v>3539</v>
      </c>
      <c r="D826" s="17">
        <v>46075.0</v>
      </c>
      <c r="E826" s="18">
        <v>198.0</v>
      </c>
      <c r="F826" s="16" t="s">
        <v>335</v>
      </c>
      <c r="G826" s="21">
        <v>42.9371</v>
      </c>
      <c r="H826" s="21">
        <v>4.6114</v>
      </c>
      <c r="I826" s="17">
        <v>46073.0</v>
      </c>
      <c r="J826" s="18">
        <v>197.5</v>
      </c>
      <c r="K826" s="16">
        <v>1622.0</v>
      </c>
      <c r="L826" s="16" t="s">
        <v>2627</v>
      </c>
      <c r="M826" s="19">
        <v>0.25</v>
      </c>
      <c r="N826" s="16" t="s">
        <v>3540</v>
      </c>
      <c r="O826" s="16">
        <v>1622.0</v>
      </c>
      <c r="P826" s="19">
        <v>38.5061</v>
      </c>
      <c r="Q826" s="16" t="s">
        <v>3541</v>
      </c>
      <c r="R826" s="19">
        <v>0.0758</v>
      </c>
      <c r="S826" s="20">
        <v>1657214.0</v>
      </c>
      <c r="T826" s="20">
        <v>1.63559432373E11</v>
      </c>
      <c r="U826" s="21">
        <v>10.6465</v>
      </c>
      <c r="V826" s="21">
        <v>39.4499</v>
      </c>
      <c r="W826" s="21">
        <v>50.2534</v>
      </c>
      <c r="X826" s="21">
        <v>12.6994</v>
      </c>
      <c r="Y826" s="21">
        <v>0.7113</v>
      </c>
      <c r="Z826" s="21">
        <v>4.5168</v>
      </c>
      <c r="AA826" s="16" t="s">
        <v>2611</v>
      </c>
      <c r="AB826" s="22">
        <f>IFERROR(__xludf.DUMMYFUNCTION("IFERROR(GOOGLEFINANCE(B826,""price""),"""")"),192.56)</f>
        <v>192.56</v>
      </c>
    </row>
    <row r="827">
      <c r="A827" s="7">
        <v>46069.62611062368</v>
      </c>
      <c r="B827" s="8" t="s">
        <v>3542</v>
      </c>
      <c r="C827" s="8" t="s">
        <v>3543</v>
      </c>
      <c r="D827" s="9">
        <v>46075.0</v>
      </c>
      <c r="E827" s="10">
        <v>148.13</v>
      </c>
      <c r="F827" s="8" t="s">
        <v>308</v>
      </c>
      <c r="G827" s="13">
        <v>36.1778</v>
      </c>
      <c r="H827" s="13">
        <v>4.0945</v>
      </c>
      <c r="I827" s="9">
        <v>46073.0</v>
      </c>
      <c r="J827" s="10">
        <v>150.0</v>
      </c>
      <c r="K827" s="8">
        <v>1607.0</v>
      </c>
      <c r="L827" s="8" t="s">
        <v>2608</v>
      </c>
      <c r="M827" s="11">
        <v>1.26</v>
      </c>
      <c r="N827" s="8" t="s">
        <v>3544</v>
      </c>
      <c r="O827" s="8">
        <v>1607.0</v>
      </c>
      <c r="P827" s="11">
        <v>26.2286</v>
      </c>
      <c r="Q827" s="8" t="s">
        <v>3545</v>
      </c>
      <c r="R827" s="11">
        <v>2.1727</v>
      </c>
      <c r="S827" s="12">
        <v>5181361.0</v>
      </c>
      <c r="T827" s="12">
        <v>8.3293807336E10</v>
      </c>
      <c r="U827" s="13">
        <v>5.1866</v>
      </c>
      <c r="V827" s="13">
        <v>11.3131</v>
      </c>
      <c r="W827" s="13">
        <v>19.8768</v>
      </c>
      <c r="X827" s="13">
        <v>3.607</v>
      </c>
      <c r="Y827" s="13">
        <v>0.6933</v>
      </c>
      <c r="Z827" s="13">
        <v>0.8406</v>
      </c>
      <c r="AA827" s="8" t="s">
        <v>2620</v>
      </c>
      <c r="AB827" s="14">
        <f>IFERROR(__xludf.DUMMYFUNCTION("IFERROR(GOOGLEFINANCE(B827,""price""),"""")"),143.77)</f>
        <v>143.77</v>
      </c>
    </row>
    <row r="828">
      <c r="A828" s="15">
        <v>46069.62611062368</v>
      </c>
      <c r="B828" s="16" t="s">
        <v>3134</v>
      </c>
      <c r="C828" s="16" t="s">
        <v>3135</v>
      </c>
      <c r="D828" s="17">
        <v>46075.0</v>
      </c>
      <c r="E828" s="18">
        <v>141.25</v>
      </c>
      <c r="F828" s="16" t="s">
        <v>93</v>
      </c>
      <c r="G828" s="21">
        <v>10.5859</v>
      </c>
      <c r="H828" s="21">
        <v>13.3432</v>
      </c>
      <c r="I828" s="17">
        <v>46073.0</v>
      </c>
      <c r="J828" s="18">
        <v>140.0</v>
      </c>
      <c r="K828" s="16">
        <v>1579.0</v>
      </c>
      <c r="L828" s="16" t="s">
        <v>2608</v>
      </c>
      <c r="M828" s="19">
        <v>0.88</v>
      </c>
      <c r="N828" s="16" t="s">
        <v>3546</v>
      </c>
      <c r="O828" s="16">
        <v>1579.0</v>
      </c>
      <c r="P828" s="19">
        <v>29.9738</v>
      </c>
      <c r="Q828" s="16" t="s">
        <v>3137</v>
      </c>
      <c r="R828" s="19">
        <v>-0.4511</v>
      </c>
      <c r="S828" s="20">
        <v>1247648.0</v>
      </c>
      <c r="T828" s="20">
        <v>3.9359350433E10</v>
      </c>
      <c r="U828" s="21">
        <v>2.622</v>
      </c>
      <c r="V828" s="21">
        <v>21.6564</v>
      </c>
      <c r="W828" s="21">
        <v>17.4023</v>
      </c>
      <c r="X828" s="21">
        <v>6.8061</v>
      </c>
      <c r="Y828" s="21">
        <v>0.2303</v>
      </c>
      <c r="Z828" s="21">
        <v>0.2897</v>
      </c>
      <c r="AA828" s="16" t="s">
        <v>2611</v>
      </c>
      <c r="AB828" s="22">
        <f>IFERROR(__xludf.DUMMYFUNCTION("IFERROR(GOOGLEFINANCE(B828,""price""),"""")"),137.23)</f>
        <v>137.23</v>
      </c>
    </row>
    <row r="829">
      <c r="A829" s="7">
        <v>46069.62611062368</v>
      </c>
      <c r="B829" s="8" t="s">
        <v>3426</v>
      </c>
      <c r="C829" s="8" t="s">
        <v>3427</v>
      </c>
      <c r="D829" s="9">
        <v>46075.0</v>
      </c>
      <c r="E829" s="10">
        <v>231.1</v>
      </c>
      <c r="F829" s="8" t="s">
        <v>190</v>
      </c>
      <c r="G829" s="13">
        <v>14.9193</v>
      </c>
      <c r="H829" s="13">
        <v>15.49</v>
      </c>
      <c r="I829" s="9">
        <v>46073.0</v>
      </c>
      <c r="J829" s="10">
        <v>230.0</v>
      </c>
      <c r="K829" s="8">
        <v>1538.0</v>
      </c>
      <c r="L829" s="8" t="s">
        <v>2608</v>
      </c>
      <c r="M829" s="11">
        <v>0.48</v>
      </c>
      <c r="N829" s="8" t="s">
        <v>3547</v>
      </c>
      <c r="O829" s="8">
        <v>1538.0</v>
      </c>
      <c r="P829" s="11">
        <v>20.5785</v>
      </c>
      <c r="Q829" s="8" t="s">
        <v>3429</v>
      </c>
      <c r="R829" s="11">
        <v>-0.4994</v>
      </c>
      <c r="S829" s="12">
        <v>1205046.0</v>
      </c>
      <c r="T829" s="12">
        <v>2.031022453E10</v>
      </c>
      <c r="U829" s="13">
        <v>9.0598</v>
      </c>
      <c r="V829" s="13">
        <v>33.5359</v>
      </c>
      <c r="W829" s="13">
        <v>16.138</v>
      </c>
      <c r="X829" s="13">
        <v>3.1212</v>
      </c>
      <c r="Y829" s="13">
        <v>3.1211</v>
      </c>
      <c r="Z829" s="13">
        <v>1.7587</v>
      </c>
      <c r="AA829" s="8" t="s">
        <v>2611</v>
      </c>
      <c r="AB829" s="14">
        <f>IFERROR(__xludf.DUMMYFUNCTION("IFERROR(GOOGLEFINANCE(B829,""price""),"""")"),195.24)</f>
        <v>195.24</v>
      </c>
    </row>
    <row r="830">
      <c r="A830" s="15">
        <v>46069.62611062368</v>
      </c>
      <c r="B830" s="16" t="s">
        <v>3548</v>
      </c>
      <c r="C830" s="16" t="s">
        <v>3549</v>
      </c>
      <c r="D830" s="17">
        <v>46075.0</v>
      </c>
      <c r="E830" s="18">
        <v>220.79</v>
      </c>
      <c r="F830" s="16" t="s">
        <v>129</v>
      </c>
      <c r="G830" s="21">
        <v>31.7743</v>
      </c>
      <c r="H830" s="21">
        <v>6.9487</v>
      </c>
      <c r="I830" s="17">
        <v>46073.0</v>
      </c>
      <c r="J830" s="18">
        <v>220.0</v>
      </c>
      <c r="K830" s="16">
        <v>1507.0</v>
      </c>
      <c r="L830" s="16" t="s">
        <v>2608</v>
      </c>
      <c r="M830" s="19">
        <v>0.36</v>
      </c>
      <c r="N830" s="16" t="s">
        <v>3550</v>
      </c>
      <c r="O830" s="16">
        <v>1507.0</v>
      </c>
      <c r="P830" s="19">
        <v>17.0637</v>
      </c>
      <c r="Q830" s="16" t="s">
        <v>3551</v>
      </c>
      <c r="R830" s="19">
        <v>2.6644</v>
      </c>
      <c r="S830" s="20">
        <v>1116912.0</v>
      </c>
      <c r="T830" s="20">
        <v>5.1955420162E10</v>
      </c>
      <c r="U830" s="21">
        <v>6.6276</v>
      </c>
      <c r="V830" s="24"/>
      <c r="W830" s="21">
        <v>1.238</v>
      </c>
      <c r="X830" s="21">
        <v>10.0549</v>
      </c>
      <c r="Y830" s="24"/>
      <c r="Z830" s="21">
        <v>0.9057</v>
      </c>
      <c r="AA830" s="16" t="s">
        <v>2611</v>
      </c>
      <c r="AB830" s="22">
        <f>IFERROR(__xludf.DUMMYFUNCTION("IFERROR(GOOGLEFINANCE(B830,""price""),"""")"),215.52)</f>
        <v>215.52</v>
      </c>
    </row>
    <row r="831">
      <c r="A831" s="7">
        <v>46069.62611062368</v>
      </c>
      <c r="B831" s="8" t="s">
        <v>2768</v>
      </c>
      <c r="C831" s="8" t="s">
        <v>2769</v>
      </c>
      <c r="D831" s="9">
        <v>46075.0</v>
      </c>
      <c r="E831" s="10">
        <v>281.58</v>
      </c>
      <c r="F831" s="8" t="s">
        <v>308</v>
      </c>
      <c r="G831" s="13">
        <v>28.2691</v>
      </c>
      <c r="H831" s="13">
        <v>9.9607</v>
      </c>
      <c r="I831" s="9">
        <v>46073.0</v>
      </c>
      <c r="J831" s="10">
        <v>285.0</v>
      </c>
      <c r="K831" s="8">
        <v>1291.0</v>
      </c>
      <c r="L831" s="8" t="s">
        <v>2608</v>
      </c>
      <c r="M831" s="11">
        <v>1.21</v>
      </c>
      <c r="N831" s="8" t="s">
        <v>3552</v>
      </c>
      <c r="O831" s="8">
        <v>1291.0</v>
      </c>
      <c r="P831" s="11">
        <v>38.4636</v>
      </c>
      <c r="Q831" s="8" t="s">
        <v>2771</v>
      </c>
      <c r="R831" s="11">
        <v>-0.887</v>
      </c>
      <c r="S831" s="12">
        <v>9901669.0</v>
      </c>
      <c r="T831" s="12">
        <v>9.546629672E10</v>
      </c>
      <c r="U831" s="13">
        <v>21.9623</v>
      </c>
      <c r="V831" s="13">
        <v>41.2731</v>
      </c>
      <c r="W831" s="13">
        <v>27.8834</v>
      </c>
      <c r="X831" s="13">
        <v>-31.1967</v>
      </c>
      <c r="Y831" s="13">
        <v>0.7076</v>
      </c>
      <c r="Z831" s="13">
        <v>1.455</v>
      </c>
      <c r="AA831" s="8" t="s">
        <v>2620</v>
      </c>
      <c r="AB831" s="14">
        <f>IFERROR(__xludf.DUMMYFUNCTION("IFERROR(GOOGLEFINANCE(B831,""price""),"""")"),343.43)</f>
        <v>343.43</v>
      </c>
    </row>
    <row r="832">
      <c r="A832" s="15">
        <v>46069.62611062368</v>
      </c>
      <c r="B832" s="16" t="s">
        <v>3553</v>
      </c>
      <c r="C832" s="16" t="s">
        <v>3554</v>
      </c>
      <c r="D832" s="17">
        <v>46075.0</v>
      </c>
      <c r="E832" s="18">
        <v>154.46</v>
      </c>
      <c r="F832" s="16" t="s">
        <v>137</v>
      </c>
      <c r="G832" s="21">
        <v>34.1258</v>
      </c>
      <c r="H832" s="21">
        <v>4.5262</v>
      </c>
      <c r="I832" s="17">
        <v>46073.0</v>
      </c>
      <c r="J832" s="18">
        <v>155.0</v>
      </c>
      <c r="K832" s="16">
        <v>1246.0</v>
      </c>
      <c r="L832" s="16" t="s">
        <v>2608</v>
      </c>
      <c r="M832" s="19">
        <v>0.35</v>
      </c>
      <c r="N832" s="16" t="s">
        <v>3555</v>
      </c>
      <c r="O832" s="16">
        <v>1246.0</v>
      </c>
      <c r="P832" s="19">
        <v>17.9775</v>
      </c>
      <c r="Q832" s="16" t="s">
        <v>3556</v>
      </c>
      <c r="R832" s="19">
        <v>0.1816</v>
      </c>
      <c r="S832" s="20">
        <v>3754731.0</v>
      </c>
      <c r="T832" s="20">
        <v>1.71522765466E11</v>
      </c>
      <c r="U832" s="21">
        <v>2.8881</v>
      </c>
      <c r="V832" s="21">
        <v>58.3961</v>
      </c>
      <c r="W832" s="21">
        <v>11.343</v>
      </c>
      <c r="X832" s="21">
        <v>4.5338</v>
      </c>
      <c r="Y832" s="21">
        <v>1.4098</v>
      </c>
      <c r="Z832" s="21">
        <v>1.0938</v>
      </c>
      <c r="AA832" s="16" t="s">
        <v>2620</v>
      </c>
      <c r="AB832" s="22">
        <f>IFERROR(__xludf.DUMMYFUNCTION("IFERROR(GOOGLEFINANCE(B832,""price""),"""")"),161.6)</f>
        <v>161.6</v>
      </c>
    </row>
    <row r="833">
      <c r="A833" s="7">
        <v>46069.62611062368</v>
      </c>
      <c r="B833" s="8" t="s">
        <v>3141</v>
      </c>
      <c r="C833" s="8" t="s">
        <v>3142</v>
      </c>
      <c r="D833" s="9">
        <v>46075.0</v>
      </c>
      <c r="E833" s="10">
        <v>324.95</v>
      </c>
      <c r="F833" s="8" t="s">
        <v>93</v>
      </c>
      <c r="G833" s="13">
        <v>12.6334</v>
      </c>
      <c r="H833" s="13">
        <v>25.7215</v>
      </c>
      <c r="I833" s="9">
        <v>46073.0</v>
      </c>
      <c r="J833" s="10">
        <v>325.0</v>
      </c>
      <c r="K833" s="8">
        <v>1156.0</v>
      </c>
      <c r="L833" s="8" t="s">
        <v>2608</v>
      </c>
      <c r="M833" s="11">
        <v>0.02</v>
      </c>
      <c r="N833" s="8" t="s">
        <v>3483</v>
      </c>
      <c r="O833" s="8">
        <v>1156.0</v>
      </c>
      <c r="P833" s="11">
        <v>28.8943</v>
      </c>
      <c r="Q833" s="8" t="s">
        <v>3144</v>
      </c>
      <c r="R833" s="11">
        <v>-2.2736</v>
      </c>
      <c r="S833" s="12">
        <v>2019361.0</v>
      </c>
      <c r="T833" s="12">
        <v>1.27884351005E11</v>
      </c>
      <c r="U833" s="13">
        <v>7.056</v>
      </c>
      <c r="V833" s="13">
        <v>14.9661</v>
      </c>
      <c r="W833" s="13">
        <v>21.2322</v>
      </c>
      <c r="X833" s="13">
        <v>6.9142</v>
      </c>
      <c r="Y833" s="23"/>
      <c r="Z833" s="13">
        <v>0.2721</v>
      </c>
      <c r="AA833" s="8" t="s">
        <v>2620</v>
      </c>
      <c r="AB833" s="14">
        <f>IFERROR(__xludf.DUMMYFUNCTION("IFERROR(GOOGLEFINANCE(B833,""price""),"""")"),327.91)</f>
        <v>327.91</v>
      </c>
    </row>
    <row r="834">
      <c r="A834" s="15">
        <v>46069.62611062368</v>
      </c>
      <c r="B834" s="16" t="s">
        <v>3208</v>
      </c>
      <c r="C834" s="16" t="s">
        <v>3209</v>
      </c>
      <c r="D834" s="17">
        <v>46075.0</v>
      </c>
      <c r="E834" s="18">
        <v>196.54</v>
      </c>
      <c r="F834" s="16" t="s">
        <v>137</v>
      </c>
      <c r="G834" s="21">
        <v>30.7132</v>
      </c>
      <c r="H834" s="21">
        <v>6.3992</v>
      </c>
      <c r="I834" s="17">
        <v>46073.0</v>
      </c>
      <c r="J834" s="18">
        <v>200.0</v>
      </c>
      <c r="K834" s="16">
        <v>1083.0</v>
      </c>
      <c r="L834" s="16" t="s">
        <v>2608</v>
      </c>
      <c r="M834" s="19">
        <v>1.76</v>
      </c>
      <c r="N834" s="16" t="s">
        <v>3557</v>
      </c>
      <c r="O834" s="16">
        <v>1083.0</v>
      </c>
      <c r="P834" s="19">
        <v>31.5353</v>
      </c>
      <c r="Q834" s="16" t="s">
        <v>3211</v>
      </c>
      <c r="R834" s="19">
        <v>0.8673</v>
      </c>
      <c r="S834" s="20">
        <v>1445685.0</v>
      </c>
      <c r="T834" s="20">
        <v>6.3569867572E10</v>
      </c>
      <c r="U834" s="21">
        <v>3.4904</v>
      </c>
      <c r="V834" s="21">
        <v>37.4252</v>
      </c>
      <c r="W834" s="21">
        <v>11.9137</v>
      </c>
      <c r="X834" s="21">
        <v>3.7096</v>
      </c>
      <c r="Y834" s="21">
        <v>0.8818</v>
      </c>
      <c r="Z834" s="21">
        <v>1.5199</v>
      </c>
      <c r="AA834" s="16" t="s">
        <v>2620</v>
      </c>
      <c r="AB834" s="22">
        <f>IFERROR(__xludf.DUMMYFUNCTION("IFERROR(GOOGLEFINANCE(B834,""price""),"""")"),221.16)</f>
        <v>221.16</v>
      </c>
    </row>
    <row r="835">
      <c r="A835" s="7">
        <v>46069.62611062368</v>
      </c>
      <c r="B835" s="8" t="s">
        <v>3558</v>
      </c>
      <c r="C835" s="8" t="s">
        <v>3559</v>
      </c>
      <c r="D835" s="9">
        <v>46075.0</v>
      </c>
      <c r="E835" s="10">
        <v>241.38</v>
      </c>
      <c r="F835" s="8" t="s">
        <v>308</v>
      </c>
      <c r="G835" s="13">
        <v>30.2027</v>
      </c>
      <c r="H835" s="13">
        <v>7.992</v>
      </c>
      <c r="I835" s="9">
        <v>46073.0</v>
      </c>
      <c r="J835" s="10">
        <v>237.5</v>
      </c>
      <c r="K835" s="8">
        <v>1069.0</v>
      </c>
      <c r="L835" s="8" t="s">
        <v>2627</v>
      </c>
      <c r="M835" s="11">
        <v>1.61</v>
      </c>
      <c r="N835" s="8" t="s">
        <v>3560</v>
      </c>
      <c r="O835" s="8">
        <v>1069.0</v>
      </c>
      <c r="P835" s="11">
        <v>50.2159</v>
      </c>
      <c r="Q835" s="8" t="s">
        <v>3561</v>
      </c>
      <c r="R835" s="11">
        <v>0.6463</v>
      </c>
      <c r="S835" s="12">
        <v>5330471.0</v>
      </c>
      <c r="T835" s="12">
        <v>1.53249077133E11</v>
      </c>
      <c r="U835" s="13">
        <v>4.7078</v>
      </c>
      <c r="V835" s="13">
        <v>30.2769</v>
      </c>
      <c r="W835" s="13">
        <v>19.6282</v>
      </c>
      <c r="X835" s="13">
        <v>4.7901</v>
      </c>
      <c r="Y835" s="13">
        <v>2.2396</v>
      </c>
      <c r="Z835" s="13">
        <v>1.3165</v>
      </c>
      <c r="AA835" s="8" t="s">
        <v>2611</v>
      </c>
      <c r="AB835" s="14">
        <f>IFERROR(__xludf.DUMMYFUNCTION("IFERROR(GOOGLEFINANCE(B835,""price""),"""")"),235.06)</f>
        <v>235.06</v>
      </c>
    </row>
    <row r="836">
      <c r="A836" s="15">
        <v>46069.62611062368</v>
      </c>
      <c r="B836" s="16" t="s">
        <v>3562</v>
      </c>
      <c r="C836" s="16" t="s">
        <v>3563</v>
      </c>
      <c r="D836" s="17">
        <v>46075.0</v>
      </c>
      <c r="E836" s="18">
        <v>31.37</v>
      </c>
      <c r="F836" s="16" t="s">
        <v>245</v>
      </c>
      <c r="G836" s="21">
        <v>14.4716</v>
      </c>
      <c r="H836" s="21">
        <v>2.1677</v>
      </c>
      <c r="I836" s="17">
        <v>46073.0</v>
      </c>
      <c r="J836" s="18">
        <v>31.0</v>
      </c>
      <c r="K836" s="16">
        <v>1005.0</v>
      </c>
      <c r="L836" s="16" t="s">
        <v>2608</v>
      </c>
      <c r="M836" s="19">
        <v>1.18</v>
      </c>
      <c r="N836" s="16" t="s">
        <v>3564</v>
      </c>
      <c r="O836" s="16">
        <v>1005.0</v>
      </c>
      <c r="P836" s="19">
        <v>49.8541</v>
      </c>
      <c r="Q836" s="16" t="s">
        <v>3565</v>
      </c>
      <c r="R836" s="19">
        <v>1.9168</v>
      </c>
      <c r="S836" s="20">
        <v>6030661.0</v>
      </c>
      <c r="T836" s="20">
        <v>2.3798664265E10</v>
      </c>
      <c r="U836" s="21">
        <v>0.9313</v>
      </c>
      <c r="V836" s="21">
        <v>11.8554</v>
      </c>
      <c r="W836" s="21">
        <v>29.8129</v>
      </c>
      <c r="X836" s="21">
        <v>26.1343</v>
      </c>
      <c r="Y836" s="21">
        <v>0.2796</v>
      </c>
      <c r="Z836" s="21">
        <v>1.0248</v>
      </c>
      <c r="AA836" s="16" t="s">
        <v>2611</v>
      </c>
      <c r="AB836" s="22">
        <f>IFERROR(__xludf.DUMMYFUNCTION("IFERROR(GOOGLEFINANCE(B836,""price""),"""")"),33.41)</f>
        <v>33.41</v>
      </c>
    </row>
    <row r="837">
      <c r="A837" s="7">
        <v>46070.62591605754</v>
      </c>
      <c r="B837" s="8" t="s">
        <v>2621</v>
      </c>
      <c r="C837" s="8" t="s">
        <v>2622</v>
      </c>
      <c r="D837" s="9">
        <v>46075.0</v>
      </c>
      <c r="E837" s="10">
        <v>61.15</v>
      </c>
      <c r="F837" s="8" t="s">
        <v>335</v>
      </c>
      <c r="G837" s="13">
        <v>40.3897</v>
      </c>
      <c r="H837" s="13">
        <v>1.514</v>
      </c>
      <c r="I837" s="9">
        <v>46073.0</v>
      </c>
      <c r="J837" s="10">
        <v>60.0</v>
      </c>
      <c r="K837" s="8">
        <v>18097.0</v>
      </c>
      <c r="L837" s="8" t="s">
        <v>2608</v>
      </c>
      <c r="M837" s="11">
        <v>1.88</v>
      </c>
      <c r="N837" s="8" t="s">
        <v>3566</v>
      </c>
      <c r="O837" s="8">
        <v>34780.0</v>
      </c>
      <c r="P837" s="11">
        <v>34.1364</v>
      </c>
      <c r="Q837" s="8" t="s">
        <v>2624</v>
      </c>
      <c r="R837" s="11">
        <v>-2.6894</v>
      </c>
      <c r="S837" s="12">
        <v>9530120.0</v>
      </c>
      <c r="T837" s="12">
        <v>8.7807160321E10</v>
      </c>
      <c r="U837" s="13">
        <v>2.9909</v>
      </c>
      <c r="V837" s="13">
        <v>11.9792</v>
      </c>
      <c r="W837" s="13">
        <v>22.7913</v>
      </c>
      <c r="X837" s="13">
        <v>-0.0477</v>
      </c>
      <c r="Y837" s="13">
        <v>0.5552</v>
      </c>
      <c r="Z837" s="13">
        <v>2.2911</v>
      </c>
      <c r="AA837" s="8" t="s">
        <v>2611</v>
      </c>
      <c r="AB837" s="14">
        <f>IFERROR(__xludf.DUMMYFUNCTION("IFERROR(GOOGLEFINANCE(B837,""price""),"""")"),67.8)</f>
        <v>67.8</v>
      </c>
    </row>
    <row r="838">
      <c r="A838" s="15">
        <v>46070.62591605754</v>
      </c>
      <c r="B838" s="16" t="s">
        <v>3269</v>
      </c>
      <c r="C838" s="16" t="s">
        <v>3270</v>
      </c>
      <c r="D838" s="17">
        <v>46075.0</v>
      </c>
      <c r="E838" s="18">
        <v>264.25</v>
      </c>
      <c r="F838" s="16" t="s">
        <v>308</v>
      </c>
      <c r="G838" s="21">
        <v>33.4333</v>
      </c>
      <c r="H838" s="21">
        <v>7.9038</v>
      </c>
      <c r="I838" s="17">
        <v>46071.0</v>
      </c>
      <c r="J838" s="18">
        <v>265.0</v>
      </c>
      <c r="K838" s="16">
        <v>6806.0</v>
      </c>
      <c r="L838" s="16" t="s">
        <v>2608</v>
      </c>
      <c r="M838" s="19">
        <v>0.28</v>
      </c>
      <c r="N838" s="16" t="s">
        <v>3567</v>
      </c>
      <c r="O838" s="16">
        <v>29743.0</v>
      </c>
      <c r="P838" s="19">
        <v>22.0133</v>
      </c>
      <c r="Q838" s="16" t="s">
        <v>3272</v>
      </c>
      <c r="R838" s="19">
        <v>3.3114</v>
      </c>
      <c r="S838" s="20">
        <v>3.6034383E7</v>
      </c>
      <c r="T838" s="20">
        <v>3.879491133585E12</v>
      </c>
      <c r="U838" s="21">
        <v>6.8394</v>
      </c>
      <c r="V838" s="21">
        <v>152.0213</v>
      </c>
      <c r="W838" s="21">
        <v>32.384</v>
      </c>
      <c r="X838" s="21">
        <v>10.071</v>
      </c>
      <c r="Y838" s="21">
        <v>1.0263</v>
      </c>
      <c r="Z838" s="21">
        <v>0.9737</v>
      </c>
      <c r="AA838" s="16" t="s">
        <v>2620</v>
      </c>
      <c r="AB838" s="22">
        <f>IFERROR(__xludf.DUMMYFUNCTION("IFERROR(GOOGLEFINANCE(B838,""price""),"""")"),260.48)</f>
        <v>260.48</v>
      </c>
    </row>
    <row r="839">
      <c r="A839" s="7">
        <v>46070.62591605754</v>
      </c>
      <c r="B839" s="8" t="s">
        <v>1489</v>
      </c>
      <c r="C839" s="8" t="s">
        <v>1490</v>
      </c>
      <c r="D839" s="9">
        <v>46075.0</v>
      </c>
      <c r="E839" s="10">
        <v>77.01</v>
      </c>
      <c r="F839" s="8" t="s">
        <v>308</v>
      </c>
      <c r="G839" s="13">
        <v>27.06</v>
      </c>
      <c r="H839" s="13">
        <v>2.8459</v>
      </c>
      <c r="I839" s="9">
        <v>46073.0</v>
      </c>
      <c r="J839" s="10">
        <v>77.5</v>
      </c>
      <c r="K839" s="8">
        <v>12254.0</v>
      </c>
      <c r="L839" s="8" t="s">
        <v>2608</v>
      </c>
      <c r="M839" s="11">
        <v>0.64</v>
      </c>
      <c r="N839" s="8" t="s">
        <v>3568</v>
      </c>
      <c r="O839" s="8">
        <v>26965.0</v>
      </c>
      <c r="P839" s="11">
        <v>34.8523</v>
      </c>
      <c r="Q839" s="8" t="s">
        <v>1491</v>
      </c>
      <c r="R839" s="11">
        <v>0.2082</v>
      </c>
      <c r="S839" s="12">
        <v>1.5011202E7</v>
      </c>
      <c r="T839" s="12">
        <v>3.0427378005E11</v>
      </c>
      <c r="U839" s="13">
        <v>2.6074</v>
      </c>
      <c r="V839" s="13">
        <v>24.3402</v>
      </c>
      <c r="W839" s="13">
        <v>23.824</v>
      </c>
      <c r="X839" s="13">
        <v>9.004</v>
      </c>
      <c r="Y839" s="13">
        <v>0.6304</v>
      </c>
      <c r="Z839" s="13">
        <v>0.955</v>
      </c>
      <c r="AA839" s="8" t="s">
        <v>2620</v>
      </c>
      <c r="AB839" s="14">
        <f>IFERROR(__xludf.DUMMYFUNCTION("IFERROR(GOOGLEFINANCE(B839,""price""),"""")"),82.22)</f>
        <v>82.22</v>
      </c>
    </row>
    <row r="840">
      <c r="A840" s="15">
        <v>46070.62591605754</v>
      </c>
      <c r="B840" s="16" t="s">
        <v>3086</v>
      </c>
      <c r="C840" s="16" t="s">
        <v>3087</v>
      </c>
      <c r="D840" s="17">
        <v>46075.0</v>
      </c>
      <c r="E840" s="18">
        <v>71.1793</v>
      </c>
      <c r="F840" s="16" t="s">
        <v>162</v>
      </c>
      <c r="G840" s="21">
        <v>9.2925</v>
      </c>
      <c r="H840" s="21">
        <v>7.6599</v>
      </c>
      <c r="I840" s="17">
        <v>46073.0</v>
      </c>
      <c r="J840" s="18">
        <v>70.0</v>
      </c>
      <c r="K840" s="16">
        <v>7305.0</v>
      </c>
      <c r="L840" s="16" t="s">
        <v>2627</v>
      </c>
      <c r="M840" s="19">
        <v>1.66</v>
      </c>
      <c r="N840" s="16" t="s">
        <v>3569</v>
      </c>
      <c r="O840" s="16">
        <v>21776.0</v>
      </c>
      <c r="P840" s="19">
        <v>17.008</v>
      </c>
      <c r="Q840" s="16" t="s">
        <v>3089</v>
      </c>
      <c r="R840" s="19">
        <v>3.1584</v>
      </c>
      <c r="S840" s="20">
        <v>4248445.0</v>
      </c>
      <c r="T840" s="20">
        <v>4.6489384346E10</v>
      </c>
      <c r="U840" s="21">
        <v>2.6637</v>
      </c>
      <c r="V840" s="21">
        <v>27.6988</v>
      </c>
      <c r="W840" s="21">
        <v>9.1882</v>
      </c>
      <c r="X840" s="21">
        <v>2.7935</v>
      </c>
      <c r="Y840" s="21">
        <v>0.9722</v>
      </c>
      <c r="Z840" s="21">
        <v>0.397</v>
      </c>
      <c r="AA840" s="16" t="s">
        <v>2611</v>
      </c>
      <c r="AB840" s="22">
        <f>IFERROR(__xludf.DUMMYFUNCTION("IFERROR(GOOGLEFINANCE(B840,""price""),"""")"),67.82)</f>
        <v>67.82</v>
      </c>
    </row>
    <row r="841">
      <c r="A841" s="7">
        <v>46070.62591605754</v>
      </c>
      <c r="B841" s="8" t="s">
        <v>2625</v>
      </c>
      <c r="C841" s="8" t="s">
        <v>2626</v>
      </c>
      <c r="D841" s="9">
        <v>46075.0</v>
      </c>
      <c r="E841" s="10">
        <v>129.08</v>
      </c>
      <c r="F841" s="8" t="s">
        <v>137</v>
      </c>
      <c r="G841" s="13">
        <v>45.2753</v>
      </c>
      <c r="H841" s="13">
        <v>2.851</v>
      </c>
      <c r="I841" s="9">
        <v>46073.0</v>
      </c>
      <c r="J841" s="10">
        <v>130.0</v>
      </c>
      <c r="K841" s="8">
        <v>8712.0</v>
      </c>
      <c r="L841" s="8" t="s">
        <v>2608</v>
      </c>
      <c r="M841" s="11">
        <v>0.71</v>
      </c>
      <c r="N841" s="8" t="s">
        <v>3570</v>
      </c>
      <c r="O841" s="8">
        <v>21481.0</v>
      </c>
      <c r="P841" s="11">
        <v>36.538</v>
      </c>
      <c r="Q841" s="8" t="s">
        <v>2629</v>
      </c>
      <c r="R841" s="11">
        <v>-3.5925</v>
      </c>
      <c r="S841" s="12">
        <v>2.5840945E7</v>
      </c>
      <c r="T841" s="12">
        <v>1.028789150661E12</v>
      </c>
      <c r="U841" s="13">
        <v>3.311</v>
      </c>
      <c r="V841" s="13">
        <v>24.8749</v>
      </c>
      <c r="W841" s="13">
        <v>4.1214</v>
      </c>
      <c r="X841" s="13">
        <v>4.3397</v>
      </c>
      <c r="Y841" s="13">
        <v>0.7121</v>
      </c>
      <c r="Z841" s="13">
        <v>0.8029</v>
      </c>
      <c r="AA841" s="8" t="s">
        <v>2620</v>
      </c>
      <c r="AB841" s="14">
        <f>IFERROR(__xludf.DUMMYFUNCTION("IFERROR(GOOGLEFINANCE(B841,""price""),"""")"),126.79)</f>
        <v>126.79</v>
      </c>
    </row>
    <row r="842">
      <c r="A842" s="15">
        <v>46070.62591605754</v>
      </c>
      <c r="B842" s="16" t="s">
        <v>2616</v>
      </c>
      <c r="C842" s="16" t="s">
        <v>2617</v>
      </c>
      <c r="D842" s="17">
        <v>46075.0</v>
      </c>
      <c r="E842" s="18">
        <v>79.48</v>
      </c>
      <c r="F842" s="16" t="s">
        <v>286</v>
      </c>
      <c r="G842" s="21">
        <v>26.1576</v>
      </c>
      <c r="H842" s="21">
        <v>3.0385</v>
      </c>
      <c r="I842" s="17">
        <v>46073.0</v>
      </c>
      <c r="J842" s="18">
        <v>80.0</v>
      </c>
      <c r="K842" s="16">
        <v>6376.0</v>
      </c>
      <c r="L842" s="16" t="s">
        <v>2608</v>
      </c>
      <c r="M842" s="19">
        <v>0.65</v>
      </c>
      <c r="N842" s="16" t="s">
        <v>3571</v>
      </c>
      <c r="O842" s="16">
        <v>18039.0</v>
      </c>
      <c r="P842" s="19">
        <v>39.5644</v>
      </c>
      <c r="Q842" s="16" t="s">
        <v>2619</v>
      </c>
      <c r="R842" s="19">
        <v>1.0168</v>
      </c>
      <c r="S842" s="20">
        <v>1.0642003E7</v>
      </c>
      <c r="T842" s="20">
        <v>3.41891875643E11</v>
      </c>
      <c r="U842" s="21">
        <v>1.3369</v>
      </c>
      <c r="V842" s="21">
        <v>45.9693</v>
      </c>
      <c r="W842" s="21">
        <v>29.0951</v>
      </c>
      <c r="X842" s="21">
        <v>3.1925</v>
      </c>
      <c r="Y842" s="21">
        <v>1.4142</v>
      </c>
      <c r="Z842" s="21">
        <v>1.4588</v>
      </c>
      <c r="AA842" s="16" t="s">
        <v>2620</v>
      </c>
      <c r="AB842" s="22">
        <f>IFERROR(__xludf.DUMMYFUNCTION("IFERROR(GOOGLEFINANCE(B842,""price""),"""")"),77.47)</f>
        <v>77.47</v>
      </c>
    </row>
    <row r="843">
      <c r="A843" s="7">
        <v>46070.62591605754</v>
      </c>
      <c r="B843" s="8" t="s">
        <v>2630</v>
      </c>
      <c r="C843" s="8" t="s">
        <v>2631</v>
      </c>
      <c r="D843" s="9">
        <v>46075.0</v>
      </c>
      <c r="E843" s="10">
        <v>400.78</v>
      </c>
      <c r="F843" s="8" t="s">
        <v>308</v>
      </c>
      <c r="G843" s="13">
        <v>38.097</v>
      </c>
      <c r="H843" s="13">
        <v>10.52</v>
      </c>
      <c r="I843" s="9">
        <v>46073.0</v>
      </c>
      <c r="J843" s="10">
        <v>400.0</v>
      </c>
      <c r="K843" s="8">
        <v>7370.0</v>
      </c>
      <c r="L843" s="8" t="s">
        <v>2608</v>
      </c>
      <c r="M843" s="11">
        <v>0.19</v>
      </c>
      <c r="N843" s="8" t="s">
        <v>3572</v>
      </c>
      <c r="O843" s="8">
        <v>18019.0</v>
      </c>
      <c r="P843" s="11">
        <v>36.8654</v>
      </c>
      <c r="Q843" s="8" t="s">
        <v>2633</v>
      </c>
      <c r="R843" s="11">
        <v>-2.643</v>
      </c>
      <c r="S843" s="12">
        <v>2.3468071E7</v>
      </c>
      <c r="T843" s="12">
        <v>4.51081612187E11</v>
      </c>
      <c r="U843" s="13">
        <v>25.789</v>
      </c>
      <c r="V843" s="13">
        <v>22.5543</v>
      </c>
      <c r="W843" s="13">
        <v>32.9221</v>
      </c>
      <c r="X843" s="13">
        <v>45.432</v>
      </c>
      <c r="Y843" s="13">
        <v>0.2124</v>
      </c>
      <c r="Z843" s="13">
        <v>2.4598</v>
      </c>
      <c r="AA843" s="8" t="s">
        <v>2611</v>
      </c>
      <c r="AB843" s="14">
        <f>IFERROR(__xludf.DUMMYFUNCTION("IFERROR(GOOGLEFINANCE(B843,""price""),"""")"),420.59)</f>
        <v>420.59</v>
      </c>
    </row>
    <row r="844">
      <c r="A844" s="15">
        <v>46070.62591605754</v>
      </c>
      <c r="B844" s="16" t="s">
        <v>3443</v>
      </c>
      <c r="C844" s="16" t="s">
        <v>3444</v>
      </c>
      <c r="D844" s="17">
        <v>46075.0</v>
      </c>
      <c r="E844" s="18">
        <v>114.47</v>
      </c>
      <c r="F844" s="16" t="s">
        <v>162</v>
      </c>
      <c r="G844" s="21">
        <v>11.1879</v>
      </c>
      <c r="H844" s="21">
        <v>10.2316</v>
      </c>
      <c r="I844" s="17">
        <v>46073.0</v>
      </c>
      <c r="J844" s="18">
        <v>115.0</v>
      </c>
      <c r="K844" s="16">
        <v>7244.0</v>
      </c>
      <c r="L844" s="16" t="s">
        <v>2608</v>
      </c>
      <c r="M844" s="19">
        <v>0.46</v>
      </c>
      <c r="N844" s="16" t="s">
        <v>3573</v>
      </c>
      <c r="O844" s="16">
        <v>15567.0</v>
      </c>
      <c r="P844" s="19">
        <v>17.1521</v>
      </c>
      <c r="Q844" s="16" t="s">
        <v>3446</v>
      </c>
      <c r="R844" s="19">
        <v>4.7397</v>
      </c>
      <c r="S844" s="20">
        <v>2575246.0</v>
      </c>
      <c r="T844" s="20">
        <v>3.7023080478E10</v>
      </c>
      <c r="U844" s="21">
        <v>4.9174</v>
      </c>
      <c r="V844" s="21">
        <v>23.9868</v>
      </c>
      <c r="W844" s="21">
        <v>8.4204</v>
      </c>
      <c r="X844" s="21">
        <v>3.5189</v>
      </c>
      <c r="Y844" s="21">
        <v>2.0309</v>
      </c>
      <c r="Z844" s="21">
        <v>0.645</v>
      </c>
      <c r="AA844" s="16" t="s">
        <v>2620</v>
      </c>
      <c r="AB844" s="22">
        <f>IFERROR(__xludf.DUMMYFUNCTION("IFERROR(GOOGLEFINANCE(B844,""price""),"""")"),96.4)</f>
        <v>96.4</v>
      </c>
    </row>
    <row r="845">
      <c r="A845" s="7">
        <v>46070.62591605754</v>
      </c>
      <c r="B845" s="8" t="s">
        <v>2804</v>
      </c>
      <c r="C845" s="8" t="s">
        <v>2805</v>
      </c>
      <c r="D845" s="9">
        <v>46075.0</v>
      </c>
      <c r="E845" s="10">
        <v>131.7975</v>
      </c>
      <c r="F845" s="8" t="s">
        <v>308</v>
      </c>
      <c r="G845" s="13">
        <v>71.6719</v>
      </c>
      <c r="H845" s="13">
        <v>1.8389</v>
      </c>
      <c r="I845" s="9">
        <v>46073.0</v>
      </c>
      <c r="J845" s="10">
        <v>132.0</v>
      </c>
      <c r="K845" s="8">
        <v>7793.0</v>
      </c>
      <c r="L845" s="8" t="s">
        <v>2608</v>
      </c>
      <c r="M845" s="11">
        <v>0.15</v>
      </c>
      <c r="N845" s="8" t="s">
        <v>3574</v>
      </c>
      <c r="O845" s="8">
        <v>8873.0</v>
      </c>
      <c r="P845" s="11">
        <v>45.6871</v>
      </c>
      <c r="Q845" s="8" t="s">
        <v>2807</v>
      </c>
      <c r="R845" s="11">
        <v>-1.2457</v>
      </c>
      <c r="S845" s="12">
        <v>7133940.0</v>
      </c>
      <c r="T845" s="12">
        <v>1.1307542305E11</v>
      </c>
      <c r="U845" s="13">
        <v>6.2528</v>
      </c>
      <c r="V845" s="13">
        <v>14.1911</v>
      </c>
      <c r="W845" s="13">
        <v>15.3241</v>
      </c>
      <c r="X845" s="13">
        <v>19.1416</v>
      </c>
      <c r="Y845" s="13">
        <v>0.7942</v>
      </c>
      <c r="Z845" s="13">
        <v>1.5878</v>
      </c>
      <c r="AA845" s="8" t="s">
        <v>2620</v>
      </c>
      <c r="AB845" s="14">
        <f>IFERROR(__xludf.DUMMYFUNCTION("IFERROR(GOOGLEFINANCE(B845,""price""),"""")"),171.24)</f>
        <v>171.24</v>
      </c>
    </row>
    <row r="846">
      <c r="A846" s="15">
        <v>46070.62591605754</v>
      </c>
      <c r="B846" s="16" t="s">
        <v>3347</v>
      </c>
      <c r="C846" s="16" t="s">
        <v>3348</v>
      </c>
      <c r="D846" s="17">
        <v>46075.0</v>
      </c>
      <c r="E846" s="18">
        <v>326.23</v>
      </c>
      <c r="F846" s="16" t="s">
        <v>308</v>
      </c>
      <c r="G846" s="21">
        <v>40.0833</v>
      </c>
      <c r="H846" s="21">
        <v>8.1388</v>
      </c>
      <c r="I846" s="17">
        <v>46073.0</v>
      </c>
      <c r="J846" s="18">
        <v>320.0</v>
      </c>
      <c r="K846" s="16">
        <v>3476.0</v>
      </c>
      <c r="L846" s="16" t="s">
        <v>2627</v>
      </c>
      <c r="M846" s="19">
        <v>1.91</v>
      </c>
      <c r="N846" s="16" t="s">
        <v>3575</v>
      </c>
      <c r="O846" s="16">
        <v>8822.0</v>
      </c>
      <c r="P846" s="19">
        <v>18.3741</v>
      </c>
      <c r="Q846" s="16" t="s">
        <v>3350</v>
      </c>
      <c r="R846" s="19">
        <v>3.4305</v>
      </c>
      <c r="S846" s="20">
        <v>3995759.0</v>
      </c>
      <c r="T846" s="20">
        <v>3.42154464255E11</v>
      </c>
      <c r="U846" s="21">
        <v>10.062</v>
      </c>
      <c r="V846" s="21">
        <v>45.2353</v>
      </c>
      <c r="W846" s="21">
        <v>18.207</v>
      </c>
      <c r="X846" s="21">
        <v>0.1223</v>
      </c>
      <c r="Y846" s="21">
        <v>1.1542</v>
      </c>
      <c r="Z846" s="21">
        <v>1.0415</v>
      </c>
      <c r="AA846" s="16" t="s">
        <v>2611</v>
      </c>
      <c r="AB846" s="22">
        <f>IFERROR(__xludf.DUMMYFUNCTION("IFERROR(GOOGLEFINANCE(B846,""price""),"""")"),308.35)</f>
        <v>308.35</v>
      </c>
    </row>
    <row r="847">
      <c r="A847" s="7">
        <v>46070.62591605754</v>
      </c>
      <c r="B847" s="8" t="s">
        <v>2700</v>
      </c>
      <c r="C847" s="8" t="s">
        <v>2701</v>
      </c>
      <c r="D847" s="9">
        <v>46075.0</v>
      </c>
      <c r="E847" s="10">
        <v>235.315</v>
      </c>
      <c r="F847" s="8" t="s">
        <v>102</v>
      </c>
      <c r="G847" s="13">
        <v>48.2272</v>
      </c>
      <c r="H847" s="13">
        <v>4.8793</v>
      </c>
      <c r="I847" s="9">
        <v>46073.0</v>
      </c>
      <c r="J847" s="10">
        <v>240.0</v>
      </c>
      <c r="K847" s="8">
        <v>4434.0</v>
      </c>
      <c r="L847" s="8" t="s">
        <v>2608</v>
      </c>
      <c r="M847" s="11">
        <v>1.99</v>
      </c>
      <c r="N847" s="8" t="s">
        <v>3576</v>
      </c>
      <c r="O847" s="8">
        <v>8299.0</v>
      </c>
      <c r="P847" s="11">
        <v>32.4767</v>
      </c>
      <c r="Q847" s="8" t="s">
        <v>2703</v>
      </c>
      <c r="R847" s="11">
        <v>-0.0913</v>
      </c>
      <c r="S847" s="12">
        <v>4834434.0</v>
      </c>
      <c r="T847" s="12">
        <v>2.93854545423E11</v>
      </c>
      <c r="U847" s="13">
        <v>11.9898</v>
      </c>
      <c r="V847" s="13">
        <v>65.5649</v>
      </c>
      <c r="W847" s="13">
        <v>33.7646</v>
      </c>
      <c r="X847" s="13">
        <v>26.8457</v>
      </c>
      <c r="Y847" s="13">
        <v>0.4419</v>
      </c>
      <c r="Z847" s="13">
        <v>2.2562</v>
      </c>
      <c r="AA847" s="8" t="s">
        <v>2620</v>
      </c>
      <c r="AB847" s="14">
        <f>IFERROR(__xludf.DUMMYFUNCTION("IFERROR(GOOGLEFINANCE(B847,""price""),"""")"),263.66)</f>
        <v>263.66</v>
      </c>
    </row>
    <row r="848">
      <c r="A848" s="15">
        <v>46070.62591605754</v>
      </c>
      <c r="B848" s="16" t="s">
        <v>2634</v>
      </c>
      <c r="C848" s="16" t="s">
        <v>2635</v>
      </c>
      <c r="D848" s="17">
        <v>46075.0</v>
      </c>
      <c r="E848" s="18">
        <v>180.82</v>
      </c>
      <c r="F848" s="16" t="s">
        <v>245</v>
      </c>
      <c r="G848" s="21">
        <v>27.1873</v>
      </c>
      <c r="H848" s="21">
        <v>6.6509</v>
      </c>
      <c r="I848" s="17">
        <v>46073.0</v>
      </c>
      <c r="J848" s="18">
        <v>182.5</v>
      </c>
      <c r="K848" s="16">
        <v>2757.0</v>
      </c>
      <c r="L848" s="16" t="s">
        <v>2608</v>
      </c>
      <c r="M848" s="19">
        <v>0.93</v>
      </c>
      <c r="N848" s="16" t="s">
        <v>3577</v>
      </c>
      <c r="O848" s="16">
        <v>7882.0</v>
      </c>
      <c r="P848" s="19">
        <v>56.6522</v>
      </c>
      <c r="Q848" s="16" t="s">
        <v>2637</v>
      </c>
      <c r="R848" s="19">
        <v>-1.5892</v>
      </c>
      <c r="S848" s="20">
        <v>6789861.0</v>
      </c>
      <c r="T848" s="20">
        <v>3.64084987762E11</v>
      </c>
      <c r="U848" s="21">
        <v>3.5398</v>
      </c>
      <c r="V848" s="21">
        <v>7.261</v>
      </c>
      <c r="W848" s="21">
        <v>8.9022</v>
      </c>
      <c r="X848" s="21">
        <v>-4.6053</v>
      </c>
      <c r="Y848" s="21">
        <v>0.2186</v>
      </c>
      <c r="Z848" s="24"/>
      <c r="AA848" s="16" t="s">
        <v>2620</v>
      </c>
      <c r="AB848" s="22">
        <f>IFERROR(__xludf.DUMMYFUNCTION("IFERROR(GOOGLEFINANCE(B848,""price""),"""")"),188.55)</f>
        <v>188.55</v>
      </c>
    </row>
    <row r="849">
      <c r="A849" s="7">
        <v>46070.62591605754</v>
      </c>
      <c r="B849" s="8" t="s">
        <v>2676</v>
      </c>
      <c r="C849" s="8" t="s">
        <v>2677</v>
      </c>
      <c r="D849" s="9">
        <v>46075.0</v>
      </c>
      <c r="E849" s="10">
        <v>29.715</v>
      </c>
      <c r="F849" s="8" t="s">
        <v>93</v>
      </c>
      <c r="G849" s="13">
        <v>12.9347</v>
      </c>
      <c r="H849" s="13">
        <v>2.2973</v>
      </c>
      <c r="I849" s="9">
        <v>46073.0</v>
      </c>
      <c r="J849" s="10">
        <v>30.0</v>
      </c>
      <c r="K849" s="8">
        <v>4287.0</v>
      </c>
      <c r="L849" s="8" t="s">
        <v>2608</v>
      </c>
      <c r="M849" s="11">
        <v>0.96</v>
      </c>
      <c r="N849" s="8" t="s">
        <v>3411</v>
      </c>
      <c r="O849" s="8">
        <v>7725.0</v>
      </c>
      <c r="P849" s="11">
        <v>26.2619</v>
      </c>
      <c r="Q849" s="8" t="s">
        <v>2679</v>
      </c>
      <c r="R849" s="11">
        <v>-0.0841</v>
      </c>
      <c r="S849" s="12">
        <v>7608271.0</v>
      </c>
      <c r="T849" s="12">
        <v>2.6056385766E10</v>
      </c>
      <c r="U849" s="13">
        <v>0.7635</v>
      </c>
      <c r="V849" s="13">
        <v>11.6787</v>
      </c>
      <c r="W849" s="13">
        <v>28.7373</v>
      </c>
      <c r="X849" s="13">
        <v>2.137</v>
      </c>
      <c r="Y849" s="13">
        <v>0.2565</v>
      </c>
      <c r="Z849" s="13">
        <v>0.1084</v>
      </c>
      <c r="AA849" s="8" t="s">
        <v>2620</v>
      </c>
      <c r="AB849" s="14">
        <f>IFERROR(__xludf.DUMMYFUNCTION("IFERROR(GOOGLEFINANCE(B849,""price""),"""")"),27.5)</f>
        <v>27.5</v>
      </c>
    </row>
    <row r="850">
      <c r="A850" s="15">
        <v>46070.62591605754</v>
      </c>
      <c r="B850" s="16" t="s">
        <v>3385</v>
      </c>
      <c r="C850" s="16" t="s">
        <v>3386</v>
      </c>
      <c r="D850" s="17">
        <v>46075.0</v>
      </c>
      <c r="E850" s="18">
        <v>45.885</v>
      </c>
      <c r="F850" s="16" t="s">
        <v>129</v>
      </c>
      <c r="G850" s="21">
        <v>41.9386</v>
      </c>
      <c r="H850" s="21">
        <v>1.0941</v>
      </c>
      <c r="I850" s="17">
        <v>46073.0</v>
      </c>
      <c r="J850" s="18">
        <v>45.0</v>
      </c>
      <c r="K850" s="16">
        <v>5251.0</v>
      </c>
      <c r="L850" s="16" t="s">
        <v>2608</v>
      </c>
      <c r="M850" s="19">
        <v>1.93</v>
      </c>
      <c r="N850" s="16" t="s">
        <v>3578</v>
      </c>
      <c r="O850" s="16">
        <v>7515.0</v>
      </c>
      <c r="P850" s="19">
        <v>22.1496</v>
      </c>
      <c r="Q850" s="16" t="s">
        <v>3388</v>
      </c>
      <c r="R850" s="19">
        <v>-1.1312</v>
      </c>
      <c r="S850" s="20">
        <v>3672112.0</v>
      </c>
      <c r="T850" s="20">
        <v>5.2684202383E10</v>
      </c>
      <c r="U850" s="21">
        <v>1.2263</v>
      </c>
      <c r="V850" s="21">
        <v>33.2967</v>
      </c>
      <c r="W850" s="21">
        <v>20.1917</v>
      </c>
      <c r="X850" s="21">
        <v>8.6721</v>
      </c>
      <c r="Y850" s="21">
        <v>0.1121</v>
      </c>
      <c r="Z850" s="21">
        <v>4.852</v>
      </c>
      <c r="AA850" s="16" t="s">
        <v>2611</v>
      </c>
      <c r="AB850" s="22">
        <f>IFERROR(__xludf.DUMMYFUNCTION("IFERROR(GOOGLEFINANCE(B850,""price""),"""")"),49.17)</f>
        <v>49.17</v>
      </c>
    </row>
    <row r="851">
      <c r="A851" s="7">
        <v>46070.62591605754</v>
      </c>
      <c r="B851" s="8" t="s">
        <v>1492</v>
      </c>
      <c r="C851" s="8" t="s">
        <v>1493</v>
      </c>
      <c r="D851" s="9">
        <v>46075.0</v>
      </c>
      <c r="E851" s="10">
        <v>24.74</v>
      </c>
      <c r="F851" s="8" t="s">
        <v>93</v>
      </c>
      <c r="G851" s="13">
        <v>13.1848</v>
      </c>
      <c r="H851" s="13">
        <v>1.8764</v>
      </c>
      <c r="I851" s="9">
        <v>46073.0</v>
      </c>
      <c r="J851" s="10">
        <v>25.0</v>
      </c>
      <c r="K851" s="8">
        <v>5416.0</v>
      </c>
      <c r="L851" s="8" t="s">
        <v>2608</v>
      </c>
      <c r="M851" s="11">
        <v>1.05</v>
      </c>
      <c r="N851" s="8" t="s">
        <v>3579</v>
      </c>
      <c r="O851" s="8">
        <v>7211.0</v>
      </c>
      <c r="P851" s="11">
        <v>23.1895</v>
      </c>
      <c r="Q851" s="8" t="s">
        <v>1494</v>
      </c>
      <c r="R851" s="11">
        <v>0.7329</v>
      </c>
      <c r="S851" s="12">
        <v>3558096.0</v>
      </c>
      <c r="T851" s="12">
        <v>1.1998899739E10</v>
      </c>
      <c r="U851" s="13">
        <v>0.6735</v>
      </c>
      <c r="V851" s="13">
        <v>11.1193</v>
      </c>
      <c r="W851" s="13">
        <v>25.6333</v>
      </c>
      <c r="X851" s="13">
        <v>-0.5598</v>
      </c>
      <c r="Y851" s="13">
        <v>0.517</v>
      </c>
      <c r="Z851" s="13">
        <v>0.2349</v>
      </c>
      <c r="AA851" s="8" t="s">
        <v>2620</v>
      </c>
      <c r="AB851" s="14">
        <f>IFERROR(__xludf.DUMMYFUNCTION("IFERROR(GOOGLEFINANCE(B851,""price""),"""")"),24.05)</f>
        <v>24.05</v>
      </c>
    </row>
    <row r="852">
      <c r="A852" s="15">
        <v>46070.62591605754</v>
      </c>
      <c r="B852" s="16" t="s">
        <v>2438</v>
      </c>
      <c r="C852" s="16" t="s">
        <v>2439</v>
      </c>
      <c r="D852" s="17">
        <v>46075.0</v>
      </c>
      <c r="E852" s="18">
        <v>226.07</v>
      </c>
      <c r="F852" s="16" t="s">
        <v>308</v>
      </c>
      <c r="G852" s="21">
        <v>41.5158</v>
      </c>
      <c r="H852" s="21">
        <v>5.4454</v>
      </c>
      <c r="I852" s="17">
        <v>46073.0</v>
      </c>
      <c r="J852" s="18">
        <v>230.0</v>
      </c>
      <c r="K852" s="16">
        <v>3642.0</v>
      </c>
      <c r="L852" s="16" t="s">
        <v>2608</v>
      </c>
      <c r="M852" s="19">
        <v>1.74</v>
      </c>
      <c r="N852" s="16" t="s">
        <v>3580</v>
      </c>
      <c r="O852" s="16">
        <v>6606.0</v>
      </c>
      <c r="P852" s="19">
        <v>50.9286</v>
      </c>
      <c r="Q852" s="16" t="s">
        <v>2440</v>
      </c>
      <c r="R852" s="19">
        <v>-0.0398</v>
      </c>
      <c r="S852" s="20">
        <v>3164042.0</v>
      </c>
      <c r="T852" s="20">
        <v>2.05169994641E11</v>
      </c>
      <c r="U852" s="21">
        <v>6.6433</v>
      </c>
      <c r="V852" s="21">
        <v>29.9795</v>
      </c>
      <c r="W852" s="21">
        <v>34.7246</v>
      </c>
      <c r="X852" s="21">
        <v>13.049</v>
      </c>
      <c r="Y852" s="21">
        <v>0.9082</v>
      </c>
      <c r="Z852" s="21">
        <v>4.3526</v>
      </c>
      <c r="AA852" s="16" t="s">
        <v>2620</v>
      </c>
      <c r="AB852" s="22">
        <f>IFERROR(__xludf.DUMMYFUNCTION("IFERROR(GOOGLEFINANCE(B852,""price""),"""")"),214.73)</f>
        <v>214.73</v>
      </c>
    </row>
    <row r="853">
      <c r="A853" s="7">
        <v>46070.62591605754</v>
      </c>
      <c r="B853" s="8" t="s">
        <v>1316</v>
      </c>
      <c r="C853" s="8" t="s">
        <v>1317</v>
      </c>
      <c r="D853" s="9">
        <v>46075.0</v>
      </c>
      <c r="E853" s="10">
        <v>73.7</v>
      </c>
      <c r="F853" s="8" t="s">
        <v>917</v>
      </c>
      <c r="G853" s="13">
        <v>18.5032</v>
      </c>
      <c r="H853" s="13">
        <v>3.9831</v>
      </c>
      <c r="I853" s="9">
        <v>46073.0</v>
      </c>
      <c r="J853" s="10">
        <v>75.0</v>
      </c>
      <c r="K853" s="8">
        <v>5557.0</v>
      </c>
      <c r="L853" s="8" t="s">
        <v>2608</v>
      </c>
      <c r="M853" s="11">
        <v>1.76</v>
      </c>
      <c r="N853" s="8" t="s">
        <v>3581</v>
      </c>
      <c r="O853" s="8">
        <v>5557.0</v>
      </c>
      <c r="P853" s="11">
        <v>19.6882</v>
      </c>
      <c r="Q853" s="8" t="s">
        <v>1318</v>
      </c>
      <c r="R853" s="11">
        <v>-0.4727</v>
      </c>
      <c r="S853" s="12">
        <v>1060854.0</v>
      </c>
      <c r="T853" s="12">
        <v>5.562496371E9</v>
      </c>
      <c r="U853" s="13">
        <v>1.6034</v>
      </c>
      <c r="V853" s="13">
        <v>7.9617</v>
      </c>
      <c r="W853" s="13">
        <v>23.3257</v>
      </c>
      <c r="X853" s="13">
        <v>8.5632</v>
      </c>
      <c r="Y853" s="13">
        <v>1.2295</v>
      </c>
      <c r="Z853" s="13">
        <v>1.3458</v>
      </c>
      <c r="AA853" s="8" t="s">
        <v>2620</v>
      </c>
      <c r="AB853" s="14">
        <f>IFERROR(__xludf.DUMMYFUNCTION("IFERROR(GOOGLEFINANCE(B853,""price""),"""")"),73.8)</f>
        <v>73.8</v>
      </c>
    </row>
    <row r="854">
      <c r="A854" s="15">
        <v>46070.62591605754</v>
      </c>
      <c r="B854" s="16" t="s">
        <v>2646</v>
      </c>
      <c r="C854" s="16" t="s">
        <v>2647</v>
      </c>
      <c r="D854" s="17">
        <v>46075.0</v>
      </c>
      <c r="E854" s="18">
        <v>36.685</v>
      </c>
      <c r="F854" s="16" t="s">
        <v>270</v>
      </c>
      <c r="G854" s="21">
        <v>13.8147</v>
      </c>
      <c r="H854" s="21">
        <v>2.6555</v>
      </c>
      <c r="I854" s="17">
        <v>46073.0</v>
      </c>
      <c r="J854" s="18">
        <v>37.0</v>
      </c>
      <c r="K854" s="16">
        <v>2905.0</v>
      </c>
      <c r="L854" s="16" t="s">
        <v>2608</v>
      </c>
      <c r="M854" s="19">
        <v>0.86</v>
      </c>
      <c r="N854" s="16" t="s">
        <v>3582</v>
      </c>
      <c r="O854" s="16">
        <v>5318.0</v>
      </c>
      <c r="P854" s="19">
        <v>41.8282</v>
      </c>
      <c r="Q854" s="16" t="s">
        <v>2649</v>
      </c>
      <c r="R854" s="19">
        <v>-1.4109</v>
      </c>
      <c r="S854" s="20">
        <v>4639346.0</v>
      </c>
      <c r="T854" s="20">
        <v>7.936143058E10</v>
      </c>
      <c r="U854" s="21">
        <v>0.7099</v>
      </c>
      <c r="V854" s="24"/>
      <c r="W854" s="21">
        <v>13.037</v>
      </c>
      <c r="X854" s="21">
        <v>-5.779</v>
      </c>
      <c r="Y854" s="24"/>
      <c r="Z854" s="24"/>
      <c r="AA854" s="16" t="s">
        <v>2620</v>
      </c>
      <c r="AB854" s="22">
        <f>IFERROR(__xludf.DUMMYFUNCTION("IFERROR(GOOGLEFINANCE(B854,""price""),"""")"),37.35)</f>
        <v>37.35</v>
      </c>
    </row>
    <row r="855">
      <c r="A855" s="7">
        <v>46070.62591605754</v>
      </c>
      <c r="B855" s="8" t="s">
        <v>2663</v>
      </c>
      <c r="C855" s="8" t="s">
        <v>2664</v>
      </c>
      <c r="D855" s="9">
        <v>46075.0</v>
      </c>
      <c r="E855" s="10">
        <v>122.43</v>
      </c>
      <c r="F855" s="8" t="s">
        <v>335</v>
      </c>
      <c r="G855" s="13">
        <v>19.0319</v>
      </c>
      <c r="H855" s="13">
        <v>6.4329</v>
      </c>
      <c r="I855" s="9">
        <v>46073.0</v>
      </c>
      <c r="J855" s="10">
        <v>120.0</v>
      </c>
      <c r="K855" s="8">
        <v>3292.0</v>
      </c>
      <c r="L855" s="8" t="s">
        <v>2608</v>
      </c>
      <c r="M855" s="11">
        <v>1.98</v>
      </c>
      <c r="N855" s="8" t="s">
        <v>3583</v>
      </c>
      <c r="O855" s="8">
        <v>5109.0</v>
      </c>
      <c r="P855" s="11">
        <v>20.7423</v>
      </c>
      <c r="Q855" s="8" t="s">
        <v>2666</v>
      </c>
      <c r="R855" s="11">
        <v>-2.6789</v>
      </c>
      <c r="S855" s="12">
        <v>6332261.0</v>
      </c>
      <c r="T855" s="12">
        <v>1.33603324918E11</v>
      </c>
      <c r="U855" s="13">
        <v>5.9388</v>
      </c>
      <c r="V855" s="13">
        <v>22.8383</v>
      </c>
      <c r="W855" s="13">
        <v>42.3718</v>
      </c>
      <c r="X855" s="13">
        <v>26.2476</v>
      </c>
      <c r="Y855" s="13">
        <v>0.1701</v>
      </c>
      <c r="Z855" s="13">
        <v>2.0393</v>
      </c>
      <c r="AA855" s="8" t="s">
        <v>2611</v>
      </c>
      <c r="AB855" s="14">
        <f>IFERROR(__xludf.DUMMYFUNCTION("IFERROR(GOOGLEFINANCE(B855,""price""),"""")"),120.9)</f>
        <v>120.9</v>
      </c>
    </row>
    <row r="856">
      <c r="A856" s="15">
        <v>46070.62591605754</v>
      </c>
      <c r="B856" s="16" t="s">
        <v>3237</v>
      </c>
      <c r="C856" s="16" t="s">
        <v>3238</v>
      </c>
      <c r="D856" s="17">
        <v>46075.0</v>
      </c>
      <c r="E856" s="18">
        <v>327.33</v>
      </c>
      <c r="F856" s="16" t="s">
        <v>149</v>
      </c>
      <c r="G856" s="21">
        <v>27.3859</v>
      </c>
      <c r="H856" s="21">
        <v>11.9525</v>
      </c>
      <c r="I856" s="17">
        <v>46073.0</v>
      </c>
      <c r="J856" s="18">
        <v>325.0</v>
      </c>
      <c r="K856" s="16">
        <v>2292.0</v>
      </c>
      <c r="L856" s="16" t="s">
        <v>2608</v>
      </c>
      <c r="M856" s="19">
        <v>0.71</v>
      </c>
      <c r="N856" s="16" t="s">
        <v>3584</v>
      </c>
      <c r="O856" s="16">
        <v>4454.0</v>
      </c>
      <c r="P856" s="19">
        <v>32.1532</v>
      </c>
      <c r="Q856" s="16" t="s">
        <v>3240</v>
      </c>
      <c r="R856" s="19">
        <v>-0.0763</v>
      </c>
      <c r="S856" s="20">
        <v>2157139.0</v>
      </c>
      <c r="T856" s="20">
        <v>2.3310947642E11</v>
      </c>
      <c r="U856" s="21">
        <v>5.8147</v>
      </c>
      <c r="V856" s="24"/>
      <c r="W856" s="21">
        <v>46.1038</v>
      </c>
      <c r="X856" s="21">
        <v>3.723</v>
      </c>
      <c r="Y856" s="24"/>
      <c r="Z856" s="21">
        <v>0.9546</v>
      </c>
      <c r="AA856" s="16" t="s">
        <v>2611</v>
      </c>
      <c r="AB856" s="22">
        <f>IFERROR(__xludf.DUMMYFUNCTION("IFERROR(GOOGLEFINANCE(B856,""price""),"""")"),305.68)</f>
        <v>305.68</v>
      </c>
    </row>
    <row r="857">
      <c r="A857" s="7">
        <v>46070.62591605754</v>
      </c>
      <c r="B857" s="8" t="s">
        <v>2775</v>
      </c>
      <c r="C857" s="8" t="s">
        <v>2776</v>
      </c>
      <c r="D857" s="9">
        <v>46075.0</v>
      </c>
      <c r="E857" s="10">
        <v>58.06</v>
      </c>
      <c r="F857" s="8" t="s">
        <v>93</v>
      </c>
      <c r="G857" s="13">
        <v>12.5731</v>
      </c>
      <c r="H857" s="13">
        <v>4.6178</v>
      </c>
      <c r="I857" s="9">
        <v>46073.0</v>
      </c>
      <c r="J857" s="10">
        <v>57.5</v>
      </c>
      <c r="K857" s="8">
        <v>3102.0</v>
      </c>
      <c r="L857" s="8" t="s">
        <v>2608</v>
      </c>
      <c r="M857" s="11">
        <v>0.96</v>
      </c>
      <c r="N857" s="8" t="s">
        <v>3585</v>
      </c>
      <c r="O857" s="8">
        <v>4364.0</v>
      </c>
      <c r="P857" s="11">
        <v>29.8498</v>
      </c>
      <c r="Q857" s="8" t="s">
        <v>2778</v>
      </c>
      <c r="R857" s="11">
        <v>0.6414</v>
      </c>
      <c r="S857" s="12">
        <v>4926811.0</v>
      </c>
      <c r="T857" s="12">
        <v>9.0250440655E10</v>
      </c>
      <c r="U857" s="13">
        <v>1.3536</v>
      </c>
      <c r="V857" s="13">
        <v>12.1773</v>
      </c>
      <c r="W857" s="13">
        <v>23.9548</v>
      </c>
      <c r="X857" s="13">
        <v>2.1447</v>
      </c>
      <c r="Y857" s="13">
        <v>1.1953</v>
      </c>
      <c r="Z857" s="13">
        <v>0.4632</v>
      </c>
      <c r="AA857" s="8" t="s">
        <v>2611</v>
      </c>
      <c r="AB857" s="14">
        <f>IFERROR(__xludf.DUMMYFUNCTION("IFERROR(GOOGLEFINANCE(B857,""price""),"""")"),55.66)</f>
        <v>55.66</v>
      </c>
    </row>
    <row r="858">
      <c r="A858" s="15">
        <v>46070.62591605754</v>
      </c>
      <c r="B858" s="16" t="s">
        <v>2638</v>
      </c>
      <c r="C858" s="16" t="s">
        <v>2639</v>
      </c>
      <c r="D858" s="17">
        <v>46075.0</v>
      </c>
      <c r="E858" s="18">
        <v>146.305</v>
      </c>
      <c r="F858" s="16" t="s">
        <v>245</v>
      </c>
      <c r="G858" s="21">
        <v>21.8663</v>
      </c>
      <c r="H858" s="21">
        <v>6.6909</v>
      </c>
      <c r="I858" s="17">
        <v>46073.0</v>
      </c>
      <c r="J858" s="18">
        <v>145.0</v>
      </c>
      <c r="K858" s="16">
        <v>4125.0</v>
      </c>
      <c r="L858" s="16" t="s">
        <v>2627</v>
      </c>
      <c r="M858" s="19">
        <v>0.89</v>
      </c>
      <c r="N858" s="16" t="s">
        <v>3586</v>
      </c>
      <c r="O858" s="16">
        <v>4125.0</v>
      </c>
      <c r="P858" s="19">
        <v>55.6155</v>
      </c>
      <c r="Q858" s="16" t="s">
        <v>2641</v>
      </c>
      <c r="R858" s="19">
        <v>-1.4449</v>
      </c>
      <c r="S858" s="20">
        <v>1.3913992E7</v>
      </c>
      <c r="T858" s="20">
        <v>6.16992389794E11</v>
      </c>
      <c r="U858" s="21">
        <v>3.4838</v>
      </c>
      <c r="V858" s="21">
        <v>11.0283</v>
      </c>
      <c r="W858" s="21">
        <v>10.3419</v>
      </c>
      <c r="X858" s="21">
        <v>-4.856</v>
      </c>
      <c r="Y858" s="21">
        <v>0.1678</v>
      </c>
      <c r="Z858" s="21">
        <v>1.1528</v>
      </c>
      <c r="AA858" s="16" t="s">
        <v>2611</v>
      </c>
      <c r="AB858" s="22">
        <f>IFERROR(__xludf.DUMMYFUNCTION("IFERROR(GOOGLEFINANCE(B858,""price""),"""")"),152.51)</f>
        <v>152.51</v>
      </c>
    </row>
    <row r="859">
      <c r="A859" s="7">
        <v>46070.62591605754</v>
      </c>
      <c r="B859" s="8" t="s">
        <v>2692</v>
      </c>
      <c r="C859" s="8" t="s">
        <v>2693</v>
      </c>
      <c r="D859" s="9">
        <v>46075.0</v>
      </c>
      <c r="E859" s="10">
        <v>243.44</v>
      </c>
      <c r="F859" s="8" t="s">
        <v>117</v>
      </c>
      <c r="G859" s="13">
        <v>22.0391</v>
      </c>
      <c r="H859" s="13">
        <v>11.0458</v>
      </c>
      <c r="I859" s="9">
        <v>46073.0</v>
      </c>
      <c r="J859" s="10">
        <v>245.0</v>
      </c>
      <c r="K859" s="8">
        <v>3699.0</v>
      </c>
      <c r="L859" s="8" t="s">
        <v>2608</v>
      </c>
      <c r="M859" s="11">
        <v>0.64</v>
      </c>
      <c r="N859" s="8" t="s">
        <v>3587</v>
      </c>
      <c r="O859" s="8">
        <v>3699.0</v>
      </c>
      <c r="P859" s="11">
        <v>41.0758</v>
      </c>
      <c r="Q859" s="8" t="s">
        <v>2695</v>
      </c>
      <c r="R859" s="11">
        <v>-0.0041</v>
      </c>
      <c r="S859" s="12">
        <v>5662554.0</v>
      </c>
      <c r="T859" s="12">
        <v>5.86665787138E11</v>
      </c>
      <c r="U859" s="13">
        <v>3.7488</v>
      </c>
      <c r="V859" s="13">
        <v>35.0301</v>
      </c>
      <c r="W859" s="13">
        <v>27.2081</v>
      </c>
      <c r="X859" s="13">
        <v>6.046</v>
      </c>
      <c r="Y859" s="13">
        <v>0.605</v>
      </c>
      <c r="Z859" s="13">
        <v>1.0277</v>
      </c>
      <c r="AA859" s="8" t="s">
        <v>2620</v>
      </c>
      <c r="AB859" s="14">
        <f>IFERROR(__xludf.DUMMYFUNCTION("IFERROR(GOOGLEFINANCE(B859,""price""),"""")"),238.46)</f>
        <v>238.46</v>
      </c>
    </row>
    <row r="860">
      <c r="A860" s="15">
        <v>46070.62591605754</v>
      </c>
      <c r="B860" s="16" t="s">
        <v>2843</v>
      </c>
      <c r="C860" s="16" t="s">
        <v>2844</v>
      </c>
      <c r="D860" s="17">
        <v>46075.0</v>
      </c>
      <c r="E860" s="18">
        <v>203.395</v>
      </c>
      <c r="F860" s="16" t="s">
        <v>308</v>
      </c>
      <c r="G860" s="21">
        <v>40.9872</v>
      </c>
      <c r="H860" s="21">
        <v>4.9624</v>
      </c>
      <c r="I860" s="17">
        <v>46073.0</v>
      </c>
      <c r="J860" s="18">
        <v>200.0</v>
      </c>
      <c r="K860" s="16">
        <v>3615.0</v>
      </c>
      <c r="L860" s="16" t="s">
        <v>2608</v>
      </c>
      <c r="M860" s="19">
        <v>1.67</v>
      </c>
      <c r="N860" s="16" t="s">
        <v>3588</v>
      </c>
      <c r="O860" s="16">
        <v>3615.0</v>
      </c>
      <c r="P860" s="19">
        <v>35.5199</v>
      </c>
      <c r="Q860" s="16" t="s">
        <v>2846</v>
      </c>
      <c r="R860" s="19">
        <v>1.667</v>
      </c>
      <c r="S860" s="20">
        <v>3815652.0</v>
      </c>
      <c r="T860" s="20">
        <v>2.73014582594E11</v>
      </c>
      <c r="U860" s="21">
        <v>4.9053</v>
      </c>
      <c r="V860" s="21">
        <v>10.7368</v>
      </c>
      <c r="W860" s="21">
        <v>10.0301</v>
      </c>
      <c r="X860" s="21">
        <v>9.7414</v>
      </c>
      <c r="Y860" s="21">
        <v>0.6124</v>
      </c>
      <c r="Z860" s="21">
        <v>0.9804</v>
      </c>
      <c r="AA860" s="16" t="s">
        <v>2611</v>
      </c>
      <c r="AB860" s="22">
        <f>IFERROR(__xludf.DUMMYFUNCTION("IFERROR(GOOGLEFINANCE(B860,""price""),"""")"),201.56)</f>
        <v>201.56</v>
      </c>
    </row>
    <row r="861">
      <c r="A861" s="7">
        <v>46070.62591605754</v>
      </c>
      <c r="B861" s="8" t="s">
        <v>3511</v>
      </c>
      <c r="C861" s="8" t="s">
        <v>3512</v>
      </c>
      <c r="D861" s="9">
        <v>46075.0</v>
      </c>
      <c r="E861" s="10">
        <v>115.42</v>
      </c>
      <c r="F861" s="8" t="s">
        <v>93</v>
      </c>
      <c r="G861" s="13">
        <v>16.7608</v>
      </c>
      <c r="H861" s="13">
        <v>6.8863</v>
      </c>
      <c r="I861" s="9">
        <v>46073.0</v>
      </c>
      <c r="J861" s="10">
        <v>115.0</v>
      </c>
      <c r="K861" s="8">
        <v>1662.0</v>
      </c>
      <c r="L861" s="8" t="s">
        <v>2608</v>
      </c>
      <c r="M861" s="11">
        <v>0.36</v>
      </c>
      <c r="N861" s="8" t="s">
        <v>3589</v>
      </c>
      <c r="O861" s="8">
        <v>2873.0</v>
      </c>
      <c r="P861" s="11">
        <v>20.9979</v>
      </c>
      <c r="Q861" s="8" t="s">
        <v>3514</v>
      </c>
      <c r="R861" s="11">
        <v>0.4438</v>
      </c>
      <c r="S861" s="12">
        <v>1247676.0</v>
      </c>
      <c r="T861" s="12">
        <v>6.0493227296E10</v>
      </c>
      <c r="U861" s="13">
        <v>2.5428</v>
      </c>
      <c r="V861" s="13">
        <v>15.3345</v>
      </c>
      <c r="W861" s="13">
        <v>27.5608</v>
      </c>
      <c r="X861" s="13">
        <v>-9.4737</v>
      </c>
      <c r="Y861" s="13">
        <v>0.3919</v>
      </c>
      <c r="Z861" s="13">
        <v>0.1099</v>
      </c>
      <c r="AA861" s="8" t="s">
        <v>2611</v>
      </c>
      <c r="AB861" s="14">
        <f>IFERROR(__xludf.DUMMYFUNCTION("IFERROR(GOOGLEFINANCE(B861,""price""),"""")"),110.7)</f>
        <v>110.7</v>
      </c>
    </row>
    <row r="862">
      <c r="A862" s="15">
        <v>46070.62591605754</v>
      </c>
      <c r="B862" s="16" t="s">
        <v>2768</v>
      </c>
      <c r="C862" s="16" t="s">
        <v>2769</v>
      </c>
      <c r="D862" s="17">
        <v>46075.0</v>
      </c>
      <c r="E862" s="18">
        <v>285.12</v>
      </c>
      <c r="F862" s="16" t="s">
        <v>308</v>
      </c>
      <c r="G862" s="21">
        <v>28.6245</v>
      </c>
      <c r="H862" s="21">
        <v>9.9607</v>
      </c>
      <c r="I862" s="17">
        <v>46073.0</v>
      </c>
      <c r="J862" s="18">
        <v>290.0</v>
      </c>
      <c r="K862" s="16">
        <v>1499.0</v>
      </c>
      <c r="L862" s="16" t="s">
        <v>2608</v>
      </c>
      <c r="M862" s="19">
        <v>1.71</v>
      </c>
      <c r="N862" s="16" t="s">
        <v>3590</v>
      </c>
      <c r="O862" s="16">
        <v>2863.0</v>
      </c>
      <c r="P862" s="19">
        <v>37.4824</v>
      </c>
      <c r="Q862" s="16" t="s">
        <v>2771</v>
      </c>
      <c r="R862" s="19">
        <v>1.2572</v>
      </c>
      <c r="S862" s="20">
        <v>4605353.0</v>
      </c>
      <c r="T862" s="20">
        <v>9.6666490947E10</v>
      </c>
      <c r="U862" s="21">
        <v>21.5607</v>
      </c>
      <c r="V862" s="21">
        <v>41.2731</v>
      </c>
      <c r="W862" s="21">
        <v>27.8834</v>
      </c>
      <c r="X862" s="21">
        <v>-31.1967</v>
      </c>
      <c r="Y862" s="21">
        <v>0.7076</v>
      </c>
      <c r="Z862" s="21">
        <v>1.455</v>
      </c>
      <c r="AA862" s="16" t="s">
        <v>2620</v>
      </c>
      <c r="AB862" s="22">
        <f>IFERROR(__xludf.DUMMYFUNCTION("IFERROR(GOOGLEFINANCE(B862,""price""),"""")"),343.43)</f>
        <v>343.43</v>
      </c>
    </row>
    <row r="863">
      <c r="A863" s="7">
        <v>46070.62591605754</v>
      </c>
      <c r="B863" s="8" t="s">
        <v>1372</v>
      </c>
      <c r="C863" s="8" t="s">
        <v>1373</v>
      </c>
      <c r="D863" s="9">
        <v>46075.0</v>
      </c>
      <c r="E863" s="10">
        <v>152.61</v>
      </c>
      <c r="F863" s="8" t="s">
        <v>93</v>
      </c>
      <c r="G863" s="13">
        <v>7.1474</v>
      </c>
      <c r="H863" s="13">
        <v>21.3518</v>
      </c>
      <c r="I863" s="9">
        <v>46073.0</v>
      </c>
      <c r="J863" s="10">
        <v>150.0</v>
      </c>
      <c r="K863" s="8">
        <v>1702.0</v>
      </c>
      <c r="L863" s="8" t="s">
        <v>2608</v>
      </c>
      <c r="M863" s="11">
        <v>1.71</v>
      </c>
      <c r="N863" s="8" t="s">
        <v>3591</v>
      </c>
      <c r="O863" s="8">
        <v>2786.0</v>
      </c>
      <c r="P863" s="11">
        <v>16.6746</v>
      </c>
      <c r="Q863" s="8" t="s">
        <v>1374</v>
      </c>
      <c r="R863" s="11">
        <v>1.4492</v>
      </c>
      <c r="S863" s="12">
        <v>1009206.0</v>
      </c>
      <c r="T863" s="12">
        <v>2.5467027703E10</v>
      </c>
      <c r="U863" s="13">
        <v>3.2138</v>
      </c>
      <c r="V863" s="13">
        <v>21.1255</v>
      </c>
      <c r="W863" s="13">
        <v>49.1887</v>
      </c>
      <c r="X863" s="13">
        <v>-1.741</v>
      </c>
      <c r="Y863" s="13">
        <v>2.3803</v>
      </c>
      <c r="Z863" s="13">
        <v>0.6041</v>
      </c>
      <c r="AA863" s="8" t="s">
        <v>2611</v>
      </c>
      <c r="AB863" s="14">
        <f>IFERROR(__xludf.DUMMYFUNCTION("IFERROR(GOOGLEFINANCE(B863,""price""),"""")"),145.53)</f>
        <v>145.53</v>
      </c>
    </row>
    <row r="864">
      <c r="A864" s="15">
        <v>46070.62591605754</v>
      </c>
      <c r="B864" s="16" t="s">
        <v>2139</v>
      </c>
      <c r="C864" s="16" t="s">
        <v>2140</v>
      </c>
      <c r="D864" s="17">
        <v>46075.0</v>
      </c>
      <c r="E864" s="18">
        <v>59.82</v>
      </c>
      <c r="F864" s="16" t="s">
        <v>270</v>
      </c>
      <c r="G864" s="21">
        <v>22.9635</v>
      </c>
      <c r="H864" s="21">
        <v>2.605</v>
      </c>
      <c r="I864" s="17">
        <v>46073.0</v>
      </c>
      <c r="J864" s="18">
        <v>60.0</v>
      </c>
      <c r="K864" s="16">
        <v>2784.0</v>
      </c>
      <c r="L864" s="16" t="s">
        <v>2608</v>
      </c>
      <c r="M864" s="19">
        <v>0.3</v>
      </c>
      <c r="N864" s="16" t="s">
        <v>3592</v>
      </c>
      <c r="O864" s="16">
        <v>2784.0</v>
      </c>
      <c r="P864" s="19">
        <v>42.1803</v>
      </c>
      <c r="Q864" s="16" t="s">
        <v>2141</v>
      </c>
      <c r="R864" s="19">
        <v>-2.2549</v>
      </c>
      <c r="S864" s="20">
        <v>5629522.0</v>
      </c>
      <c r="T864" s="20">
        <v>5.9116308839E10</v>
      </c>
      <c r="U864" s="21">
        <v>1.758</v>
      </c>
      <c r="V864" s="21">
        <v>14.4868</v>
      </c>
      <c r="W864" s="21">
        <v>12.8259</v>
      </c>
      <c r="X864" s="21">
        <v>-0.345</v>
      </c>
      <c r="Y864" s="21">
        <v>0.3558</v>
      </c>
      <c r="Z864" s="21">
        <v>1.3568</v>
      </c>
      <c r="AA864" s="16" t="s">
        <v>2620</v>
      </c>
      <c r="AB864" s="22">
        <f>IFERROR(__xludf.DUMMYFUNCTION("IFERROR(GOOGLEFINANCE(B864,""price""),"""")"),62.83)</f>
        <v>62.83</v>
      </c>
    </row>
    <row r="865">
      <c r="A865" s="7">
        <v>46070.62591605754</v>
      </c>
      <c r="B865" s="8" t="s">
        <v>2344</v>
      </c>
      <c r="C865" s="8" t="s">
        <v>2345</v>
      </c>
      <c r="D865" s="9">
        <v>46075.0</v>
      </c>
      <c r="E865" s="10">
        <v>72.035</v>
      </c>
      <c r="F865" s="8" t="s">
        <v>270</v>
      </c>
      <c r="G865" s="23"/>
      <c r="H865" s="23"/>
      <c r="I865" s="9">
        <v>46073.0</v>
      </c>
      <c r="J865" s="10">
        <v>73.0</v>
      </c>
      <c r="K865" s="8">
        <v>1631.0</v>
      </c>
      <c r="L865" s="8" t="s">
        <v>2608</v>
      </c>
      <c r="M865" s="11">
        <v>1.34</v>
      </c>
      <c r="N865" s="8" t="s">
        <v>3593</v>
      </c>
      <c r="O865" s="8">
        <v>2662.0</v>
      </c>
      <c r="P865" s="11">
        <v>42.0522</v>
      </c>
      <c r="Q865" s="8" t="s">
        <v>2346</v>
      </c>
      <c r="R865" s="11">
        <v>-0.339</v>
      </c>
      <c r="S865" s="12">
        <v>3733146.0</v>
      </c>
      <c r="T865" s="12">
        <v>8.7970499963E10</v>
      </c>
      <c r="U865" s="13">
        <v>1.8639</v>
      </c>
      <c r="V865" s="13">
        <v>20.7424</v>
      </c>
      <c r="W865" s="13">
        <v>36.7664</v>
      </c>
      <c r="X865" s="13">
        <v>10.611</v>
      </c>
      <c r="Y865" s="13">
        <v>2.2926</v>
      </c>
      <c r="Z865" s="13">
        <v>0.5313</v>
      </c>
      <c r="AA865" s="8" t="s">
        <v>2620</v>
      </c>
      <c r="AB865" s="14">
        <f>IFERROR(__xludf.DUMMYFUNCTION("IFERROR(GOOGLEFINANCE(B865,""price""),"""")"),72.74)</f>
        <v>72.74</v>
      </c>
    </row>
    <row r="866">
      <c r="A866" s="15">
        <v>46070.62591605754</v>
      </c>
      <c r="B866" s="16" t="s">
        <v>2973</v>
      </c>
      <c r="C866" s="16" t="s">
        <v>2974</v>
      </c>
      <c r="D866" s="17">
        <v>46075.0</v>
      </c>
      <c r="E866" s="18">
        <v>52.275</v>
      </c>
      <c r="F866" s="16" t="s">
        <v>93</v>
      </c>
      <c r="G866" s="21">
        <v>13.6939</v>
      </c>
      <c r="H866" s="21">
        <v>3.8174</v>
      </c>
      <c r="I866" s="17">
        <v>46073.0</v>
      </c>
      <c r="J866" s="18">
        <v>52.5</v>
      </c>
      <c r="K866" s="16">
        <v>2561.0</v>
      </c>
      <c r="L866" s="16" t="s">
        <v>2608</v>
      </c>
      <c r="M866" s="19">
        <v>0.43</v>
      </c>
      <c r="N866" s="16" t="s">
        <v>3594</v>
      </c>
      <c r="O866" s="16">
        <v>2561.0</v>
      </c>
      <c r="P866" s="19">
        <v>22.1815</v>
      </c>
      <c r="Q866" s="16" t="s">
        <v>2976</v>
      </c>
      <c r="R866" s="19">
        <v>0.7225</v>
      </c>
      <c r="S866" s="20">
        <v>5237959.0</v>
      </c>
      <c r="T866" s="20">
        <v>6.6872597898E10</v>
      </c>
      <c r="U866" s="21">
        <v>1.2835</v>
      </c>
      <c r="V866" s="21">
        <v>8.2363</v>
      </c>
      <c r="W866" s="21">
        <v>21.1616</v>
      </c>
      <c r="X866" s="21">
        <v>24.2886</v>
      </c>
      <c r="Y866" s="21">
        <v>1.0708</v>
      </c>
      <c r="Z866" s="21">
        <v>0.3413</v>
      </c>
      <c r="AA866" s="16" t="s">
        <v>2620</v>
      </c>
      <c r="AB866" s="22">
        <f>IFERROR(__xludf.DUMMYFUNCTION("IFERROR(GOOGLEFINANCE(B866,""price""),"""")"),49.6)</f>
        <v>49.6</v>
      </c>
    </row>
    <row r="867">
      <c r="A867" s="7">
        <v>46070.62591605754</v>
      </c>
      <c r="B867" s="8" t="s">
        <v>2680</v>
      </c>
      <c r="C867" s="8" t="s">
        <v>2681</v>
      </c>
      <c r="D867" s="9">
        <v>46075.0</v>
      </c>
      <c r="E867" s="10">
        <v>197.43</v>
      </c>
      <c r="F867" s="8" t="s">
        <v>245</v>
      </c>
      <c r="G867" s="13">
        <v>25.8149</v>
      </c>
      <c r="H867" s="13">
        <v>7.6479</v>
      </c>
      <c r="I867" s="9">
        <v>46073.0</v>
      </c>
      <c r="J867" s="10">
        <v>200.0</v>
      </c>
      <c r="K867" s="8">
        <v>1412.0</v>
      </c>
      <c r="L867" s="8" t="s">
        <v>2608</v>
      </c>
      <c r="M867" s="11">
        <v>1.3</v>
      </c>
      <c r="N867" s="8" t="s">
        <v>3595</v>
      </c>
      <c r="O867" s="8">
        <v>2468.0</v>
      </c>
      <c r="P867" s="11">
        <v>38.0088</v>
      </c>
      <c r="Q867" s="8" t="s">
        <v>2683</v>
      </c>
      <c r="R867" s="11">
        <v>-1.3688</v>
      </c>
      <c r="S867" s="12">
        <v>1509433.0</v>
      </c>
      <c r="T867" s="12">
        <v>6.0218029276E10</v>
      </c>
      <c r="U867" s="13">
        <v>6.728</v>
      </c>
      <c r="V867" s="13">
        <v>9.7104</v>
      </c>
      <c r="W867" s="13">
        <v>3.6059</v>
      </c>
      <c r="X867" s="13">
        <v>-5.4437</v>
      </c>
      <c r="Y867" s="13">
        <v>0.4476</v>
      </c>
      <c r="Z867" s="13">
        <v>1.645</v>
      </c>
      <c r="AA867" s="8" t="s">
        <v>2620</v>
      </c>
      <c r="AB867" s="14">
        <f>IFERROR(__xludf.DUMMYFUNCTION("IFERROR(GOOGLEFINANCE(B867,""price""),"""")"),238.82)</f>
        <v>238.82</v>
      </c>
    </row>
    <row r="868">
      <c r="A868" s="15">
        <v>46070.62591605754</v>
      </c>
      <c r="B868" s="16" t="s">
        <v>3523</v>
      </c>
      <c r="C868" s="16" t="s">
        <v>3524</v>
      </c>
      <c r="D868" s="17">
        <v>46075.0</v>
      </c>
      <c r="E868" s="18">
        <v>40.905</v>
      </c>
      <c r="F868" s="16" t="s">
        <v>162</v>
      </c>
      <c r="G868" s="21">
        <v>26.51</v>
      </c>
      <c r="H868" s="21">
        <v>1.543</v>
      </c>
      <c r="I868" s="17">
        <v>46073.0</v>
      </c>
      <c r="J868" s="18">
        <v>41.0</v>
      </c>
      <c r="K868" s="16">
        <v>2200.0</v>
      </c>
      <c r="L868" s="16" t="s">
        <v>2608</v>
      </c>
      <c r="M868" s="19">
        <v>0.23</v>
      </c>
      <c r="N868" s="16" t="s">
        <v>3596</v>
      </c>
      <c r="O868" s="16">
        <v>2200.0</v>
      </c>
      <c r="P868" s="19">
        <v>40.901</v>
      </c>
      <c r="Q868" s="16" t="s">
        <v>3526</v>
      </c>
      <c r="R868" s="19">
        <v>0.0856</v>
      </c>
      <c r="S868" s="20">
        <v>8177957.0</v>
      </c>
      <c r="T868" s="20">
        <v>7.606516739E10</v>
      </c>
      <c r="U868" s="21">
        <v>0.8407</v>
      </c>
      <c r="V868" s="21">
        <v>22.5202</v>
      </c>
      <c r="W868" s="21">
        <v>33.2458</v>
      </c>
      <c r="X868" s="21">
        <v>-3.0812</v>
      </c>
      <c r="Y868" s="21">
        <v>1.4762</v>
      </c>
      <c r="Z868" s="21">
        <v>0.8139</v>
      </c>
      <c r="AA868" s="16" t="s">
        <v>2620</v>
      </c>
      <c r="AB868" s="22">
        <f>IFERROR(__xludf.DUMMYFUNCTION("IFERROR(GOOGLEFINANCE(B868,""price""),"""")"),42.24)</f>
        <v>42.24</v>
      </c>
    </row>
    <row r="869">
      <c r="A869" s="7">
        <v>46070.62591605754</v>
      </c>
      <c r="B869" s="8" t="s">
        <v>3463</v>
      </c>
      <c r="C869" s="8" t="s">
        <v>3464</v>
      </c>
      <c r="D869" s="9">
        <v>46075.0</v>
      </c>
      <c r="E869" s="10">
        <v>57.71</v>
      </c>
      <c r="F869" s="8" t="s">
        <v>245</v>
      </c>
      <c r="G869" s="13">
        <v>19.6882</v>
      </c>
      <c r="H869" s="13">
        <v>2.9312</v>
      </c>
      <c r="I869" s="9">
        <v>46073.0</v>
      </c>
      <c r="J869" s="10">
        <v>57.5</v>
      </c>
      <c r="K869" s="8">
        <v>2071.0</v>
      </c>
      <c r="L869" s="8" t="s">
        <v>2608</v>
      </c>
      <c r="M869" s="11">
        <v>0.36</v>
      </c>
      <c r="N869" s="8" t="s">
        <v>3597</v>
      </c>
      <c r="O869" s="8">
        <v>2071.0</v>
      </c>
      <c r="P869" s="11">
        <v>18.8329</v>
      </c>
      <c r="Q869" s="8" t="s">
        <v>3466</v>
      </c>
      <c r="R869" s="11">
        <v>-1.6865</v>
      </c>
      <c r="S869" s="12">
        <v>6418045.0</v>
      </c>
      <c r="T869" s="12">
        <v>3.6015126381E10</v>
      </c>
      <c r="U869" s="13">
        <v>1.9367</v>
      </c>
      <c r="V869" s="13">
        <v>8.189</v>
      </c>
      <c r="W869" s="13">
        <v>33.1264</v>
      </c>
      <c r="X869" s="13">
        <v>64.8355</v>
      </c>
      <c r="Y869" s="13">
        <v>0.355</v>
      </c>
      <c r="Z869" s="13">
        <v>0.5782</v>
      </c>
      <c r="AA869" s="8" t="s">
        <v>2611</v>
      </c>
      <c r="AB869" s="14">
        <f>IFERROR(__xludf.DUMMYFUNCTION("IFERROR(GOOGLEFINANCE(B869,""price""),"""")"),58.68)</f>
        <v>58.68</v>
      </c>
    </row>
    <row r="870">
      <c r="A870" s="15">
        <v>46070.62591605754</v>
      </c>
      <c r="B870" s="16" t="s">
        <v>3516</v>
      </c>
      <c r="C870" s="16" t="s">
        <v>3517</v>
      </c>
      <c r="D870" s="17">
        <v>46075.0</v>
      </c>
      <c r="E870" s="18">
        <v>280.86</v>
      </c>
      <c r="F870" s="16" t="s">
        <v>137</v>
      </c>
      <c r="G870" s="21">
        <v>23.2837</v>
      </c>
      <c r="H870" s="21">
        <v>12.0625</v>
      </c>
      <c r="I870" s="17">
        <v>46073.0</v>
      </c>
      <c r="J870" s="18">
        <v>280.0</v>
      </c>
      <c r="K870" s="16">
        <v>1943.0</v>
      </c>
      <c r="L870" s="16" t="s">
        <v>2608</v>
      </c>
      <c r="M870" s="19">
        <v>0.31</v>
      </c>
      <c r="N870" s="16" t="s">
        <v>3598</v>
      </c>
      <c r="O870" s="16">
        <v>1943.0</v>
      </c>
      <c r="P870" s="19">
        <v>27.7526</v>
      </c>
      <c r="Q870" s="16" t="s">
        <v>3519</v>
      </c>
      <c r="R870" s="19">
        <v>-2.2722</v>
      </c>
      <c r="S870" s="20">
        <v>1360927.0</v>
      </c>
      <c r="T870" s="20">
        <v>1.57548822733E11</v>
      </c>
      <c r="U870" s="21">
        <v>6.9718</v>
      </c>
      <c r="V870" s="24"/>
      <c r="W870" s="21">
        <v>12.099</v>
      </c>
      <c r="X870" s="21">
        <v>0.6366</v>
      </c>
      <c r="Y870" s="24"/>
      <c r="Z870" s="21">
        <v>1.0395</v>
      </c>
      <c r="AA870" s="16" t="s">
        <v>2611</v>
      </c>
      <c r="AB870" s="22">
        <f>IFERROR(__xludf.DUMMYFUNCTION("IFERROR(GOOGLEFINANCE(B870,""price""),"""")"),244.22)</f>
        <v>244.22</v>
      </c>
    </row>
    <row r="871">
      <c r="A871" s="7">
        <v>46070.62591605754</v>
      </c>
      <c r="B871" s="8" t="s">
        <v>2658</v>
      </c>
      <c r="C871" s="8" t="s">
        <v>2659</v>
      </c>
      <c r="D871" s="9">
        <v>46075.0</v>
      </c>
      <c r="E871" s="10">
        <v>93.0922</v>
      </c>
      <c r="F871" s="8" t="s">
        <v>917</v>
      </c>
      <c r="G871" s="13">
        <v>28.2072</v>
      </c>
      <c r="H871" s="13">
        <v>3.3003</v>
      </c>
      <c r="I871" s="9">
        <v>46073.0</v>
      </c>
      <c r="J871" s="10">
        <v>92.0</v>
      </c>
      <c r="K871" s="8">
        <v>1826.0</v>
      </c>
      <c r="L871" s="8" t="s">
        <v>2608</v>
      </c>
      <c r="M871" s="11">
        <v>1.17</v>
      </c>
      <c r="N871" s="8" t="s">
        <v>3599</v>
      </c>
      <c r="O871" s="8">
        <v>1826.0</v>
      </c>
      <c r="P871" s="11">
        <v>40.383</v>
      </c>
      <c r="Q871" s="8" t="s">
        <v>2661</v>
      </c>
      <c r="R871" s="11">
        <v>-0.7546</v>
      </c>
      <c r="S871" s="12">
        <v>6366182.0</v>
      </c>
      <c r="T871" s="12">
        <v>1.93874717495E11</v>
      </c>
      <c r="U871" s="13">
        <v>2.1345</v>
      </c>
      <c r="V871" s="13">
        <v>13.0533</v>
      </c>
      <c r="W871" s="13">
        <v>26.8934</v>
      </c>
      <c r="X871" s="13">
        <v>8.6905</v>
      </c>
      <c r="Y871" s="13">
        <v>1.7594</v>
      </c>
      <c r="Z871" s="13">
        <v>0.5953</v>
      </c>
      <c r="AA871" s="8" t="s">
        <v>2611</v>
      </c>
      <c r="AB871" s="14">
        <f>IFERROR(__xludf.DUMMYFUNCTION("IFERROR(GOOGLEFINANCE(B871,""price""),"""")"),94.08)</f>
        <v>94.08</v>
      </c>
    </row>
    <row r="872">
      <c r="A872" s="15">
        <v>46070.62591605754</v>
      </c>
      <c r="B872" s="16" t="s">
        <v>2726</v>
      </c>
      <c r="C872" s="16" t="s">
        <v>2727</v>
      </c>
      <c r="D872" s="17">
        <v>46075.0</v>
      </c>
      <c r="E872" s="18">
        <v>82.64</v>
      </c>
      <c r="F872" s="16" t="s">
        <v>286</v>
      </c>
      <c r="G872" s="21">
        <v>47.0454</v>
      </c>
      <c r="H872" s="21">
        <v>1.7566</v>
      </c>
      <c r="I872" s="17">
        <v>46073.0</v>
      </c>
      <c r="J872" s="18">
        <v>82.5</v>
      </c>
      <c r="K872" s="16">
        <v>1782.0</v>
      </c>
      <c r="L872" s="16" t="s">
        <v>2608</v>
      </c>
      <c r="M872" s="19">
        <v>0.17</v>
      </c>
      <c r="N872" s="16" t="s">
        <v>3600</v>
      </c>
      <c r="O872" s="16">
        <v>1782.0</v>
      </c>
      <c r="P872" s="19">
        <v>33.9055</v>
      </c>
      <c r="Q872" s="16" t="s">
        <v>2729</v>
      </c>
      <c r="R872" s="19">
        <v>1.4237</v>
      </c>
      <c r="S872" s="20">
        <v>5197990.0</v>
      </c>
      <c r="T872" s="20">
        <v>8.0741033576E10</v>
      </c>
      <c r="U872" s="21">
        <v>1.4935</v>
      </c>
      <c r="V872" s="21">
        <v>25.538</v>
      </c>
      <c r="W872" s="21">
        <v>29.9505</v>
      </c>
      <c r="X872" s="21">
        <v>7.618</v>
      </c>
      <c r="Y872" s="21">
        <v>0.0</v>
      </c>
      <c r="Z872" s="21">
        <v>3.1855</v>
      </c>
      <c r="AA872" s="16" t="s">
        <v>2611</v>
      </c>
      <c r="AB872" s="22">
        <f>IFERROR(__xludf.DUMMYFUNCTION("IFERROR(GOOGLEFINANCE(B872,""price""),"""")"),75.72)</f>
        <v>75.72</v>
      </c>
    </row>
    <row r="873">
      <c r="A873" s="7">
        <v>46070.62591605754</v>
      </c>
      <c r="B873" s="8" t="s">
        <v>1663</v>
      </c>
      <c r="C873" s="8" t="s">
        <v>1664</v>
      </c>
      <c r="D873" s="9">
        <v>46075.0</v>
      </c>
      <c r="E873" s="10">
        <v>168.76</v>
      </c>
      <c r="F873" s="8" t="s">
        <v>102</v>
      </c>
      <c r="G873" s="13">
        <v>28.1482</v>
      </c>
      <c r="H873" s="13">
        <v>5.9954</v>
      </c>
      <c r="I873" s="9">
        <v>46073.0</v>
      </c>
      <c r="J873" s="10">
        <v>170.0</v>
      </c>
      <c r="K873" s="8">
        <v>1679.0</v>
      </c>
      <c r="L873" s="8" t="s">
        <v>2608</v>
      </c>
      <c r="M873" s="11">
        <v>0.73</v>
      </c>
      <c r="N873" s="8" t="s">
        <v>3601</v>
      </c>
      <c r="O873" s="8">
        <v>1679.0</v>
      </c>
      <c r="P873" s="11">
        <v>22.6402</v>
      </c>
      <c r="Q873" s="8" t="s">
        <v>1665</v>
      </c>
      <c r="R873" s="11">
        <v>-1.7809</v>
      </c>
      <c r="S873" s="12">
        <v>2776848.0</v>
      </c>
      <c r="T873" s="12">
        <v>8.8885897849E10</v>
      </c>
      <c r="U873" s="13">
        <v>4.5382</v>
      </c>
      <c r="V873" s="13">
        <v>76.0768</v>
      </c>
      <c r="W873" s="13">
        <v>18.9594</v>
      </c>
      <c r="X873" s="13">
        <v>-6.0763</v>
      </c>
      <c r="Y873" s="13">
        <v>2.7929</v>
      </c>
      <c r="Z873" s="13">
        <v>1.7079</v>
      </c>
      <c r="AA873" s="8" t="s">
        <v>2620</v>
      </c>
      <c r="AB873" s="14">
        <f>IFERROR(__xludf.DUMMYFUNCTION("IFERROR(GOOGLEFINANCE(B873,""price""),"""")"),150.32)</f>
        <v>150.32</v>
      </c>
    </row>
    <row r="874">
      <c r="A874" s="15">
        <v>46070.62591605754</v>
      </c>
      <c r="B874" s="16" t="s">
        <v>3416</v>
      </c>
      <c r="C874" s="16" t="s">
        <v>3417</v>
      </c>
      <c r="D874" s="17">
        <v>46075.0</v>
      </c>
      <c r="E874" s="18">
        <v>66.48</v>
      </c>
      <c r="F874" s="16" t="s">
        <v>286</v>
      </c>
      <c r="G874" s="21">
        <v>16.1489</v>
      </c>
      <c r="H874" s="21">
        <v>4.1167</v>
      </c>
      <c r="I874" s="17">
        <v>46073.0</v>
      </c>
      <c r="J874" s="18">
        <v>66.0</v>
      </c>
      <c r="K874" s="16">
        <v>1655.0</v>
      </c>
      <c r="L874" s="16" t="s">
        <v>2608</v>
      </c>
      <c r="M874" s="19">
        <v>0.72</v>
      </c>
      <c r="N874" s="16" t="s">
        <v>3602</v>
      </c>
      <c r="O874" s="16">
        <v>1655.0</v>
      </c>
      <c r="P874" s="19">
        <v>26.5224</v>
      </c>
      <c r="Q874" s="16" t="s">
        <v>3419</v>
      </c>
      <c r="R874" s="19">
        <v>-1.145</v>
      </c>
      <c r="S874" s="20">
        <v>5544995.0</v>
      </c>
      <c r="T874" s="20">
        <v>1.11598081904E11</v>
      </c>
      <c r="U874" s="21">
        <v>1.4688</v>
      </c>
      <c r="V874" s="24"/>
      <c r="W874" s="21">
        <v>63.7221</v>
      </c>
      <c r="X874" s="21">
        <v>-1.4919</v>
      </c>
      <c r="Y874" s="24"/>
      <c r="Z874" s="21">
        <v>0.648</v>
      </c>
      <c r="AA874" s="16" t="s">
        <v>2611</v>
      </c>
      <c r="AB874" s="22">
        <f>IFERROR(__xludf.DUMMYFUNCTION("IFERROR(GOOGLEFINANCE(B874,""price""),"""")"),67.38)</f>
        <v>67.38</v>
      </c>
    </row>
    <row r="875">
      <c r="A875" s="7">
        <v>46070.62591605754</v>
      </c>
      <c r="B875" s="8" t="s">
        <v>2696</v>
      </c>
      <c r="C875" s="8" t="s">
        <v>2697</v>
      </c>
      <c r="D875" s="9">
        <v>46075.0</v>
      </c>
      <c r="E875" s="10">
        <v>177.785</v>
      </c>
      <c r="F875" s="8" t="s">
        <v>162</v>
      </c>
      <c r="G875" s="13">
        <v>36.7849</v>
      </c>
      <c r="H875" s="13">
        <v>4.8331</v>
      </c>
      <c r="I875" s="9">
        <v>46073.0</v>
      </c>
      <c r="J875" s="10">
        <v>175.0</v>
      </c>
      <c r="K875" s="8">
        <v>1650.0</v>
      </c>
      <c r="L875" s="8" t="s">
        <v>2608</v>
      </c>
      <c r="M875" s="11">
        <v>1.57</v>
      </c>
      <c r="N875" s="8" t="s">
        <v>3603</v>
      </c>
      <c r="O875" s="8">
        <v>1650.0</v>
      </c>
      <c r="P875" s="11">
        <v>48.1182</v>
      </c>
      <c r="Q875" s="8" t="s">
        <v>2699</v>
      </c>
      <c r="R875" s="11">
        <v>1.0085</v>
      </c>
      <c r="S875" s="12">
        <v>2751431.0</v>
      </c>
      <c r="T875" s="12">
        <v>2.1003017271E10</v>
      </c>
      <c r="U875" s="13">
        <v>8.1943</v>
      </c>
      <c r="V875" s="13">
        <v>32.9109</v>
      </c>
      <c r="W875" s="13">
        <v>4.9029</v>
      </c>
      <c r="X875" s="13">
        <v>-8.4186</v>
      </c>
      <c r="Y875" s="13">
        <v>0.756</v>
      </c>
      <c r="Z875" s="13">
        <v>1.5278</v>
      </c>
      <c r="AA875" s="8" t="s">
        <v>2611</v>
      </c>
      <c r="AB875" s="14">
        <f>IFERROR(__xludf.DUMMYFUNCTION("IFERROR(GOOGLEFINANCE(B875,""price""),"""")"),163.49)</f>
        <v>163.49</v>
      </c>
    </row>
    <row r="876">
      <c r="A876" s="15">
        <v>46070.62591605754</v>
      </c>
      <c r="B876" s="16" t="s">
        <v>3538</v>
      </c>
      <c r="C876" s="16" t="s">
        <v>3539</v>
      </c>
      <c r="D876" s="17">
        <v>46075.0</v>
      </c>
      <c r="E876" s="18">
        <v>188.535</v>
      </c>
      <c r="F876" s="16" t="s">
        <v>335</v>
      </c>
      <c r="G876" s="21">
        <v>40.8845</v>
      </c>
      <c r="H876" s="21">
        <v>4.6114</v>
      </c>
      <c r="I876" s="17">
        <v>46073.0</v>
      </c>
      <c r="J876" s="18">
        <v>187.5</v>
      </c>
      <c r="K876" s="16">
        <v>1625.0</v>
      </c>
      <c r="L876" s="16" t="s">
        <v>2627</v>
      </c>
      <c r="M876" s="19">
        <v>0.55</v>
      </c>
      <c r="N876" s="16" t="s">
        <v>3604</v>
      </c>
      <c r="O876" s="16">
        <v>1625.0</v>
      </c>
      <c r="P876" s="19">
        <v>36.8401</v>
      </c>
      <c r="Q876" s="16" t="s">
        <v>3541</v>
      </c>
      <c r="R876" s="19">
        <v>-4.7803</v>
      </c>
      <c r="S876" s="20">
        <v>1671290.0</v>
      </c>
      <c r="T876" s="20">
        <v>1.55740795871E11</v>
      </c>
      <c r="U876" s="21">
        <v>11.0575</v>
      </c>
      <c r="V876" s="21">
        <v>39.4499</v>
      </c>
      <c r="W876" s="21">
        <v>50.2534</v>
      </c>
      <c r="X876" s="21">
        <v>12.6994</v>
      </c>
      <c r="Y876" s="21">
        <v>0.7113</v>
      </c>
      <c r="Z876" s="21">
        <v>4.5168</v>
      </c>
      <c r="AA876" s="16" t="s">
        <v>2611</v>
      </c>
      <c r="AB876" s="22">
        <f>IFERROR(__xludf.DUMMYFUNCTION("IFERROR(GOOGLEFINANCE(B876,""price""),"""")"),192.56)</f>
        <v>192.56</v>
      </c>
    </row>
    <row r="877">
      <c r="A877" s="7">
        <v>46070.62591605754</v>
      </c>
      <c r="B877" s="8" t="s">
        <v>2704</v>
      </c>
      <c r="C877" s="8" t="s">
        <v>2705</v>
      </c>
      <c r="D877" s="9">
        <v>46075.0</v>
      </c>
      <c r="E877" s="10">
        <v>33.7301</v>
      </c>
      <c r="F877" s="8" t="s">
        <v>88</v>
      </c>
      <c r="G877" s="23"/>
      <c r="H877" s="13">
        <v>-0.5438</v>
      </c>
      <c r="I877" s="9">
        <v>46073.0</v>
      </c>
      <c r="J877" s="10">
        <v>34.0</v>
      </c>
      <c r="K877" s="8">
        <v>1617.0</v>
      </c>
      <c r="L877" s="8" t="s">
        <v>2627</v>
      </c>
      <c r="M877" s="11">
        <v>0.8</v>
      </c>
      <c r="N877" s="8" t="s">
        <v>3605</v>
      </c>
      <c r="O877" s="8">
        <v>1617.0</v>
      </c>
      <c r="P877" s="11">
        <v>16.1678</v>
      </c>
      <c r="Q877" s="8" t="s">
        <v>2707</v>
      </c>
      <c r="R877" s="11">
        <v>-4.3931</v>
      </c>
      <c r="S877" s="12">
        <v>1.703289E7</v>
      </c>
      <c r="T877" s="12">
        <v>9.430457187E9</v>
      </c>
      <c r="U877" s="13">
        <v>3.874</v>
      </c>
      <c r="V877" s="13">
        <v>-11.4029</v>
      </c>
      <c r="W877" s="13">
        <v>-26.4624</v>
      </c>
      <c r="X877" s="13">
        <v>33.135</v>
      </c>
      <c r="Y877" s="13">
        <v>1.6778</v>
      </c>
      <c r="Z877" s="13">
        <v>4.8227</v>
      </c>
      <c r="AA877" s="8" t="s">
        <v>2620</v>
      </c>
      <c r="AB877" s="14">
        <f>IFERROR(__xludf.DUMMYFUNCTION("IFERROR(GOOGLEFINANCE(B877,""price""),"""")"),26.24)</f>
        <v>26.24</v>
      </c>
    </row>
    <row r="878">
      <c r="A878" s="15">
        <v>46070.62591605754</v>
      </c>
      <c r="B878" s="16" t="s">
        <v>3542</v>
      </c>
      <c r="C878" s="16" t="s">
        <v>3543</v>
      </c>
      <c r="D878" s="17">
        <v>46075.0</v>
      </c>
      <c r="E878" s="18">
        <v>149.11</v>
      </c>
      <c r="F878" s="16" t="s">
        <v>308</v>
      </c>
      <c r="G878" s="21">
        <v>36.4171</v>
      </c>
      <c r="H878" s="21">
        <v>4.0945</v>
      </c>
      <c r="I878" s="17">
        <v>46073.0</v>
      </c>
      <c r="J878" s="18">
        <v>150.0</v>
      </c>
      <c r="K878" s="16">
        <v>1611.0</v>
      </c>
      <c r="L878" s="16" t="s">
        <v>2608</v>
      </c>
      <c r="M878" s="19">
        <v>0.6</v>
      </c>
      <c r="N878" s="16" t="s">
        <v>3606</v>
      </c>
      <c r="O878" s="16">
        <v>1611.0</v>
      </c>
      <c r="P878" s="19">
        <v>24.7163</v>
      </c>
      <c r="Q878" s="16" t="s">
        <v>3545</v>
      </c>
      <c r="R878" s="19">
        <v>0.6616</v>
      </c>
      <c r="S878" s="20">
        <v>3557075.0</v>
      </c>
      <c r="T878" s="20">
        <v>8.3844863376E10</v>
      </c>
      <c r="U878" s="21">
        <v>5.1854</v>
      </c>
      <c r="V878" s="21">
        <v>11.3131</v>
      </c>
      <c r="W878" s="21">
        <v>19.8768</v>
      </c>
      <c r="X878" s="21">
        <v>3.607</v>
      </c>
      <c r="Y878" s="21">
        <v>0.6933</v>
      </c>
      <c r="Z878" s="21">
        <v>0.8406</v>
      </c>
      <c r="AA878" s="16" t="s">
        <v>2620</v>
      </c>
      <c r="AB878" s="22">
        <f>IFERROR(__xludf.DUMMYFUNCTION("IFERROR(GOOGLEFINANCE(B878,""price""),"""")"),143.77)</f>
        <v>143.77</v>
      </c>
    </row>
    <row r="879">
      <c r="A879" s="7">
        <v>46070.62591605754</v>
      </c>
      <c r="B879" s="8" t="s">
        <v>3291</v>
      </c>
      <c r="C879" s="8" t="s">
        <v>3292</v>
      </c>
      <c r="D879" s="9">
        <v>46075.0</v>
      </c>
      <c r="E879" s="10">
        <v>235.415</v>
      </c>
      <c r="F879" s="8" t="s">
        <v>270</v>
      </c>
      <c r="G879" s="13">
        <v>35.1439</v>
      </c>
      <c r="H879" s="13">
        <v>6.6986</v>
      </c>
      <c r="I879" s="9">
        <v>46073.0</v>
      </c>
      <c r="J879" s="10">
        <v>240.0</v>
      </c>
      <c r="K879" s="8">
        <v>1562.0</v>
      </c>
      <c r="L879" s="8" t="s">
        <v>2608</v>
      </c>
      <c r="M879" s="11">
        <v>1.95</v>
      </c>
      <c r="N879" s="8" t="s">
        <v>3607</v>
      </c>
      <c r="O879" s="8">
        <v>1562.0</v>
      </c>
      <c r="P879" s="11">
        <v>20.8606</v>
      </c>
      <c r="Q879" s="8" t="s">
        <v>3294</v>
      </c>
      <c r="R879" s="11">
        <v>0.3816</v>
      </c>
      <c r="S879" s="12">
        <v>2110188.0</v>
      </c>
      <c r="T879" s="12">
        <v>9.4951295535E10</v>
      </c>
      <c r="U879" s="13">
        <v>4.7361</v>
      </c>
      <c r="V879" s="13">
        <v>29.6897</v>
      </c>
      <c r="W879" s="13">
        <v>18.2788</v>
      </c>
      <c r="X879" s="13">
        <v>14.2365</v>
      </c>
      <c r="Y879" s="13">
        <v>2.3941</v>
      </c>
      <c r="Z879" s="13">
        <v>0.8888</v>
      </c>
      <c r="AA879" s="8" t="s">
        <v>2620</v>
      </c>
      <c r="AB879" s="14">
        <f>IFERROR(__xludf.DUMMYFUNCTION("IFERROR(GOOGLEFINANCE(B879,""price""),"""")"),229.45)</f>
        <v>229.45</v>
      </c>
    </row>
    <row r="880">
      <c r="A880" s="15">
        <v>46070.62591605754</v>
      </c>
      <c r="B880" s="16" t="s">
        <v>3208</v>
      </c>
      <c r="C880" s="16" t="s">
        <v>3209</v>
      </c>
      <c r="D880" s="17">
        <v>46075.0</v>
      </c>
      <c r="E880" s="18">
        <v>197.4425</v>
      </c>
      <c r="F880" s="16" t="s">
        <v>137</v>
      </c>
      <c r="G880" s="21">
        <v>30.8542</v>
      </c>
      <c r="H880" s="21">
        <v>6.3992</v>
      </c>
      <c r="I880" s="17">
        <v>46073.0</v>
      </c>
      <c r="J880" s="18">
        <v>200.0</v>
      </c>
      <c r="K880" s="16">
        <v>1441.0</v>
      </c>
      <c r="L880" s="16" t="s">
        <v>2608</v>
      </c>
      <c r="M880" s="19">
        <v>1.3</v>
      </c>
      <c r="N880" s="16" t="s">
        <v>3608</v>
      </c>
      <c r="O880" s="16">
        <v>1441.0</v>
      </c>
      <c r="P880" s="19">
        <v>32.7463</v>
      </c>
      <c r="Q880" s="16" t="s">
        <v>3211</v>
      </c>
      <c r="R880" s="19">
        <v>0.4592</v>
      </c>
      <c r="S880" s="20">
        <v>1461876.0</v>
      </c>
      <c r="T880" s="20">
        <v>6.3861776626E10</v>
      </c>
      <c r="U880" s="21">
        <v>3.5118</v>
      </c>
      <c r="V880" s="21">
        <v>37.4252</v>
      </c>
      <c r="W880" s="21">
        <v>11.9137</v>
      </c>
      <c r="X880" s="21">
        <v>3.7096</v>
      </c>
      <c r="Y880" s="21">
        <v>0.8818</v>
      </c>
      <c r="Z880" s="21">
        <v>1.5199</v>
      </c>
      <c r="AA880" s="16" t="s">
        <v>2620</v>
      </c>
      <c r="AB880" s="22">
        <f>IFERROR(__xludf.DUMMYFUNCTION("IFERROR(GOOGLEFINANCE(B880,""price""),"""")"),221.16)</f>
        <v>221.16</v>
      </c>
    </row>
    <row r="881">
      <c r="A881" s="7">
        <v>46070.62591605754</v>
      </c>
      <c r="B881" s="8" t="s">
        <v>3531</v>
      </c>
      <c r="C881" s="8" t="s">
        <v>3532</v>
      </c>
      <c r="D881" s="9">
        <v>46075.0</v>
      </c>
      <c r="E881" s="10">
        <v>263.39</v>
      </c>
      <c r="F881" s="8" t="s">
        <v>162</v>
      </c>
      <c r="G881" s="13">
        <v>21.9798</v>
      </c>
      <c r="H881" s="13">
        <v>11.9833</v>
      </c>
      <c r="I881" s="9">
        <v>46073.0</v>
      </c>
      <c r="J881" s="10">
        <v>260.0</v>
      </c>
      <c r="K881" s="8">
        <v>1427.0</v>
      </c>
      <c r="L881" s="8" t="s">
        <v>2608</v>
      </c>
      <c r="M881" s="11">
        <v>1.29</v>
      </c>
      <c r="N881" s="8" t="s">
        <v>3609</v>
      </c>
      <c r="O881" s="8">
        <v>1427.0</v>
      </c>
      <c r="P881" s="11">
        <v>36.9791</v>
      </c>
      <c r="Q881" s="8" t="s">
        <v>3534</v>
      </c>
      <c r="R881" s="11">
        <v>1.0396</v>
      </c>
      <c r="S881" s="12">
        <v>2231006.0</v>
      </c>
      <c r="T881" s="12">
        <v>1.56293361316E11</v>
      </c>
      <c r="U881" s="13">
        <v>5.1341</v>
      </c>
      <c r="V881" s="13">
        <v>40.3767</v>
      </c>
      <c r="W881" s="13">
        <v>40.0408</v>
      </c>
      <c r="X881" s="13">
        <v>1.0722</v>
      </c>
      <c r="Y881" s="13">
        <v>1.7773</v>
      </c>
      <c r="Z881" s="13">
        <v>0.9085</v>
      </c>
      <c r="AA881" s="8" t="s">
        <v>2611</v>
      </c>
      <c r="AB881" s="14">
        <f>IFERROR(__xludf.DUMMYFUNCTION("IFERROR(GOOGLEFINANCE(B881,""price""),"""")"),250.51)</f>
        <v>250.51</v>
      </c>
    </row>
    <row r="882">
      <c r="A882" s="15">
        <v>46070.62591605754</v>
      </c>
      <c r="B882" s="16" t="s">
        <v>3553</v>
      </c>
      <c r="C882" s="16" t="s">
        <v>3554</v>
      </c>
      <c r="D882" s="17">
        <v>46075.0</v>
      </c>
      <c r="E882" s="18">
        <v>156.15</v>
      </c>
      <c r="F882" s="16" t="s">
        <v>137</v>
      </c>
      <c r="G882" s="21">
        <v>34.4991</v>
      </c>
      <c r="H882" s="21">
        <v>4.5262</v>
      </c>
      <c r="I882" s="17">
        <v>46073.0</v>
      </c>
      <c r="J882" s="18">
        <v>155.0</v>
      </c>
      <c r="K882" s="16">
        <v>1184.0</v>
      </c>
      <c r="L882" s="16" t="s">
        <v>2608</v>
      </c>
      <c r="M882" s="19">
        <v>0.74</v>
      </c>
      <c r="N882" s="16" t="s">
        <v>3610</v>
      </c>
      <c r="O882" s="16">
        <v>1184.0</v>
      </c>
      <c r="P882" s="19">
        <v>16.9688</v>
      </c>
      <c r="Q882" s="16" t="s">
        <v>3556</v>
      </c>
      <c r="R882" s="19">
        <v>1.0941</v>
      </c>
      <c r="S882" s="20">
        <v>3443193.0</v>
      </c>
      <c r="T882" s="20">
        <v>1.73399455053E11</v>
      </c>
      <c r="U882" s="21">
        <v>2.88</v>
      </c>
      <c r="V882" s="21">
        <v>58.3961</v>
      </c>
      <c r="W882" s="21">
        <v>11.343</v>
      </c>
      <c r="X882" s="21">
        <v>4.5338</v>
      </c>
      <c r="Y882" s="21">
        <v>1.4098</v>
      </c>
      <c r="Z882" s="21">
        <v>1.0938</v>
      </c>
      <c r="AA882" s="16" t="s">
        <v>2611</v>
      </c>
      <c r="AB882" s="22">
        <f>IFERROR(__xludf.DUMMYFUNCTION("IFERROR(GOOGLEFINANCE(B882,""price""),"""")"),161.6)</f>
        <v>161.6</v>
      </c>
    </row>
    <row r="883">
      <c r="A883" s="7">
        <v>46070.62591605754</v>
      </c>
      <c r="B883" s="8" t="s">
        <v>2684</v>
      </c>
      <c r="C883" s="8" t="s">
        <v>2685</v>
      </c>
      <c r="D883" s="9">
        <v>46075.0</v>
      </c>
      <c r="E883" s="10">
        <v>358.0</v>
      </c>
      <c r="F883" s="8" t="s">
        <v>102</v>
      </c>
      <c r="G883" s="13">
        <v>36.6533</v>
      </c>
      <c r="H883" s="13">
        <v>9.7672</v>
      </c>
      <c r="I883" s="9">
        <v>46073.0</v>
      </c>
      <c r="J883" s="10">
        <v>355.0</v>
      </c>
      <c r="K883" s="8">
        <v>1036.0</v>
      </c>
      <c r="L883" s="8" t="s">
        <v>2627</v>
      </c>
      <c r="M883" s="11">
        <v>0.84</v>
      </c>
      <c r="N883" s="8" t="s">
        <v>3611</v>
      </c>
      <c r="O883" s="8">
        <v>1036.0</v>
      </c>
      <c r="P883" s="11">
        <v>33.1221</v>
      </c>
      <c r="Q883" s="8" t="s">
        <v>2687</v>
      </c>
      <c r="R883" s="11">
        <v>0.8706</v>
      </c>
      <c r="S883" s="12">
        <v>5620960.0</v>
      </c>
      <c r="T883" s="12">
        <v>2.84152276858E11</v>
      </c>
      <c r="U883" s="13">
        <v>17.2673</v>
      </c>
      <c r="V883" s="13">
        <v>38.8627</v>
      </c>
      <c r="W883" s="13">
        <v>29.7406</v>
      </c>
      <c r="X883" s="13">
        <v>2.1543</v>
      </c>
      <c r="Y883" s="13">
        <v>0.3017</v>
      </c>
      <c r="Z883" s="13">
        <v>2.7149</v>
      </c>
      <c r="AA883" s="8" t="s">
        <v>2611</v>
      </c>
      <c r="AB883" s="14">
        <f>IFERROR(__xludf.DUMMYFUNCTION("IFERROR(GOOGLEFINANCE(B883,""price""),"""")"),399.5)</f>
        <v>399.5</v>
      </c>
    </row>
    <row r="884">
      <c r="A884" s="15">
        <v>46070.62591605754</v>
      </c>
      <c r="B884" s="16" t="s">
        <v>3562</v>
      </c>
      <c r="C884" s="16" t="s">
        <v>3563</v>
      </c>
      <c r="D884" s="17">
        <v>46075.0</v>
      </c>
      <c r="E884" s="18">
        <v>30.99</v>
      </c>
      <c r="F884" s="16" t="s">
        <v>245</v>
      </c>
      <c r="G884" s="21">
        <v>14.2963</v>
      </c>
      <c r="H884" s="21">
        <v>2.1677</v>
      </c>
      <c r="I884" s="17">
        <v>46073.0</v>
      </c>
      <c r="J884" s="18">
        <v>31.0</v>
      </c>
      <c r="K884" s="16">
        <v>1005.0</v>
      </c>
      <c r="L884" s="16" t="s">
        <v>2608</v>
      </c>
      <c r="M884" s="19">
        <v>0.03</v>
      </c>
      <c r="N884" s="16" t="s">
        <v>3612</v>
      </c>
      <c r="O884" s="16">
        <v>1005.0</v>
      </c>
      <c r="P884" s="19">
        <v>50.4814</v>
      </c>
      <c r="Q884" s="16" t="s">
        <v>3565</v>
      </c>
      <c r="R884" s="19">
        <v>-1.2113</v>
      </c>
      <c r="S884" s="20">
        <v>4249343.0</v>
      </c>
      <c r="T884" s="20">
        <v>2.3510379521E10</v>
      </c>
      <c r="U884" s="21">
        <v>0.9515</v>
      </c>
      <c r="V884" s="21">
        <v>11.8554</v>
      </c>
      <c r="W884" s="21">
        <v>29.8129</v>
      </c>
      <c r="X884" s="21">
        <v>26.1343</v>
      </c>
      <c r="Y884" s="21">
        <v>0.2796</v>
      </c>
      <c r="Z884" s="21">
        <v>1.0248</v>
      </c>
      <c r="AA884" s="16" t="s">
        <v>2620</v>
      </c>
      <c r="AB884" s="22">
        <f>IFERROR(__xludf.DUMMYFUNCTION("IFERROR(GOOGLEFINANCE(B884,""price""),"""")"),33.41)</f>
        <v>33.41</v>
      </c>
    </row>
    <row r="885">
      <c r="A885" s="7">
        <v>46071.62860593857</v>
      </c>
      <c r="B885" s="8" t="s">
        <v>1489</v>
      </c>
      <c r="C885" s="8" t="s">
        <v>1490</v>
      </c>
      <c r="D885" s="9">
        <v>46075.0</v>
      </c>
      <c r="E885" s="10">
        <v>78.03</v>
      </c>
      <c r="F885" s="8" t="s">
        <v>308</v>
      </c>
      <c r="G885" s="13">
        <v>27.4483</v>
      </c>
      <c r="H885" s="13">
        <v>2.8428</v>
      </c>
      <c r="I885" s="9">
        <v>46073.0</v>
      </c>
      <c r="J885" s="10">
        <v>77.5</v>
      </c>
      <c r="K885" s="8">
        <v>12327.0</v>
      </c>
      <c r="L885" s="8" t="s">
        <v>2608</v>
      </c>
      <c r="M885" s="11">
        <v>0.68</v>
      </c>
      <c r="N885" s="8" t="s">
        <v>3613</v>
      </c>
      <c r="O885" s="8">
        <v>34615.0</v>
      </c>
      <c r="P885" s="11">
        <v>33.2747</v>
      </c>
      <c r="Q885" s="8" t="s">
        <v>1491</v>
      </c>
      <c r="R885" s="11">
        <v>1.5355</v>
      </c>
      <c r="S885" s="12">
        <v>1.155447E7</v>
      </c>
      <c r="T885" s="12">
        <v>3.08303896342E11</v>
      </c>
      <c r="U885" s="13">
        <v>2.549</v>
      </c>
      <c r="V885" s="13">
        <v>24.3402</v>
      </c>
      <c r="W885" s="13">
        <v>23.6377</v>
      </c>
      <c r="X885" s="13">
        <v>9.004</v>
      </c>
      <c r="Y885" s="13">
        <v>0.6651</v>
      </c>
      <c r="Z885" s="13">
        <v>0.9142</v>
      </c>
      <c r="AA885" s="8" t="s">
        <v>2611</v>
      </c>
      <c r="AB885" s="14">
        <f>IFERROR(__xludf.DUMMYFUNCTION("IFERROR(GOOGLEFINANCE(B885,""price""),"""")"),82.22)</f>
        <v>82.22</v>
      </c>
    </row>
    <row r="886">
      <c r="A886" s="15">
        <v>46071.62860593857</v>
      </c>
      <c r="B886" s="16" t="s">
        <v>3269</v>
      </c>
      <c r="C886" s="16" t="s">
        <v>3270</v>
      </c>
      <c r="D886" s="17">
        <v>46075.0</v>
      </c>
      <c r="E886" s="18">
        <v>264.64</v>
      </c>
      <c r="F886" s="16" t="s">
        <v>308</v>
      </c>
      <c r="G886" s="21">
        <v>33.4826</v>
      </c>
      <c r="H886" s="21">
        <v>7.9038</v>
      </c>
      <c r="I886" s="17">
        <v>46071.0</v>
      </c>
      <c r="J886" s="18">
        <v>267.5</v>
      </c>
      <c r="K886" s="16">
        <v>8089.0</v>
      </c>
      <c r="L886" s="16" t="s">
        <v>2608</v>
      </c>
      <c r="M886" s="19">
        <v>1.08</v>
      </c>
      <c r="N886" s="16" t="s">
        <v>3614</v>
      </c>
      <c r="O886" s="16">
        <v>33871.0</v>
      </c>
      <c r="P886" s="19">
        <v>20.8955</v>
      </c>
      <c r="Q886" s="16" t="s">
        <v>3272</v>
      </c>
      <c r="R886" s="19">
        <v>0.288</v>
      </c>
      <c r="S886" s="20">
        <v>2.2700367E7</v>
      </c>
      <c r="T886" s="20">
        <v>3.885216868454E12</v>
      </c>
      <c r="U886" s="21">
        <v>6.663</v>
      </c>
      <c r="V886" s="21">
        <v>152.0213</v>
      </c>
      <c r="W886" s="21">
        <v>32.384</v>
      </c>
      <c r="X886" s="21">
        <v>10.071</v>
      </c>
      <c r="Y886" s="21">
        <v>1.0263</v>
      </c>
      <c r="Z886" s="21">
        <v>0.9737</v>
      </c>
      <c r="AA886" s="16" t="s">
        <v>2620</v>
      </c>
      <c r="AB886" s="22">
        <f>IFERROR(__xludf.DUMMYFUNCTION("IFERROR(GOOGLEFINANCE(B886,""price""),"""")"),260.48)</f>
        <v>260.48</v>
      </c>
    </row>
    <row r="887">
      <c r="A887" s="7">
        <v>46071.62860593857</v>
      </c>
      <c r="B887" s="8" t="s">
        <v>2625</v>
      </c>
      <c r="C887" s="8" t="s">
        <v>2626</v>
      </c>
      <c r="D887" s="9">
        <v>46075.0</v>
      </c>
      <c r="E887" s="10">
        <v>126.45</v>
      </c>
      <c r="F887" s="8" t="s">
        <v>137</v>
      </c>
      <c r="G887" s="13">
        <v>44.3529</v>
      </c>
      <c r="H887" s="13">
        <v>2.851</v>
      </c>
      <c r="I887" s="9">
        <v>46073.0</v>
      </c>
      <c r="J887" s="10">
        <v>125.0</v>
      </c>
      <c r="K887" s="8">
        <v>7444.0</v>
      </c>
      <c r="L887" s="8" t="s">
        <v>2608</v>
      </c>
      <c r="M887" s="11">
        <v>1.15</v>
      </c>
      <c r="N887" s="8" t="s">
        <v>3615</v>
      </c>
      <c r="O887" s="8">
        <v>30526.0</v>
      </c>
      <c r="P887" s="11">
        <v>35.2066</v>
      </c>
      <c r="Q887" s="8" t="s">
        <v>2629</v>
      </c>
      <c r="R887" s="11">
        <v>-1.8626</v>
      </c>
      <c r="S887" s="12">
        <v>2.7379961E7</v>
      </c>
      <c r="T887" s="12">
        <v>1.007827663902E12</v>
      </c>
      <c r="U887" s="13">
        <v>3.2956</v>
      </c>
      <c r="V887" s="13">
        <v>24.8749</v>
      </c>
      <c r="W887" s="13">
        <v>4.1214</v>
      </c>
      <c r="X887" s="13">
        <v>4.3397</v>
      </c>
      <c r="Y887" s="13">
        <v>0.7121</v>
      </c>
      <c r="Z887" s="13">
        <v>0.8029</v>
      </c>
      <c r="AA887" s="8" t="s">
        <v>2611</v>
      </c>
      <c r="AB887" s="14">
        <f>IFERROR(__xludf.DUMMYFUNCTION("IFERROR(GOOGLEFINANCE(B887,""price""),"""")"),126.79)</f>
        <v>126.79</v>
      </c>
    </row>
    <row r="888">
      <c r="A888" s="15">
        <v>46071.62860593857</v>
      </c>
      <c r="B888" s="16" t="s">
        <v>2630</v>
      </c>
      <c r="C888" s="16" t="s">
        <v>2631</v>
      </c>
      <c r="D888" s="17">
        <v>46075.0</v>
      </c>
      <c r="E888" s="18">
        <v>419.1176</v>
      </c>
      <c r="F888" s="16" t="s">
        <v>308</v>
      </c>
      <c r="G888" s="21">
        <v>39.8401</v>
      </c>
      <c r="H888" s="21">
        <v>10.52</v>
      </c>
      <c r="I888" s="17">
        <v>46073.0</v>
      </c>
      <c r="J888" s="18">
        <v>425.0</v>
      </c>
      <c r="K888" s="16">
        <v>8440.0</v>
      </c>
      <c r="L888" s="16" t="s">
        <v>2608</v>
      </c>
      <c r="M888" s="19">
        <v>1.4</v>
      </c>
      <c r="N888" s="16" t="s">
        <v>3616</v>
      </c>
      <c r="O888" s="16">
        <v>25739.0</v>
      </c>
      <c r="P888" s="19">
        <v>36.7004</v>
      </c>
      <c r="Q888" s="16" t="s">
        <v>2633</v>
      </c>
      <c r="R888" s="19">
        <v>4.8371</v>
      </c>
      <c r="S888" s="20">
        <v>2.8916418E7</v>
      </c>
      <c r="T888" s="20">
        <v>4.71720745658E11</v>
      </c>
      <c r="U888" s="21">
        <v>26.322</v>
      </c>
      <c r="V888" s="21">
        <v>22.5543</v>
      </c>
      <c r="W888" s="21">
        <v>32.9221</v>
      </c>
      <c r="X888" s="21">
        <v>45.432</v>
      </c>
      <c r="Y888" s="21">
        <v>0.2124</v>
      </c>
      <c r="Z888" s="21">
        <v>2.4598</v>
      </c>
      <c r="AA888" s="16" t="s">
        <v>2620</v>
      </c>
      <c r="AB888" s="22">
        <f>IFERROR(__xludf.DUMMYFUNCTION("IFERROR(GOOGLEFINANCE(B888,""price""),"""")"),420.59)</f>
        <v>420.59</v>
      </c>
    </row>
    <row r="889">
      <c r="A889" s="7">
        <v>46071.62860593857</v>
      </c>
      <c r="B889" s="8" t="s">
        <v>3086</v>
      </c>
      <c r="C889" s="8" t="s">
        <v>3087</v>
      </c>
      <c r="D889" s="9">
        <v>46075.0</v>
      </c>
      <c r="E889" s="10">
        <v>71.12</v>
      </c>
      <c r="F889" s="8" t="s">
        <v>162</v>
      </c>
      <c r="G889" s="13">
        <v>9.2847</v>
      </c>
      <c r="H889" s="13">
        <v>7.6599</v>
      </c>
      <c r="I889" s="9">
        <v>46073.0</v>
      </c>
      <c r="J889" s="10">
        <v>70.0</v>
      </c>
      <c r="K889" s="8">
        <v>6926.0</v>
      </c>
      <c r="L889" s="8" t="s">
        <v>2627</v>
      </c>
      <c r="M889" s="11">
        <v>1.57</v>
      </c>
      <c r="N889" s="8" t="s">
        <v>3617</v>
      </c>
      <c r="O889" s="8">
        <v>21609.0</v>
      </c>
      <c r="P889" s="11">
        <v>16.9739</v>
      </c>
      <c r="Q889" s="8" t="s">
        <v>3089</v>
      </c>
      <c r="R889" s="11">
        <v>0.3811</v>
      </c>
      <c r="S889" s="12">
        <v>6250745.0</v>
      </c>
      <c r="T889" s="12">
        <v>4.6450652696E10</v>
      </c>
      <c r="U889" s="13">
        <v>2.7388</v>
      </c>
      <c r="V889" s="13">
        <v>27.6988</v>
      </c>
      <c r="W889" s="13">
        <v>9.1882</v>
      </c>
      <c r="X889" s="13">
        <v>2.7935</v>
      </c>
      <c r="Y889" s="13">
        <v>0.9722</v>
      </c>
      <c r="Z889" s="13">
        <v>0.397</v>
      </c>
      <c r="AA889" s="8" t="s">
        <v>2611</v>
      </c>
      <c r="AB889" s="14">
        <f>IFERROR(__xludf.DUMMYFUNCTION("IFERROR(GOOGLEFINANCE(B889,""price""),"""")"),67.82)</f>
        <v>67.82</v>
      </c>
    </row>
    <row r="890">
      <c r="A890" s="15">
        <v>46071.62860593857</v>
      </c>
      <c r="B890" s="16" t="s">
        <v>2638</v>
      </c>
      <c r="C890" s="16" t="s">
        <v>2639</v>
      </c>
      <c r="D890" s="17">
        <v>46075.0</v>
      </c>
      <c r="E890" s="18">
        <v>150.405</v>
      </c>
      <c r="F890" s="16" t="s">
        <v>245</v>
      </c>
      <c r="G890" s="21">
        <v>22.479</v>
      </c>
      <c r="H890" s="21">
        <v>6.6909</v>
      </c>
      <c r="I890" s="17">
        <v>46073.0</v>
      </c>
      <c r="J890" s="18">
        <v>150.0</v>
      </c>
      <c r="K890" s="16">
        <v>8005.0</v>
      </c>
      <c r="L890" s="16" t="s">
        <v>2608</v>
      </c>
      <c r="M890" s="19">
        <v>0.27</v>
      </c>
      <c r="N890" s="16" t="s">
        <v>3618</v>
      </c>
      <c r="O890" s="16">
        <v>21084.0</v>
      </c>
      <c r="P890" s="19">
        <v>54.245</v>
      </c>
      <c r="Q890" s="16" t="s">
        <v>2641</v>
      </c>
      <c r="R890" s="19">
        <v>2.8832</v>
      </c>
      <c r="S890" s="20">
        <v>1.3677856E7</v>
      </c>
      <c r="T890" s="20">
        <v>6.34282791733E11</v>
      </c>
      <c r="U890" s="21">
        <v>3.5664</v>
      </c>
      <c r="V890" s="21">
        <v>11.0283</v>
      </c>
      <c r="W890" s="21">
        <v>10.3419</v>
      </c>
      <c r="X890" s="21">
        <v>-4.856</v>
      </c>
      <c r="Y890" s="21">
        <v>0.1678</v>
      </c>
      <c r="Z890" s="21">
        <v>1.1528</v>
      </c>
      <c r="AA890" s="16" t="s">
        <v>2611</v>
      </c>
      <c r="AB890" s="22">
        <f>IFERROR(__xludf.DUMMYFUNCTION("IFERROR(GOOGLEFINANCE(B890,""price""),"""")"),152.51)</f>
        <v>152.51</v>
      </c>
    </row>
    <row r="891">
      <c r="A891" s="7">
        <v>46071.62860593857</v>
      </c>
      <c r="B891" s="8" t="s">
        <v>3443</v>
      </c>
      <c r="C891" s="8" t="s">
        <v>3444</v>
      </c>
      <c r="D891" s="9">
        <v>46075.0</v>
      </c>
      <c r="E891" s="10">
        <v>116.53</v>
      </c>
      <c r="F891" s="8" t="s">
        <v>162</v>
      </c>
      <c r="G891" s="13">
        <v>11.3892</v>
      </c>
      <c r="H891" s="13">
        <v>10.2316</v>
      </c>
      <c r="I891" s="9">
        <v>46073.0</v>
      </c>
      <c r="J891" s="10">
        <v>115.0</v>
      </c>
      <c r="K891" s="8">
        <v>7094.0</v>
      </c>
      <c r="L891" s="8" t="s">
        <v>2608</v>
      </c>
      <c r="M891" s="11">
        <v>1.31</v>
      </c>
      <c r="N891" s="8" t="s">
        <v>3619</v>
      </c>
      <c r="O891" s="8">
        <v>16967.0</v>
      </c>
      <c r="P891" s="11">
        <v>16.7474</v>
      </c>
      <c r="Q891" s="8" t="s">
        <v>3446</v>
      </c>
      <c r="R891" s="11">
        <v>2.2014</v>
      </c>
      <c r="S891" s="12">
        <v>6721306.0</v>
      </c>
      <c r="T891" s="12">
        <v>3.7689345724E10</v>
      </c>
      <c r="U891" s="13">
        <v>5.2844</v>
      </c>
      <c r="V891" s="13">
        <v>23.9868</v>
      </c>
      <c r="W891" s="13">
        <v>8.4204</v>
      </c>
      <c r="X891" s="13">
        <v>3.5189</v>
      </c>
      <c r="Y891" s="13">
        <v>2.0309</v>
      </c>
      <c r="Z891" s="13">
        <v>0.645</v>
      </c>
      <c r="AA891" s="8" t="s">
        <v>2611</v>
      </c>
      <c r="AB891" s="14">
        <f>IFERROR(__xludf.DUMMYFUNCTION("IFERROR(GOOGLEFINANCE(B891,""price""),"""")"),96.4)</f>
        <v>96.4</v>
      </c>
    </row>
    <row r="892">
      <c r="A892" s="15">
        <v>46071.62860593857</v>
      </c>
      <c r="B892" s="16" t="s">
        <v>2616</v>
      </c>
      <c r="C892" s="16" t="s">
        <v>2617</v>
      </c>
      <c r="D892" s="17">
        <v>46075.0</v>
      </c>
      <c r="E892" s="18">
        <v>79.215</v>
      </c>
      <c r="F892" s="16" t="s">
        <v>286</v>
      </c>
      <c r="G892" s="21">
        <v>26.0704</v>
      </c>
      <c r="H892" s="21">
        <v>3.0385</v>
      </c>
      <c r="I892" s="17">
        <v>46073.0</v>
      </c>
      <c r="J892" s="18">
        <v>80.0</v>
      </c>
      <c r="K892" s="16">
        <v>7261.0</v>
      </c>
      <c r="L892" s="16" t="s">
        <v>2608</v>
      </c>
      <c r="M892" s="19">
        <v>0.99</v>
      </c>
      <c r="N892" s="16" t="s">
        <v>3620</v>
      </c>
      <c r="O892" s="16">
        <v>14846.0</v>
      </c>
      <c r="P892" s="19">
        <v>39.6945</v>
      </c>
      <c r="Q892" s="16" t="s">
        <v>2619</v>
      </c>
      <c r="R892" s="19">
        <v>-0.4336</v>
      </c>
      <c r="S892" s="20">
        <v>9066662.0</v>
      </c>
      <c r="T892" s="20">
        <v>3.40751937505E11</v>
      </c>
      <c r="U892" s="21">
        <v>1.3099</v>
      </c>
      <c r="V892" s="21">
        <v>45.9693</v>
      </c>
      <c r="W892" s="21">
        <v>29.0951</v>
      </c>
      <c r="X892" s="21">
        <v>3.1925</v>
      </c>
      <c r="Y892" s="21">
        <v>1.4142</v>
      </c>
      <c r="Z892" s="21">
        <v>1.4588</v>
      </c>
      <c r="AA892" s="16" t="s">
        <v>2620</v>
      </c>
      <c r="AB892" s="22">
        <f>IFERROR(__xludf.DUMMYFUNCTION("IFERROR(GOOGLEFINANCE(B892,""price""),"""")"),77.47)</f>
        <v>77.47</v>
      </c>
    </row>
    <row r="893">
      <c r="A893" s="7">
        <v>46071.62860593857</v>
      </c>
      <c r="B893" s="8" t="s">
        <v>2634</v>
      </c>
      <c r="C893" s="8" t="s">
        <v>2635</v>
      </c>
      <c r="D893" s="9">
        <v>46075.0</v>
      </c>
      <c r="E893" s="10">
        <v>183.3</v>
      </c>
      <c r="F893" s="8" t="s">
        <v>245</v>
      </c>
      <c r="G893" s="13">
        <v>27.5602</v>
      </c>
      <c r="H893" s="13">
        <v>6.6509</v>
      </c>
      <c r="I893" s="9">
        <v>46073.0</v>
      </c>
      <c r="J893" s="10">
        <v>185.0</v>
      </c>
      <c r="K893" s="8">
        <v>4414.0</v>
      </c>
      <c r="L893" s="8" t="s">
        <v>2608</v>
      </c>
      <c r="M893" s="11">
        <v>0.93</v>
      </c>
      <c r="N893" s="8" t="s">
        <v>3621</v>
      </c>
      <c r="O893" s="8">
        <v>11646.0</v>
      </c>
      <c r="P893" s="11">
        <v>55.4936</v>
      </c>
      <c r="Q893" s="8" t="s">
        <v>2637</v>
      </c>
      <c r="R893" s="11">
        <v>1.5231</v>
      </c>
      <c r="S893" s="12">
        <v>6661997.0</v>
      </c>
      <c r="T893" s="12">
        <v>3.69078516699E11</v>
      </c>
      <c r="U893" s="13">
        <v>3.5106</v>
      </c>
      <c r="V893" s="13">
        <v>7.261</v>
      </c>
      <c r="W893" s="13">
        <v>8.9022</v>
      </c>
      <c r="X893" s="13">
        <v>-4.6053</v>
      </c>
      <c r="Y893" s="13">
        <v>0.2186</v>
      </c>
      <c r="Z893" s="23"/>
      <c r="AA893" s="8" t="s">
        <v>2620</v>
      </c>
      <c r="AB893" s="14">
        <f>IFERROR(__xludf.DUMMYFUNCTION("IFERROR(GOOGLEFINANCE(B893,""price""),"""")"),188.55)</f>
        <v>188.55</v>
      </c>
    </row>
    <row r="894">
      <c r="A894" s="15">
        <v>46071.62860593857</v>
      </c>
      <c r="B894" s="16" t="s">
        <v>2438</v>
      </c>
      <c r="C894" s="16" t="s">
        <v>2439</v>
      </c>
      <c r="D894" s="17">
        <v>46075.0</v>
      </c>
      <c r="E894" s="18">
        <v>222.515</v>
      </c>
      <c r="F894" s="16" t="s">
        <v>308</v>
      </c>
      <c r="G894" s="21">
        <v>40.8629</v>
      </c>
      <c r="H894" s="21">
        <v>5.4454</v>
      </c>
      <c r="I894" s="17">
        <v>46073.0</v>
      </c>
      <c r="J894" s="18">
        <v>220.0</v>
      </c>
      <c r="K894" s="16">
        <v>6720.0</v>
      </c>
      <c r="L894" s="16" t="s">
        <v>2608</v>
      </c>
      <c r="M894" s="19">
        <v>1.13</v>
      </c>
      <c r="N894" s="16" t="s">
        <v>3622</v>
      </c>
      <c r="O894" s="16">
        <v>11335.0</v>
      </c>
      <c r="P894" s="19">
        <v>51.4267</v>
      </c>
      <c r="Q894" s="16" t="s">
        <v>2440</v>
      </c>
      <c r="R894" s="19">
        <v>-1.4068</v>
      </c>
      <c r="S894" s="20">
        <v>3813006.0</v>
      </c>
      <c r="T894" s="20">
        <v>2.01943650693E11</v>
      </c>
      <c r="U894" s="21">
        <v>6.7859</v>
      </c>
      <c r="V894" s="21">
        <v>29.9795</v>
      </c>
      <c r="W894" s="21">
        <v>34.7246</v>
      </c>
      <c r="X894" s="21">
        <v>13.049</v>
      </c>
      <c r="Y894" s="21">
        <v>0.9082</v>
      </c>
      <c r="Z894" s="21">
        <v>4.3526</v>
      </c>
      <c r="AA894" s="16" t="s">
        <v>2611</v>
      </c>
      <c r="AB894" s="22">
        <f>IFERROR(__xludf.DUMMYFUNCTION("IFERROR(GOOGLEFINANCE(B894,""price""),"""")"),214.73)</f>
        <v>214.73</v>
      </c>
    </row>
    <row r="895">
      <c r="A895" s="7">
        <v>46071.62860593857</v>
      </c>
      <c r="B895" s="8" t="s">
        <v>2621</v>
      </c>
      <c r="C895" s="8" t="s">
        <v>2622</v>
      </c>
      <c r="D895" s="9">
        <v>46075.0</v>
      </c>
      <c r="E895" s="10">
        <v>62.39</v>
      </c>
      <c r="F895" s="8" t="s">
        <v>335</v>
      </c>
      <c r="G895" s="13">
        <v>41.2087</v>
      </c>
      <c r="H895" s="13">
        <v>1.514</v>
      </c>
      <c r="I895" s="9">
        <v>46073.0</v>
      </c>
      <c r="J895" s="10">
        <v>63.0</v>
      </c>
      <c r="K895" s="8">
        <v>4320.0</v>
      </c>
      <c r="L895" s="8" t="s">
        <v>2608</v>
      </c>
      <c r="M895" s="11">
        <v>0.98</v>
      </c>
      <c r="N895" s="8" t="s">
        <v>3623</v>
      </c>
      <c r="O895" s="8">
        <v>10908.0</v>
      </c>
      <c r="P895" s="11">
        <v>33.1238</v>
      </c>
      <c r="Q895" s="8" t="s">
        <v>2624</v>
      </c>
      <c r="R895" s="11">
        <v>2.128</v>
      </c>
      <c r="S895" s="12">
        <v>1.285705E7</v>
      </c>
      <c r="T895" s="12">
        <v>8.9667011801E10</v>
      </c>
      <c r="U895" s="13">
        <v>2.9266</v>
      </c>
      <c r="V895" s="13">
        <v>11.9792</v>
      </c>
      <c r="W895" s="13">
        <v>22.7913</v>
      </c>
      <c r="X895" s="13">
        <v>-0.0477</v>
      </c>
      <c r="Y895" s="13">
        <v>0.5552</v>
      </c>
      <c r="Z895" s="13">
        <v>2.2911</v>
      </c>
      <c r="AA895" s="8" t="s">
        <v>2620</v>
      </c>
      <c r="AB895" s="14">
        <f>IFERROR(__xludf.DUMMYFUNCTION("IFERROR(GOOGLEFINANCE(B895,""price""),"""")"),67.8)</f>
        <v>67.8</v>
      </c>
    </row>
    <row r="896">
      <c r="A896" s="15">
        <v>46071.62860593857</v>
      </c>
      <c r="B896" s="16" t="s">
        <v>2700</v>
      </c>
      <c r="C896" s="16" t="s">
        <v>2701</v>
      </c>
      <c r="D896" s="17">
        <v>46075.0</v>
      </c>
      <c r="E896" s="18">
        <v>240.6</v>
      </c>
      <c r="F896" s="16" t="s">
        <v>102</v>
      </c>
      <c r="G896" s="21">
        <v>49.3104</v>
      </c>
      <c r="H896" s="21">
        <v>4.8793</v>
      </c>
      <c r="I896" s="17">
        <v>46073.0</v>
      </c>
      <c r="J896" s="18">
        <v>240.0</v>
      </c>
      <c r="K896" s="16">
        <v>5063.0</v>
      </c>
      <c r="L896" s="16" t="s">
        <v>2608</v>
      </c>
      <c r="M896" s="19">
        <v>0.25</v>
      </c>
      <c r="N896" s="16" t="s">
        <v>3624</v>
      </c>
      <c r="O896" s="16">
        <v>10678.0</v>
      </c>
      <c r="P896" s="19">
        <v>32.3002</v>
      </c>
      <c r="Q896" s="16" t="s">
        <v>2703</v>
      </c>
      <c r="R896" s="19">
        <v>2.1309</v>
      </c>
      <c r="S896" s="20">
        <v>6349444.0</v>
      </c>
      <c r="T896" s="20">
        <v>3.00454303995E11</v>
      </c>
      <c r="U896" s="21">
        <v>11.9312</v>
      </c>
      <c r="V896" s="21">
        <v>65.5649</v>
      </c>
      <c r="W896" s="21">
        <v>33.7646</v>
      </c>
      <c r="X896" s="21">
        <v>26.8457</v>
      </c>
      <c r="Y896" s="21">
        <v>0.4419</v>
      </c>
      <c r="Z896" s="21">
        <v>2.2562</v>
      </c>
      <c r="AA896" s="16" t="s">
        <v>2611</v>
      </c>
      <c r="AB896" s="22">
        <f>IFERROR(__xludf.DUMMYFUNCTION("IFERROR(GOOGLEFINANCE(B896,""price""),"""")"),263.66)</f>
        <v>263.66</v>
      </c>
    </row>
    <row r="897">
      <c r="A897" s="7">
        <v>46071.62860593857</v>
      </c>
      <c r="B897" s="8" t="s">
        <v>3523</v>
      </c>
      <c r="C897" s="8" t="s">
        <v>3524</v>
      </c>
      <c r="D897" s="9">
        <v>46075.0</v>
      </c>
      <c r="E897" s="10">
        <v>41.3101</v>
      </c>
      <c r="F897" s="8" t="s">
        <v>162</v>
      </c>
      <c r="G897" s="13">
        <v>26.7726</v>
      </c>
      <c r="H897" s="13">
        <v>1.543</v>
      </c>
      <c r="I897" s="9">
        <v>46073.0</v>
      </c>
      <c r="J897" s="10">
        <v>42.0</v>
      </c>
      <c r="K897" s="8">
        <v>8285.0</v>
      </c>
      <c r="L897" s="8" t="s">
        <v>2608</v>
      </c>
      <c r="M897" s="11">
        <v>1.67</v>
      </c>
      <c r="N897" s="8" t="s">
        <v>3625</v>
      </c>
      <c r="O897" s="8">
        <v>10450.0</v>
      </c>
      <c r="P897" s="11">
        <v>41.2598</v>
      </c>
      <c r="Q897" s="8" t="s">
        <v>3526</v>
      </c>
      <c r="R897" s="11">
        <v>0.6827</v>
      </c>
      <c r="S897" s="12">
        <v>6580187.0</v>
      </c>
      <c r="T897" s="12">
        <v>7.6818473537E10</v>
      </c>
      <c r="U897" s="13">
        <v>0.821</v>
      </c>
      <c r="V897" s="13">
        <v>22.5202</v>
      </c>
      <c r="W897" s="13">
        <v>33.2458</v>
      </c>
      <c r="X897" s="13">
        <v>-3.0812</v>
      </c>
      <c r="Y897" s="13">
        <v>1.4762</v>
      </c>
      <c r="Z897" s="13">
        <v>0.8139</v>
      </c>
      <c r="AA897" s="8" t="s">
        <v>2620</v>
      </c>
      <c r="AB897" s="14">
        <f>IFERROR(__xludf.DUMMYFUNCTION("IFERROR(GOOGLEFINANCE(B897,""price""),"""")"),42.24)</f>
        <v>42.24</v>
      </c>
    </row>
    <row r="898">
      <c r="A898" s="15">
        <v>46071.62860593857</v>
      </c>
      <c r="B898" s="16" t="s">
        <v>2804</v>
      </c>
      <c r="C898" s="16" t="s">
        <v>2805</v>
      </c>
      <c r="D898" s="17">
        <v>46075.0</v>
      </c>
      <c r="E898" s="18">
        <v>132.855</v>
      </c>
      <c r="F898" s="16" t="s">
        <v>308</v>
      </c>
      <c r="G898" s="21">
        <v>72.247</v>
      </c>
      <c r="H898" s="21">
        <v>1.8389</v>
      </c>
      <c r="I898" s="17">
        <v>46073.0</v>
      </c>
      <c r="J898" s="18">
        <v>132.0</v>
      </c>
      <c r="K898" s="16">
        <v>7817.0</v>
      </c>
      <c r="L898" s="16" t="s">
        <v>2608</v>
      </c>
      <c r="M898" s="19">
        <v>0.64</v>
      </c>
      <c r="N898" s="16" t="s">
        <v>3626</v>
      </c>
      <c r="O898" s="16">
        <v>8992.0</v>
      </c>
      <c r="P898" s="19">
        <v>45.8791</v>
      </c>
      <c r="Q898" s="16" t="s">
        <v>2807</v>
      </c>
      <c r="R898" s="19">
        <v>1.789</v>
      </c>
      <c r="S898" s="20">
        <v>5768679.0</v>
      </c>
      <c r="T898" s="20">
        <v>1.13982701229E11</v>
      </c>
      <c r="U898" s="21">
        <v>6.1912</v>
      </c>
      <c r="V898" s="21">
        <v>14.1911</v>
      </c>
      <c r="W898" s="21">
        <v>15.3241</v>
      </c>
      <c r="X898" s="21">
        <v>19.1416</v>
      </c>
      <c r="Y898" s="21">
        <v>0.7942</v>
      </c>
      <c r="Z898" s="21">
        <v>1.5878</v>
      </c>
      <c r="AA898" s="16" t="s">
        <v>2611</v>
      </c>
      <c r="AB898" s="22">
        <f>IFERROR(__xludf.DUMMYFUNCTION("IFERROR(GOOGLEFINANCE(B898,""price""),"""")"),171.24)</f>
        <v>171.24</v>
      </c>
    </row>
    <row r="899">
      <c r="A899" s="7">
        <v>46071.62860593857</v>
      </c>
      <c r="B899" s="8" t="s">
        <v>3463</v>
      </c>
      <c r="C899" s="8" t="s">
        <v>3464</v>
      </c>
      <c r="D899" s="9">
        <v>46075.0</v>
      </c>
      <c r="E899" s="10">
        <v>58.48</v>
      </c>
      <c r="F899" s="8" t="s">
        <v>245</v>
      </c>
      <c r="G899" s="13">
        <v>17.6479</v>
      </c>
      <c r="H899" s="13">
        <v>3.3137</v>
      </c>
      <c r="I899" s="9">
        <v>46073.0</v>
      </c>
      <c r="J899" s="10">
        <v>57.5</v>
      </c>
      <c r="K899" s="8">
        <v>4758.0</v>
      </c>
      <c r="L899" s="8" t="s">
        <v>2608</v>
      </c>
      <c r="M899" s="11">
        <v>1.68</v>
      </c>
      <c r="N899" s="8" t="s">
        <v>3627</v>
      </c>
      <c r="O899" s="8">
        <v>7530.0</v>
      </c>
      <c r="P899" s="11">
        <v>19.9688</v>
      </c>
      <c r="Q899" s="8" t="s">
        <v>3466</v>
      </c>
      <c r="R899" s="11">
        <v>1.2641</v>
      </c>
      <c r="S899" s="12">
        <v>9973291.0</v>
      </c>
      <c r="T899" s="12">
        <v>3.649566043E10</v>
      </c>
      <c r="U899" s="13">
        <v>2.0653</v>
      </c>
      <c r="V899" s="13">
        <v>9.1961</v>
      </c>
      <c r="W899" s="13">
        <v>35.9016</v>
      </c>
      <c r="X899" s="13">
        <v>59.9561</v>
      </c>
      <c r="Y899" s="13">
        <v>0.3284</v>
      </c>
      <c r="Z899" s="13">
        <v>0.7627</v>
      </c>
      <c r="AA899" s="8" t="s">
        <v>2611</v>
      </c>
      <c r="AB899" s="14">
        <f>IFERROR(__xludf.DUMMYFUNCTION("IFERROR(GOOGLEFINANCE(B899,""price""),"""")"),58.68)</f>
        <v>58.68</v>
      </c>
    </row>
    <row r="900">
      <c r="A900" s="15">
        <v>46071.62860593857</v>
      </c>
      <c r="B900" s="16" t="s">
        <v>3385</v>
      </c>
      <c r="C900" s="16" t="s">
        <v>3386</v>
      </c>
      <c r="D900" s="17">
        <v>46075.0</v>
      </c>
      <c r="E900" s="18">
        <v>45.8525</v>
      </c>
      <c r="F900" s="16" t="s">
        <v>129</v>
      </c>
      <c r="G900" s="21">
        <v>41.9089</v>
      </c>
      <c r="H900" s="21">
        <v>1.0941</v>
      </c>
      <c r="I900" s="17">
        <v>46073.0</v>
      </c>
      <c r="J900" s="18">
        <v>45.0</v>
      </c>
      <c r="K900" s="16">
        <v>5186.0</v>
      </c>
      <c r="L900" s="16" t="s">
        <v>2608</v>
      </c>
      <c r="M900" s="19">
        <v>1.86</v>
      </c>
      <c r="N900" s="16" t="s">
        <v>3628</v>
      </c>
      <c r="O900" s="16">
        <v>7436.0</v>
      </c>
      <c r="P900" s="19">
        <v>21.2697</v>
      </c>
      <c r="Q900" s="16" t="s">
        <v>3388</v>
      </c>
      <c r="R900" s="19">
        <v>0.3557</v>
      </c>
      <c r="S900" s="20">
        <v>3463060.0</v>
      </c>
      <c r="T900" s="20">
        <v>5.264688515E10</v>
      </c>
      <c r="U900" s="21">
        <v>1.2016</v>
      </c>
      <c r="V900" s="21">
        <v>33.2967</v>
      </c>
      <c r="W900" s="21">
        <v>20.1917</v>
      </c>
      <c r="X900" s="21">
        <v>8.6721</v>
      </c>
      <c r="Y900" s="21">
        <v>0.1121</v>
      </c>
      <c r="Z900" s="21">
        <v>4.852</v>
      </c>
      <c r="AA900" s="16" t="s">
        <v>2611</v>
      </c>
      <c r="AB900" s="22">
        <f>IFERROR(__xludf.DUMMYFUNCTION("IFERROR(GOOGLEFINANCE(B900,""price""),"""")"),49.17)</f>
        <v>49.17</v>
      </c>
    </row>
    <row r="901">
      <c r="A901" s="7">
        <v>46071.62860593857</v>
      </c>
      <c r="B901" s="8" t="s">
        <v>1492</v>
      </c>
      <c r="C901" s="8" t="s">
        <v>1493</v>
      </c>
      <c r="D901" s="9">
        <v>46075.0</v>
      </c>
      <c r="E901" s="10">
        <v>25.0</v>
      </c>
      <c r="F901" s="8" t="s">
        <v>93</v>
      </c>
      <c r="G901" s="13">
        <v>13.3234</v>
      </c>
      <c r="H901" s="13">
        <v>1.8764</v>
      </c>
      <c r="I901" s="9">
        <v>46073.0</v>
      </c>
      <c r="J901" s="10">
        <v>25.0</v>
      </c>
      <c r="K901" s="8">
        <v>5417.0</v>
      </c>
      <c r="L901" s="8" t="s">
        <v>2608</v>
      </c>
      <c r="M901" s="11">
        <v>0.0</v>
      </c>
      <c r="N901" s="8" t="s">
        <v>3629</v>
      </c>
      <c r="O901" s="8">
        <v>7213.0</v>
      </c>
      <c r="P901" s="11">
        <v>21.6992</v>
      </c>
      <c r="Q901" s="8" t="s">
        <v>1494</v>
      </c>
      <c r="R901" s="11">
        <v>0.8878</v>
      </c>
      <c r="S901" s="12">
        <v>3268128.0</v>
      </c>
      <c r="T901" s="12">
        <v>1.2125000336E10</v>
      </c>
      <c r="U901" s="13">
        <v>0.659</v>
      </c>
      <c r="V901" s="13">
        <v>11.1193</v>
      </c>
      <c r="W901" s="13">
        <v>25.6333</v>
      </c>
      <c r="X901" s="13">
        <v>-0.5598</v>
      </c>
      <c r="Y901" s="13">
        <v>0.517</v>
      </c>
      <c r="Z901" s="13">
        <v>0.2349</v>
      </c>
      <c r="AA901" s="8" t="s">
        <v>2611</v>
      </c>
      <c r="AB901" s="14">
        <f>IFERROR(__xludf.DUMMYFUNCTION("IFERROR(GOOGLEFINANCE(B901,""price""),"""")"),24.05)</f>
        <v>24.05</v>
      </c>
    </row>
    <row r="902">
      <c r="A902" s="15">
        <v>46071.62860593857</v>
      </c>
      <c r="B902" s="16" t="s">
        <v>2658</v>
      </c>
      <c r="C902" s="16" t="s">
        <v>2659</v>
      </c>
      <c r="D902" s="17">
        <v>46075.0</v>
      </c>
      <c r="E902" s="18">
        <v>90.82</v>
      </c>
      <c r="F902" s="16" t="s">
        <v>917</v>
      </c>
      <c r="G902" s="21">
        <v>27.5187</v>
      </c>
      <c r="H902" s="21">
        <v>3.3003</v>
      </c>
      <c r="I902" s="17">
        <v>46073.0</v>
      </c>
      <c r="J902" s="18">
        <v>90.0</v>
      </c>
      <c r="K902" s="16">
        <v>4197.0</v>
      </c>
      <c r="L902" s="16" t="s">
        <v>2608</v>
      </c>
      <c r="M902" s="19">
        <v>0.9</v>
      </c>
      <c r="N902" s="16" t="s">
        <v>3630</v>
      </c>
      <c r="O902" s="16">
        <v>7098.0</v>
      </c>
      <c r="P902" s="19">
        <v>40.6021</v>
      </c>
      <c r="Q902" s="16" t="s">
        <v>2661</v>
      </c>
      <c r="R902" s="19">
        <v>-2.0386</v>
      </c>
      <c r="S902" s="20">
        <v>5302640.0</v>
      </c>
      <c r="T902" s="20">
        <v>1.89225463688E11</v>
      </c>
      <c r="U902" s="21">
        <v>2.1545</v>
      </c>
      <c r="V902" s="21">
        <v>13.0533</v>
      </c>
      <c r="W902" s="21">
        <v>26.8934</v>
      </c>
      <c r="X902" s="21">
        <v>8.6905</v>
      </c>
      <c r="Y902" s="21">
        <v>1.7594</v>
      </c>
      <c r="Z902" s="21">
        <v>0.5953</v>
      </c>
      <c r="AA902" s="16" t="s">
        <v>2611</v>
      </c>
      <c r="AB902" s="22">
        <f>IFERROR(__xludf.DUMMYFUNCTION("IFERROR(GOOGLEFINANCE(B902,""price""),"""")"),94.08)</f>
        <v>94.08</v>
      </c>
    </row>
    <row r="903">
      <c r="A903" s="7">
        <v>46071.62860593857</v>
      </c>
      <c r="B903" s="8" t="s">
        <v>2676</v>
      </c>
      <c r="C903" s="8" t="s">
        <v>2677</v>
      </c>
      <c r="D903" s="9">
        <v>46075.0</v>
      </c>
      <c r="E903" s="10">
        <v>29.935</v>
      </c>
      <c r="F903" s="8" t="s">
        <v>93</v>
      </c>
      <c r="G903" s="13">
        <v>13.0305</v>
      </c>
      <c r="H903" s="13">
        <v>2.2973</v>
      </c>
      <c r="I903" s="9">
        <v>46073.0</v>
      </c>
      <c r="J903" s="10">
        <v>30.0</v>
      </c>
      <c r="K903" s="8">
        <v>4273.0</v>
      </c>
      <c r="L903" s="8" t="s">
        <v>2608</v>
      </c>
      <c r="M903" s="11">
        <v>0.22</v>
      </c>
      <c r="N903" s="8" t="s">
        <v>3631</v>
      </c>
      <c r="O903" s="8">
        <v>6622.0</v>
      </c>
      <c r="P903" s="11">
        <v>25.8673</v>
      </c>
      <c r="Q903" s="8" t="s">
        <v>2679</v>
      </c>
      <c r="R903" s="11">
        <v>0.5205</v>
      </c>
      <c r="S903" s="12">
        <v>8874742.0</v>
      </c>
      <c r="T903" s="12">
        <v>2.6249299408E10</v>
      </c>
      <c r="U903" s="13">
        <v>0.7479</v>
      </c>
      <c r="V903" s="13">
        <v>11.6787</v>
      </c>
      <c r="W903" s="13">
        <v>28.7373</v>
      </c>
      <c r="X903" s="13">
        <v>2.137</v>
      </c>
      <c r="Y903" s="13">
        <v>0.2565</v>
      </c>
      <c r="Z903" s="13">
        <v>0.1084</v>
      </c>
      <c r="AA903" s="8" t="s">
        <v>2620</v>
      </c>
      <c r="AB903" s="14">
        <f>IFERROR(__xludf.DUMMYFUNCTION("IFERROR(GOOGLEFINANCE(B903,""price""),"""")"),27.5)</f>
        <v>27.5</v>
      </c>
    </row>
    <row r="904">
      <c r="A904" s="15">
        <v>46071.62860593857</v>
      </c>
      <c r="B904" s="16" t="s">
        <v>3416</v>
      </c>
      <c r="C904" s="16" t="s">
        <v>3417</v>
      </c>
      <c r="D904" s="17">
        <v>46075.0</v>
      </c>
      <c r="E904" s="18">
        <v>67.005</v>
      </c>
      <c r="F904" s="16" t="s">
        <v>286</v>
      </c>
      <c r="G904" s="21">
        <v>16.2764</v>
      </c>
      <c r="H904" s="21">
        <v>4.1167</v>
      </c>
      <c r="I904" s="17">
        <v>46073.0</v>
      </c>
      <c r="J904" s="18">
        <v>66.0</v>
      </c>
      <c r="K904" s="16">
        <v>1570.0</v>
      </c>
      <c r="L904" s="16" t="s">
        <v>2608</v>
      </c>
      <c r="M904" s="19">
        <v>1.5</v>
      </c>
      <c r="N904" s="16" t="s">
        <v>3632</v>
      </c>
      <c r="O904" s="16">
        <v>5487.0</v>
      </c>
      <c r="P904" s="19">
        <v>26.9954</v>
      </c>
      <c r="Q904" s="16" t="s">
        <v>3419</v>
      </c>
      <c r="R904" s="19">
        <v>0.6988</v>
      </c>
      <c r="S904" s="20">
        <v>4919298.0</v>
      </c>
      <c r="T904" s="20">
        <v>1.12479385994E11</v>
      </c>
      <c r="U904" s="21">
        <v>1.4146</v>
      </c>
      <c r="V904" s="24"/>
      <c r="W904" s="21">
        <v>63.7221</v>
      </c>
      <c r="X904" s="21">
        <v>-1.4919</v>
      </c>
      <c r="Y904" s="24"/>
      <c r="Z904" s="21">
        <v>0.648</v>
      </c>
      <c r="AA904" s="16" t="s">
        <v>2611</v>
      </c>
      <c r="AB904" s="22">
        <f>IFERROR(__xludf.DUMMYFUNCTION("IFERROR(GOOGLEFINANCE(B904,""price""),"""")"),67.38)</f>
        <v>67.38</v>
      </c>
    </row>
    <row r="905">
      <c r="A905" s="7">
        <v>46071.62860593857</v>
      </c>
      <c r="B905" s="8" t="s">
        <v>2787</v>
      </c>
      <c r="C905" s="8" t="s">
        <v>2788</v>
      </c>
      <c r="D905" s="9">
        <v>46075.0</v>
      </c>
      <c r="E905" s="10">
        <v>182.68</v>
      </c>
      <c r="F905" s="8" t="s">
        <v>286</v>
      </c>
      <c r="G905" s="13">
        <v>25.1476</v>
      </c>
      <c r="H905" s="13">
        <v>7.2643</v>
      </c>
      <c r="I905" s="9">
        <v>46073.0</v>
      </c>
      <c r="J905" s="10">
        <v>180.0</v>
      </c>
      <c r="K905" s="8">
        <v>3487.0</v>
      </c>
      <c r="L905" s="8" t="s">
        <v>2608</v>
      </c>
      <c r="M905" s="11">
        <v>1.47</v>
      </c>
      <c r="N905" s="8" t="s">
        <v>3633</v>
      </c>
      <c r="O905" s="8">
        <v>5248.0</v>
      </c>
      <c r="P905" s="11">
        <v>31.3513</v>
      </c>
      <c r="Q905" s="8" t="s">
        <v>2790</v>
      </c>
      <c r="R905" s="11">
        <v>-0.5282</v>
      </c>
      <c r="S905" s="12">
        <v>2046074.0</v>
      </c>
      <c r="T905" s="12">
        <v>2.84374213562E11</v>
      </c>
      <c r="U905" s="13">
        <v>4.2762</v>
      </c>
      <c r="V905" s="23"/>
      <c r="W905" s="13">
        <v>35.6093</v>
      </c>
      <c r="X905" s="13">
        <v>7.556</v>
      </c>
      <c r="Y905" s="23"/>
      <c r="Z905" s="13">
        <v>0.9582</v>
      </c>
      <c r="AA905" s="8" t="s">
        <v>2611</v>
      </c>
      <c r="AB905" s="14">
        <f>IFERROR(__xludf.DUMMYFUNCTION("IFERROR(GOOGLEFINANCE(B905,""price""),"""")"),160.45)</f>
        <v>160.45</v>
      </c>
    </row>
    <row r="906">
      <c r="A906" s="15">
        <v>46071.62860593857</v>
      </c>
      <c r="B906" s="16" t="s">
        <v>2692</v>
      </c>
      <c r="C906" s="16" t="s">
        <v>2693</v>
      </c>
      <c r="D906" s="17">
        <v>46075.0</v>
      </c>
      <c r="E906" s="18">
        <v>244.475</v>
      </c>
      <c r="F906" s="16" t="s">
        <v>117</v>
      </c>
      <c r="G906" s="21">
        <v>22.1328</v>
      </c>
      <c r="H906" s="21">
        <v>11.0458</v>
      </c>
      <c r="I906" s="17">
        <v>46073.0</v>
      </c>
      <c r="J906" s="18">
        <v>245.0</v>
      </c>
      <c r="K906" s="16">
        <v>3755.0</v>
      </c>
      <c r="L906" s="16" t="s">
        <v>2608</v>
      </c>
      <c r="M906" s="19">
        <v>0.21</v>
      </c>
      <c r="N906" s="16" t="s">
        <v>3634</v>
      </c>
      <c r="O906" s="16">
        <v>4924.0</v>
      </c>
      <c r="P906" s="19">
        <v>42.155</v>
      </c>
      <c r="Q906" s="16" t="s">
        <v>2695</v>
      </c>
      <c r="R906" s="19">
        <v>0.4706</v>
      </c>
      <c r="S906" s="20">
        <v>5826072.0</v>
      </c>
      <c r="T906" s="20">
        <v>5.89160044314E11</v>
      </c>
      <c r="U906" s="21">
        <v>3.6125</v>
      </c>
      <c r="V906" s="21">
        <v>35.0301</v>
      </c>
      <c r="W906" s="21">
        <v>27.2081</v>
      </c>
      <c r="X906" s="21">
        <v>6.046</v>
      </c>
      <c r="Y906" s="21">
        <v>0.605</v>
      </c>
      <c r="Z906" s="21">
        <v>1.0277</v>
      </c>
      <c r="AA906" s="16" t="s">
        <v>2620</v>
      </c>
      <c r="AB906" s="22">
        <f>IFERROR(__xludf.DUMMYFUNCTION("IFERROR(GOOGLEFINANCE(B906,""price""),"""")"),238.46)</f>
        <v>238.46</v>
      </c>
    </row>
    <row r="907">
      <c r="A907" s="7">
        <v>46071.62860593857</v>
      </c>
      <c r="B907" s="8" t="s">
        <v>2585</v>
      </c>
      <c r="C907" s="8" t="s">
        <v>2586</v>
      </c>
      <c r="D907" s="9">
        <v>46075.0</v>
      </c>
      <c r="E907" s="10">
        <v>124.59</v>
      </c>
      <c r="F907" s="8" t="s">
        <v>335</v>
      </c>
      <c r="G907" s="13">
        <v>24.793</v>
      </c>
      <c r="H907" s="13">
        <v>5.0252</v>
      </c>
      <c r="I907" s="9">
        <v>46073.0</v>
      </c>
      <c r="J907" s="10">
        <v>125.0</v>
      </c>
      <c r="K907" s="8">
        <v>3403.0</v>
      </c>
      <c r="L907" s="8" t="s">
        <v>2627</v>
      </c>
      <c r="M907" s="11">
        <v>0.33</v>
      </c>
      <c r="N907" s="8" t="s">
        <v>3635</v>
      </c>
      <c r="O907" s="8">
        <v>4722.0</v>
      </c>
      <c r="P907" s="11">
        <v>15.4814</v>
      </c>
      <c r="Q907" s="8" t="s">
        <v>2587</v>
      </c>
      <c r="R907" s="11">
        <v>2.1062</v>
      </c>
      <c r="S907" s="12">
        <v>4060339.0</v>
      </c>
      <c r="T907" s="12">
        <v>8.3373543629E10</v>
      </c>
      <c r="U907" s="13">
        <v>3.6513</v>
      </c>
      <c r="V907" s="13">
        <v>15.0806</v>
      </c>
      <c r="W907" s="13">
        <v>13.9834</v>
      </c>
      <c r="X907" s="13">
        <v>4.2784</v>
      </c>
      <c r="Y907" s="13">
        <v>0.8861</v>
      </c>
      <c r="Z907" s="13">
        <v>1.4533</v>
      </c>
      <c r="AA907" s="8" t="s">
        <v>2620</v>
      </c>
      <c r="AB907" s="14">
        <f>IFERROR(__xludf.DUMMYFUNCTION("IFERROR(GOOGLEFINANCE(B907,""price""),"""")"),117.89)</f>
        <v>117.89</v>
      </c>
    </row>
    <row r="908">
      <c r="A908" s="15">
        <v>46071.62860593857</v>
      </c>
      <c r="B908" s="16" t="s">
        <v>3237</v>
      </c>
      <c r="C908" s="16" t="s">
        <v>3238</v>
      </c>
      <c r="D908" s="17">
        <v>46075.0</v>
      </c>
      <c r="E908" s="18">
        <v>327.4657</v>
      </c>
      <c r="F908" s="16" t="s">
        <v>149</v>
      </c>
      <c r="G908" s="21">
        <v>27.3973</v>
      </c>
      <c r="H908" s="21">
        <v>11.9525</v>
      </c>
      <c r="I908" s="17">
        <v>46073.0</v>
      </c>
      <c r="J908" s="18">
        <v>330.0</v>
      </c>
      <c r="K908" s="16">
        <v>2366.0</v>
      </c>
      <c r="L908" s="16" t="s">
        <v>2608</v>
      </c>
      <c r="M908" s="19">
        <v>0.77</v>
      </c>
      <c r="N908" s="16" t="s">
        <v>3636</v>
      </c>
      <c r="O908" s="16">
        <v>4640.0</v>
      </c>
      <c r="P908" s="19">
        <v>32.6512</v>
      </c>
      <c r="Q908" s="16" t="s">
        <v>3240</v>
      </c>
      <c r="R908" s="19">
        <v>-0.0471</v>
      </c>
      <c r="S908" s="20">
        <v>2328181.0</v>
      </c>
      <c r="T908" s="20">
        <v>2.33206121845E11</v>
      </c>
      <c r="U908" s="21">
        <v>5.7544</v>
      </c>
      <c r="V908" s="24"/>
      <c r="W908" s="21">
        <v>46.1038</v>
      </c>
      <c r="X908" s="21">
        <v>3.723</v>
      </c>
      <c r="Y908" s="24"/>
      <c r="Z908" s="21">
        <v>0.9546</v>
      </c>
      <c r="AA908" s="16" t="s">
        <v>2620</v>
      </c>
      <c r="AB908" s="22">
        <f>IFERROR(__xludf.DUMMYFUNCTION("IFERROR(GOOGLEFINANCE(B908,""price""),"""")"),305.68)</f>
        <v>305.68</v>
      </c>
    </row>
    <row r="909">
      <c r="A909" s="7">
        <v>46071.62860593857</v>
      </c>
      <c r="B909" s="8" t="s">
        <v>2710</v>
      </c>
      <c r="C909" s="8" t="s">
        <v>2711</v>
      </c>
      <c r="D909" s="9">
        <v>46075.0</v>
      </c>
      <c r="E909" s="10">
        <v>127.035</v>
      </c>
      <c r="F909" s="8" t="s">
        <v>917</v>
      </c>
      <c r="G909" s="13">
        <v>19.0746</v>
      </c>
      <c r="H909" s="13">
        <v>6.6599</v>
      </c>
      <c r="I909" s="9">
        <v>46073.0</v>
      </c>
      <c r="J909" s="10">
        <v>125.0</v>
      </c>
      <c r="K909" s="8">
        <v>4571.0</v>
      </c>
      <c r="L909" s="8" t="s">
        <v>2608</v>
      </c>
      <c r="M909" s="11">
        <v>1.6</v>
      </c>
      <c r="N909" s="8" t="s">
        <v>3637</v>
      </c>
      <c r="O909" s="8">
        <v>4571.0</v>
      </c>
      <c r="P909" s="11">
        <v>35.8572</v>
      </c>
      <c r="Q909" s="8" t="s">
        <v>2713</v>
      </c>
      <c r="R909" s="11">
        <v>-2.4608</v>
      </c>
      <c r="S909" s="12">
        <v>2283684.0</v>
      </c>
      <c r="T909" s="12">
        <v>6.8708344977E10</v>
      </c>
      <c r="U909" s="13">
        <v>2.6231</v>
      </c>
      <c r="V909" s="13">
        <v>12.3274</v>
      </c>
      <c r="W909" s="13">
        <v>25.0742</v>
      </c>
      <c r="X909" s="13">
        <v>10.4587</v>
      </c>
      <c r="Y909" s="13">
        <v>1.5949</v>
      </c>
      <c r="Z909" s="13">
        <v>0.4546</v>
      </c>
      <c r="AA909" s="8" t="s">
        <v>2611</v>
      </c>
      <c r="AB909" s="14">
        <f>IFERROR(__xludf.DUMMYFUNCTION("IFERROR(GOOGLEFINANCE(B909,""price""),"""")"),136.3)</f>
        <v>136.3</v>
      </c>
    </row>
    <row r="910">
      <c r="A910" s="15">
        <v>46071.62860593857</v>
      </c>
      <c r="B910" s="16" t="s">
        <v>2775</v>
      </c>
      <c r="C910" s="16" t="s">
        <v>2776</v>
      </c>
      <c r="D910" s="17">
        <v>46075.0</v>
      </c>
      <c r="E910" s="18">
        <v>58.63</v>
      </c>
      <c r="F910" s="16" t="s">
        <v>93</v>
      </c>
      <c r="G910" s="21">
        <v>12.6965</v>
      </c>
      <c r="H910" s="21">
        <v>4.6178</v>
      </c>
      <c r="I910" s="17">
        <v>46073.0</v>
      </c>
      <c r="J910" s="18">
        <v>57.5</v>
      </c>
      <c r="K910" s="16">
        <v>3101.0</v>
      </c>
      <c r="L910" s="16" t="s">
        <v>2608</v>
      </c>
      <c r="M910" s="19">
        <v>1.93</v>
      </c>
      <c r="N910" s="16" t="s">
        <v>3638</v>
      </c>
      <c r="O910" s="16">
        <v>4364.0</v>
      </c>
      <c r="P910" s="19">
        <v>28.6293</v>
      </c>
      <c r="Q910" s="16" t="s">
        <v>2778</v>
      </c>
      <c r="R910" s="19">
        <v>0.7908</v>
      </c>
      <c r="S910" s="20">
        <v>4439061.0</v>
      </c>
      <c r="T910" s="20">
        <v>9.1136467361E10</v>
      </c>
      <c r="U910" s="21">
        <v>1.3248</v>
      </c>
      <c r="V910" s="21">
        <v>12.1773</v>
      </c>
      <c r="W910" s="21">
        <v>23.9548</v>
      </c>
      <c r="X910" s="21">
        <v>2.1447</v>
      </c>
      <c r="Y910" s="21">
        <v>1.1953</v>
      </c>
      <c r="Z910" s="21">
        <v>0.4632</v>
      </c>
      <c r="AA910" s="16" t="s">
        <v>2611</v>
      </c>
      <c r="AB910" s="22">
        <f>IFERROR(__xludf.DUMMYFUNCTION("IFERROR(GOOGLEFINANCE(B910,""price""),"""")"),55.66)</f>
        <v>55.66</v>
      </c>
    </row>
    <row r="911">
      <c r="A911" s="7">
        <v>46071.62860593857</v>
      </c>
      <c r="B911" s="8" t="s">
        <v>3347</v>
      </c>
      <c r="C911" s="8" t="s">
        <v>3348</v>
      </c>
      <c r="D911" s="9">
        <v>46075.0</v>
      </c>
      <c r="E911" s="10">
        <v>328.5</v>
      </c>
      <c r="F911" s="8" t="s">
        <v>308</v>
      </c>
      <c r="G911" s="13">
        <v>40.3622</v>
      </c>
      <c r="H911" s="13">
        <v>8.1388</v>
      </c>
      <c r="I911" s="9">
        <v>46073.0</v>
      </c>
      <c r="J911" s="10">
        <v>330.0</v>
      </c>
      <c r="K911" s="8">
        <v>2730.0</v>
      </c>
      <c r="L911" s="8" t="s">
        <v>2608</v>
      </c>
      <c r="M911" s="11">
        <v>0.46</v>
      </c>
      <c r="N911" s="8" t="s">
        <v>3639</v>
      </c>
      <c r="O911" s="8">
        <v>4111.0</v>
      </c>
      <c r="P911" s="11">
        <v>18.8613</v>
      </c>
      <c r="Q911" s="8" t="s">
        <v>3350</v>
      </c>
      <c r="R911" s="11">
        <v>0.4341</v>
      </c>
      <c r="S911" s="12">
        <v>2599257.0</v>
      </c>
      <c r="T911" s="12">
        <v>3.44535253007E11</v>
      </c>
      <c r="U911" s="13">
        <v>9.7215</v>
      </c>
      <c r="V911" s="13">
        <v>45.2353</v>
      </c>
      <c r="W911" s="13">
        <v>18.207</v>
      </c>
      <c r="X911" s="13">
        <v>0.1223</v>
      </c>
      <c r="Y911" s="13">
        <v>1.1542</v>
      </c>
      <c r="Z911" s="13">
        <v>1.0415</v>
      </c>
      <c r="AA911" s="8" t="s">
        <v>2620</v>
      </c>
      <c r="AB911" s="14">
        <f>IFERROR(__xludf.DUMMYFUNCTION("IFERROR(GOOGLEFINANCE(B911,""price""),"""")"),308.35)</f>
        <v>308.35</v>
      </c>
    </row>
    <row r="912">
      <c r="A912" s="15">
        <v>46071.62860593857</v>
      </c>
      <c r="B912" s="16" t="s">
        <v>3542</v>
      </c>
      <c r="C912" s="16" t="s">
        <v>3543</v>
      </c>
      <c r="D912" s="17">
        <v>46075.0</v>
      </c>
      <c r="E912" s="18">
        <v>151.395</v>
      </c>
      <c r="F912" s="16" t="s">
        <v>308</v>
      </c>
      <c r="G912" s="21">
        <v>36.9752</v>
      </c>
      <c r="H912" s="21">
        <v>4.0945</v>
      </c>
      <c r="I912" s="17">
        <v>46073.0</v>
      </c>
      <c r="J912" s="18">
        <v>152.5</v>
      </c>
      <c r="K912" s="16">
        <v>2302.0</v>
      </c>
      <c r="L912" s="16" t="s">
        <v>2608</v>
      </c>
      <c r="M912" s="19">
        <v>0.73</v>
      </c>
      <c r="N912" s="16" t="s">
        <v>3640</v>
      </c>
      <c r="O912" s="16">
        <v>3975.0</v>
      </c>
      <c r="P912" s="19">
        <v>23.2236</v>
      </c>
      <c r="Q912" s="16" t="s">
        <v>3545</v>
      </c>
      <c r="R912" s="19">
        <v>1.7098</v>
      </c>
      <c r="S912" s="20">
        <v>2482012.0</v>
      </c>
      <c r="T912" s="20">
        <v>8.5129724317E10</v>
      </c>
      <c r="U912" s="21">
        <v>5.1415</v>
      </c>
      <c r="V912" s="21">
        <v>11.3131</v>
      </c>
      <c r="W912" s="21">
        <v>19.8768</v>
      </c>
      <c r="X912" s="21">
        <v>3.607</v>
      </c>
      <c r="Y912" s="21">
        <v>0.6933</v>
      </c>
      <c r="Z912" s="21">
        <v>0.8406</v>
      </c>
      <c r="AA912" s="16" t="s">
        <v>2620</v>
      </c>
      <c r="AB912" s="22">
        <f>IFERROR(__xludf.DUMMYFUNCTION("IFERROR(GOOGLEFINANCE(B912,""price""),"""")"),143.77)</f>
        <v>143.77</v>
      </c>
    </row>
    <row r="913">
      <c r="A913" s="7">
        <v>46071.62860593857</v>
      </c>
      <c r="B913" s="8" t="s">
        <v>3641</v>
      </c>
      <c r="C913" s="8" t="s">
        <v>3642</v>
      </c>
      <c r="D913" s="9">
        <v>46075.0</v>
      </c>
      <c r="E913" s="10">
        <v>64.12</v>
      </c>
      <c r="F913" s="8" t="s">
        <v>149</v>
      </c>
      <c r="G913" s="13">
        <v>19.4716</v>
      </c>
      <c r="H913" s="13">
        <v>3.293</v>
      </c>
      <c r="I913" s="9">
        <v>46073.0</v>
      </c>
      <c r="J913" s="10">
        <v>65.0</v>
      </c>
      <c r="K913" s="8">
        <v>2033.0</v>
      </c>
      <c r="L913" s="8" t="s">
        <v>2627</v>
      </c>
      <c r="M913" s="11">
        <v>1.37</v>
      </c>
      <c r="N913" s="8" t="s">
        <v>3643</v>
      </c>
      <c r="O913" s="8">
        <v>3709.0</v>
      </c>
      <c r="P913" s="11">
        <v>25.6783</v>
      </c>
      <c r="Q913" s="8" t="s">
        <v>3644</v>
      </c>
      <c r="R913" s="11">
        <v>2.4936</v>
      </c>
      <c r="S913" s="12">
        <v>2389345.0</v>
      </c>
      <c r="T913" s="12">
        <v>3.195849237E9</v>
      </c>
      <c r="U913" s="13">
        <v>2.2559</v>
      </c>
      <c r="V913" s="13">
        <v>39.1385</v>
      </c>
      <c r="W913" s="13">
        <v>6.7314</v>
      </c>
      <c r="X913" s="13">
        <v>4.9033</v>
      </c>
      <c r="Y913" s="13">
        <v>5.029</v>
      </c>
      <c r="Z913" s="13">
        <v>0.5496</v>
      </c>
      <c r="AA913" s="8" t="s">
        <v>2620</v>
      </c>
      <c r="AB913" s="14">
        <f>IFERROR(__xludf.DUMMYFUNCTION("IFERROR(GOOGLEFINANCE(B913,""price""),"""")"),59.15)</f>
        <v>59.15</v>
      </c>
    </row>
    <row r="914">
      <c r="A914" s="15">
        <v>46071.62860593857</v>
      </c>
      <c r="B914" s="16" t="s">
        <v>3553</v>
      </c>
      <c r="C914" s="16" t="s">
        <v>3554</v>
      </c>
      <c r="D914" s="17">
        <v>46075.0</v>
      </c>
      <c r="E914" s="18">
        <v>156.98</v>
      </c>
      <c r="F914" s="16" t="s">
        <v>137</v>
      </c>
      <c r="G914" s="21">
        <v>34.6825</v>
      </c>
      <c r="H914" s="21">
        <v>4.5262</v>
      </c>
      <c r="I914" s="17">
        <v>46073.0</v>
      </c>
      <c r="J914" s="18">
        <v>160.0</v>
      </c>
      <c r="K914" s="16">
        <v>1803.0</v>
      </c>
      <c r="L914" s="16" t="s">
        <v>2608</v>
      </c>
      <c r="M914" s="19">
        <v>1.92</v>
      </c>
      <c r="N914" s="16" t="s">
        <v>3645</v>
      </c>
      <c r="O914" s="16">
        <v>2982.0</v>
      </c>
      <c r="P914" s="19">
        <v>15.8111</v>
      </c>
      <c r="Q914" s="16" t="s">
        <v>3556</v>
      </c>
      <c r="R914" s="19">
        <v>0.0064</v>
      </c>
      <c r="S914" s="20">
        <v>1789825.0</v>
      </c>
      <c r="T914" s="20">
        <v>1.74321136617E11</v>
      </c>
      <c r="U914" s="21">
        <v>2.8213</v>
      </c>
      <c r="V914" s="21">
        <v>58.3961</v>
      </c>
      <c r="W914" s="21">
        <v>11.343</v>
      </c>
      <c r="X914" s="21">
        <v>4.5338</v>
      </c>
      <c r="Y914" s="21">
        <v>1.4098</v>
      </c>
      <c r="Z914" s="21">
        <v>1.0938</v>
      </c>
      <c r="AA914" s="16" t="s">
        <v>2620</v>
      </c>
      <c r="AB914" s="22">
        <f>IFERROR(__xludf.DUMMYFUNCTION("IFERROR(GOOGLEFINANCE(B914,""price""),"""")"),161.6)</f>
        <v>161.6</v>
      </c>
    </row>
    <row r="915">
      <c r="A915" s="7">
        <v>46071.62860593857</v>
      </c>
      <c r="B915" s="8" t="s">
        <v>3022</v>
      </c>
      <c r="C915" s="8" t="s">
        <v>3023</v>
      </c>
      <c r="D915" s="9">
        <v>46075.0</v>
      </c>
      <c r="E915" s="10">
        <v>756.0</v>
      </c>
      <c r="F915" s="8" t="s">
        <v>102</v>
      </c>
      <c r="G915" s="13">
        <v>40.1562</v>
      </c>
      <c r="H915" s="13">
        <v>18.8265</v>
      </c>
      <c r="I915" s="9">
        <v>46073.0</v>
      </c>
      <c r="J915" s="10">
        <v>750.0</v>
      </c>
      <c r="K915" s="8">
        <v>1614.0</v>
      </c>
      <c r="L915" s="8" t="s">
        <v>2608</v>
      </c>
      <c r="M915" s="11">
        <v>0.79</v>
      </c>
      <c r="N915" s="8" t="s">
        <v>3646</v>
      </c>
      <c r="O915" s="8">
        <v>2773.0</v>
      </c>
      <c r="P915" s="11">
        <v>35.3906</v>
      </c>
      <c r="Q915" s="8" t="s">
        <v>3025</v>
      </c>
      <c r="R915" s="11">
        <v>-1.1455</v>
      </c>
      <c r="S915" s="12">
        <v>1718628.0</v>
      </c>
      <c r="T915" s="12">
        <v>3.51757243749E11</v>
      </c>
      <c r="U915" s="13">
        <v>25.2754</v>
      </c>
      <c r="V915" s="13">
        <v>43.5394</v>
      </c>
      <c r="W915" s="13">
        <v>17.1611</v>
      </c>
      <c r="X915" s="13">
        <v>4.2895</v>
      </c>
      <c r="Y915" s="13">
        <v>2.0667</v>
      </c>
      <c r="Z915" s="13">
        <v>1.4357</v>
      </c>
      <c r="AA915" s="8" t="s">
        <v>2611</v>
      </c>
      <c r="AB915" s="14">
        <f>IFERROR(__xludf.DUMMYFUNCTION("IFERROR(GOOGLEFINANCE(B915,""price""),"""")"),790.66)</f>
        <v>790.66</v>
      </c>
    </row>
    <row r="916">
      <c r="A916" s="15">
        <v>46071.62860593857</v>
      </c>
      <c r="B916" s="16" t="s">
        <v>2646</v>
      </c>
      <c r="C916" s="16" t="s">
        <v>2647</v>
      </c>
      <c r="D916" s="17">
        <v>46075.0</v>
      </c>
      <c r="E916" s="18">
        <v>36.18</v>
      </c>
      <c r="F916" s="16" t="s">
        <v>270</v>
      </c>
      <c r="G916" s="21">
        <v>13.6246</v>
      </c>
      <c r="H916" s="21">
        <v>2.6555</v>
      </c>
      <c r="I916" s="17">
        <v>46073.0</v>
      </c>
      <c r="J916" s="18">
        <v>36.0</v>
      </c>
      <c r="K916" s="16">
        <v>2747.0</v>
      </c>
      <c r="L916" s="16" t="s">
        <v>2627</v>
      </c>
      <c r="M916" s="19">
        <v>0.5</v>
      </c>
      <c r="N916" s="16" t="s">
        <v>3647</v>
      </c>
      <c r="O916" s="16">
        <v>2747.0</v>
      </c>
      <c r="P916" s="19">
        <v>42.5222</v>
      </c>
      <c r="Q916" s="16" t="s">
        <v>2649</v>
      </c>
      <c r="R916" s="19">
        <v>-1.551</v>
      </c>
      <c r="S916" s="20">
        <v>4429018.0</v>
      </c>
      <c r="T916" s="20">
        <v>7.8268955405E10</v>
      </c>
      <c r="U916" s="21">
        <v>0.727</v>
      </c>
      <c r="V916" s="24"/>
      <c r="W916" s="21">
        <v>13.037</v>
      </c>
      <c r="X916" s="21">
        <v>-5.779</v>
      </c>
      <c r="Y916" s="24"/>
      <c r="Z916" s="24"/>
      <c r="AA916" s="16" t="s">
        <v>2611</v>
      </c>
      <c r="AB916" s="22">
        <f>IFERROR(__xludf.DUMMYFUNCTION("IFERROR(GOOGLEFINANCE(B916,""price""),"""")"),37.35)</f>
        <v>37.35</v>
      </c>
    </row>
    <row r="917">
      <c r="A917" s="7">
        <v>46071.62860593857</v>
      </c>
      <c r="B917" s="8" t="s">
        <v>2973</v>
      </c>
      <c r="C917" s="8" t="s">
        <v>2974</v>
      </c>
      <c r="D917" s="9">
        <v>46075.0</v>
      </c>
      <c r="E917" s="10">
        <v>52.485</v>
      </c>
      <c r="F917" s="8" t="s">
        <v>93</v>
      </c>
      <c r="G917" s="13">
        <v>13.7489</v>
      </c>
      <c r="H917" s="13">
        <v>3.8174</v>
      </c>
      <c r="I917" s="9">
        <v>46073.0</v>
      </c>
      <c r="J917" s="10">
        <v>52.5</v>
      </c>
      <c r="K917" s="8">
        <v>2576.0</v>
      </c>
      <c r="L917" s="8" t="s">
        <v>2608</v>
      </c>
      <c r="M917" s="11">
        <v>0.03</v>
      </c>
      <c r="N917" s="8" t="s">
        <v>3648</v>
      </c>
      <c r="O917" s="8">
        <v>2576.0</v>
      </c>
      <c r="P917" s="11">
        <v>20.8272</v>
      </c>
      <c r="Q917" s="8" t="s">
        <v>2976</v>
      </c>
      <c r="R917" s="11">
        <v>0.546</v>
      </c>
      <c r="S917" s="12">
        <v>4033530.0</v>
      </c>
      <c r="T917" s="12">
        <v>6.7141238619E10</v>
      </c>
      <c r="U917" s="13">
        <v>1.2529</v>
      </c>
      <c r="V917" s="13">
        <v>8.2363</v>
      </c>
      <c r="W917" s="13">
        <v>21.1616</v>
      </c>
      <c r="X917" s="13">
        <v>24.2886</v>
      </c>
      <c r="Y917" s="13">
        <v>1.0708</v>
      </c>
      <c r="Z917" s="13">
        <v>0.3413</v>
      </c>
      <c r="AA917" s="8" t="s">
        <v>2620</v>
      </c>
      <c r="AB917" s="14">
        <f>IFERROR(__xludf.DUMMYFUNCTION("IFERROR(GOOGLEFINANCE(B917,""price""),"""")"),49.6)</f>
        <v>49.6</v>
      </c>
    </row>
    <row r="918">
      <c r="A918" s="15">
        <v>46071.62860593857</v>
      </c>
      <c r="B918" s="16" t="s">
        <v>2344</v>
      </c>
      <c r="C918" s="16" t="s">
        <v>2345</v>
      </c>
      <c r="D918" s="17">
        <v>46075.0</v>
      </c>
      <c r="E918" s="18">
        <v>72.285</v>
      </c>
      <c r="F918" s="16" t="s">
        <v>270</v>
      </c>
      <c r="G918" s="24"/>
      <c r="H918" s="24"/>
      <c r="I918" s="17">
        <v>46073.0</v>
      </c>
      <c r="J918" s="18">
        <v>73.0</v>
      </c>
      <c r="K918" s="16">
        <v>1530.0</v>
      </c>
      <c r="L918" s="16" t="s">
        <v>2608</v>
      </c>
      <c r="M918" s="19">
        <v>0.99</v>
      </c>
      <c r="N918" s="16" t="s">
        <v>3649</v>
      </c>
      <c r="O918" s="16">
        <v>2563.0</v>
      </c>
      <c r="P918" s="19">
        <v>43.6639</v>
      </c>
      <c r="Q918" s="16" t="s">
        <v>2346</v>
      </c>
      <c r="R918" s="19">
        <v>0.4516</v>
      </c>
      <c r="S918" s="20">
        <v>5379633.0</v>
      </c>
      <c r="T918" s="20">
        <v>8.8275805044E10</v>
      </c>
      <c r="U918" s="21">
        <v>1.8133</v>
      </c>
      <c r="V918" s="21">
        <v>20.7424</v>
      </c>
      <c r="W918" s="21">
        <v>36.7664</v>
      </c>
      <c r="X918" s="21">
        <v>10.611</v>
      </c>
      <c r="Y918" s="21">
        <v>2.2926</v>
      </c>
      <c r="Z918" s="21">
        <v>0.5313</v>
      </c>
      <c r="AA918" s="16" t="s">
        <v>2620</v>
      </c>
      <c r="AB918" s="22">
        <f>IFERROR(__xludf.DUMMYFUNCTION("IFERROR(GOOGLEFINANCE(B918,""price""),"""")"),72.74)</f>
        <v>72.74</v>
      </c>
    </row>
    <row r="919">
      <c r="A919" s="7">
        <v>46071.62860593857</v>
      </c>
      <c r="B919" s="8" t="s">
        <v>2680</v>
      </c>
      <c r="C919" s="8" t="s">
        <v>2681</v>
      </c>
      <c r="D919" s="9">
        <v>46075.0</v>
      </c>
      <c r="E919" s="10">
        <v>198.76</v>
      </c>
      <c r="F919" s="8" t="s">
        <v>245</v>
      </c>
      <c r="G919" s="13">
        <v>25.9888</v>
      </c>
      <c r="H919" s="13">
        <v>7.6479</v>
      </c>
      <c r="I919" s="9">
        <v>46073.0</v>
      </c>
      <c r="J919" s="10">
        <v>200.0</v>
      </c>
      <c r="K919" s="8">
        <v>1403.0</v>
      </c>
      <c r="L919" s="8" t="s">
        <v>2608</v>
      </c>
      <c r="M919" s="11">
        <v>0.62</v>
      </c>
      <c r="N919" s="8" t="s">
        <v>3650</v>
      </c>
      <c r="O919" s="8">
        <v>2460.0</v>
      </c>
      <c r="P919" s="11">
        <v>37.9611</v>
      </c>
      <c r="Q919" s="8" t="s">
        <v>2683</v>
      </c>
      <c r="R919" s="11">
        <v>0.7196</v>
      </c>
      <c r="S919" s="12">
        <v>1323652.0</v>
      </c>
      <c r="T919" s="12">
        <v>6.0623691365E10</v>
      </c>
      <c r="U919" s="13">
        <v>6.4942</v>
      </c>
      <c r="V919" s="13">
        <v>9.7104</v>
      </c>
      <c r="W919" s="13">
        <v>3.6059</v>
      </c>
      <c r="X919" s="13">
        <v>-5.4437</v>
      </c>
      <c r="Y919" s="13">
        <v>0.4476</v>
      </c>
      <c r="Z919" s="13">
        <v>1.645</v>
      </c>
      <c r="AA919" s="8" t="s">
        <v>2620</v>
      </c>
      <c r="AB919" s="14">
        <f>IFERROR(__xludf.DUMMYFUNCTION("IFERROR(GOOGLEFINANCE(B919,""price""),"""")"),238.82)</f>
        <v>238.82</v>
      </c>
    </row>
    <row r="920">
      <c r="A920" s="15">
        <v>46071.62860593857</v>
      </c>
      <c r="B920" s="16" t="s">
        <v>2696</v>
      </c>
      <c r="C920" s="16" t="s">
        <v>2697</v>
      </c>
      <c r="D920" s="17">
        <v>46075.0</v>
      </c>
      <c r="E920" s="18">
        <v>185.785</v>
      </c>
      <c r="F920" s="16" t="s">
        <v>162</v>
      </c>
      <c r="G920" s="21">
        <v>38.4401</v>
      </c>
      <c r="H920" s="21">
        <v>4.8331</v>
      </c>
      <c r="I920" s="17">
        <v>46073.0</v>
      </c>
      <c r="J920" s="18">
        <v>185.0</v>
      </c>
      <c r="K920" s="16">
        <v>2426.0</v>
      </c>
      <c r="L920" s="16" t="s">
        <v>2608</v>
      </c>
      <c r="M920" s="19">
        <v>0.42</v>
      </c>
      <c r="N920" s="16" t="s">
        <v>3651</v>
      </c>
      <c r="O920" s="16">
        <v>2426.0</v>
      </c>
      <c r="P920" s="19">
        <v>46.9541</v>
      </c>
      <c r="Q920" s="16" t="s">
        <v>2699</v>
      </c>
      <c r="R920" s="19">
        <v>4.7384</v>
      </c>
      <c r="S920" s="20">
        <v>2207285.0</v>
      </c>
      <c r="T920" s="20">
        <v>2.2037972316E10</v>
      </c>
      <c r="U920" s="21">
        <v>8.306</v>
      </c>
      <c r="V920" s="21">
        <v>32.9109</v>
      </c>
      <c r="W920" s="21">
        <v>4.9029</v>
      </c>
      <c r="X920" s="21">
        <v>-8.4186</v>
      </c>
      <c r="Y920" s="21">
        <v>0.756</v>
      </c>
      <c r="Z920" s="21">
        <v>1.5278</v>
      </c>
      <c r="AA920" s="16" t="s">
        <v>2611</v>
      </c>
      <c r="AB920" s="22">
        <f>IFERROR(__xludf.DUMMYFUNCTION("IFERROR(GOOGLEFINANCE(B920,""price""),"""")"),163.49)</f>
        <v>163.49</v>
      </c>
    </row>
    <row r="921">
      <c r="A921" s="7">
        <v>46071.62860593857</v>
      </c>
      <c r="B921" s="8" t="s">
        <v>2663</v>
      </c>
      <c r="C921" s="8" t="s">
        <v>2664</v>
      </c>
      <c r="D921" s="9">
        <v>46075.0</v>
      </c>
      <c r="E921" s="10">
        <v>124.93</v>
      </c>
      <c r="F921" s="8" t="s">
        <v>335</v>
      </c>
      <c r="G921" s="13">
        <v>19.4205</v>
      </c>
      <c r="H921" s="13">
        <v>6.4329</v>
      </c>
      <c r="I921" s="9">
        <v>46073.0</v>
      </c>
      <c r="J921" s="10">
        <v>125.0</v>
      </c>
      <c r="K921" s="8">
        <v>2054.0</v>
      </c>
      <c r="L921" s="8" t="s">
        <v>2608</v>
      </c>
      <c r="M921" s="11">
        <v>0.06</v>
      </c>
      <c r="N921" s="8" t="s">
        <v>3652</v>
      </c>
      <c r="O921" s="8">
        <v>2054.0</v>
      </c>
      <c r="P921" s="11">
        <v>20.3358</v>
      </c>
      <c r="Q921" s="8" t="s">
        <v>2666</v>
      </c>
      <c r="R921" s="11">
        <v>2.1421</v>
      </c>
      <c r="S921" s="12">
        <v>4974202.0</v>
      </c>
      <c r="T921" s="12">
        <v>1.36331476304E11</v>
      </c>
      <c r="U921" s="13">
        <v>5.8739</v>
      </c>
      <c r="V921" s="13">
        <v>22.8383</v>
      </c>
      <c r="W921" s="13">
        <v>42.3718</v>
      </c>
      <c r="X921" s="13">
        <v>26.2476</v>
      </c>
      <c r="Y921" s="13">
        <v>0.1701</v>
      </c>
      <c r="Z921" s="13">
        <v>2.0393</v>
      </c>
      <c r="AA921" s="8" t="s">
        <v>2620</v>
      </c>
      <c r="AB921" s="14">
        <f>IFERROR(__xludf.DUMMYFUNCTION("IFERROR(GOOGLEFINANCE(B921,""price""),"""")"),120.9)</f>
        <v>120.9</v>
      </c>
    </row>
    <row r="922">
      <c r="A922" s="15">
        <v>46071.62860593857</v>
      </c>
      <c r="B922" s="16" t="s">
        <v>1570</v>
      </c>
      <c r="C922" s="16" t="s">
        <v>1571</v>
      </c>
      <c r="D922" s="17">
        <v>46075.0</v>
      </c>
      <c r="E922" s="18">
        <v>48.85</v>
      </c>
      <c r="F922" s="16" t="s">
        <v>917</v>
      </c>
      <c r="G922" s="21">
        <v>27.7636</v>
      </c>
      <c r="H922" s="21">
        <v>1.7595</v>
      </c>
      <c r="I922" s="17">
        <v>46073.0</v>
      </c>
      <c r="J922" s="18">
        <v>48.0</v>
      </c>
      <c r="K922" s="16">
        <v>2049.0</v>
      </c>
      <c r="L922" s="16" t="s">
        <v>2608</v>
      </c>
      <c r="M922" s="19">
        <v>1.74</v>
      </c>
      <c r="N922" s="16" t="s">
        <v>3653</v>
      </c>
      <c r="O922" s="16">
        <v>2049.0</v>
      </c>
      <c r="P922" s="19">
        <v>34.8799</v>
      </c>
      <c r="Q922" s="16" t="s">
        <v>1572</v>
      </c>
      <c r="R922" s="19">
        <v>-1.0132</v>
      </c>
      <c r="S922" s="20">
        <v>5999525.0</v>
      </c>
      <c r="T922" s="20">
        <v>2.821896312E10</v>
      </c>
      <c r="U922" s="21">
        <v>0.9323</v>
      </c>
      <c r="V922" s="24"/>
      <c r="W922" s="24"/>
      <c r="X922" s="21">
        <v>12.0843</v>
      </c>
      <c r="Y922" s="24"/>
      <c r="Z922" s="24"/>
      <c r="AA922" s="16" t="s">
        <v>2611</v>
      </c>
      <c r="AB922" s="22">
        <f>IFERROR(__xludf.DUMMYFUNCTION("IFERROR(GOOGLEFINANCE(B922,""price""),"""")"),51.43)</f>
        <v>51.43</v>
      </c>
    </row>
    <row r="923">
      <c r="A923" s="7">
        <v>46071.62860593857</v>
      </c>
      <c r="B923" s="8" t="s">
        <v>2650</v>
      </c>
      <c r="C923" s="8" t="s">
        <v>2651</v>
      </c>
      <c r="D923" s="9">
        <v>46075.0</v>
      </c>
      <c r="E923" s="10">
        <v>224.44</v>
      </c>
      <c r="F923" s="8" t="s">
        <v>308</v>
      </c>
      <c r="G923" s="13">
        <v>222.1298</v>
      </c>
      <c r="H923" s="13">
        <v>1.0104</v>
      </c>
      <c r="I923" s="9">
        <v>46073.0</v>
      </c>
      <c r="J923" s="10">
        <v>227.5</v>
      </c>
      <c r="K923" s="8">
        <v>1873.0</v>
      </c>
      <c r="L923" s="8" t="s">
        <v>2608</v>
      </c>
      <c r="M923" s="11">
        <v>1.36</v>
      </c>
      <c r="N923" s="8" t="s">
        <v>3654</v>
      </c>
      <c r="O923" s="8">
        <v>1873.0</v>
      </c>
      <c r="P923" s="11">
        <v>16.6045</v>
      </c>
      <c r="Q923" s="8" t="s">
        <v>2653</v>
      </c>
      <c r="R923" s="11">
        <v>2.0367</v>
      </c>
      <c r="S923" s="12">
        <v>2647294.0</v>
      </c>
      <c r="T923" s="12">
        <v>4.2078429336E10</v>
      </c>
      <c r="U923" s="13">
        <v>18.1116</v>
      </c>
      <c r="V923" s="13">
        <v>3.6337</v>
      </c>
      <c r="W923" s="13">
        <v>11.7943</v>
      </c>
      <c r="X923" s="13">
        <v>18.6256</v>
      </c>
      <c r="Y923" s="13">
        <v>0.4153</v>
      </c>
      <c r="Z923" s="13">
        <v>2.2518</v>
      </c>
      <c r="AA923" s="8" t="s">
        <v>2620</v>
      </c>
      <c r="AB923" s="14">
        <f>IFERROR(__xludf.DUMMYFUNCTION("IFERROR(GOOGLEFINANCE(B923,""price""),"""")"),307.5)</f>
        <v>307.5</v>
      </c>
    </row>
    <row r="924">
      <c r="A924" s="15">
        <v>46071.62860593857</v>
      </c>
      <c r="B924" s="16" t="s">
        <v>2726</v>
      </c>
      <c r="C924" s="16" t="s">
        <v>2727</v>
      </c>
      <c r="D924" s="17">
        <v>46075.0</v>
      </c>
      <c r="E924" s="18">
        <v>83.175</v>
      </c>
      <c r="F924" s="16" t="s">
        <v>286</v>
      </c>
      <c r="G924" s="21">
        <v>47.35</v>
      </c>
      <c r="H924" s="21">
        <v>1.7566</v>
      </c>
      <c r="I924" s="17">
        <v>46073.0</v>
      </c>
      <c r="J924" s="18">
        <v>82.5</v>
      </c>
      <c r="K924" s="16">
        <v>1820.0</v>
      </c>
      <c r="L924" s="16" t="s">
        <v>2608</v>
      </c>
      <c r="M924" s="19">
        <v>0.81</v>
      </c>
      <c r="N924" s="16" t="s">
        <v>3655</v>
      </c>
      <c r="O924" s="16">
        <v>1820.0</v>
      </c>
      <c r="P924" s="19">
        <v>34.5568</v>
      </c>
      <c r="Q924" s="16" t="s">
        <v>2729</v>
      </c>
      <c r="R924" s="19">
        <v>0.3317</v>
      </c>
      <c r="S924" s="20">
        <v>5224977.0</v>
      </c>
      <c r="T924" s="20">
        <v>8.1263738075E10</v>
      </c>
      <c r="U924" s="21">
        <v>1.4995</v>
      </c>
      <c r="V924" s="21">
        <v>25.538</v>
      </c>
      <c r="W924" s="21">
        <v>29.9505</v>
      </c>
      <c r="X924" s="21">
        <v>7.618</v>
      </c>
      <c r="Y924" s="21">
        <v>0.0</v>
      </c>
      <c r="Z924" s="21">
        <v>3.1855</v>
      </c>
      <c r="AA924" s="16" t="s">
        <v>2611</v>
      </c>
      <c r="AB924" s="22">
        <f>IFERROR(__xludf.DUMMYFUNCTION("IFERROR(GOOGLEFINANCE(B924,""price""),"""")"),75.72)</f>
        <v>75.72</v>
      </c>
    </row>
    <row r="925">
      <c r="A925" s="7">
        <v>46071.62860593857</v>
      </c>
      <c r="B925" s="8" t="s">
        <v>3100</v>
      </c>
      <c r="C925" s="8" t="s">
        <v>3101</v>
      </c>
      <c r="D925" s="9">
        <v>46075.0</v>
      </c>
      <c r="E925" s="10">
        <v>311.385</v>
      </c>
      <c r="F925" s="8" t="s">
        <v>308</v>
      </c>
      <c r="G925" s="13">
        <v>366.5941</v>
      </c>
      <c r="H925" s="13">
        <v>0.8494</v>
      </c>
      <c r="I925" s="9">
        <v>46073.0</v>
      </c>
      <c r="J925" s="10">
        <v>310.0</v>
      </c>
      <c r="K925" s="8">
        <v>1779.0</v>
      </c>
      <c r="L925" s="8" t="s">
        <v>2608</v>
      </c>
      <c r="M925" s="11">
        <v>0.44</v>
      </c>
      <c r="N925" s="8" t="s">
        <v>3656</v>
      </c>
      <c r="O925" s="8">
        <v>1779.0</v>
      </c>
      <c r="P925" s="11">
        <v>17.8302</v>
      </c>
      <c r="Q925" s="8" t="s">
        <v>3103</v>
      </c>
      <c r="R925" s="11">
        <v>2.9951</v>
      </c>
      <c r="S925" s="12">
        <v>1474994.0</v>
      </c>
      <c r="T925" s="12">
        <v>4.4049596041E10</v>
      </c>
      <c r="U925" s="13">
        <v>20.4295</v>
      </c>
      <c r="V925" s="13">
        <v>4.4483</v>
      </c>
      <c r="W925" s="13">
        <v>6.5162</v>
      </c>
      <c r="X925" s="13">
        <v>18.7935</v>
      </c>
      <c r="Y925" s="13">
        <v>0.5956</v>
      </c>
      <c r="Z925" s="13">
        <v>2.6962</v>
      </c>
      <c r="AA925" s="8" t="s">
        <v>2611</v>
      </c>
      <c r="AB925" s="14">
        <f>IFERROR(__xludf.DUMMYFUNCTION("IFERROR(GOOGLEFINANCE(B925,""price""),"""")"),496.02)</f>
        <v>496.02</v>
      </c>
    </row>
    <row r="926">
      <c r="A926" s="15">
        <v>46071.62860593857</v>
      </c>
      <c r="B926" s="16" t="s">
        <v>2843</v>
      </c>
      <c r="C926" s="16" t="s">
        <v>2844</v>
      </c>
      <c r="D926" s="17">
        <v>46075.0</v>
      </c>
      <c r="E926" s="18">
        <v>204.675</v>
      </c>
      <c r="F926" s="16" t="s">
        <v>308</v>
      </c>
      <c r="G926" s="21">
        <v>41.2452</v>
      </c>
      <c r="H926" s="21">
        <v>4.9624</v>
      </c>
      <c r="I926" s="17">
        <v>46073.0</v>
      </c>
      <c r="J926" s="18">
        <v>205.0</v>
      </c>
      <c r="K926" s="16">
        <v>1723.0</v>
      </c>
      <c r="L926" s="16" t="s">
        <v>2608</v>
      </c>
      <c r="M926" s="19">
        <v>0.16</v>
      </c>
      <c r="N926" s="16" t="s">
        <v>3657</v>
      </c>
      <c r="O926" s="16">
        <v>1723.0</v>
      </c>
      <c r="P926" s="19">
        <v>35.5984</v>
      </c>
      <c r="Q926" s="16" t="s">
        <v>2846</v>
      </c>
      <c r="R926" s="19">
        <v>0.5774</v>
      </c>
      <c r="S926" s="20">
        <v>3768357.0</v>
      </c>
      <c r="T926" s="20">
        <v>2.7473271405E11</v>
      </c>
      <c r="U926" s="21">
        <v>4.833</v>
      </c>
      <c r="V926" s="21">
        <v>10.7368</v>
      </c>
      <c r="W926" s="21">
        <v>10.0301</v>
      </c>
      <c r="X926" s="21">
        <v>9.7414</v>
      </c>
      <c r="Y926" s="21">
        <v>0.6124</v>
      </c>
      <c r="Z926" s="21">
        <v>0.9804</v>
      </c>
      <c r="AA926" s="16" t="s">
        <v>2620</v>
      </c>
      <c r="AB926" s="22">
        <f>IFERROR(__xludf.DUMMYFUNCTION("IFERROR(GOOGLEFINANCE(B926,""price""),"""")"),201.56)</f>
        <v>201.56</v>
      </c>
    </row>
    <row r="927">
      <c r="A927" s="7">
        <v>46071.62860593857</v>
      </c>
      <c r="B927" s="8" t="s">
        <v>3291</v>
      </c>
      <c r="C927" s="8" t="s">
        <v>3292</v>
      </c>
      <c r="D927" s="9">
        <v>46075.0</v>
      </c>
      <c r="E927" s="10">
        <v>233.68</v>
      </c>
      <c r="F927" s="8" t="s">
        <v>270</v>
      </c>
      <c r="G927" s="13">
        <v>34.8849</v>
      </c>
      <c r="H927" s="13">
        <v>6.6986</v>
      </c>
      <c r="I927" s="9">
        <v>46073.0</v>
      </c>
      <c r="J927" s="10">
        <v>230.0</v>
      </c>
      <c r="K927" s="8">
        <v>1679.0</v>
      </c>
      <c r="L927" s="8" t="s">
        <v>2608</v>
      </c>
      <c r="M927" s="11">
        <v>1.57</v>
      </c>
      <c r="N927" s="8" t="s">
        <v>3658</v>
      </c>
      <c r="O927" s="8">
        <v>1679.0</v>
      </c>
      <c r="P927" s="11">
        <v>21.1459</v>
      </c>
      <c r="Q927" s="8" t="s">
        <v>3294</v>
      </c>
      <c r="R927" s="11">
        <v>-0.6547</v>
      </c>
      <c r="S927" s="12">
        <v>1077238.0</v>
      </c>
      <c r="T927" s="12">
        <v>9.4251506707E10</v>
      </c>
      <c r="U927" s="13">
        <v>4.6914</v>
      </c>
      <c r="V927" s="13">
        <v>29.6897</v>
      </c>
      <c r="W927" s="13">
        <v>18.2788</v>
      </c>
      <c r="X927" s="13">
        <v>14.2365</v>
      </c>
      <c r="Y927" s="13">
        <v>2.3941</v>
      </c>
      <c r="Z927" s="13">
        <v>0.8888</v>
      </c>
      <c r="AA927" s="8" t="s">
        <v>2611</v>
      </c>
      <c r="AB927" s="14">
        <f>IFERROR(__xludf.DUMMYFUNCTION("IFERROR(GOOGLEFINANCE(B927,""price""),"""")"),229.45)</f>
        <v>229.45</v>
      </c>
    </row>
    <row r="928">
      <c r="A928" s="15">
        <v>46071.62860593857</v>
      </c>
      <c r="B928" s="16" t="s">
        <v>2521</v>
      </c>
      <c r="C928" s="16" t="s">
        <v>2522</v>
      </c>
      <c r="D928" s="17">
        <v>46075.0</v>
      </c>
      <c r="E928" s="18">
        <v>345.185</v>
      </c>
      <c r="F928" s="16" t="s">
        <v>308</v>
      </c>
      <c r="G928" s="21">
        <v>75.5444</v>
      </c>
      <c r="H928" s="21">
        <v>4.5693</v>
      </c>
      <c r="I928" s="17">
        <v>46073.0</v>
      </c>
      <c r="J928" s="18">
        <v>340.0</v>
      </c>
      <c r="K928" s="16">
        <v>1578.0</v>
      </c>
      <c r="L928" s="16" t="s">
        <v>2608</v>
      </c>
      <c r="M928" s="19">
        <v>1.5</v>
      </c>
      <c r="N928" s="16" t="s">
        <v>3659</v>
      </c>
      <c r="O928" s="16">
        <v>1578.0</v>
      </c>
      <c r="P928" s="19">
        <v>47.6224</v>
      </c>
      <c r="Q928" s="16" t="s">
        <v>2523</v>
      </c>
      <c r="R928" s="19">
        <v>2.274</v>
      </c>
      <c r="S928" s="20">
        <v>6661428.0</v>
      </c>
      <c r="T928" s="20">
        <v>1.68667268542E11</v>
      </c>
      <c r="U928" s="21">
        <v>10.1378</v>
      </c>
      <c r="V928" s="21">
        <v>6.5728</v>
      </c>
      <c r="W928" s="21">
        <v>27.2724</v>
      </c>
      <c r="X928" s="21">
        <v>16.8932</v>
      </c>
      <c r="Y928" s="21">
        <v>0.2646</v>
      </c>
      <c r="Z928" s="21">
        <v>2.1899</v>
      </c>
      <c r="AA928" s="16" t="s">
        <v>2611</v>
      </c>
      <c r="AB928" s="22">
        <f>IFERROR(__xludf.DUMMYFUNCTION("IFERROR(GOOGLEFINANCE(B928,""price""),"""")"),350.14)</f>
        <v>350.14</v>
      </c>
    </row>
    <row r="929">
      <c r="A929" s="7">
        <v>46071.62860593857</v>
      </c>
      <c r="B929" s="8" t="s">
        <v>3134</v>
      </c>
      <c r="C929" s="8" t="s">
        <v>3135</v>
      </c>
      <c r="D929" s="9">
        <v>46075.0</v>
      </c>
      <c r="E929" s="10">
        <v>141.39</v>
      </c>
      <c r="F929" s="8" t="s">
        <v>93</v>
      </c>
      <c r="G929" s="13">
        <v>10.5964</v>
      </c>
      <c r="H929" s="13">
        <v>13.3432</v>
      </c>
      <c r="I929" s="9">
        <v>46073.0</v>
      </c>
      <c r="J929" s="10">
        <v>140.0</v>
      </c>
      <c r="K929" s="8">
        <v>1575.0</v>
      </c>
      <c r="L929" s="8" t="s">
        <v>2608</v>
      </c>
      <c r="M929" s="11">
        <v>0.98</v>
      </c>
      <c r="N929" s="8" t="s">
        <v>3660</v>
      </c>
      <c r="O929" s="8">
        <v>1575.0</v>
      </c>
      <c r="P929" s="11">
        <v>28.7928</v>
      </c>
      <c r="Q929" s="8" t="s">
        <v>3137</v>
      </c>
      <c r="R929" s="11">
        <v>-1.491</v>
      </c>
      <c r="S929" s="12">
        <v>1330001.0</v>
      </c>
      <c r="T929" s="12">
        <v>3.9398361136E10</v>
      </c>
      <c r="U929" s="13">
        <v>2.7105</v>
      </c>
      <c r="V929" s="13">
        <v>21.6564</v>
      </c>
      <c r="W929" s="13">
        <v>17.4023</v>
      </c>
      <c r="X929" s="13">
        <v>6.8061</v>
      </c>
      <c r="Y929" s="13">
        <v>0.2303</v>
      </c>
      <c r="Z929" s="13">
        <v>0.2897</v>
      </c>
      <c r="AA929" s="8" t="s">
        <v>2611</v>
      </c>
      <c r="AB929" s="14">
        <f>IFERROR(__xludf.DUMMYFUNCTION("IFERROR(GOOGLEFINANCE(B929,""price""),"""")"),137.23)</f>
        <v>137.23</v>
      </c>
    </row>
    <row r="930">
      <c r="A930" s="15">
        <v>46071.62860593857</v>
      </c>
      <c r="B930" s="16" t="s">
        <v>3511</v>
      </c>
      <c r="C930" s="16" t="s">
        <v>3512</v>
      </c>
      <c r="D930" s="17">
        <v>46075.0</v>
      </c>
      <c r="E930" s="18">
        <v>113.72</v>
      </c>
      <c r="F930" s="16" t="s">
        <v>93</v>
      </c>
      <c r="G930" s="21">
        <v>16.5139</v>
      </c>
      <c r="H930" s="21">
        <v>6.8863</v>
      </c>
      <c r="I930" s="17">
        <v>46073.0</v>
      </c>
      <c r="J930" s="18">
        <v>115.0</v>
      </c>
      <c r="K930" s="16">
        <v>1546.0</v>
      </c>
      <c r="L930" s="16" t="s">
        <v>2608</v>
      </c>
      <c r="M930" s="19">
        <v>1.13</v>
      </c>
      <c r="N930" s="16" t="s">
        <v>3661</v>
      </c>
      <c r="O930" s="16">
        <v>1546.0</v>
      </c>
      <c r="P930" s="19">
        <v>20.0419</v>
      </c>
      <c r="Q930" s="16" t="s">
        <v>3514</v>
      </c>
      <c r="R930" s="19">
        <v>-1.4729</v>
      </c>
      <c r="S930" s="20">
        <v>1220712.0</v>
      </c>
      <c r="T930" s="20">
        <v>5.9602230807E10</v>
      </c>
      <c r="U930" s="21">
        <v>2.5262</v>
      </c>
      <c r="V930" s="21">
        <v>15.3345</v>
      </c>
      <c r="W930" s="21">
        <v>27.5608</v>
      </c>
      <c r="X930" s="21">
        <v>-9.4737</v>
      </c>
      <c r="Y930" s="21">
        <v>0.3919</v>
      </c>
      <c r="Z930" s="21">
        <v>0.1099</v>
      </c>
      <c r="AA930" s="16" t="s">
        <v>2620</v>
      </c>
      <c r="AB930" s="22">
        <f>IFERROR(__xludf.DUMMYFUNCTION("IFERROR(GOOGLEFINANCE(B930,""price""),"""")"),110.7)</f>
        <v>110.7</v>
      </c>
    </row>
    <row r="931">
      <c r="A931" s="7">
        <v>46071.62860593857</v>
      </c>
      <c r="B931" s="8" t="s">
        <v>3531</v>
      </c>
      <c r="C931" s="8" t="s">
        <v>3532</v>
      </c>
      <c r="D931" s="9">
        <v>46075.0</v>
      </c>
      <c r="E931" s="10">
        <v>263.86</v>
      </c>
      <c r="F931" s="8" t="s">
        <v>162</v>
      </c>
      <c r="G931" s="13">
        <v>22.019</v>
      </c>
      <c r="H931" s="13">
        <v>11.9833</v>
      </c>
      <c r="I931" s="9">
        <v>46073.0</v>
      </c>
      <c r="J931" s="10">
        <v>260.0</v>
      </c>
      <c r="K931" s="8">
        <v>1464.0</v>
      </c>
      <c r="L931" s="8" t="s">
        <v>2608</v>
      </c>
      <c r="M931" s="11">
        <v>1.46</v>
      </c>
      <c r="N931" s="8" t="s">
        <v>3662</v>
      </c>
      <c r="O931" s="8">
        <v>1464.0</v>
      </c>
      <c r="P931" s="11">
        <v>38.4709</v>
      </c>
      <c r="Q931" s="8" t="s">
        <v>3534</v>
      </c>
      <c r="R931" s="11">
        <v>0.4033</v>
      </c>
      <c r="S931" s="12">
        <v>1623065.0</v>
      </c>
      <c r="T931" s="12">
        <v>1.56572252401E11</v>
      </c>
      <c r="U931" s="13">
        <v>5.0024</v>
      </c>
      <c r="V931" s="13">
        <v>40.3767</v>
      </c>
      <c r="W931" s="13">
        <v>40.0408</v>
      </c>
      <c r="X931" s="13">
        <v>1.0722</v>
      </c>
      <c r="Y931" s="13">
        <v>1.7773</v>
      </c>
      <c r="Z931" s="13">
        <v>0.9085</v>
      </c>
      <c r="AA931" s="8" t="s">
        <v>2611</v>
      </c>
      <c r="AB931" s="14">
        <f>IFERROR(__xludf.DUMMYFUNCTION("IFERROR(GOOGLEFINANCE(B931,""price""),"""")"),250.51)</f>
        <v>250.51</v>
      </c>
    </row>
    <row r="932">
      <c r="A932" s="15">
        <v>46071.62860593857</v>
      </c>
      <c r="B932" s="16" t="s">
        <v>3208</v>
      </c>
      <c r="C932" s="16" t="s">
        <v>3209</v>
      </c>
      <c r="D932" s="17">
        <v>46075.0</v>
      </c>
      <c r="E932" s="18">
        <v>200.04</v>
      </c>
      <c r="F932" s="16" t="s">
        <v>137</v>
      </c>
      <c r="G932" s="21">
        <v>31.2602</v>
      </c>
      <c r="H932" s="21">
        <v>6.3992</v>
      </c>
      <c r="I932" s="17">
        <v>46073.0</v>
      </c>
      <c r="J932" s="18">
        <v>200.0</v>
      </c>
      <c r="K932" s="16">
        <v>1428.0</v>
      </c>
      <c r="L932" s="16" t="s">
        <v>2608</v>
      </c>
      <c r="M932" s="19">
        <v>0.02</v>
      </c>
      <c r="N932" s="16" t="s">
        <v>3663</v>
      </c>
      <c r="O932" s="16">
        <v>1428.0</v>
      </c>
      <c r="P932" s="19">
        <v>34.0991</v>
      </c>
      <c r="Q932" s="16" t="s">
        <v>3211</v>
      </c>
      <c r="R932" s="19">
        <v>0.9233</v>
      </c>
      <c r="S932" s="20">
        <v>1300002.0</v>
      </c>
      <c r="T932" s="20">
        <v>6.4701929248E10</v>
      </c>
      <c r="U932" s="21">
        <v>3.4717</v>
      </c>
      <c r="V932" s="21">
        <v>37.4252</v>
      </c>
      <c r="W932" s="21">
        <v>11.9137</v>
      </c>
      <c r="X932" s="21">
        <v>3.7096</v>
      </c>
      <c r="Y932" s="21">
        <v>0.8818</v>
      </c>
      <c r="Z932" s="21">
        <v>1.5199</v>
      </c>
      <c r="AA932" s="16" t="s">
        <v>2611</v>
      </c>
      <c r="AB932" s="22">
        <f>IFERROR(__xludf.DUMMYFUNCTION("IFERROR(GOOGLEFINANCE(B932,""price""),"""")"),221.16)</f>
        <v>221.16</v>
      </c>
    </row>
    <row r="933">
      <c r="A933" s="7">
        <v>46071.62860593857</v>
      </c>
      <c r="B933" s="8" t="s">
        <v>3049</v>
      </c>
      <c r="C933" s="8" t="s">
        <v>3050</v>
      </c>
      <c r="D933" s="9">
        <v>46075.0</v>
      </c>
      <c r="E933" s="10">
        <v>75.235</v>
      </c>
      <c r="F933" s="8" t="s">
        <v>93</v>
      </c>
      <c r="G933" s="13">
        <v>34.0261</v>
      </c>
      <c r="H933" s="13">
        <v>2.2111</v>
      </c>
      <c r="I933" s="9">
        <v>46073.0</v>
      </c>
      <c r="J933" s="10">
        <v>75.0</v>
      </c>
      <c r="K933" s="8">
        <v>1237.0</v>
      </c>
      <c r="L933" s="8" t="s">
        <v>2627</v>
      </c>
      <c r="M933" s="11">
        <v>0.31</v>
      </c>
      <c r="N933" s="8" t="s">
        <v>3664</v>
      </c>
      <c r="O933" s="8">
        <v>1237.0</v>
      </c>
      <c r="P933" s="11">
        <v>20.9976</v>
      </c>
      <c r="Q933" s="8" t="s">
        <v>3052</v>
      </c>
      <c r="R933" s="11">
        <v>2.6538</v>
      </c>
      <c r="S933" s="12">
        <v>2560186.0</v>
      </c>
      <c r="T933" s="12">
        <v>1.27603723378E11</v>
      </c>
      <c r="U933" s="13">
        <v>3.1565</v>
      </c>
      <c r="V933" s="13">
        <v>20.4086</v>
      </c>
      <c r="W933" s="13">
        <v>86.2403</v>
      </c>
      <c r="X933" s="13">
        <v>11.0531</v>
      </c>
      <c r="Y933" s="13">
        <v>4.6187</v>
      </c>
      <c r="Z933" s="13">
        <v>1.2729</v>
      </c>
      <c r="AA933" s="8" t="s">
        <v>2611</v>
      </c>
      <c r="AB933" s="14">
        <f>IFERROR(__xludf.DUMMYFUNCTION("IFERROR(GOOGLEFINANCE(B933,""price""),"""")"),71.21)</f>
        <v>71.21</v>
      </c>
    </row>
    <row r="934">
      <c r="A934" s="15">
        <v>46071.62860593857</v>
      </c>
      <c r="B934" s="16" t="s">
        <v>3141</v>
      </c>
      <c r="C934" s="16" t="s">
        <v>3142</v>
      </c>
      <c r="D934" s="17">
        <v>46075.0</v>
      </c>
      <c r="E934" s="18">
        <v>329.28</v>
      </c>
      <c r="F934" s="16" t="s">
        <v>93</v>
      </c>
      <c r="G934" s="21">
        <v>12.8017</v>
      </c>
      <c r="H934" s="21">
        <v>25.7215</v>
      </c>
      <c r="I934" s="17">
        <v>46073.0</v>
      </c>
      <c r="J934" s="18">
        <v>325.0</v>
      </c>
      <c r="K934" s="16">
        <v>1232.0</v>
      </c>
      <c r="L934" s="16" t="s">
        <v>2608</v>
      </c>
      <c r="M934" s="19">
        <v>1.3</v>
      </c>
      <c r="N934" s="16" t="s">
        <v>3665</v>
      </c>
      <c r="O934" s="16">
        <v>1232.0</v>
      </c>
      <c r="P934" s="19">
        <v>28.9561</v>
      </c>
      <c r="Q934" s="16" t="s">
        <v>3144</v>
      </c>
      <c r="R934" s="19">
        <v>-0.7864</v>
      </c>
      <c r="S934" s="20">
        <v>1168926.0</v>
      </c>
      <c r="T934" s="20">
        <v>1.29588427067E11</v>
      </c>
      <c r="U934" s="21">
        <v>7.0813</v>
      </c>
      <c r="V934" s="21">
        <v>14.9661</v>
      </c>
      <c r="W934" s="21">
        <v>21.2322</v>
      </c>
      <c r="X934" s="21">
        <v>6.9142</v>
      </c>
      <c r="Y934" s="24"/>
      <c r="Z934" s="21">
        <v>0.2721</v>
      </c>
      <c r="AA934" s="16" t="s">
        <v>2611</v>
      </c>
      <c r="AB934" s="22">
        <f>IFERROR(__xludf.DUMMYFUNCTION("IFERROR(GOOGLEFINANCE(B934,""price""),"""")"),327.91)</f>
        <v>327.91</v>
      </c>
    </row>
    <row r="935">
      <c r="A935" s="7">
        <v>46071.62860593857</v>
      </c>
      <c r="B935" s="8" t="s">
        <v>1626</v>
      </c>
      <c r="C935" s="8" t="s">
        <v>1627</v>
      </c>
      <c r="D935" s="9">
        <v>46075.0</v>
      </c>
      <c r="E935" s="10">
        <v>45.3</v>
      </c>
      <c r="F935" s="8" t="s">
        <v>917</v>
      </c>
      <c r="G935" s="13">
        <v>23.1927</v>
      </c>
      <c r="H935" s="13">
        <v>1.9532</v>
      </c>
      <c r="I935" s="9">
        <v>46073.0</v>
      </c>
      <c r="J935" s="10">
        <v>45.0</v>
      </c>
      <c r="K935" s="8">
        <v>1159.0</v>
      </c>
      <c r="L935" s="8" t="s">
        <v>2608</v>
      </c>
      <c r="M935" s="11">
        <v>0.66</v>
      </c>
      <c r="N935" s="8" t="s">
        <v>3666</v>
      </c>
      <c r="O935" s="8">
        <v>1159.0</v>
      </c>
      <c r="P935" s="11">
        <v>30.4013</v>
      </c>
      <c r="Q935" s="8" t="s">
        <v>1628</v>
      </c>
      <c r="R935" s="11">
        <v>-3.0186</v>
      </c>
      <c r="S935" s="12">
        <v>2105580.0</v>
      </c>
      <c r="T935" s="12">
        <v>2.1677550912E10</v>
      </c>
      <c r="U935" s="13">
        <v>0.8817</v>
      </c>
      <c r="V935" s="13">
        <v>10.2226</v>
      </c>
      <c r="W935" s="13">
        <v>27.6399</v>
      </c>
      <c r="X935" s="13">
        <v>21.7613</v>
      </c>
      <c r="Y935" s="13">
        <v>1.7185</v>
      </c>
      <c r="Z935" s="13">
        <v>0.6876</v>
      </c>
      <c r="AA935" s="8" t="s">
        <v>2611</v>
      </c>
      <c r="AB935" s="14">
        <f>IFERROR(__xludf.DUMMYFUNCTION("IFERROR(GOOGLEFINANCE(B935,""price""),"""")"),48.05)</f>
        <v>48.05</v>
      </c>
    </row>
    <row r="936">
      <c r="A936" s="15">
        <v>46071.62860593857</v>
      </c>
      <c r="B936" s="16" t="s">
        <v>3667</v>
      </c>
      <c r="C936" s="16" t="s">
        <v>3668</v>
      </c>
      <c r="D936" s="17">
        <v>46075.0</v>
      </c>
      <c r="E936" s="18">
        <v>50.12</v>
      </c>
      <c r="F936" s="16" t="s">
        <v>335</v>
      </c>
      <c r="G936" s="21">
        <v>62.7598</v>
      </c>
      <c r="H936" s="21">
        <v>0.7986</v>
      </c>
      <c r="I936" s="17">
        <v>46073.0</v>
      </c>
      <c r="J936" s="18">
        <v>50.0</v>
      </c>
      <c r="K936" s="16">
        <v>1097.0</v>
      </c>
      <c r="L936" s="16" t="s">
        <v>2608</v>
      </c>
      <c r="M936" s="19">
        <v>0.24</v>
      </c>
      <c r="N936" s="16" t="s">
        <v>3669</v>
      </c>
      <c r="O936" s="16">
        <v>1097.0</v>
      </c>
      <c r="P936" s="19">
        <v>28.8662</v>
      </c>
      <c r="Q936" s="16" t="s">
        <v>3670</v>
      </c>
      <c r="R936" s="19">
        <v>2.5159</v>
      </c>
      <c r="S936" s="20">
        <v>1592230.0</v>
      </c>
      <c r="T936" s="20">
        <v>4.678299596E9</v>
      </c>
      <c r="U936" s="21">
        <v>3.5676</v>
      </c>
      <c r="V936" s="21">
        <v>12.2247</v>
      </c>
      <c r="W936" s="21">
        <v>6.9658</v>
      </c>
      <c r="X936" s="21">
        <v>20.1504</v>
      </c>
      <c r="Y936" s="21">
        <v>0.8338</v>
      </c>
      <c r="Z936" s="21">
        <v>1.7144</v>
      </c>
      <c r="AA936" s="16" t="s">
        <v>2611</v>
      </c>
      <c r="AB936" s="22">
        <f>IFERROR(__xludf.DUMMYFUNCTION("IFERROR(GOOGLEFINANCE(B936,""price""),"""")"),66.96)</f>
        <v>66.96</v>
      </c>
    </row>
    <row r="937">
      <c r="A937" s="7">
        <v>46071.62860593857</v>
      </c>
      <c r="B937" s="8" t="s">
        <v>3558</v>
      </c>
      <c r="C937" s="8" t="s">
        <v>3559</v>
      </c>
      <c r="D937" s="9">
        <v>46075.0</v>
      </c>
      <c r="E937" s="10">
        <v>241.52</v>
      </c>
      <c r="F937" s="8" t="s">
        <v>308</v>
      </c>
      <c r="G937" s="13">
        <v>30.2202</v>
      </c>
      <c r="H937" s="13">
        <v>7.992</v>
      </c>
      <c r="I937" s="9">
        <v>46073.0</v>
      </c>
      <c r="J937" s="10">
        <v>237.5</v>
      </c>
      <c r="K937" s="8">
        <v>1086.0</v>
      </c>
      <c r="L937" s="8" t="s">
        <v>2627</v>
      </c>
      <c r="M937" s="11">
        <v>1.66</v>
      </c>
      <c r="N937" s="8" t="s">
        <v>3671</v>
      </c>
      <c r="O937" s="8">
        <v>1086.0</v>
      </c>
      <c r="P937" s="11">
        <v>52.4696</v>
      </c>
      <c r="Q937" s="8" t="s">
        <v>3561</v>
      </c>
      <c r="R937" s="11">
        <v>-0.4657</v>
      </c>
      <c r="S937" s="12">
        <v>1776351.0</v>
      </c>
      <c r="T937" s="12">
        <v>1.53337954385E11</v>
      </c>
      <c r="U937" s="13">
        <v>4.6837</v>
      </c>
      <c r="V937" s="13">
        <v>31.7068</v>
      </c>
      <c r="W937" s="13">
        <v>19.7843</v>
      </c>
      <c r="X937" s="13">
        <v>4.7901</v>
      </c>
      <c r="Y937" s="13">
        <v>2.5578</v>
      </c>
      <c r="Z937" s="13">
        <v>1.2978</v>
      </c>
      <c r="AA937" s="8" t="s">
        <v>2611</v>
      </c>
      <c r="AB937" s="14">
        <f>IFERROR(__xludf.DUMMYFUNCTION("IFERROR(GOOGLEFINANCE(B937,""price""),"""")"),235.06)</f>
        <v>235.06</v>
      </c>
    </row>
    <row r="938">
      <c r="A938" s="15">
        <v>46071.62860593857</v>
      </c>
      <c r="B938" s="16" t="s">
        <v>1766</v>
      </c>
      <c r="C938" s="16" t="s">
        <v>1767</v>
      </c>
      <c r="D938" s="17">
        <v>46075.0</v>
      </c>
      <c r="E938" s="18">
        <v>91.66</v>
      </c>
      <c r="F938" s="16" t="s">
        <v>917</v>
      </c>
      <c r="G938" s="21">
        <v>28.2231</v>
      </c>
      <c r="H938" s="21">
        <v>3.2477</v>
      </c>
      <c r="I938" s="17">
        <v>46073.0</v>
      </c>
      <c r="J938" s="18">
        <v>90.0</v>
      </c>
      <c r="K938" s="16">
        <v>1081.0</v>
      </c>
      <c r="L938" s="16" t="s">
        <v>2608</v>
      </c>
      <c r="M938" s="19">
        <v>1.81</v>
      </c>
      <c r="N938" s="16" t="s">
        <v>3672</v>
      </c>
      <c r="O938" s="16">
        <v>1081.0</v>
      </c>
      <c r="P938" s="19">
        <v>28.1209</v>
      </c>
      <c r="Q938" s="16" t="s">
        <v>1768</v>
      </c>
      <c r="R938" s="19">
        <v>-1.3772</v>
      </c>
      <c r="S938" s="20">
        <v>1766447.0</v>
      </c>
      <c r="T938" s="20">
        <v>5.9824789562E10</v>
      </c>
      <c r="U938" s="21">
        <v>2.0522</v>
      </c>
      <c r="V938" s="21">
        <v>7.0975</v>
      </c>
      <c r="W938" s="21">
        <v>23.4727</v>
      </c>
      <c r="X938" s="21">
        <v>9.067</v>
      </c>
      <c r="Y938" s="21">
        <v>1.0777</v>
      </c>
      <c r="Z938" s="21">
        <v>1.5873</v>
      </c>
      <c r="AA938" s="16" t="s">
        <v>2611</v>
      </c>
      <c r="AB938" s="22">
        <f>IFERROR(__xludf.DUMMYFUNCTION("IFERROR(GOOGLEFINANCE(B938,""price""),"""")"),98.82)</f>
        <v>98.82</v>
      </c>
    </row>
    <row r="939">
      <c r="A939" s="7">
        <v>46071.62860593857</v>
      </c>
      <c r="B939" s="8" t="s">
        <v>2768</v>
      </c>
      <c r="C939" s="8" t="s">
        <v>2769</v>
      </c>
      <c r="D939" s="9">
        <v>46075.0</v>
      </c>
      <c r="E939" s="10">
        <v>296.065</v>
      </c>
      <c r="F939" s="8" t="s">
        <v>308</v>
      </c>
      <c r="G939" s="13">
        <v>29.7233</v>
      </c>
      <c r="H939" s="13">
        <v>9.9607</v>
      </c>
      <c r="I939" s="9">
        <v>46073.0</v>
      </c>
      <c r="J939" s="10">
        <v>300.0</v>
      </c>
      <c r="K939" s="8">
        <v>1036.0</v>
      </c>
      <c r="L939" s="8" t="s">
        <v>2608</v>
      </c>
      <c r="M939" s="11">
        <v>1.33</v>
      </c>
      <c r="N939" s="8" t="s">
        <v>3673</v>
      </c>
      <c r="O939" s="8">
        <v>1036.0</v>
      </c>
      <c r="P939" s="11">
        <v>37.3498</v>
      </c>
      <c r="Q939" s="8" t="s">
        <v>2771</v>
      </c>
      <c r="R939" s="11">
        <v>4.2079</v>
      </c>
      <c r="S939" s="12">
        <v>1.0595136E7</v>
      </c>
      <c r="T939" s="12">
        <v>1.00377260562E11</v>
      </c>
      <c r="U939" s="13">
        <v>21.8628</v>
      </c>
      <c r="V939" s="13">
        <v>41.2731</v>
      </c>
      <c r="W939" s="13">
        <v>27.8834</v>
      </c>
      <c r="X939" s="13">
        <v>-31.1967</v>
      </c>
      <c r="Y939" s="13">
        <v>0.7076</v>
      </c>
      <c r="Z939" s="13">
        <v>1.455</v>
      </c>
      <c r="AA939" s="8" t="s">
        <v>2620</v>
      </c>
      <c r="AB939" s="14">
        <f>IFERROR(__xludf.DUMMYFUNCTION("IFERROR(GOOGLEFINANCE(B939,""price""),"""")"),343.43)</f>
        <v>343.43</v>
      </c>
    </row>
    <row r="940">
      <c r="A940" s="15">
        <v>46071.62860593857</v>
      </c>
      <c r="B940" s="16" t="s">
        <v>3562</v>
      </c>
      <c r="C940" s="16" t="s">
        <v>3563</v>
      </c>
      <c r="D940" s="17">
        <v>46075.0</v>
      </c>
      <c r="E940" s="18">
        <v>31.445</v>
      </c>
      <c r="F940" s="16" t="s">
        <v>245</v>
      </c>
      <c r="G940" s="21">
        <v>14.5062</v>
      </c>
      <c r="H940" s="21">
        <v>2.1677</v>
      </c>
      <c r="I940" s="17">
        <v>46073.0</v>
      </c>
      <c r="J940" s="18">
        <v>31.0</v>
      </c>
      <c r="K940" s="16">
        <v>1005.0</v>
      </c>
      <c r="L940" s="16" t="s">
        <v>2608</v>
      </c>
      <c r="M940" s="19">
        <v>1.42</v>
      </c>
      <c r="N940" s="16" t="s">
        <v>3564</v>
      </c>
      <c r="O940" s="16">
        <v>1005.0</v>
      </c>
      <c r="P940" s="19">
        <v>51.0973</v>
      </c>
      <c r="Q940" s="16" t="s">
        <v>3565</v>
      </c>
      <c r="R940" s="19">
        <v>1.207</v>
      </c>
      <c r="S940" s="20">
        <v>6924349.0</v>
      </c>
      <c r="T940" s="20">
        <v>2.3855561697E10</v>
      </c>
      <c r="U940" s="21">
        <v>0.9407</v>
      </c>
      <c r="V940" s="21">
        <v>11.8554</v>
      </c>
      <c r="W940" s="21">
        <v>29.8129</v>
      </c>
      <c r="X940" s="21">
        <v>26.1343</v>
      </c>
      <c r="Y940" s="21">
        <v>0.2796</v>
      </c>
      <c r="Z940" s="21">
        <v>1.0248</v>
      </c>
      <c r="AA940" s="16" t="s">
        <v>2611</v>
      </c>
      <c r="AB940" s="22">
        <f>IFERROR(__xludf.DUMMYFUNCTION("IFERROR(GOOGLEFINANCE(B940,""price""),"""")"),33.41)</f>
        <v>33.41</v>
      </c>
    </row>
    <row r="941">
      <c r="A941" s="7">
        <v>46072.625809631</v>
      </c>
      <c r="B941" s="8" t="s">
        <v>2625</v>
      </c>
      <c r="C941" s="8" t="s">
        <v>2626</v>
      </c>
      <c r="D941" s="9">
        <v>46075.0</v>
      </c>
      <c r="E941" s="10">
        <v>124.93</v>
      </c>
      <c r="F941" s="8" t="s">
        <v>137</v>
      </c>
      <c r="G941" s="13">
        <v>43.8197</v>
      </c>
      <c r="H941" s="13">
        <v>2.851</v>
      </c>
      <c r="I941" s="9">
        <v>46073.0</v>
      </c>
      <c r="J941" s="10">
        <v>127.0</v>
      </c>
      <c r="K941" s="8">
        <v>8841.0</v>
      </c>
      <c r="L941" s="8" t="s">
        <v>2627</v>
      </c>
      <c r="M941" s="11">
        <v>1.66</v>
      </c>
      <c r="N941" s="8" t="s">
        <v>3674</v>
      </c>
      <c r="O941" s="8">
        <v>44541.0</v>
      </c>
      <c r="P941" s="11">
        <v>33.4828</v>
      </c>
      <c r="Q941" s="8" t="s">
        <v>2629</v>
      </c>
      <c r="R941" s="11">
        <v>-1.3347</v>
      </c>
      <c r="S941" s="12">
        <v>3.3071455E7</v>
      </c>
      <c r="T941" s="12">
        <v>9.95712983932E11</v>
      </c>
      <c r="U941" s="13">
        <v>3.4616</v>
      </c>
      <c r="V941" s="13">
        <v>24.8749</v>
      </c>
      <c r="W941" s="13">
        <v>4.1214</v>
      </c>
      <c r="X941" s="13">
        <v>4.3397</v>
      </c>
      <c r="Y941" s="13">
        <v>0.7121</v>
      </c>
      <c r="Z941" s="13">
        <v>0.8029</v>
      </c>
      <c r="AA941" s="8" t="s">
        <v>2620</v>
      </c>
      <c r="AB941" s="14">
        <f>IFERROR(__xludf.DUMMYFUNCTION("IFERROR(GOOGLEFINANCE(B941,""price""),"""")"),126.79)</f>
        <v>126.79</v>
      </c>
    </row>
    <row r="942">
      <c r="A942" s="15">
        <v>46072.625809631</v>
      </c>
      <c r="B942" s="16" t="s">
        <v>1489</v>
      </c>
      <c r="C942" s="16" t="s">
        <v>1490</v>
      </c>
      <c r="D942" s="17">
        <v>46075.0</v>
      </c>
      <c r="E942" s="18">
        <v>79.005</v>
      </c>
      <c r="F942" s="16" t="s">
        <v>308</v>
      </c>
      <c r="G942" s="21">
        <v>27.7913</v>
      </c>
      <c r="H942" s="21">
        <v>2.8428</v>
      </c>
      <c r="I942" s="17">
        <v>46073.0</v>
      </c>
      <c r="J942" s="18">
        <v>80.0</v>
      </c>
      <c r="K942" s="16">
        <v>14000.0</v>
      </c>
      <c r="L942" s="16" t="s">
        <v>2608</v>
      </c>
      <c r="M942" s="19">
        <v>1.26</v>
      </c>
      <c r="N942" s="16" t="s">
        <v>3675</v>
      </c>
      <c r="O942" s="16">
        <v>43009.0</v>
      </c>
      <c r="P942" s="19">
        <v>31.3512</v>
      </c>
      <c r="Q942" s="16" t="s">
        <v>1491</v>
      </c>
      <c r="R942" s="19">
        <v>1.0553</v>
      </c>
      <c r="S942" s="20">
        <v>1.2344298E7</v>
      </c>
      <c r="T942" s="20">
        <v>3.1206130293E11</v>
      </c>
      <c r="U942" s="21">
        <v>2.4799</v>
      </c>
      <c r="V942" s="21">
        <v>24.3402</v>
      </c>
      <c r="W942" s="21">
        <v>23.6377</v>
      </c>
      <c r="X942" s="21">
        <v>9.004</v>
      </c>
      <c r="Y942" s="21">
        <v>0.6651</v>
      </c>
      <c r="Z942" s="21">
        <v>0.9142</v>
      </c>
      <c r="AA942" s="16" t="s">
        <v>2620</v>
      </c>
      <c r="AB942" s="22">
        <f>IFERROR(__xludf.DUMMYFUNCTION("IFERROR(GOOGLEFINANCE(B942,""price""),"""")"),82.22)</f>
        <v>82.22</v>
      </c>
    </row>
    <row r="943">
      <c r="A943" s="7">
        <v>46072.625809631</v>
      </c>
      <c r="B943" s="8" t="s">
        <v>2630</v>
      </c>
      <c r="C943" s="8" t="s">
        <v>2631</v>
      </c>
      <c r="D943" s="9">
        <v>46075.0</v>
      </c>
      <c r="E943" s="10">
        <v>414.41</v>
      </c>
      <c r="F943" s="8" t="s">
        <v>308</v>
      </c>
      <c r="G943" s="13">
        <v>39.3926</v>
      </c>
      <c r="H943" s="13">
        <v>10.52</v>
      </c>
      <c r="I943" s="9">
        <v>46073.0</v>
      </c>
      <c r="J943" s="10">
        <v>410.0</v>
      </c>
      <c r="K943" s="8">
        <v>15754.0</v>
      </c>
      <c r="L943" s="8" t="s">
        <v>2608</v>
      </c>
      <c r="M943" s="11">
        <v>1.06</v>
      </c>
      <c r="N943" s="8" t="s">
        <v>3676</v>
      </c>
      <c r="O943" s="8">
        <v>39077.0</v>
      </c>
      <c r="P943" s="11">
        <v>36.5471</v>
      </c>
      <c r="Q943" s="8" t="s">
        <v>2633</v>
      </c>
      <c r="R943" s="11">
        <v>-1.5536</v>
      </c>
      <c r="S943" s="12">
        <v>1.8877565E7</v>
      </c>
      <c r="T943" s="12">
        <v>4.6642231315E11</v>
      </c>
      <c r="U943" s="13">
        <v>25.3854</v>
      </c>
      <c r="V943" s="13">
        <v>22.5543</v>
      </c>
      <c r="W943" s="13">
        <v>32.9221</v>
      </c>
      <c r="X943" s="13">
        <v>45.432</v>
      </c>
      <c r="Y943" s="13">
        <v>0.2124</v>
      </c>
      <c r="Z943" s="13">
        <v>2.4598</v>
      </c>
      <c r="AA943" s="8" t="s">
        <v>2611</v>
      </c>
      <c r="AB943" s="14">
        <f>IFERROR(__xludf.DUMMYFUNCTION("IFERROR(GOOGLEFINANCE(B943,""price""),"""")"),420.59)</f>
        <v>420.59</v>
      </c>
    </row>
    <row r="944">
      <c r="A944" s="15">
        <v>46072.625809631</v>
      </c>
      <c r="B944" s="16" t="s">
        <v>2638</v>
      </c>
      <c r="C944" s="16" t="s">
        <v>2639</v>
      </c>
      <c r="D944" s="17">
        <v>46075.0</v>
      </c>
      <c r="E944" s="18">
        <v>151.39</v>
      </c>
      <c r="F944" s="16" t="s">
        <v>245</v>
      </c>
      <c r="G944" s="21">
        <v>22.6131</v>
      </c>
      <c r="H944" s="21">
        <v>6.6948</v>
      </c>
      <c r="I944" s="17">
        <v>46073.0</v>
      </c>
      <c r="J944" s="18">
        <v>150.0</v>
      </c>
      <c r="K944" s="16">
        <v>8366.0</v>
      </c>
      <c r="L944" s="16" t="s">
        <v>2608</v>
      </c>
      <c r="M944" s="19">
        <v>0.92</v>
      </c>
      <c r="N944" s="16" t="s">
        <v>3677</v>
      </c>
      <c r="O944" s="16">
        <v>22882.0</v>
      </c>
      <c r="P944" s="19">
        <v>53.3951</v>
      </c>
      <c r="Q944" s="16" t="s">
        <v>2641</v>
      </c>
      <c r="R944" s="19">
        <v>0.4712</v>
      </c>
      <c r="S944" s="20">
        <v>1.335345E7</v>
      </c>
      <c r="T944" s="20">
        <v>6.38436658152E11</v>
      </c>
      <c r="U944" s="21">
        <v>3.5144</v>
      </c>
      <c r="V944" s="21">
        <v>11.0283</v>
      </c>
      <c r="W944" s="21">
        <v>10.3419</v>
      </c>
      <c r="X944" s="21">
        <v>-4.856</v>
      </c>
      <c r="Y944" s="21">
        <v>0.1871</v>
      </c>
      <c r="Z944" s="21">
        <v>1.1528</v>
      </c>
      <c r="AA944" s="16" t="s">
        <v>2611</v>
      </c>
      <c r="AB944" s="22">
        <f>IFERROR(__xludf.DUMMYFUNCTION("IFERROR(GOOGLEFINANCE(B944,""price""),"""")"),152.51)</f>
        <v>152.51</v>
      </c>
    </row>
    <row r="945">
      <c r="A945" s="7">
        <v>46072.625809631</v>
      </c>
      <c r="B945" s="8" t="s">
        <v>2616</v>
      </c>
      <c r="C945" s="8" t="s">
        <v>2617</v>
      </c>
      <c r="D945" s="9">
        <v>46075.0</v>
      </c>
      <c r="E945" s="10">
        <v>78.955</v>
      </c>
      <c r="F945" s="8" t="s">
        <v>286</v>
      </c>
      <c r="G945" s="13">
        <v>25.9849</v>
      </c>
      <c r="H945" s="13">
        <v>3.0385</v>
      </c>
      <c r="I945" s="9">
        <v>46073.0</v>
      </c>
      <c r="J945" s="10">
        <v>80.0</v>
      </c>
      <c r="K945" s="8">
        <v>7632.0</v>
      </c>
      <c r="L945" s="8" t="s">
        <v>2608</v>
      </c>
      <c r="M945" s="11">
        <v>1.32</v>
      </c>
      <c r="N945" s="8" t="s">
        <v>3678</v>
      </c>
      <c r="O945" s="8">
        <v>22603.0</v>
      </c>
      <c r="P945" s="11">
        <v>39.4311</v>
      </c>
      <c r="Q945" s="8" t="s">
        <v>2619</v>
      </c>
      <c r="R945" s="11">
        <v>-0.673</v>
      </c>
      <c r="S945" s="12">
        <v>8572079.0</v>
      </c>
      <c r="T945" s="12">
        <v>3.39633520523E11</v>
      </c>
      <c r="U945" s="13">
        <v>1.2936</v>
      </c>
      <c r="V945" s="13">
        <v>45.9693</v>
      </c>
      <c r="W945" s="13">
        <v>29.0951</v>
      </c>
      <c r="X945" s="13">
        <v>3.1925</v>
      </c>
      <c r="Y945" s="13">
        <v>1.4142</v>
      </c>
      <c r="Z945" s="13">
        <v>1.4588</v>
      </c>
      <c r="AA945" s="8" t="s">
        <v>2620</v>
      </c>
      <c r="AB945" s="14">
        <f>IFERROR(__xludf.DUMMYFUNCTION("IFERROR(GOOGLEFINANCE(B945,""price""),"""")"),77.47)</f>
        <v>77.47</v>
      </c>
    </row>
    <row r="946">
      <c r="A946" s="15">
        <v>46072.625809631</v>
      </c>
      <c r="B946" s="16" t="s">
        <v>3523</v>
      </c>
      <c r="C946" s="16" t="s">
        <v>3524</v>
      </c>
      <c r="D946" s="17">
        <v>46075.0</v>
      </c>
      <c r="E946" s="18">
        <v>41.725</v>
      </c>
      <c r="F946" s="16" t="s">
        <v>162</v>
      </c>
      <c r="G946" s="21">
        <v>27.0415</v>
      </c>
      <c r="H946" s="21">
        <v>1.543</v>
      </c>
      <c r="I946" s="17">
        <v>46073.0</v>
      </c>
      <c r="J946" s="18">
        <v>42.0</v>
      </c>
      <c r="K946" s="16">
        <v>7631.0</v>
      </c>
      <c r="L946" s="16" t="s">
        <v>2608</v>
      </c>
      <c r="M946" s="19">
        <v>0.66</v>
      </c>
      <c r="N946" s="16" t="s">
        <v>3679</v>
      </c>
      <c r="O946" s="16">
        <v>16736.0</v>
      </c>
      <c r="P946" s="19">
        <v>41.9162</v>
      </c>
      <c r="Q946" s="16" t="s">
        <v>3526</v>
      </c>
      <c r="R946" s="19">
        <v>0.8825</v>
      </c>
      <c r="S946" s="20">
        <v>6509894.0</v>
      </c>
      <c r="T946" s="20">
        <v>7.7590007068E10</v>
      </c>
      <c r="U946" s="21">
        <v>0.818</v>
      </c>
      <c r="V946" s="21">
        <v>22.5202</v>
      </c>
      <c r="W946" s="21">
        <v>33.2458</v>
      </c>
      <c r="X946" s="21">
        <v>-3.0812</v>
      </c>
      <c r="Y946" s="21">
        <v>1.4762</v>
      </c>
      <c r="Z946" s="21">
        <v>0.8139</v>
      </c>
      <c r="AA946" s="16" t="s">
        <v>2620</v>
      </c>
      <c r="AB946" s="22">
        <f>IFERROR(__xludf.DUMMYFUNCTION("IFERROR(GOOGLEFINANCE(B946,""price""),"""")"),42.24)</f>
        <v>42.24</v>
      </c>
    </row>
    <row r="947">
      <c r="A947" s="7">
        <v>46072.625809631</v>
      </c>
      <c r="B947" s="8" t="s">
        <v>2438</v>
      </c>
      <c r="C947" s="8" t="s">
        <v>2439</v>
      </c>
      <c r="D947" s="9">
        <v>46075.0</v>
      </c>
      <c r="E947" s="10">
        <v>217.97</v>
      </c>
      <c r="F947" s="8" t="s">
        <v>308</v>
      </c>
      <c r="G947" s="13">
        <v>40.0283</v>
      </c>
      <c r="H947" s="13">
        <v>5.4454</v>
      </c>
      <c r="I947" s="9">
        <v>46073.0</v>
      </c>
      <c r="J947" s="10">
        <v>220.0</v>
      </c>
      <c r="K947" s="8">
        <v>6708.0</v>
      </c>
      <c r="L947" s="8" t="s">
        <v>2608</v>
      </c>
      <c r="M947" s="11">
        <v>0.93</v>
      </c>
      <c r="N947" s="8" t="s">
        <v>3680</v>
      </c>
      <c r="O947" s="8">
        <v>15518.0</v>
      </c>
      <c r="P947" s="11">
        <v>50.798</v>
      </c>
      <c r="Q947" s="8" t="s">
        <v>2440</v>
      </c>
      <c r="R947" s="11">
        <v>-2.3957</v>
      </c>
      <c r="S947" s="12">
        <v>2961625.0</v>
      </c>
      <c r="T947" s="12">
        <v>1.97818836973E11</v>
      </c>
      <c r="U947" s="13">
        <v>6.7226</v>
      </c>
      <c r="V947" s="13">
        <v>29.9795</v>
      </c>
      <c r="W947" s="13">
        <v>34.7246</v>
      </c>
      <c r="X947" s="13">
        <v>13.049</v>
      </c>
      <c r="Y947" s="13">
        <v>0.9082</v>
      </c>
      <c r="Z947" s="13">
        <v>4.3526</v>
      </c>
      <c r="AA947" s="8" t="s">
        <v>2620</v>
      </c>
      <c r="AB947" s="14">
        <f>IFERROR(__xludf.DUMMYFUNCTION("IFERROR(GOOGLEFINANCE(B947,""price""),"""")"),214.73)</f>
        <v>214.73</v>
      </c>
    </row>
    <row r="948">
      <c r="A948" s="15">
        <v>46072.625809631</v>
      </c>
      <c r="B948" s="16" t="s">
        <v>3086</v>
      </c>
      <c r="C948" s="16" t="s">
        <v>3087</v>
      </c>
      <c r="D948" s="17">
        <v>46075.0</v>
      </c>
      <c r="E948" s="18">
        <v>67.845</v>
      </c>
      <c r="F948" s="16" t="s">
        <v>162</v>
      </c>
      <c r="G948" s="21">
        <v>8.8572</v>
      </c>
      <c r="H948" s="21">
        <v>7.6599</v>
      </c>
      <c r="I948" s="17">
        <v>46073.0</v>
      </c>
      <c r="J948" s="18">
        <v>67.5</v>
      </c>
      <c r="K948" s="16">
        <v>5968.0</v>
      </c>
      <c r="L948" s="16" t="s">
        <v>2627</v>
      </c>
      <c r="M948" s="19">
        <v>0.51</v>
      </c>
      <c r="N948" s="16" t="s">
        <v>3681</v>
      </c>
      <c r="O948" s="16">
        <v>15462.0</v>
      </c>
      <c r="P948" s="19">
        <v>17.2043</v>
      </c>
      <c r="Q948" s="16" t="s">
        <v>3089</v>
      </c>
      <c r="R948" s="19">
        <v>-4.5915</v>
      </c>
      <c r="S948" s="20">
        <v>6627025.0</v>
      </c>
      <c r="T948" s="20">
        <v>4.4311651112E10</v>
      </c>
      <c r="U948" s="21">
        <v>2.8196</v>
      </c>
      <c r="V948" s="21">
        <v>27.6988</v>
      </c>
      <c r="W948" s="21">
        <v>9.1882</v>
      </c>
      <c r="X948" s="21">
        <v>2.7935</v>
      </c>
      <c r="Y948" s="21">
        <v>0.9722</v>
      </c>
      <c r="Z948" s="21">
        <v>0.397</v>
      </c>
      <c r="AA948" s="16" t="s">
        <v>2611</v>
      </c>
      <c r="AB948" s="22">
        <f>IFERROR(__xludf.DUMMYFUNCTION("IFERROR(GOOGLEFINANCE(B948,""price""),"""")"),67.82)</f>
        <v>67.82</v>
      </c>
    </row>
    <row r="949">
      <c r="A949" s="7">
        <v>46072.625809631</v>
      </c>
      <c r="B949" s="8" t="s">
        <v>2634</v>
      </c>
      <c r="C949" s="8" t="s">
        <v>2635</v>
      </c>
      <c r="D949" s="9">
        <v>46075.0</v>
      </c>
      <c r="E949" s="10">
        <v>185.15</v>
      </c>
      <c r="F949" s="8" t="s">
        <v>245</v>
      </c>
      <c r="G949" s="13">
        <v>27.8383</v>
      </c>
      <c r="H949" s="13">
        <v>6.6509</v>
      </c>
      <c r="I949" s="9">
        <v>46073.0</v>
      </c>
      <c r="J949" s="10">
        <v>185.0</v>
      </c>
      <c r="K949" s="8">
        <v>4630.0</v>
      </c>
      <c r="L949" s="8" t="s">
        <v>2608</v>
      </c>
      <c r="M949" s="11">
        <v>0.08</v>
      </c>
      <c r="N949" s="8" t="s">
        <v>3682</v>
      </c>
      <c r="O949" s="8">
        <v>10787.0</v>
      </c>
      <c r="P949" s="11">
        <v>55.1692</v>
      </c>
      <c r="Q949" s="8" t="s">
        <v>2637</v>
      </c>
      <c r="R949" s="11">
        <v>0.6961</v>
      </c>
      <c r="S949" s="12">
        <v>7284483.0</v>
      </c>
      <c r="T949" s="12">
        <v>3.72803515533E11</v>
      </c>
      <c r="U949" s="13">
        <v>3.5636</v>
      </c>
      <c r="V949" s="13">
        <v>7.261</v>
      </c>
      <c r="W949" s="13">
        <v>8.9022</v>
      </c>
      <c r="X949" s="13">
        <v>-4.6053</v>
      </c>
      <c r="Y949" s="13">
        <v>0.2186</v>
      </c>
      <c r="Z949" s="23"/>
      <c r="AA949" s="8" t="s">
        <v>2611</v>
      </c>
      <c r="AB949" s="14">
        <f>IFERROR(__xludf.DUMMYFUNCTION("IFERROR(GOOGLEFINANCE(B949,""price""),"""")"),188.55)</f>
        <v>188.55</v>
      </c>
    </row>
    <row r="950">
      <c r="A950" s="15">
        <v>46072.625809631</v>
      </c>
      <c r="B950" s="16" t="s">
        <v>2621</v>
      </c>
      <c r="C950" s="16" t="s">
        <v>2622</v>
      </c>
      <c r="D950" s="17">
        <v>46075.0</v>
      </c>
      <c r="E950" s="18">
        <v>62.395</v>
      </c>
      <c r="F950" s="16" t="s">
        <v>335</v>
      </c>
      <c r="G950" s="21">
        <v>41.212</v>
      </c>
      <c r="H950" s="21">
        <v>1.514</v>
      </c>
      <c r="I950" s="17">
        <v>46073.0</v>
      </c>
      <c r="J950" s="18">
        <v>63.0</v>
      </c>
      <c r="K950" s="16">
        <v>4224.0</v>
      </c>
      <c r="L950" s="16" t="s">
        <v>2608</v>
      </c>
      <c r="M950" s="19">
        <v>0.97</v>
      </c>
      <c r="N950" s="16" t="s">
        <v>3683</v>
      </c>
      <c r="O950" s="16">
        <v>10784.0</v>
      </c>
      <c r="P950" s="19">
        <v>31.6307</v>
      </c>
      <c r="Q950" s="16" t="s">
        <v>2624</v>
      </c>
      <c r="R950" s="19">
        <v>-0.2478</v>
      </c>
      <c r="S950" s="20">
        <v>1.0764052E7</v>
      </c>
      <c r="T950" s="20">
        <v>8.9674196491E10</v>
      </c>
      <c r="U950" s="21">
        <v>2.8897</v>
      </c>
      <c r="V950" s="21">
        <v>11.9792</v>
      </c>
      <c r="W950" s="21">
        <v>22.7913</v>
      </c>
      <c r="X950" s="21">
        <v>-0.0477</v>
      </c>
      <c r="Y950" s="21">
        <v>0.5552</v>
      </c>
      <c r="Z950" s="21">
        <v>2.2911</v>
      </c>
      <c r="AA950" s="16" t="s">
        <v>2620</v>
      </c>
      <c r="AB950" s="22">
        <f>IFERROR(__xludf.DUMMYFUNCTION("IFERROR(GOOGLEFINANCE(B950,""price""),"""")"),67.8)</f>
        <v>67.8</v>
      </c>
    </row>
    <row r="951">
      <c r="A951" s="7">
        <v>46072.625809631</v>
      </c>
      <c r="B951" s="8" t="s">
        <v>3684</v>
      </c>
      <c r="C951" s="8" t="s">
        <v>3685</v>
      </c>
      <c r="D951" s="9">
        <v>46075.0</v>
      </c>
      <c r="E951" s="10">
        <v>36.925</v>
      </c>
      <c r="F951" s="8" t="s">
        <v>917</v>
      </c>
      <c r="G951" s="13">
        <v>25.1259</v>
      </c>
      <c r="H951" s="13">
        <v>1.4696</v>
      </c>
      <c r="I951" s="9">
        <v>46073.0</v>
      </c>
      <c r="J951" s="10">
        <v>37.0</v>
      </c>
      <c r="K951" s="8">
        <v>9702.0</v>
      </c>
      <c r="L951" s="8" t="s">
        <v>2608</v>
      </c>
      <c r="M951" s="11">
        <v>0.2</v>
      </c>
      <c r="N951" s="8" t="s">
        <v>3686</v>
      </c>
      <c r="O951" s="8">
        <v>9702.0</v>
      </c>
      <c r="P951" s="11">
        <v>18.7317</v>
      </c>
      <c r="Q951" s="8" t="s">
        <v>3687</v>
      </c>
      <c r="R951" s="11">
        <v>0.3124</v>
      </c>
      <c r="S951" s="12">
        <v>6682316.0</v>
      </c>
      <c r="T951" s="12">
        <v>2.731487086E10</v>
      </c>
      <c r="U951" s="13">
        <v>0.7111</v>
      </c>
      <c r="V951" s="13">
        <v>7.6548</v>
      </c>
      <c r="W951" s="13">
        <v>22.7865</v>
      </c>
      <c r="X951" s="13">
        <v>8.4158</v>
      </c>
      <c r="Y951" s="13">
        <v>1.3173</v>
      </c>
      <c r="Z951" s="13">
        <v>0.7742</v>
      </c>
      <c r="AA951" s="8" t="s">
        <v>2620</v>
      </c>
      <c r="AB951" s="14">
        <f>IFERROR(__xludf.DUMMYFUNCTION("IFERROR(GOOGLEFINANCE(B951,""price""),"""")"),39.65)</f>
        <v>39.65</v>
      </c>
    </row>
    <row r="952">
      <c r="A952" s="15">
        <v>46072.625809631</v>
      </c>
      <c r="B952" s="16" t="s">
        <v>2700</v>
      </c>
      <c r="C952" s="16" t="s">
        <v>2701</v>
      </c>
      <c r="D952" s="17">
        <v>46075.0</v>
      </c>
      <c r="E952" s="18">
        <v>236.22</v>
      </c>
      <c r="F952" s="16" t="s">
        <v>102</v>
      </c>
      <c r="G952" s="21">
        <v>48.4127</v>
      </c>
      <c r="H952" s="21">
        <v>4.8793</v>
      </c>
      <c r="I952" s="17">
        <v>46073.0</v>
      </c>
      <c r="J952" s="18">
        <v>240.0</v>
      </c>
      <c r="K952" s="16">
        <v>5273.0</v>
      </c>
      <c r="L952" s="16" t="s">
        <v>2608</v>
      </c>
      <c r="M952" s="19">
        <v>1.6</v>
      </c>
      <c r="N952" s="16" t="s">
        <v>3688</v>
      </c>
      <c r="O952" s="16">
        <v>9640.0</v>
      </c>
      <c r="P952" s="19">
        <v>31.8174</v>
      </c>
      <c r="Q952" s="16" t="s">
        <v>2703</v>
      </c>
      <c r="R952" s="19">
        <v>-1.6119</v>
      </c>
      <c r="S952" s="20">
        <v>4324125.0</v>
      </c>
      <c r="T952" s="20">
        <v>2.94984680198E11</v>
      </c>
      <c r="U952" s="21">
        <v>11.6983</v>
      </c>
      <c r="V952" s="21">
        <v>65.5649</v>
      </c>
      <c r="W952" s="21">
        <v>33.7646</v>
      </c>
      <c r="X952" s="21">
        <v>26.8457</v>
      </c>
      <c r="Y952" s="21">
        <v>0.4419</v>
      </c>
      <c r="Z952" s="21">
        <v>2.2562</v>
      </c>
      <c r="AA952" s="16" t="s">
        <v>2620</v>
      </c>
      <c r="AB952" s="22">
        <f>IFERROR(__xludf.DUMMYFUNCTION("IFERROR(GOOGLEFINANCE(B952,""price""),"""")"),263.66)</f>
        <v>263.66</v>
      </c>
    </row>
    <row r="953">
      <c r="A953" s="7">
        <v>46072.625809631</v>
      </c>
      <c r="B953" s="8" t="s">
        <v>2804</v>
      </c>
      <c r="C953" s="8" t="s">
        <v>2805</v>
      </c>
      <c r="D953" s="9">
        <v>46075.0</v>
      </c>
      <c r="E953" s="10">
        <v>129.93</v>
      </c>
      <c r="F953" s="8" t="s">
        <v>308</v>
      </c>
      <c r="G953" s="13">
        <v>70.6564</v>
      </c>
      <c r="H953" s="13">
        <v>1.8389</v>
      </c>
      <c r="I953" s="9">
        <v>46073.0</v>
      </c>
      <c r="J953" s="10">
        <v>132.0</v>
      </c>
      <c r="K953" s="8">
        <v>7819.0</v>
      </c>
      <c r="L953" s="8" t="s">
        <v>2608</v>
      </c>
      <c r="M953" s="11">
        <v>1.59</v>
      </c>
      <c r="N953" s="8" t="s">
        <v>3689</v>
      </c>
      <c r="O953" s="8">
        <v>9034.0</v>
      </c>
      <c r="P953" s="11">
        <v>45.4644</v>
      </c>
      <c r="Q953" s="8" t="s">
        <v>2807</v>
      </c>
      <c r="R953" s="11">
        <v>-1.5756</v>
      </c>
      <c r="S953" s="12">
        <v>6069189.0</v>
      </c>
      <c r="T953" s="12">
        <v>1.11473194608E11</v>
      </c>
      <c r="U953" s="13">
        <v>6.1147</v>
      </c>
      <c r="V953" s="13">
        <v>14.1911</v>
      </c>
      <c r="W953" s="13">
        <v>15.3241</v>
      </c>
      <c r="X953" s="13">
        <v>19.1416</v>
      </c>
      <c r="Y953" s="13">
        <v>0.7942</v>
      </c>
      <c r="Z953" s="13">
        <v>1.5878</v>
      </c>
      <c r="AA953" s="8" t="s">
        <v>2620</v>
      </c>
      <c r="AB953" s="14">
        <f>IFERROR(__xludf.DUMMYFUNCTION("IFERROR(GOOGLEFINANCE(B953,""price""),"""")"),171.24)</f>
        <v>171.24</v>
      </c>
    </row>
    <row r="954">
      <c r="A954" s="15">
        <v>46072.625809631</v>
      </c>
      <c r="B954" s="16" t="s">
        <v>3347</v>
      </c>
      <c r="C954" s="16" t="s">
        <v>3348</v>
      </c>
      <c r="D954" s="17">
        <v>46075.0</v>
      </c>
      <c r="E954" s="18">
        <v>333.85</v>
      </c>
      <c r="F954" s="16" t="s">
        <v>308</v>
      </c>
      <c r="G954" s="21">
        <v>41.0196</v>
      </c>
      <c r="H954" s="21">
        <v>8.1388</v>
      </c>
      <c r="I954" s="17">
        <v>46073.0</v>
      </c>
      <c r="J954" s="18">
        <v>340.0</v>
      </c>
      <c r="K954" s="16">
        <v>4169.0</v>
      </c>
      <c r="L954" s="16" t="s">
        <v>2608</v>
      </c>
      <c r="M954" s="19">
        <v>1.84</v>
      </c>
      <c r="N954" s="16" t="s">
        <v>3690</v>
      </c>
      <c r="O954" s="16">
        <v>8177.0</v>
      </c>
      <c r="P954" s="19">
        <v>19.759</v>
      </c>
      <c r="Q954" s="16" t="s">
        <v>3350</v>
      </c>
      <c r="R954" s="19">
        <v>1.2956</v>
      </c>
      <c r="S954" s="20">
        <v>2571029.0</v>
      </c>
      <c r="T954" s="20">
        <v>3.50146405638E11</v>
      </c>
      <c r="U954" s="21">
        <v>9.7635</v>
      </c>
      <c r="V954" s="21">
        <v>45.2353</v>
      </c>
      <c r="W954" s="21">
        <v>18.207</v>
      </c>
      <c r="X954" s="21">
        <v>0.1223</v>
      </c>
      <c r="Y954" s="21">
        <v>1.1542</v>
      </c>
      <c r="Z954" s="21">
        <v>1.0415</v>
      </c>
      <c r="AA954" s="16" t="s">
        <v>2620</v>
      </c>
      <c r="AB954" s="22">
        <f>IFERROR(__xludf.DUMMYFUNCTION("IFERROR(GOOGLEFINANCE(B954,""price""),"""")"),308.35)</f>
        <v>308.35</v>
      </c>
    </row>
    <row r="955">
      <c r="A955" s="7">
        <v>46072.625809631</v>
      </c>
      <c r="B955" s="8" t="s">
        <v>3463</v>
      </c>
      <c r="C955" s="8" t="s">
        <v>3464</v>
      </c>
      <c r="D955" s="9">
        <v>46075.0</v>
      </c>
      <c r="E955" s="10">
        <v>59.65</v>
      </c>
      <c r="F955" s="8" t="s">
        <v>245</v>
      </c>
      <c r="G955" s="13">
        <v>18.001</v>
      </c>
      <c r="H955" s="13">
        <v>3.3137</v>
      </c>
      <c r="I955" s="9">
        <v>46073.0</v>
      </c>
      <c r="J955" s="10">
        <v>60.0</v>
      </c>
      <c r="K955" s="8">
        <v>6184.0</v>
      </c>
      <c r="L955" s="8" t="s">
        <v>2608</v>
      </c>
      <c r="M955" s="11">
        <v>0.59</v>
      </c>
      <c r="N955" s="8" t="s">
        <v>3691</v>
      </c>
      <c r="O955" s="8">
        <v>7982.0</v>
      </c>
      <c r="P955" s="11">
        <v>21.7077</v>
      </c>
      <c r="Q955" s="8" t="s">
        <v>3466</v>
      </c>
      <c r="R955" s="11">
        <v>1.7397</v>
      </c>
      <c r="S955" s="12">
        <v>1.1296835E7</v>
      </c>
      <c r="T955" s="12">
        <v>3.7225823944E10</v>
      </c>
      <c r="U955" s="13">
        <v>2.1042</v>
      </c>
      <c r="V955" s="13">
        <v>9.1961</v>
      </c>
      <c r="W955" s="13">
        <v>35.6577</v>
      </c>
      <c r="X955" s="13">
        <v>59.9561</v>
      </c>
      <c r="Y955" s="13">
        <v>0.3357</v>
      </c>
      <c r="Z955" s="13">
        <v>0.7627</v>
      </c>
      <c r="AA955" s="8" t="s">
        <v>2620</v>
      </c>
      <c r="AB955" s="14">
        <f>IFERROR(__xludf.DUMMYFUNCTION("IFERROR(GOOGLEFINANCE(B955,""price""),"""")"),58.68)</f>
        <v>58.68</v>
      </c>
    </row>
    <row r="956">
      <c r="A956" s="15">
        <v>46072.625809631</v>
      </c>
      <c r="B956" s="16" t="s">
        <v>1492</v>
      </c>
      <c r="C956" s="16" t="s">
        <v>1493</v>
      </c>
      <c r="D956" s="17">
        <v>46075.0</v>
      </c>
      <c r="E956" s="18">
        <v>24.895</v>
      </c>
      <c r="F956" s="16" t="s">
        <v>93</v>
      </c>
      <c r="G956" s="21">
        <v>13.2674</v>
      </c>
      <c r="H956" s="21">
        <v>1.8764</v>
      </c>
      <c r="I956" s="17">
        <v>46073.0</v>
      </c>
      <c r="J956" s="18">
        <v>25.0</v>
      </c>
      <c r="K956" s="16">
        <v>5402.0</v>
      </c>
      <c r="L956" s="16" t="s">
        <v>2608</v>
      </c>
      <c r="M956" s="19">
        <v>0.42</v>
      </c>
      <c r="N956" s="16" t="s">
        <v>3692</v>
      </c>
      <c r="O956" s="16">
        <v>7198.0</v>
      </c>
      <c r="P956" s="19">
        <v>20.2216</v>
      </c>
      <c r="Q956" s="16" t="s">
        <v>1494</v>
      </c>
      <c r="R956" s="19">
        <v>-0.8167</v>
      </c>
      <c r="S956" s="20">
        <v>3694026.0</v>
      </c>
      <c r="T956" s="20">
        <v>1.2074075183E10</v>
      </c>
      <c r="U956" s="21">
        <v>0.643</v>
      </c>
      <c r="V956" s="21">
        <v>11.1193</v>
      </c>
      <c r="W956" s="21">
        <v>25.6333</v>
      </c>
      <c r="X956" s="21">
        <v>-0.5598</v>
      </c>
      <c r="Y956" s="21">
        <v>0.517</v>
      </c>
      <c r="Z956" s="21">
        <v>0.2349</v>
      </c>
      <c r="AA956" s="16" t="s">
        <v>2620</v>
      </c>
      <c r="AB956" s="22">
        <f>IFERROR(__xludf.DUMMYFUNCTION("IFERROR(GOOGLEFINANCE(B956,""price""),"""")"),24.05)</f>
        <v>24.05</v>
      </c>
    </row>
    <row r="957">
      <c r="A957" s="7">
        <v>46072.625809631</v>
      </c>
      <c r="B957" s="8" t="s">
        <v>2658</v>
      </c>
      <c r="C957" s="8" t="s">
        <v>2659</v>
      </c>
      <c r="D957" s="9">
        <v>46075.0</v>
      </c>
      <c r="E957" s="10">
        <v>91.335</v>
      </c>
      <c r="F957" s="8" t="s">
        <v>917</v>
      </c>
      <c r="G957" s="13">
        <v>27.6748</v>
      </c>
      <c r="H957" s="13">
        <v>3.3003</v>
      </c>
      <c r="I957" s="9">
        <v>46073.0</v>
      </c>
      <c r="J957" s="10">
        <v>90.0</v>
      </c>
      <c r="K957" s="8">
        <v>4179.0</v>
      </c>
      <c r="L957" s="8" t="s">
        <v>2608</v>
      </c>
      <c r="M957" s="11">
        <v>1.46</v>
      </c>
      <c r="N957" s="8" t="s">
        <v>3693</v>
      </c>
      <c r="O957" s="8">
        <v>7194.0</v>
      </c>
      <c r="P957" s="11">
        <v>40.8055</v>
      </c>
      <c r="Q957" s="8" t="s">
        <v>2661</v>
      </c>
      <c r="R957" s="11">
        <v>0.1261</v>
      </c>
      <c r="S957" s="12">
        <v>4305790.0</v>
      </c>
      <c r="T957" s="12">
        <v>1.90298481919E11</v>
      </c>
      <c r="U957" s="13">
        <v>2.0824</v>
      </c>
      <c r="V957" s="13">
        <v>13.0533</v>
      </c>
      <c r="W957" s="13">
        <v>26.8934</v>
      </c>
      <c r="X957" s="13">
        <v>8.6905</v>
      </c>
      <c r="Y957" s="13">
        <v>1.7594</v>
      </c>
      <c r="Z957" s="13">
        <v>0.5953</v>
      </c>
      <c r="AA957" s="8" t="s">
        <v>2611</v>
      </c>
      <c r="AB957" s="14">
        <f>IFERROR(__xludf.DUMMYFUNCTION("IFERROR(GOOGLEFINANCE(B957,""price""),"""")"),94.08)</f>
        <v>94.08</v>
      </c>
    </row>
    <row r="958">
      <c r="A958" s="15">
        <v>46072.625809631</v>
      </c>
      <c r="B958" s="16" t="s">
        <v>2676</v>
      </c>
      <c r="C958" s="16" t="s">
        <v>2677</v>
      </c>
      <c r="D958" s="17">
        <v>46075.0</v>
      </c>
      <c r="E958" s="18">
        <v>29.645</v>
      </c>
      <c r="F958" s="16" t="s">
        <v>93</v>
      </c>
      <c r="G958" s="21">
        <v>12.9043</v>
      </c>
      <c r="H958" s="21">
        <v>2.2973</v>
      </c>
      <c r="I958" s="17">
        <v>46073.0</v>
      </c>
      <c r="J958" s="18">
        <v>30.0</v>
      </c>
      <c r="K958" s="16">
        <v>4262.0</v>
      </c>
      <c r="L958" s="16" t="s">
        <v>2608</v>
      </c>
      <c r="M958" s="19">
        <v>1.2</v>
      </c>
      <c r="N958" s="16" t="s">
        <v>3694</v>
      </c>
      <c r="O958" s="16">
        <v>6611.0</v>
      </c>
      <c r="P958" s="19">
        <v>24.9061</v>
      </c>
      <c r="Q958" s="16" t="s">
        <v>2679</v>
      </c>
      <c r="R958" s="19">
        <v>-1.3806</v>
      </c>
      <c r="S958" s="20">
        <v>1.0394488E7</v>
      </c>
      <c r="T958" s="20">
        <v>2.5995004148E10</v>
      </c>
      <c r="U958" s="21">
        <v>0.7402</v>
      </c>
      <c r="V958" s="21">
        <v>11.6787</v>
      </c>
      <c r="W958" s="21">
        <v>28.7373</v>
      </c>
      <c r="X958" s="21">
        <v>2.137</v>
      </c>
      <c r="Y958" s="21">
        <v>0.2565</v>
      </c>
      <c r="Z958" s="21">
        <v>0.1084</v>
      </c>
      <c r="AA958" s="16" t="s">
        <v>2620</v>
      </c>
      <c r="AB958" s="22">
        <f>IFERROR(__xludf.DUMMYFUNCTION("IFERROR(GOOGLEFINANCE(B958,""price""),"""")"),27.5)</f>
        <v>27.5</v>
      </c>
    </row>
    <row r="959">
      <c r="A959" s="7">
        <v>46072.625809631</v>
      </c>
      <c r="B959" s="8" t="s">
        <v>2692</v>
      </c>
      <c r="C959" s="8" t="s">
        <v>2693</v>
      </c>
      <c r="D959" s="9">
        <v>46075.0</v>
      </c>
      <c r="E959" s="10">
        <v>246.82</v>
      </c>
      <c r="F959" s="8" t="s">
        <v>117</v>
      </c>
      <c r="G959" s="13">
        <v>22.3451</v>
      </c>
      <c r="H959" s="13">
        <v>11.0458</v>
      </c>
      <c r="I959" s="9">
        <v>46073.0</v>
      </c>
      <c r="J959" s="10">
        <v>245.0</v>
      </c>
      <c r="K959" s="8">
        <v>3776.0</v>
      </c>
      <c r="L959" s="8" t="s">
        <v>2608</v>
      </c>
      <c r="M959" s="11">
        <v>0.74</v>
      </c>
      <c r="N959" s="8" t="s">
        <v>3695</v>
      </c>
      <c r="O959" s="8">
        <v>6600.0</v>
      </c>
      <c r="P959" s="11">
        <v>43.4955</v>
      </c>
      <c r="Q959" s="8" t="s">
        <v>2695</v>
      </c>
      <c r="R959" s="11">
        <v>0.747</v>
      </c>
      <c r="S959" s="12">
        <v>5241553.0</v>
      </c>
      <c r="T959" s="12">
        <v>5.94811266198E11</v>
      </c>
      <c r="U959" s="13">
        <v>3.5734</v>
      </c>
      <c r="V959" s="13">
        <v>35.0301</v>
      </c>
      <c r="W959" s="13">
        <v>27.2081</v>
      </c>
      <c r="X959" s="13">
        <v>6.046</v>
      </c>
      <c r="Y959" s="13">
        <v>0.605</v>
      </c>
      <c r="Z959" s="13">
        <v>1.0277</v>
      </c>
      <c r="AA959" s="8" t="s">
        <v>2611</v>
      </c>
      <c r="AB959" s="14">
        <f>IFERROR(__xludf.DUMMYFUNCTION("IFERROR(GOOGLEFINANCE(B959,""price""),"""")"),238.46)</f>
        <v>238.46</v>
      </c>
    </row>
    <row r="960">
      <c r="A960" s="15">
        <v>46072.625809631</v>
      </c>
      <c r="B960" s="16" t="s">
        <v>3443</v>
      </c>
      <c r="C960" s="16" t="s">
        <v>3444</v>
      </c>
      <c r="D960" s="17">
        <v>46075.0</v>
      </c>
      <c r="E960" s="18">
        <v>110.48</v>
      </c>
      <c r="F960" s="16" t="s">
        <v>162</v>
      </c>
      <c r="G960" s="21">
        <v>10.7979</v>
      </c>
      <c r="H960" s="21">
        <v>10.2316</v>
      </c>
      <c r="I960" s="17">
        <v>46073.0</v>
      </c>
      <c r="J960" s="18">
        <v>110.0</v>
      </c>
      <c r="K960" s="16">
        <v>4276.0</v>
      </c>
      <c r="L960" s="16" t="s">
        <v>2608</v>
      </c>
      <c r="M960" s="19">
        <v>0.43</v>
      </c>
      <c r="N960" s="16" t="s">
        <v>3696</v>
      </c>
      <c r="O960" s="16">
        <v>6286.0</v>
      </c>
      <c r="P960" s="19">
        <v>16.3716</v>
      </c>
      <c r="Q960" s="16" t="s">
        <v>3446</v>
      </c>
      <c r="R960" s="19">
        <v>-5.5161</v>
      </c>
      <c r="S960" s="20">
        <v>4066909.0</v>
      </c>
      <c r="T960" s="20">
        <v>3.5732592886E10</v>
      </c>
      <c r="U960" s="21">
        <v>5.4305</v>
      </c>
      <c r="V960" s="21">
        <v>23.9868</v>
      </c>
      <c r="W960" s="21">
        <v>8.4204</v>
      </c>
      <c r="X960" s="21">
        <v>3.5189</v>
      </c>
      <c r="Y960" s="21">
        <v>2.0309</v>
      </c>
      <c r="Z960" s="21">
        <v>0.645</v>
      </c>
      <c r="AA960" s="16" t="s">
        <v>2611</v>
      </c>
      <c r="AB960" s="22">
        <f>IFERROR(__xludf.DUMMYFUNCTION("IFERROR(GOOGLEFINANCE(B960,""price""),"""")"),96.4)</f>
        <v>96.4</v>
      </c>
    </row>
    <row r="961">
      <c r="A961" s="7">
        <v>46072.625809631</v>
      </c>
      <c r="B961" s="8" t="s">
        <v>3697</v>
      </c>
      <c r="C961" s="8" t="s">
        <v>3698</v>
      </c>
      <c r="D961" s="9">
        <v>46075.0</v>
      </c>
      <c r="E961" s="10">
        <v>47.295</v>
      </c>
      <c r="F961" s="8" t="s">
        <v>917</v>
      </c>
      <c r="G961" s="13">
        <v>17.2931</v>
      </c>
      <c r="H961" s="13">
        <v>2.7349</v>
      </c>
      <c r="I961" s="9">
        <v>46073.0</v>
      </c>
      <c r="J961" s="10">
        <v>47.0</v>
      </c>
      <c r="K961" s="8">
        <v>4784.0</v>
      </c>
      <c r="L961" s="8" t="s">
        <v>2608</v>
      </c>
      <c r="M961" s="11">
        <v>0.62</v>
      </c>
      <c r="N961" s="8" t="s">
        <v>3699</v>
      </c>
      <c r="O961" s="8">
        <v>5935.0</v>
      </c>
      <c r="P961" s="11">
        <v>26.2694</v>
      </c>
      <c r="Q961" s="8" t="s">
        <v>3700</v>
      </c>
      <c r="R961" s="11">
        <v>0.1164</v>
      </c>
      <c r="S961" s="12">
        <v>5487390.0</v>
      </c>
      <c r="T961" s="12">
        <v>4.8377706202E10</v>
      </c>
      <c r="U961" s="13">
        <v>1.0806</v>
      </c>
      <c r="V961" s="13">
        <v>9.9356</v>
      </c>
      <c r="W961" s="13">
        <v>21.2054</v>
      </c>
      <c r="X961" s="13">
        <v>5.3367</v>
      </c>
      <c r="Y961" s="13">
        <v>1.7554</v>
      </c>
      <c r="Z961" s="13">
        <v>0.924</v>
      </c>
      <c r="AA961" s="8" t="s">
        <v>2611</v>
      </c>
      <c r="AB961" s="14">
        <f>IFERROR(__xludf.DUMMYFUNCTION("IFERROR(GOOGLEFINANCE(B961,""price""),"""")"),48.57)</f>
        <v>48.57</v>
      </c>
    </row>
    <row r="962">
      <c r="A962" s="15">
        <v>46072.625809631</v>
      </c>
      <c r="B962" s="16" t="s">
        <v>2787</v>
      </c>
      <c r="C962" s="16" t="s">
        <v>2788</v>
      </c>
      <c r="D962" s="17">
        <v>46075.0</v>
      </c>
      <c r="E962" s="18">
        <v>183.285</v>
      </c>
      <c r="F962" s="16" t="s">
        <v>286</v>
      </c>
      <c r="G962" s="21">
        <v>25.2309</v>
      </c>
      <c r="H962" s="21">
        <v>7.2643</v>
      </c>
      <c r="I962" s="17">
        <v>46073.0</v>
      </c>
      <c r="J962" s="18">
        <v>180.0</v>
      </c>
      <c r="K962" s="16">
        <v>3448.0</v>
      </c>
      <c r="L962" s="16" t="s">
        <v>2608</v>
      </c>
      <c r="M962" s="19">
        <v>1.79</v>
      </c>
      <c r="N962" s="16" t="s">
        <v>3701</v>
      </c>
      <c r="O962" s="16">
        <v>5169.0</v>
      </c>
      <c r="P962" s="19">
        <v>30.1578</v>
      </c>
      <c r="Q962" s="16" t="s">
        <v>2790</v>
      </c>
      <c r="R962" s="19">
        <v>0.3367</v>
      </c>
      <c r="S962" s="20">
        <v>2079460.0</v>
      </c>
      <c r="T962" s="20">
        <v>2.8531601129E11</v>
      </c>
      <c r="U962" s="21">
        <v>4.2022</v>
      </c>
      <c r="V962" s="24"/>
      <c r="W962" s="21">
        <v>35.6093</v>
      </c>
      <c r="X962" s="21">
        <v>7.556</v>
      </c>
      <c r="Y962" s="24"/>
      <c r="Z962" s="21">
        <v>0.9582</v>
      </c>
      <c r="AA962" s="16" t="s">
        <v>2611</v>
      </c>
      <c r="AB962" s="22">
        <f>IFERROR(__xludf.DUMMYFUNCTION("IFERROR(GOOGLEFINANCE(B962,""price""),"""")"),160.45)</f>
        <v>160.45</v>
      </c>
    </row>
    <row r="963">
      <c r="A963" s="7">
        <v>46072.625809631</v>
      </c>
      <c r="B963" s="8" t="s">
        <v>2775</v>
      </c>
      <c r="C963" s="8" t="s">
        <v>2776</v>
      </c>
      <c r="D963" s="9">
        <v>46075.0</v>
      </c>
      <c r="E963" s="10">
        <v>57.825</v>
      </c>
      <c r="F963" s="8" t="s">
        <v>93</v>
      </c>
      <c r="G963" s="13">
        <v>12.5222</v>
      </c>
      <c r="H963" s="13">
        <v>4.6178</v>
      </c>
      <c r="I963" s="9">
        <v>46073.0</v>
      </c>
      <c r="J963" s="10">
        <v>57.5</v>
      </c>
      <c r="K963" s="8">
        <v>3097.0</v>
      </c>
      <c r="L963" s="8" t="s">
        <v>2608</v>
      </c>
      <c r="M963" s="11">
        <v>0.56</v>
      </c>
      <c r="N963" s="8" t="s">
        <v>3702</v>
      </c>
      <c r="O963" s="8">
        <v>4360.0</v>
      </c>
      <c r="P963" s="11">
        <v>26.883</v>
      </c>
      <c r="Q963" s="8" t="s">
        <v>2778</v>
      </c>
      <c r="R963" s="11">
        <v>-1.5912</v>
      </c>
      <c r="S963" s="12">
        <v>4950873.0</v>
      </c>
      <c r="T963" s="12">
        <v>8.9885148226E10</v>
      </c>
      <c r="U963" s="13">
        <v>1.3266</v>
      </c>
      <c r="V963" s="13">
        <v>12.1773</v>
      </c>
      <c r="W963" s="13">
        <v>23.9548</v>
      </c>
      <c r="X963" s="13">
        <v>2.1447</v>
      </c>
      <c r="Y963" s="13">
        <v>1.1953</v>
      </c>
      <c r="Z963" s="13">
        <v>0.4632</v>
      </c>
      <c r="AA963" s="8" t="s">
        <v>2611</v>
      </c>
      <c r="AB963" s="14">
        <f>IFERROR(__xludf.DUMMYFUNCTION("IFERROR(GOOGLEFINANCE(B963,""price""),"""")"),55.66)</f>
        <v>55.66</v>
      </c>
    </row>
    <row r="964">
      <c r="A964" s="15">
        <v>46072.625809631</v>
      </c>
      <c r="B964" s="16" t="s">
        <v>3237</v>
      </c>
      <c r="C964" s="16" t="s">
        <v>3238</v>
      </c>
      <c r="D964" s="17">
        <v>46075.0</v>
      </c>
      <c r="E964" s="18">
        <v>327.29</v>
      </c>
      <c r="F964" s="16" t="s">
        <v>149</v>
      </c>
      <c r="G964" s="21">
        <v>27.3826</v>
      </c>
      <c r="H964" s="21">
        <v>11.9525</v>
      </c>
      <c r="I964" s="17">
        <v>46073.0</v>
      </c>
      <c r="J964" s="18">
        <v>325.0</v>
      </c>
      <c r="K964" s="16">
        <v>2128.0</v>
      </c>
      <c r="L964" s="16" t="s">
        <v>2608</v>
      </c>
      <c r="M964" s="19">
        <v>0.7</v>
      </c>
      <c r="N964" s="16" t="s">
        <v>3703</v>
      </c>
      <c r="O964" s="16">
        <v>4200.0</v>
      </c>
      <c r="P964" s="19">
        <v>33.6782</v>
      </c>
      <c r="Q964" s="16" t="s">
        <v>3240</v>
      </c>
      <c r="R964" s="19">
        <v>-0.183</v>
      </c>
      <c r="S964" s="20">
        <v>2532821.0</v>
      </c>
      <c r="T964" s="20">
        <v>2.33081010213E11</v>
      </c>
      <c r="U964" s="21">
        <v>5.7755</v>
      </c>
      <c r="V964" s="24"/>
      <c r="W964" s="21">
        <v>46.1038</v>
      </c>
      <c r="X964" s="21">
        <v>3.723</v>
      </c>
      <c r="Y964" s="24"/>
      <c r="Z964" s="21">
        <v>0.9546</v>
      </c>
      <c r="AA964" s="16" t="s">
        <v>2611</v>
      </c>
      <c r="AB964" s="22">
        <f>IFERROR(__xludf.DUMMYFUNCTION("IFERROR(GOOGLEFINANCE(B964,""price""),"""")"),305.68)</f>
        <v>305.68</v>
      </c>
    </row>
    <row r="965">
      <c r="A965" s="7">
        <v>46072.625809631</v>
      </c>
      <c r="B965" s="8" t="s">
        <v>3542</v>
      </c>
      <c r="C965" s="8" t="s">
        <v>3543</v>
      </c>
      <c r="D965" s="9">
        <v>46075.0</v>
      </c>
      <c r="E965" s="10">
        <v>151.19</v>
      </c>
      <c r="F965" s="8" t="s">
        <v>308</v>
      </c>
      <c r="G965" s="13">
        <v>36.9251</v>
      </c>
      <c r="H965" s="13">
        <v>4.0945</v>
      </c>
      <c r="I965" s="9">
        <v>46073.0</v>
      </c>
      <c r="J965" s="10">
        <v>152.5</v>
      </c>
      <c r="K965" s="8">
        <v>2302.0</v>
      </c>
      <c r="L965" s="8" t="s">
        <v>2608</v>
      </c>
      <c r="M965" s="11">
        <v>0.87</v>
      </c>
      <c r="N965" s="8" t="s">
        <v>3640</v>
      </c>
      <c r="O965" s="8">
        <v>3975.0</v>
      </c>
      <c r="P965" s="11">
        <v>21.8375</v>
      </c>
      <c r="Q965" s="8" t="s">
        <v>3545</v>
      </c>
      <c r="R965" s="11">
        <v>0.0331</v>
      </c>
      <c r="S965" s="12">
        <v>1492791.0</v>
      </c>
      <c r="T965" s="12">
        <v>8.501444856E10</v>
      </c>
      <c r="U965" s="13">
        <v>4.9042</v>
      </c>
      <c r="V965" s="13">
        <v>11.3131</v>
      </c>
      <c r="W965" s="13">
        <v>19.8768</v>
      </c>
      <c r="X965" s="13">
        <v>3.607</v>
      </c>
      <c r="Y965" s="13">
        <v>0.6933</v>
      </c>
      <c r="Z965" s="13">
        <v>0.8406</v>
      </c>
      <c r="AA965" s="8" t="s">
        <v>2620</v>
      </c>
      <c r="AB965" s="14">
        <f>IFERROR(__xludf.DUMMYFUNCTION("IFERROR(GOOGLEFINANCE(B965,""price""),"""")"),143.77)</f>
        <v>143.77</v>
      </c>
    </row>
    <row r="966">
      <c r="A966" s="15">
        <v>46072.625809631</v>
      </c>
      <c r="B966" s="16" t="s">
        <v>3022</v>
      </c>
      <c r="C966" s="16" t="s">
        <v>3023</v>
      </c>
      <c r="D966" s="17">
        <v>46075.0</v>
      </c>
      <c r="E966" s="18">
        <v>757.75</v>
      </c>
      <c r="F966" s="16" t="s">
        <v>102</v>
      </c>
      <c r="G966" s="21">
        <v>40.2491</v>
      </c>
      <c r="H966" s="21">
        <v>18.8265</v>
      </c>
      <c r="I966" s="17">
        <v>46073.0</v>
      </c>
      <c r="J966" s="18">
        <v>750.0</v>
      </c>
      <c r="K966" s="16">
        <v>1593.0</v>
      </c>
      <c r="L966" s="16" t="s">
        <v>2608</v>
      </c>
      <c r="M966" s="19">
        <v>1.02</v>
      </c>
      <c r="N966" s="16" t="s">
        <v>3704</v>
      </c>
      <c r="O966" s="16">
        <v>2990.0</v>
      </c>
      <c r="P966" s="19">
        <v>35.9586</v>
      </c>
      <c r="Q966" s="16" t="s">
        <v>3025</v>
      </c>
      <c r="R966" s="19">
        <v>0.7686</v>
      </c>
      <c r="S966" s="20">
        <v>2365686.0</v>
      </c>
      <c r="T966" s="20">
        <v>3.52571478391E11</v>
      </c>
      <c r="U966" s="21">
        <v>24.745</v>
      </c>
      <c r="V966" s="21">
        <v>43.5394</v>
      </c>
      <c r="W966" s="21">
        <v>17.1611</v>
      </c>
      <c r="X966" s="21">
        <v>4.2895</v>
      </c>
      <c r="Y966" s="21">
        <v>2.0667</v>
      </c>
      <c r="Z966" s="21">
        <v>1.4357</v>
      </c>
      <c r="AA966" s="16" t="s">
        <v>2611</v>
      </c>
      <c r="AB966" s="22">
        <f>IFERROR(__xludf.DUMMYFUNCTION("IFERROR(GOOGLEFINANCE(B966,""price""),"""")"),790.66)</f>
        <v>790.66</v>
      </c>
    </row>
    <row r="967">
      <c r="A967" s="7">
        <v>46072.625809631</v>
      </c>
      <c r="B967" s="8" t="s">
        <v>2646</v>
      </c>
      <c r="C967" s="8" t="s">
        <v>2647</v>
      </c>
      <c r="D967" s="9">
        <v>46075.0</v>
      </c>
      <c r="E967" s="10">
        <v>36.23</v>
      </c>
      <c r="F967" s="8" t="s">
        <v>270</v>
      </c>
      <c r="G967" s="13">
        <v>13.6434</v>
      </c>
      <c r="H967" s="13">
        <v>2.6555</v>
      </c>
      <c r="I967" s="9">
        <v>46073.0</v>
      </c>
      <c r="J967" s="10">
        <v>36.0</v>
      </c>
      <c r="K967" s="8">
        <v>2768.0</v>
      </c>
      <c r="L967" s="8" t="s">
        <v>2627</v>
      </c>
      <c r="M967" s="11">
        <v>0.63</v>
      </c>
      <c r="N967" s="8" t="s">
        <v>3705</v>
      </c>
      <c r="O967" s="8">
        <v>2768.0</v>
      </c>
      <c r="P967" s="11">
        <v>42.5024</v>
      </c>
      <c r="Q967" s="8" t="s">
        <v>2649</v>
      </c>
      <c r="R967" s="11">
        <v>0.3323</v>
      </c>
      <c r="S967" s="12">
        <v>3549442.0</v>
      </c>
      <c r="T967" s="12">
        <v>7.8377122783E10</v>
      </c>
      <c r="U967" s="13">
        <v>0.7121</v>
      </c>
      <c r="V967" s="23"/>
      <c r="W967" s="13">
        <v>13.037</v>
      </c>
      <c r="X967" s="13">
        <v>-5.779</v>
      </c>
      <c r="Y967" s="23"/>
      <c r="Z967" s="23"/>
      <c r="AA967" s="8" t="s">
        <v>2611</v>
      </c>
      <c r="AB967" s="14">
        <f>IFERROR(__xludf.DUMMYFUNCTION("IFERROR(GOOGLEFINANCE(B967,""price""),"""")"),37.35)</f>
        <v>37.35</v>
      </c>
    </row>
    <row r="968">
      <c r="A968" s="15">
        <v>46072.625809631</v>
      </c>
      <c r="B968" s="16" t="s">
        <v>2768</v>
      </c>
      <c r="C968" s="16" t="s">
        <v>2769</v>
      </c>
      <c r="D968" s="17">
        <v>46075.0</v>
      </c>
      <c r="E968" s="18">
        <v>284.89</v>
      </c>
      <c r="F968" s="16" t="s">
        <v>308</v>
      </c>
      <c r="G968" s="21">
        <v>28.6014</v>
      </c>
      <c r="H968" s="21">
        <v>9.9607</v>
      </c>
      <c r="I968" s="17">
        <v>46073.0</v>
      </c>
      <c r="J968" s="18">
        <v>290.0</v>
      </c>
      <c r="K968" s="16">
        <v>1344.0</v>
      </c>
      <c r="L968" s="16" t="s">
        <v>2608</v>
      </c>
      <c r="M968" s="19">
        <v>1.79</v>
      </c>
      <c r="N968" s="16" t="s">
        <v>3706</v>
      </c>
      <c r="O968" s="16">
        <v>2668.0</v>
      </c>
      <c r="P968" s="19">
        <v>37.0135</v>
      </c>
      <c r="Q968" s="16" t="s">
        <v>2771</v>
      </c>
      <c r="R968" s="19">
        <v>-3.9351</v>
      </c>
      <c r="S968" s="20">
        <v>7692089.0</v>
      </c>
      <c r="T968" s="20">
        <v>9.6588516036E10</v>
      </c>
      <c r="U968" s="21">
        <v>21.5755</v>
      </c>
      <c r="V968" s="21">
        <v>41.2731</v>
      </c>
      <c r="W968" s="21">
        <v>27.8834</v>
      </c>
      <c r="X968" s="21">
        <v>-31.1967</v>
      </c>
      <c r="Y968" s="21">
        <v>0.7076</v>
      </c>
      <c r="Z968" s="21">
        <v>1.455</v>
      </c>
      <c r="AA968" s="16" t="s">
        <v>2620</v>
      </c>
      <c r="AB968" s="22">
        <f>IFERROR(__xludf.DUMMYFUNCTION("IFERROR(GOOGLEFINANCE(B968,""price""),"""")"),343.43)</f>
        <v>343.43</v>
      </c>
    </row>
    <row r="969">
      <c r="A969" s="7">
        <v>46072.625809631</v>
      </c>
      <c r="B969" s="8" t="s">
        <v>3416</v>
      </c>
      <c r="C969" s="8" t="s">
        <v>3417</v>
      </c>
      <c r="D969" s="9">
        <v>46075.0</v>
      </c>
      <c r="E969" s="10">
        <v>67.815</v>
      </c>
      <c r="F969" s="8" t="s">
        <v>286</v>
      </c>
      <c r="G969" s="13">
        <v>16.4731</v>
      </c>
      <c r="H969" s="13">
        <v>4.1167</v>
      </c>
      <c r="I969" s="9">
        <v>46073.0</v>
      </c>
      <c r="J969" s="10">
        <v>68.0</v>
      </c>
      <c r="K969" s="8">
        <v>1576.0</v>
      </c>
      <c r="L969" s="8" t="s">
        <v>2608</v>
      </c>
      <c r="M969" s="11">
        <v>0.27</v>
      </c>
      <c r="N969" s="8" t="s">
        <v>3707</v>
      </c>
      <c r="O969" s="8">
        <v>2586.0</v>
      </c>
      <c r="P969" s="11">
        <v>27.9172</v>
      </c>
      <c r="Q969" s="8" t="s">
        <v>3419</v>
      </c>
      <c r="R969" s="11">
        <v>1.5651</v>
      </c>
      <c r="S969" s="12">
        <v>5358479.0</v>
      </c>
      <c r="T969" s="12">
        <v>1.13839102645E11</v>
      </c>
      <c r="U969" s="13">
        <v>1.4118</v>
      </c>
      <c r="V969" s="23"/>
      <c r="W969" s="13">
        <v>63.7221</v>
      </c>
      <c r="X969" s="13">
        <v>-1.4919</v>
      </c>
      <c r="Y969" s="23"/>
      <c r="Z969" s="13">
        <v>0.648</v>
      </c>
      <c r="AA969" s="8" t="s">
        <v>2620</v>
      </c>
      <c r="AB969" s="14">
        <f>IFERROR(__xludf.DUMMYFUNCTION("IFERROR(GOOGLEFINANCE(B969,""price""),"""")"),67.38)</f>
        <v>67.38</v>
      </c>
    </row>
    <row r="970">
      <c r="A970" s="15">
        <v>46072.625809631</v>
      </c>
      <c r="B970" s="16" t="s">
        <v>2973</v>
      </c>
      <c r="C970" s="16" t="s">
        <v>2974</v>
      </c>
      <c r="D970" s="17">
        <v>46075.0</v>
      </c>
      <c r="E970" s="18">
        <v>51.695</v>
      </c>
      <c r="F970" s="16" t="s">
        <v>93</v>
      </c>
      <c r="G970" s="21">
        <v>13.5419</v>
      </c>
      <c r="H970" s="21">
        <v>3.8174</v>
      </c>
      <c r="I970" s="17">
        <v>46073.0</v>
      </c>
      <c r="J970" s="18">
        <v>52.5</v>
      </c>
      <c r="K970" s="16">
        <v>2561.0</v>
      </c>
      <c r="L970" s="16" t="s">
        <v>2608</v>
      </c>
      <c r="M970" s="19">
        <v>1.56</v>
      </c>
      <c r="N970" s="16" t="s">
        <v>3594</v>
      </c>
      <c r="O970" s="16">
        <v>2561.0</v>
      </c>
      <c r="P970" s="19">
        <v>19.7302</v>
      </c>
      <c r="Q970" s="16" t="s">
        <v>2976</v>
      </c>
      <c r="R970" s="19">
        <v>-1.8884</v>
      </c>
      <c r="S970" s="20">
        <v>7078802.0</v>
      </c>
      <c r="T970" s="20">
        <v>6.6130631403E10</v>
      </c>
      <c r="U970" s="21">
        <v>1.2598</v>
      </c>
      <c r="V970" s="21">
        <v>8.2363</v>
      </c>
      <c r="W970" s="21">
        <v>21.1616</v>
      </c>
      <c r="X970" s="21">
        <v>24.2886</v>
      </c>
      <c r="Y970" s="21">
        <v>1.0708</v>
      </c>
      <c r="Z970" s="21">
        <v>0.3413</v>
      </c>
      <c r="AA970" s="16" t="s">
        <v>2620</v>
      </c>
      <c r="AB970" s="22">
        <f>IFERROR(__xludf.DUMMYFUNCTION("IFERROR(GOOGLEFINANCE(B970,""price""),"""")"),49.6)</f>
        <v>49.6</v>
      </c>
    </row>
    <row r="971">
      <c r="A971" s="7">
        <v>46072.625809631</v>
      </c>
      <c r="B971" s="8" t="s">
        <v>2505</v>
      </c>
      <c r="C971" s="8" t="s">
        <v>2506</v>
      </c>
      <c r="D971" s="9">
        <v>46075.0</v>
      </c>
      <c r="E971" s="10">
        <v>180.445</v>
      </c>
      <c r="F971" s="8" t="s">
        <v>335</v>
      </c>
      <c r="G971" s="13">
        <v>23.9393</v>
      </c>
      <c r="H971" s="13">
        <v>7.5376</v>
      </c>
      <c r="I971" s="9">
        <v>46073.0</v>
      </c>
      <c r="J971" s="10">
        <v>180.0</v>
      </c>
      <c r="K971" s="8">
        <v>1546.0</v>
      </c>
      <c r="L971" s="8" t="s">
        <v>2627</v>
      </c>
      <c r="M971" s="11">
        <v>0.25</v>
      </c>
      <c r="N971" s="8" t="s">
        <v>3708</v>
      </c>
      <c r="O971" s="8">
        <v>2553.0</v>
      </c>
      <c r="P971" s="11">
        <v>20.3538</v>
      </c>
      <c r="Q971" s="8" t="s">
        <v>2507</v>
      </c>
      <c r="R971" s="11">
        <v>-2.219</v>
      </c>
      <c r="S971" s="12">
        <v>1288095.0</v>
      </c>
      <c r="T971" s="12">
        <v>4.1296399011E10</v>
      </c>
      <c r="U971" s="13">
        <v>5.69</v>
      </c>
      <c r="V971" s="13">
        <v>8.4356</v>
      </c>
      <c r="W971" s="13">
        <v>8.2261</v>
      </c>
      <c r="X971" s="13">
        <v>5.7251</v>
      </c>
      <c r="Y971" s="13">
        <v>0.3401</v>
      </c>
      <c r="Z971" s="13">
        <v>2.9383</v>
      </c>
      <c r="AA971" s="8" t="s">
        <v>2611</v>
      </c>
      <c r="AB971" s="14">
        <f>IFERROR(__xludf.DUMMYFUNCTION("IFERROR(GOOGLEFINANCE(B971,""price""),"""")"),186.12)</f>
        <v>186.12</v>
      </c>
    </row>
    <row r="972">
      <c r="A972" s="15">
        <v>46072.625809631</v>
      </c>
      <c r="B972" s="16" t="s">
        <v>2344</v>
      </c>
      <c r="C972" s="16" t="s">
        <v>2345</v>
      </c>
      <c r="D972" s="17">
        <v>46075.0</v>
      </c>
      <c r="E972" s="18">
        <v>71.96</v>
      </c>
      <c r="F972" s="16" t="s">
        <v>270</v>
      </c>
      <c r="G972" s="24"/>
      <c r="H972" s="24"/>
      <c r="I972" s="17">
        <v>46073.0</v>
      </c>
      <c r="J972" s="18">
        <v>73.0</v>
      </c>
      <c r="K972" s="16">
        <v>1518.0</v>
      </c>
      <c r="L972" s="16" t="s">
        <v>2608</v>
      </c>
      <c r="M972" s="19">
        <v>1.45</v>
      </c>
      <c r="N972" s="16" t="s">
        <v>3709</v>
      </c>
      <c r="O972" s="16">
        <v>2552.0</v>
      </c>
      <c r="P972" s="19">
        <v>44.9426</v>
      </c>
      <c r="Q972" s="16" t="s">
        <v>2346</v>
      </c>
      <c r="R972" s="19">
        <v>-0.2495</v>
      </c>
      <c r="S972" s="20">
        <v>4408706.0</v>
      </c>
      <c r="T972" s="20">
        <v>8.7878909291E10</v>
      </c>
      <c r="U972" s="21">
        <v>1.778</v>
      </c>
      <c r="V972" s="21">
        <v>20.7424</v>
      </c>
      <c r="W972" s="21">
        <v>36.7664</v>
      </c>
      <c r="X972" s="21">
        <v>10.611</v>
      </c>
      <c r="Y972" s="21">
        <v>2.2926</v>
      </c>
      <c r="Z972" s="21">
        <v>0.5313</v>
      </c>
      <c r="AA972" s="16" t="s">
        <v>2620</v>
      </c>
      <c r="AB972" s="22">
        <f>IFERROR(__xludf.DUMMYFUNCTION("IFERROR(GOOGLEFINANCE(B972,""price""),"""")"),72.74)</f>
        <v>72.74</v>
      </c>
    </row>
    <row r="973">
      <c r="A973" s="7">
        <v>46072.625809631</v>
      </c>
      <c r="B973" s="8" t="s">
        <v>2680</v>
      </c>
      <c r="C973" s="8" t="s">
        <v>2681</v>
      </c>
      <c r="D973" s="9">
        <v>46075.0</v>
      </c>
      <c r="E973" s="10">
        <v>199.025</v>
      </c>
      <c r="F973" s="8" t="s">
        <v>245</v>
      </c>
      <c r="G973" s="13">
        <v>26.0235</v>
      </c>
      <c r="H973" s="13">
        <v>7.6479</v>
      </c>
      <c r="I973" s="9">
        <v>46073.0</v>
      </c>
      <c r="J973" s="10">
        <v>200.0</v>
      </c>
      <c r="K973" s="8">
        <v>1409.0</v>
      </c>
      <c r="L973" s="8" t="s">
        <v>2608</v>
      </c>
      <c r="M973" s="11">
        <v>0.49</v>
      </c>
      <c r="N973" s="8" t="s">
        <v>3710</v>
      </c>
      <c r="O973" s="8">
        <v>2456.0</v>
      </c>
      <c r="P973" s="11">
        <v>38.0021</v>
      </c>
      <c r="Q973" s="8" t="s">
        <v>2683</v>
      </c>
      <c r="R973" s="11">
        <v>-0.2181</v>
      </c>
      <c r="S973" s="12">
        <v>1487883.0</v>
      </c>
      <c r="T973" s="12">
        <v>6.0704522057E10</v>
      </c>
      <c r="U973" s="13">
        <v>6.361</v>
      </c>
      <c r="V973" s="13">
        <v>9.7104</v>
      </c>
      <c r="W973" s="13">
        <v>3.6059</v>
      </c>
      <c r="X973" s="13">
        <v>-5.4437</v>
      </c>
      <c r="Y973" s="13">
        <v>0.4476</v>
      </c>
      <c r="Z973" s="13">
        <v>1.645</v>
      </c>
      <c r="AA973" s="8" t="s">
        <v>2620</v>
      </c>
      <c r="AB973" s="14">
        <f>IFERROR(__xludf.DUMMYFUNCTION("IFERROR(GOOGLEFINANCE(B973,""price""),"""")"),238.82)</f>
        <v>238.82</v>
      </c>
    </row>
    <row r="974">
      <c r="A974" s="15">
        <v>46072.625809631</v>
      </c>
      <c r="B974" s="16" t="s">
        <v>2696</v>
      </c>
      <c r="C974" s="16" t="s">
        <v>2697</v>
      </c>
      <c r="D974" s="17">
        <v>46075.0</v>
      </c>
      <c r="E974" s="18">
        <v>185.37</v>
      </c>
      <c r="F974" s="16" t="s">
        <v>162</v>
      </c>
      <c r="G974" s="21">
        <v>38.3543</v>
      </c>
      <c r="H974" s="21">
        <v>4.8331</v>
      </c>
      <c r="I974" s="17">
        <v>46073.0</v>
      </c>
      <c r="J974" s="18">
        <v>185.0</v>
      </c>
      <c r="K974" s="16">
        <v>2428.0</v>
      </c>
      <c r="L974" s="16" t="s">
        <v>2608</v>
      </c>
      <c r="M974" s="19">
        <v>0.2</v>
      </c>
      <c r="N974" s="16" t="s">
        <v>3711</v>
      </c>
      <c r="O974" s="16">
        <v>2428.0</v>
      </c>
      <c r="P974" s="19">
        <v>45.6021</v>
      </c>
      <c r="Q974" s="16" t="s">
        <v>2699</v>
      </c>
      <c r="R974" s="19">
        <v>-0.2636</v>
      </c>
      <c r="S974" s="20">
        <v>1477436.0</v>
      </c>
      <c r="T974" s="20">
        <v>2.1988744136E10</v>
      </c>
      <c r="U974" s="21">
        <v>7.995</v>
      </c>
      <c r="V974" s="21">
        <v>32.9109</v>
      </c>
      <c r="W974" s="21">
        <v>4.9029</v>
      </c>
      <c r="X974" s="21">
        <v>-8.4186</v>
      </c>
      <c r="Y974" s="21">
        <v>0.756</v>
      </c>
      <c r="Z974" s="21">
        <v>1.5278</v>
      </c>
      <c r="AA974" s="16" t="s">
        <v>2611</v>
      </c>
      <c r="AB974" s="22">
        <f>IFERROR(__xludf.DUMMYFUNCTION("IFERROR(GOOGLEFINANCE(B974,""price""),"""")"),163.49)</f>
        <v>163.49</v>
      </c>
    </row>
    <row r="975">
      <c r="A975" s="7">
        <v>46072.625809631</v>
      </c>
      <c r="B975" s="8" t="s">
        <v>2843</v>
      </c>
      <c r="C975" s="8" t="s">
        <v>2844</v>
      </c>
      <c r="D975" s="9">
        <v>46075.0</v>
      </c>
      <c r="E975" s="10">
        <v>204.27</v>
      </c>
      <c r="F975" s="8" t="s">
        <v>308</v>
      </c>
      <c r="G975" s="13">
        <v>41.1635</v>
      </c>
      <c r="H975" s="13">
        <v>4.9624</v>
      </c>
      <c r="I975" s="9">
        <v>46073.0</v>
      </c>
      <c r="J975" s="10">
        <v>205.0</v>
      </c>
      <c r="K975" s="8">
        <v>2062.0</v>
      </c>
      <c r="L975" s="8" t="s">
        <v>2608</v>
      </c>
      <c r="M975" s="11">
        <v>0.36</v>
      </c>
      <c r="N975" s="8" t="s">
        <v>3712</v>
      </c>
      <c r="O975" s="8">
        <v>2062.0</v>
      </c>
      <c r="P975" s="11">
        <v>35.0979</v>
      </c>
      <c r="Q975" s="8" t="s">
        <v>2846</v>
      </c>
      <c r="R975" s="11">
        <v>-0.2637</v>
      </c>
      <c r="S975" s="12">
        <v>4130132.0</v>
      </c>
      <c r="T975" s="12">
        <v>2.74189084305E11</v>
      </c>
      <c r="U975" s="13">
        <v>4.8585</v>
      </c>
      <c r="V975" s="13">
        <v>10.7368</v>
      </c>
      <c r="W975" s="13">
        <v>10.0301</v>
      </c>
      <c r="X975" s="13">
        <v>9.7414</v>
      </c>
      <c r="Y975" s="13">
        <v>0.6124</v>
      </c>
      <c r="Z975" s="13">
        <v>0.9804</v>
      </c>
      <c r="AA975" s="8" t="s">
        <v>2620</v>
      </c>
      <c r="AB975" s="14">
        <f>IFERROR(__xludf.DUMMYFUNCTION("IFERROR(GOOGLEFINANCE(B975,""price""),"""")"),201.56)</f>
        <v>201.56</v>
      </c>
    </row>
    <row r="976">
      <c r="A976" s="15">
        <v>46072.625809631</v>
      </c>
      <c r="B976" s="16" t="s">
        <v>3713</v>
      </c>
      <c r="C976" s="16" t="s">
        <v>3714</v>
      </c>
      <c r="D976" s="17">
        <v>46075.0</v>
      </c>
      <c r="E976" s="18">
        <v>157.46</v>
      </c>
      <c r="F976" s="16" t="s">
        <v>149</v>
      </c>
      <c r="G976" s="21">
        <v>114.9343</v>
      </c>
      <c r="H976" s="21">
        <v>1.37</v>
      </c>
      <c r="I976" s="17">
        <v>46073.0</v>
      </c>
      <c r="J976" s="18">
        <v>155.0</v>
      </c>
      <c r="K976" s="16">
        <v>2056.0</v>
      </c>
      <c r="L976" s="16" t="s">
        <v>2608</v>
      </c>
      <c r="M976" s="19">
        <v>1.56</v>
      </c>
      <c r="N976" s="16" t="s">
        <v>3715</v>
      </c>
      <c r="O976" s="16">
        <v>2056.0</v>
      </c>
      <c r="P976" s="19">
        <v>21.2051</v>
      </c>
      <c r="Q976" s="16" t="s">
        <v>3716</v>
      </c>
      <c r="R976" s="19">
        <v>1.0784</v>
      </c>
      <c r="S976" s="20">
        <v>3673743.0</v>
      </c>
      <c r="T976" s="20">
        <v>3.6563667238E10</v>
      </c>
      <c r="U976" s="21">
        <v>5.0357</v>
      </c>
      <c r="V976" s="21">
        <v>79.6258</v>
      </c>
      <c r="W976" s="21">
        <v>6.0286</v>
      </c>
      <c r="X976" s="21">
        <v>5.3898</v>
      </c>
      <c r="Y976" s="21">
        <v>18.0088</v>
      </c>
      <c r="Z976" s="21">
        <v>0.9212</v>
      </c>
      <c r="AA976" s="16" t="s">
        <v>2611</v>
      </c>
      <c r="AB976" s="22">
        <f>IFERROR(__xludf.DUMMYFUNCTION("IFERROR(GOOGLEFINANCE(B976,""price""),"""")"),160.59)</f>
        <v>160.59</v>
      </c>
    </row>
    <row r="977">
      <c r="A977" s="7">
        <v>46072.625809631</v>
      </c>
      <c r="B977" s="8" t="s">
        <v>3516</v>
      </c>
      <c r="C977" s="8" t="s">
        <v>3517</v>
      </c>
      <c r="D977" s="9">
        <v>46075.0</v>
      </c>
      <c r="E977" s="10">
        <v>277.92</v>
      </c>
      <c r="F977" s="8" t="s">
        <v>137</v>
      </c>
      <c r="G977" s="13">
        <v>23.04</v>
      </c>
      <c r="H977" s="13">
        <v>12.0625</v>
      </c>
      <c r="I977" s="9">
        <v>46073.0</v>
      </c>
      <c r="J977" s="10">
        <v>280.0</v>
      </c>
      <c r="K977" s="8">
        <v>1934.0</v>
      </c>
      <c r="L977" s="8" t="s">
        <v>2608</v>
      </c>
      <c r="M977" s="11">
        <v>0.75</v>
      </c>
      <c r="N977" s="8" t="s">
        <v>3717</v>
      </c>
      <c r="O977" s="8">
        <v>1934.0</v>
      </c>
      <c r="P977" s="11">
        <v>27.0763</v>
      </c>
      <c r="Q977" s="8" t="s">
        <v>3519</v>
      </c>
      <c r="R977" s="11">
        <v>-1.4922</v>
      </c>
      <c r="S977" s="12">
        <v>1149863.0</v>
      </c>
      <c r="T977" s="12">
        <v>1.55899620238E11</v>
      </c>
      <c r="U977" s="13">
        <v>6.7868</v>
      </c>
      <c r="V977" s="23"/>
      <c r="W977" s="13">
        <v>12.099</v>
      </c>
      <c r="X977" s="13">
        <v>0.6366</v>
      </c>
      <c r="Y977" s="23"/>
      <c r="Z977" s="13">
        <v>1.0395</v>
      </c>
      <c r="AA977" s="8" t="s">
        <v>2620</v>
      </c>
      <c r="AB977" s="14">
        <f>IFERROR(__xludf.DUMMYFUNCTION("IFERROR(GOOGLEFINANCE(B977,""price""),"""")"),244.22)</f>
        <v>244.22</v>
      </c>
    </row>
    <row r="978">
      <c r="A978" s="15">
        <v>46072.625809631</v>
      </c>
      <c r="B978" s="16" t="s">
        <v>2663</v>
      </c>
      <c r="C978" s="16" t="s">
        <v>2664</v>
      </c>
      <c r="D978" s="17">
        <v>46075.0</v>
      </c>
      <c r="E978" s="18">
        <v>125.93</v>
      </c>
      <c r="F978" s="16" t="s">
        <v>335</v>
      </c>
      <c r="G978" s="21">
        <v>19.5759</v>
      </c>
      <c r="H978" s="21">
        <v>6.4329</v>
      </c>
      <c r="I978" s="17">
        <v>46073.0</v>
      </c>
      <c r="J978" s="18">
        <v>125.0</v>
      </c>
      <c r="K978" s="16">
        <v>1882.0</v>
      </c>
      <c r="L978" s="16" t="s">
        <v>2608</v>
      </c>
      <c r="M978" s="19">
        <v>0.74</v>
      </c>
      <c r="N978" s="16" t="s">
        <v>3718</v>
      </c>
      <c r="O978" s="16">
        <v>1882.0</v>
      </c>
      <c r="P978" s="19">
        <v>19.6414</v>
      </c>
      <c r="Q978" s="16" t="s">
        <v>2666</v>
      </c>
      <c r="R978" s="19">
        <v>0.9945</v>
      </c>
      <c r="S978" s="20">
        <v>4845037.0</v>
      </c>
      <c r="T978" s="20">
        <v>1.37422744656E11</v>
      </c>
      <c r="U978" s="21">
        <v>5.7414</v>
      </c>
      <c r="V978" s="21">
        <v>22.8383</v>
      </c>
      <c r="W978" s="21">
        <v>42.3718</v>
      </c>
      <c r="X978" s="21">
        <v>26.2476</v>
      </c>
      <c r="Y978" s="21">
        <v>0.1701</v>
      </c>
      <c r="Z978" s="21">
        <v>2.0393</v>
      </c>
      <c r="AA978" s="16" t="s">
        <v>2611</v>
      </c>
      <c r="AB978" s="22">
        <f>IFERROR(__xludf.DUMMYFUNCTION("IFERROR(GOOGLEFINANCE(B978,""price""),"""")"),120.9)</f>
        <v>120.9</v>
      </c>
    </row>
    <row r="979">
      <c r="A979" s="7">
        <v>46072.625809631</v>
      </c>
      <c r="B979" s="8" t="s">
        <v>2650</v>
      </c>
      <c r="C979" s="8" t="s">
        <v>2651</v>
      </c>
      <c r="D979" s="9">
        <v>46075.0</v>
      </c>
      <c r="E979" s="10">
        <v>231.605</v>
      </c>
      <c r="F979" s="8" t="s">
        <v>308</v>
      </c>
      <c r="G979" s="13">
        <v>229.2211</v>
      </c>
      <c r="H979" s="13">
        <v>1.0104</v>
      </c>
      <c r="I979" s="9">
        <v>46073.0</v>
      </c>
      <c r="J979" s="10">
        <v>227.5</v>
      </c>
      <c r="K979" s="8">
        <v>1874.0</v>
      </c>
      <c r="L979" s="8" t="s">
        <v>2608</v>
      </c>
      <c r="M979" s="11">
        <v>1.77</v>
      </c>
      <c r="N979" s="8" t="s">
        <v>3719</v>
      </c>
      <c r="O979" s="8">
        <v>1874.0</v>
      </c>
      <c r="P979" s="11">
        <v>15.8373</v>
      </c>
      <c r="Q979" s="8" t="s">
        <v>2653</v>
      </c>
      <c r="R979" s="11">
        <v>3.4459</v>
      </c>
      <c r="S979" s="12">
        <v>2958257.0</v>
      </c>
      <c r="T979" s="12">
        <v>4.3421735441E10</v>
      </c>
      <c r="U979" s="13">
        <v>17.9351</v>
      </c>
      <c r="V979" s="13">
        <v>3.6337</v>
      </c>
      <c r="W979" s="13">
        <v>11.7943</v>
      </c>
      <c r="X979" s="13">
        <v>18.6256</v>
      </c>
      <c r="Y979" s="13">
        <v>0.4153</v>
      </c>
      <c r="Z979" s="13">
        <v>2.2518</v>
      </c>
      <c r="AA979" s="8" t="s">
        <v>2611</v>
      </c>
      <c r="AB979" s="14">
        <f>IFERROR(__xludf.DUMMYFUNCTION("IFERROR(GOOGLEFINANCE(B979,""price""),"""")"),307.5)</f>
        <v>307.5</v>
      </c>
    </row>
    <row r="980">
      <c r="A980" s="15">
        <v>46072.625809631</v>
      </c>
      <c r="B980" s="16" t="s">
        <v>2726</v>
      </c>
      <c r="C980" s="16" t="s">
        <v>2727</v>
      </c>
      <c r="D980" s="17">
        <v>46075.0</v>
      </c>
      <c r="E980" s="18">
        <v>81.77</v>
      </c>
      <c r="F980" s="16" t="s">
        <v>286</v>
      </c>
      <c r="G980" s="21">
        <v>46.5502</v>
      </c>
      <c r="H980" s="21">
        <v>1.7566</v>
      </c>
      <c r="I980" s="17">
        <v>46073.0</v>
      </c>
      <c r="J980" s="18">
        <v>82.5</v>
      </c>
      <c r="K980" s="16">
        <v>1674.0</v>
      </c>
      <c r="L980" s="16" t="s">
        <v>2608</v>
      </c>
      <c r="M980" s="19">
        <v>0.89</v>
      </c>
      <c r="N980" s="16" t="s">
        <v>3720</v>
      </c>
      <c r="O980" s="16">
        <v>1674.0</v>
      </c>
      <c r="P980" s="19">
        <v>34.2402</v>
      </c>
      <c r="Q980" s="16" t="s">
        <v>2729</v>
      </c>
      <c r="R980" s="19">
        <v>-1.6951</v>
      </c>
      <c r="S980" s="20">
        <v>3911224.0</v>
      </c>
      <c r="T980" s="20">
        <v>7.9891022116E10</v>
      </c>
      <c r="U980" s="21">
        <v>1.5242</v>
      </c>
      <c r="V980" s="21">
        <v>25.538</v>
      </c>
      <c r="W980" s="21">
        <v>29.9505</v>
      </c>
      <c r="X980" s="21">
        <v>7.618</v>
      </c>
      <c r="Y980" s="21">
        <v>0.0</v>
      </c>
      <c r="Z980" s="21">
        <v>3.1855</v>
      </c>
      <c r="AA980" s="16" t="s">
        <v>2620</v>
      </c>
      <c r="AB980" s="22">
        <f>IFERROR(__xludf.DUMMYFUNCTION("IFERROR(GOOGLEFINANCE(B980,""price""),"""")"),75.72)</f>
        <v>75.72</v>
      </c>
    </row>
    <row r="981">
      <c r="A981" s="7">
        <v>46072.625809631</v>
      </c>
      <c r="B981" s="8" t="s">
        <v>3291</v>
      </c>
      <c r="C981" s="8" t="s">
        <v>3292</v>
      </c>
      <c r="D981" s="9">
        <v>46075.0</v>
      </c>
      <c r="E981" s="10">
        <v>233.205</v>
      </c>
      <c r="F981" s="8" t="s">
        <v>270</v>
      </c>
      <c r="G981" s="13">
        <v>34.814</v>
      </c>
      <c r="H981" s="13">
        <v>6.6986</v>
      </c>
      <c r="I981" s="9">
        <v>46073.0</v>
      </c>
      <c r="J981" s="10">
        <v>230.0</v>
      </c>
      <c r="K981" s="8">
        <v>1630.0</v>
      </c>
      <c r="L981" s="8" t="s">
        <v>2608</v>
      </c>
      <c r="M981" s="11">
        <v>1.37</v>
      </c>
      <c r="N981" s="8" t="s">
        <v>3721</v>
      </c>
      <c r="O981" s="8">
        <v>1630.0</v>
      </c>
      <c r="P981" s="11">
        <v>22.0938</v>
      </c>
      <c r="Q981" s="8" t="s">
        <v>3294</v>
      </c>
      <c r="R981" s="11">
        <v>-0.3653</v>
      </c>
      <c r="S981" s="12">
        <v>1746887.0</v>
      </c>
      <c r="T981" s="12">
        <v>9.4059920739E10</v>
      </c>
      <c r="U981" s="13">
        <v>4.7448</v>
      </c>
      <c r="V981" s="13">
        <v>29.6897</v>
      </c>
      <c r="W981" s="13">
        <v>18.2788</v>
      </c>
      <c r="X981" s="13">
        <v>14.2365</v>
      </c>
      <c r="Y981" s="13">
        <v>2.3941</v>
      </c>
      <c r="Z981" s="13">
        <v>0.8888</v>
      </c>
      <c r="AA981" s="8" t="s">
        <v>2611</v>
      </c>
      <c r="AB981" s="14">
        <f>IFERROR(__xludf.DUMMYFUNCTION("IFERROR(GOOGLEFINANCE(B981,""price""),"""")"),229.45)</f>
        <v>229.45</v>
      </c>
    </row>
    <row r="982">
      <c r="A982" s="15">
        <v>46072.625809631</v>
      </c>
      <c r="B982" s="16" t="s">
        <v>2722</v>
      </c>
      <c r="C982" s="16" t="s">
        <v>2723</v>
      </c>
      <c r="D982" s="17">
        <v>46075.0</v>
      </c>
      <c r="E982" s="18">
        <v>95.1449</v>
      </c>
      <c r="F982" s="16" t="s">
        <v>308</v>
      </c>
      <c r="G982" s="21">
        <v>4364.445</v>
      </c>
      <c r="H982" s="21">
        <v>0.0218</v>
      </c>
      <c r="I982" s="17">
        <v>46073.0</v>
      </c>
      <c r="J982" s="18">
        <v>95.0</v>
      </c>
      <c r="K982" s="16">
        <v>1564.0</v>
      </c>
      <c r="L982" s="16" t="s">
        <v>2608</v>
      </c>
      <c r="M982" s="19">
        <v>0.15</v>
      </c>
      <c r="N982" s="16" t="s">
        <v>3722</v>
      </c>
      <c r="O982" s="16">
        <v>1564.0</v>
      </c>
      <c r="P982" s="19">
        <v>34.76</v>
      </c>
      <c r="Q982" s="16" t="s">
        <v>2725</v>
      </c>
      <c r="R982" s="19">
        <v>-2.1445</v>
      </c>
      <c r="S982" s="20">
        <v>1014741.0</v>
      </c>
      <c r="T982" s="20">
        <v>1.3014510637E10</v>
      </c>
      <c r="U982" s="21">
        <v>5.1167</v>
      </c>
      <c r="V982" s="21">
        <v>0.4328</v>
      </c>
      <c r="W982" s="21">
        <v>2.9194</v>
      </c>
      <c r="X982" s="21">
        <v>2.721</v>
      </c>
      <c r="Y982" s="21">
        <v>0.059</v>
      </c>
      <c r="Z982" s="21">
        <v>3.0922</v>
      </c>
      <c r="AA982" s="16" t="s">
        <v>2611</v>
      </c>
      <c r="AB982" s="22">
        <f>IFERROR(__xludf.DUMMYFUNCTION("IFERROR(GOOGLEFINANCE(B982,""price""),"""")"),106.1)</f>
        <v>106.1</v>
      </c>
    </row>
    <row r="983">
      <c r="A983" s="7">
        <v>46072.625809631</v>
      </c>
      <c r="B983" s="8" t="s">
        <v>3531</v>
      </c>
      <c r="C983" s="8" t="s">
        <v>3532</v>
      </c>
      <c r="D983" s="9">
        <v>46075.0</v>
      </c>
      <c r="E983" s="10">
        <v>262.895</v>
      </c>
      <c r="F983" s="8" t="s">
        <v>162</v>
      </c>
      <c r="G983" s="13">
        <v>21.9384</v>
      </c>
      <c r="H983" s="13">
        <v>11.9833</v>
      </c>
      <c r="I983" s="9">
        <v>46073.0</v>
      </c>
      <c r="J983" s="10">
        <v>260.0</v>
      </c>
      <c r="K983" s="8">
        <v>1447.0</v>
      </c>
      <c r="L983" s="8" t="s">
        <v>2608</v>
      </c>
      <c r="M983" s="11">
        <v>1.1</v>
      </c>
      <c r="N983" s="8" t="s">
        <v>3723</v>
      </c>
      <c r="O983" s="8">
        <v>1447.0</v>
      </c>
      <c r="P983" s="11">
        <v>40.0836</v>
      </c>
      <c r="Q983" s="8" t="s">
        <v>3534</v>
      </c>
      <c r="R983" s="11">
        <v>-0.7943</v>
      </c>
      <c r="S983" s="12">
        <v>2373467.0</v>
      </c>
      <c r="T983" s="12">
        <v>1.55999636955E11</v>
      </c>
      <c r="U983" s="13">
        <v>4.9478</v>
      </c>
      <c r="V983" s="13">
        <v>40.3767</v>
      </c>
      <c r="W983" s="13">
        <v>40.0408</v>
      </c>
      <c r="X983" s="13">
        <v>1.0722</v>
      </c>
      <c r="Y983" s="13">
        <v>1.7773</v>
      </c>
      <c r="Z983" s="13">
        <v>0.9085</v>
      </c>
      <c r="AA983" s="8" t="s">
        <v>2611</v>
      </c>
      <c r="AB983" s="14">
        <f>IFERROR(__xludf.DUMMYFUNCTION("IFERROR(GOOGLEFINANCE(B983,""price""),"""")"),250.51)</f>
        <v>250.51</v>
      </c>
    </row>
    <row r="984">
      <c r="A984" s="15">
        <v>46072.625809631</v>
      </c>
      <c r="B984" s="16" t="s">
        <v>2521</v>
      </c>
      <c r="C984" s="16" t="s">
        <v>2522</v>
      </c>
      <c r="D984" s="17">
        <v>46075.0</v>
      </c>
      <c r="E984" s="18">
        <v>343.53</v>
      </c>
      <c r="F984" s="16" t="s">
        <v>308</v>
      </c>
      <c r="G984" s="21">
        <v>62.7521</v>
      </c>
      <c r="H984" s="21">
        <v>5.4744</v>
      </c>
      <c r="I984" s="17">
        <v>46073.0</v>
      </c>
      <c r="J984" s="18">
        <v>340.0</v>
      </c>
      <c r="K984" s="16">
        <v>1261.0</v>
      </c>
      <c r="L984" s="16" t="s">
        <v>2608</v>
      </c>
      <c r="M984" s="19">
        <v>1.03</v>
      </c>
      <c r="N984" s="16" t="s">
        <v>3724</v>
      </c>
      <c r="O984" s="16">
        <v>1261.0</v>
      </c>
      <c r="P984" s="19">
        <v>49.1959</v>
      </c>
      <c r="Q984" s="16" t="s">
        <v>2523</v>
      </c>
      <c r="R984" s="19">
        <v>-0.8199</v>
      </c>
      <c r="S984" s="20">
        <v>3354971.0</v>
      </c>
      <c r="T984" s="20">
        <v>1.67858580961E11</v>
      </c>
      <c r="U984" s="21">
        <v>10.3865</v>
      </c>
      <c r="V984" s="21">
        <v>7.8622</v>
      </c>
      <c r="W984" s="21">
        <v>29.7854</v>
      </c>
      <c r="X984" s="21">
        <v>25.9077</v>
      </c>
      <c r="Y984" s="21">
        <v>0.257</v>
      </c>
      <c r="Z984" s="21">
        <v>1.7555</v>
      </c>
      <c r="AA984" s="16" t="s">
        <v>2611</v>
      </c>
      <c r="AB984" s="22">
        <f>IFERROR(__xludf.DUMMYFUNCTION("IFERROR(GOOGLEFINANCE(B984,""price""),"""")"),350.14)</f>
        <v>350.14</v>
      </c>
    </row>
    <row r="985">
      <c r="A985" s="7">
        <v>46072.625809631</v>
      </c>
      <c r="B985" s="8" t="s">
        <v>3049</v>
      </c>
      <c r="C985" s="8" t="s">
        <v>3050</v>
      </c>
      <c r="D985" s="9">
        <v>46075.0</v>
      </c>
      <c r="E985" s="10">
        <v>73.93</v>
      </c>
      <c r="F985" s="8" t="s">
        <v>93</v>
      </c>
      <c r="G985" s="13">
        <v>33.4358</v>
      </c>
      <c r="H985" s="13">
        <v>2.2111</v>
      </c>
      <c r="I985" s="9">
        <v>46073.0</v>
      </c>
      <c r="J985" s="10">
        <v>75.0</v>
      </c>
      <c r="K985" s="8">
        <v>1226.0</v>
      </c>
      <c r="L985" s="8" t="s">
        <v>2627</v>
      </c>
      <c r="M985" s="11">
        <v>1.45</v>
      </c>
      <c r="N985" s="8" t="s">
        <v>3725</v>
      </c>
      <c r="O985" s="8">
        <v>1226.0</v>
      </c>
      <c r="P985" s="11">
        <v>19.955</v>
      </c>
      <c r="Q985" s="8" t="s">
        <v>3052</v>
      </c>
      <c r="R985" s="11">
        <v>-1.2951</v>
      </c>
      <c r="S985" s="12">
        <v>1665240.0</v>
      </c>
      <c r="T985" s="12">
        <v>1.25390353816E11</v>
      </c>
      <c r="U985" s="13">
        <v>3.0803</v>
      </c>
      <c r="V985" s="13">
        <v>20.4086</v>
      </c>
      <c r="W985" s="13">
        <v>86.2403</v>
      </c>
      <c r="X985" s="13">
        <v>11.0531</v>
      </c>
      <c r="Y985" s="13">
        <v>4.6187</v>
      </c>
      <c r="Z985" s="13">
        <v>1.2729</v>
      </c>
      <c r="AA985" s="8" t="s">
        <v>2620</v>
      </c>
      <c r="AB985" s="14">
        <f>IFERROR(__xludf.DUMMYFUNCTION("IFERROR(GOOGLEFINANCE(B985,""price""),"""")"),71.21)</f>
        <v>71.21</v>
      </c>
    </row>
    <row r="986">
      <c r="A986" s="15">
        <v>46072.625809631</v>
      </c>
      <c r="B986" s="16" t="s">
        <v>2710</v>
      </c>
      <c r="C986" s="16" t="s">
        <v>2711</v>
      </c>
      <c r="D986" s="17">
        <v>46075.0</v>
      </c>
      <c r="E986" s="18">
        <v>128.235</v>
      </c>
      <c r="F986" s="16" t="s">
        <v>917</v>
      </c>
      <c r="G986" s="21">
        <v>19.2548</v>
      </c>
      <c r="H986" s="21">
        <v>6.6599</v>
      </c>
      <c r="I986" s="17">
        <v>46073.0</v>
      </c>
      <c r="J986" s="18">
        <v>130.0</v>
      </c>
      <c r="K986" s="16">
        <v>1212.0</v>
      </c>
      <c r="L986" s="16" t="s">
        <v>2627</v>
      </c>
      <c r="M986" s="19">
        <v>1.38</v>
      </c>
      <c r="N986" s="16" t="s">
        <v>3726</v>
      </c>
      <c r="O986" s="16">
        <v>1212.0</v>
      </c>
      <c r="P986" s="19">
        <v>36.7957</v>
      </c>
      <c r="Q986" s="16" t="s">
        <v>2713</v>
      </c>
      <c r="R986" s="19">
        <v>0.7582</v>
      </c>
      <c r="S986" s="20">
        <v>1422564.0</v>
      </c>
      <c r="T986" s="20">
        <v>6.9357374064E10</v>
      </c>
      <c r="U986" s="21">
        <v>2.5615</v>
      </c>
      <c r="V986" s="21">
        <v>12.3274</v>
      </c>
      <c r="W986" s="21">
        <v>25.0742</v>
      </c>
      <c r="X986" s="21">
        <v>10.4587</v>
      </c>
      <c r="Y986" s="21">
        <v>1.5949</v>
      </c>
      <c r="Z986" s="21">
        <v>0.4546</v>
      </c>
      <c r="AA986" s="16" t="s">
        <v>2620</v>
      </c>
      <c r="AB986" s="22">
        <f>IFERROR(__xludf.DUMMYFUNCTION("IFERROR(GOOGLEFINANCE(B986,""price""),"""")"),136.3)</f>
        <v>136.3</v>
      </c>
    </row>
    <row r="987">
      <c r="A987" s="7">
        <v>46072.625809631</v>
      </c>
      <c r="B987" s="8" t="s">
        <v>1626</v>
      </c>
      <c r="C987" s="8" t="s">
        <v>1627</v>
      </c>
      <c r="D987" s="9">
        <v>46075.0</v>
      </c>
      <c r="E987" s="10">
        <v>45.715</v>
      </c>
      <c r="F987" s="8" t="s">
        <v>917</v>
      </c>
      <c r="G987" s="13">
        <v>23.4052</v>
      </c>
      <c r="H987" s="13">
        <v>1.9532</v>
      </c>
      <c r="I987" s="9">
        <v>46073.0</v>
      </c>
      <c r="J987" s="10">
        <v>45.0</v>
      </c>
      <c r="K987" s="8">
        <v>1128.0</v>
      </c>
      <c r="L987" s="8" t="s">
        <v>2608</v>
      </c>
      <c r="M987" s="11">
        <v>1.56</v>
      </c>
      <c r="N987" s="8" t="s">
        <v>3727</v>
      </c>
      <c r="O987" s="8">
        <v>1128.0</v>
      </c>
      <c r="P987" s="11">
        <v>29.5935</v>
      </c>
      <c r="Q987" s="8" t="s">
        <v>1628</v>
      </c>
      <c r="R987" s="11">
        <v>0.9161</v>
      </c>
      <c r="S987" s="12">
        <v>1714100.0</v>
      </c>
      <c r="T987" s="12">
        <v>2.1876142223E10</v>
      </c>
      <c r="U987" s="13">
        <v>0.8583</v>
      </c>
      <c r="V987" s="13">
        <v>10.2226</v>
      </c>
      <c r="W987" s="13">
        <v>27.6399</v>
      </c>
      <c r="X987" s="13">
        <v>21.7613</v>
      </c>
      <c r="Y987" s="13">
        <v>1.7185</v>
      </c>
      <c r="Z987" s="13">
        <v>0.6876</v>
      </c>
      <c r="AA987" s="8" t="s">
        <v>2611</v>
      </c>
      <c r="AB987" s="14">
        <f>IFERROR(__xludf.DUMMYFUNCTION("IFERROR(GOOGLEFINANCE(B987,""price""),"""")"),48.05)</f>
        <v>48.05</v>
      </c>
    </row>
    <row r="988">
      <c r="A988" s="15">
        <v>46072.625809631</v>
      </c>
      <c r="B988" s="16" t="s">
        <v>3558</v>
      </c>
      <c r="C988" s="16" t="s">
        <v>3559</v>
      </c>
      <c r="D988" s="17">
        <v>46075.0</v>
      </c>
      <c r="E988" s="18">
        <v>241.06</v>
      </c>
      <c r="F988" s="16" t="s">
        <v>308</v>
      </c>
      <c r="G988" s="21">
        <v>30.1627</v>
      </c>
      <c r="H988" s="21">
        <v>7.992</v>
      </c>
      <c r="I988" s="17">
        <v>46073.0</v>
      </c>
      <c r="J988" s="18">
        <v>237.5</v>
      </c>
      <c r="K988" s="16">
        <v>1086.0</v>
      </c>
      <c r="L988" s="16" t="s">
        <v>2627</v>
      </c>
      <c r="M988" s="19">
        <v>1.48</v>
      </c>
      <c r="N988" s="16" t="s">
        <v>3671</v>
      </c>
      <c r="O988" s="16">
        <v>1086.0</v>
      </c>
      <c r="P988" s="19">
        <v>53.3502</v>
      </c>
      <c r="Q988" s="16" t="s">
        <v>3561</v>
      </c>
      <c r="R988" s="19">
        <v>-0.0332</v>
      </c>
      <c r="S988" s="20">
        <v>1319893.0</v>
      </c>
      <c r="T988" s="20">
        <v>1.53235974014E11</v>
      </c>
      <c r="U988" s="21">
        <v>4.6065</v>
      </c>
      <c r="V988" s="21">
        <v>31.7068</v>
      </c>
      <c r="W988" s="21">
        <v>19.7843</v>
      </c>
      <c r="X988" s="21">
        <v>4.7901</v>
      </c>
      <c r="Y988" s="21">
        <v>2.5578</v>
      </c>
      <c r="Z988" s="21">
        <v>1.2978</v>
      </c>
      <c r="AA988" s="16" t="s">
        <v>2611</v>
      </c>
      <c r="AB988" s="22">
        <f>IFERROR(__xludf.DUMMYFUNCTION("IFERROR(GOOGLEFINANCE(B988,""price""),"""")"),235.06)</f>
        <v>235.06</v>
      </c>
    </row>
    <row r="989">
      <c r="A989" s="7">
        <v>46072.625809631</v>
      </c>
      <c r="B989" s="8" t="s">
        <v>3728</v>
      </c>
      <c r="C989" s="8" t="s">
        <v>3729</v>
      </c>
      <c r="D989" s="9">
        <v>46075.0</v>
      </c>
      <c r="E989" s="10">
        <v>310.61</v>
      </c>
      <c r="F989" s="8" t="s">
        <v>149</v>
      </c>
      <c r="G989" s="13">
        <v>19.9685</v>
      </c>
      <c r="H989" s="13">
        <v>15.555</v>
      </c>
      <c r="I989" s="9">
        <v>46073.0</v>
      </c>
      <c r="J989" s="10">
        <v>310.0</v>
      </c>
      <c r="K989" s="8">
        <v>1086.0</v>
      </c>
      <c r="L989" s="8" t="s">
        <v>2627</v>
      </c>
      <c r="M989" s="11">
        <v>0.2</v>
      </c>
      <c r="N989" s="8" t="s">
        <v>3730</v>
      </c>
      <c r="O989" s="8">
        <v>1086.0</v>
      </c>
      <c r="P989" s="11">
        <v>28.5594</v>
      </c>
      <c r="Q989" s="8" t="s">
        <v>3731</v>
      </c>
      <c r="R989" s="11">
        <v>-2.5751</v>
      </c>
      <c r="S989" s="12">
        <v>1324016.0</v>
      </c>
      <c r="T989" s="12">
        <v>8.4028803502E10</v>
      </c>
      <c r="U989" s="13">
        <v>13.9159</v>
      </c>
      <c r="V989" s="13">
        <v>48.5</v>
      </c>
      <c r="W989" s="13">
        <v>27.5551</v>
      </c>
      <c r="X989" s="13">
        <v>8.7959</v>
      </c>
      <c r="Y989" s="13">
        <v>2.1954</v>
      </c>
      <c r="Z989" s="13">
        <v>0.1834</v>
      </c>
      <c r="AA989" s="8" t="s">
        <v>2611</v>
      </c>
      <c r="AB989" s="14">
        <f>IFERROR(__xludf.DUMMYFUNCTION("IFERROR(GOOGLEFINANCE(B989,""price""),"""")"),276.94)</f>
        <v>276.94</v>
      </c>
    </row>
    <row r="990">
      <c r="A990" s="7">
        <v>46072.86643875927</v>
      </c>
      <c r="B990" s="8" t="s">
        <v>2630</v>
      </c>
      <c r="C990" s="8" t="s">
        <v>2631</v>
      </c>
      <c r="D990" s="9">
        <v>46075.0</v>
      </c>
      <c r="E990" s="10">
        <v>417.35</v>
      </c>
      <c r="F990" s="8" t="s">
        <v>308</v>
      </c>
      <c r="G990" s="13">
        <v>39.6721</v>
      </c>
      <c r="H990" s="13">
        <v>10.52</v>
      </c>
      <c r="I990" s="9">
        <v>46073.0</v>
      </c>
      <c r="J990" s="10">
        <v>410.0</v>
      </c>
      <c r="K990" s="8">
        <v>15754.0</v>
      </c>
      <c r="L990" s="8" t="s">
        <v>2608</v>
      </c>
      <c r="M990" s="11">
        <v>1.76</v>
      </c>
      <c r="N990" s="8" t="s">
        <v>3732</v>
      </c>
      <c r="O990" s="8">
        <v>48318.0</v>
      </c>
      <c r="P990" s="11">
        <v>36.5471</v>
      </c>
      <c r="Q990" s="8" t="s">
        <v>2633</v>
      </c>
      <c r="R990" s="11">
        <v>-0.8552</v>
      </c>
      <c r="S990" s="12">
        <v>2.1650779E7</v>
      </c>
      <c r="T990" s="12">
        <v>4.69731310521E11</v>
      </c>
      <c r="U990" s="13">
        <v>25.3854</v>
      </c>
      <c r="V990" s="13">
        <v>22.5543</v>
      </c>
      <c r="W990" s="13">
        <v>32.9221</v>
      </c>
      <c r="X990" s="13">
        <v>45.432</v>
      </c>
      <c r="Y990" s="13">
        <v>0.2124</v>
      </c>
      <c r="Z990" s="13">
        <v>2.4598</v>
      </c>
      <c r="AA990" s="8" t="s">
        <v>2611</v>
      </c>
      <c r="AB990" s="14">
        <f>IFERROR(__xludf.DUMMYFUNCTION("IFERROR(GOOGLEFINANCE(B990,""price""),"""")"),420.59)</f>
        <v>420.59</v>
      </c>
    </row>
    <row r="991">
      <c r="A991" s="15">
        <v>46072.86643875927</v>
      </c>
      <c r="B991" s="16" t="s">
        <v>2625</v>
      </c>
      <c r="C991" s="16" t="s">
        <v>2626</v>
      </c>
      <c r="D991" s="17">
        <v>46075.0</v>
      </c>
      <c r="E991" s="18">
        <v>124.87</v>
      </c>
      <c r="F991" s="16" t="s">
        <v>137</v>
      </c>
      <c r="G991" s="21">
        <v>43.7987</v>
      </c>
      <c r="H991" s="21">
        <v>2.851</v>
      </c>
      <c r="I991" s="17">
        <v>46073.0</v>
      </c>
      <c r="J991" s="18">
        <v>127.0</v>
      </c>
      <c r="K991" s="16">
        <v>8841.0</v>
      </c>
      <c r="L991" s="16" t="s">
        <v>2627</v>
      </c>
      <c r="M991" s="19">
        <v>1.71</v>
      </c>
      <c r="N991" s="16" t="s">
        <v>3674</v>
      </c>
      <c r="O991" s="16">
        <v>44541.0</v>
      </c>
      <c r="P991" s="19">
        <v>33.4544</v>
      </c>
      <c r="Q991" s="16" t="s">
        <v>2629</v>
      </c>
      <c r="R991" s="19">
        <v>-1.3821</v>
      </c>
      <c r="S991" s="20">
        <v>4.2993096E7</v>
      </c>
      <c r="T991" s="20">
        <v>9.95234773902E11</v>
      </c>
      <c r="U991" s="21">
        <v>3.4673</v>
      </c>
      <c r="V991" s="21">
        <v>22.9691</v>
      </c>
      <c r="W991" s="21">
        <v>4.1214</v>
      </c>
      <c r="X991" s="21">
        <v>4.3397</v>
      </c>
      <c r="Y991" s="21">
        <v>0.6735</v>
      </c>
      <c r="Z991" s="21">
        <v>0.7898</v>
      </c>
      <c r="AA991" s="16" t="s">
        <v>2620</v>
      </c>
      <c r="AB991" s="22">
        <f>IFERROR(__xludf.DUMMYFUNCTION("IFERROR(GOOGLEFINANCE(B991,""price""),"""")"),126.79)</f>
        <v>126.79</v>
      </c>
    </row>
    <row r="992">
      <c r="A992" s="7">
        <v>46072.86643875927</v>
      </c>
      <c r="B992" s="8" t="s">
        <v>2638</v>
      </c>
      <c r="C992" s="8" t="s">
        <v>2639</v>
      </c>
      <c r="D992" s="9">
        <v>46075.0</v>
      </c>
      <c r="E992" s="10">
        <v>150.97</v>
      </c>
      <c r="F992" s="8" t="s">
        <v>245</v>
      </c>
      <c r="G992" s="13">
        <v>22.5503</v>
      </c>
      <c r="H992" s="13">
        <v>6.6948</v>
      </c>
      <c r="I992" s="9">
        <v>46073.0</v>
      </c>
      <c r="J992" s="10">
        <v>150.0</v>
      </c>
      <c r="K992" s="8">
        <v>8366.0</v>
      </c>
      <c r="L992" s="8" t="s">
        <v>2608</v>
      </c>
      <c r="M992" s="11">
        <v>0.64</v>
      </c>
      <c r="N992" s="8" t="s">
        <v>3677</v>
      </c>
      <c r="O992" s="8">
        <v>23953.0</v>
      </c>
      <c r="P992" s="11">
        <v>53.3951</v>
      </c>
      <c r="Q992" s="8" t="s">
        <v>2641</v>
      </c>
      <c r="R992" s="11">
        <v>0.1925</v>
      </c>
      <c r="S992" s="12">
        <v>2.0304925E7</v>
      </c>
      <c r="T992" s="12">
        <v>6.36665448716E11</v>
      </c>
      <c r="U992" s="13">
        <v>3.5144</v>
      </c>
      <c r="V992" s="13">
        <v>11.0283</v>
      </c>
      <c r="W992" s="13">
        <v>10.3419</v>
      </c>
      <c r="X992" s="13">
        <v>-4.856</v>
      </c>
      <c r="Y992" s="13">
        <v>0.1871</v>
      </c>
      <c r="Z992" s="13">
        <v>1.1528</v>
      </c>
      <c r="AA992" s="8" t="s">
        <v>2611</v>
      </c>
      <c r="AB992" s="14">
        <f>IFERROR(__xludf.DUMMYFUNCTION("IFERROR(GOOGLEFINANCE(B992,""price""),"""")"),152.51)</f>
        <v>152.51</v>
      </c>
    </row>
    <row r="993">
      <c r="A993" s="15">
        <v>46072.86643875927</v>
      </c>
      <c r="B993" s="16" t="s">
        <v>2616</v>
      </c>
      <c r="C993" s="16" t="s">
        <v>2617</v>
      </c>
      <c r="D993" s="17">
        <v>46075.0</v>
      </c>
      <c r="E993" s="18">
        <v>78.91</v>
      </c>
      <c r="F993" s="16" t="s">
        <v>286</v>
      </c>
      <c r="G993" s="21">
        <v>25.9701</v>
      </c>
      <c r="H993" s="21">
        <v>3.0385</v>
      </c>
      <c r="I993" s="17">
        <v>46073.0</v>
      </c>
      <c r="J993" s="18">
        <v>80.0</v>
      </c>
      <c r="K993" s="16">
        <v>7632.0</v>
      </c>
      <c r="L993" s="16" t="s">
        <v>2608</v>
      </c>
      <c r="M993" s="19">
        <v>1.38</v>
      </c>
      <c r="N993" s="16" t="s">
        <v>3678</v>
      </c>
      <c r="O993" s="16">
        <v>22603.0</v>
      </c>
      <c r="P993" s="19">
        <v>39.4311</v>
      </c>
      <c r="Q993" s="16" t="s">
        <v>2619</v>
      </c>
      <c r="R993" s="19">
        <v>-0.7297</v>
      </c>
      <c r="S993" s="20">
        <v>1.492465E7</v>
      </c>
      <c r="T993" s="20">
        <v>3.39439948129E11</v>
      </c>
      <c r="U993" s="21">
        <v>1.2936</v>
      </c>
      <c r="V993" s="21">
        <v>45.9693</v>
      </c>
      <c r="W993" s="21">
        <v>29.0951</v>
      </c>
      <c r="X993" s="21">
        <v>3.1925</v>
      </c>
      <c r="Y993" s="21">
        <v>1.4142</v>
      </c>
      <c r="Z993" s="21">
        <v>1.4588</v>
      </c>
      <c r="AA993" s="16" t="s">
        <v>2620</v>
      </c>
      <c r="AB993" s="22">
        <f>IFERROR(__xludf.DUMMYFUNCTION("IFERROR(GOOGLEFINANCE(B993,""price""),"""")"),77.47)</f>
        <v>77.47</v>
      </c>
    </row>
    <row r="994">
      <c r="A994" s="7">
        <v>46072.86643875927</v>
      </c>
      <c r="B994" s="8" t="s">
        <v>3523</v>
      </c>
      <c r="C994" s="8" t="s">
        <v>3524</v>
      </c>
      <c r="D994" s="9">
        <v>46075.0</v>
      </c>
      <c r="E994" s="10">
        <v>41.68</v>
      </c>
      <c r="F994" s="8" t="s">
        <v>162</v>
      </c>
      <c r="G994" s="13">
        <v>27.0123</v>
      </c>
      <c r="H994" s="13">
        <v>1.543</v>
      </c>
      <c r="I994" s="9">
        <v>46073.0</v>
      </c>
      <c r="J994" s="10">
        <v>42.0</v>
      </c>
      <c r="K994" s="8">
        <v>7631.0</v>
      </c>
      <c r="L994" s="8" t="s">
        <v>2608</v>
      </c>
      <c r="M994" s="11">
        <v>0.77</v>
      </c>
      <c r="N994" s="8" t="s">
        <v>3679</v>
      </c>
      <c r="O994" s="8">
        <v>16736.0</v>
      </c>
      <c r="P994" s="11">
        <v>41.9162</v>
      </c>
      <c r="Q994" s="8" t="s">
        <v>3526</v>
      </c>
      <c r="R994" s="11">
        <v>0.7737</v>
      </c>
      <c r="S994" s="12">
        <v>1.0273962E7</v>
      </c>
      <c r="T994" s="12">
        <v>7.7506327013E10</v>
      </c>
      <c r="U994" s="13">
        <v>0.818</v>
      </c>
      <c r="V994" s="13">
        <v>22.5202</v>
      </c>
      <c r="W994" s="13">
        <v>33.2458</v>
      </c>
      <c r="X994" s="13">
        <v>-3.0812</v>
      </c>
      <c r="Y994" s="13">
        <v>1.4762</v>
      </c>
      <c r="Z994" s="13">
        <v>0.8139</v>
      </c>
      <c r="AA994" s="8" t="s">
        <v>2620</v>
      </c>
      <c r="AB994" s="14">
        <f>IFERROR(__xludf.DUMMYFUNCTION("IFERROR(GOOGLEFINANCE(B994,""price""),"""")"),42.24)</f>
        <v>42.24</v>
      </c>
    </row>
    <row r="995">
      <c r="A995" s="15">
        <v>46072.86643875927</v>
      </c>
      <c r="B995" s="16" t="s">
        <v>2438</v>
      </c>
      <c r="C995" s="16" t="s">
        <v>2439</v>
      </c>
      <c r="D995" s="17">
        <v>46075.0</v>
      </c>
      <c r="E995" s="18">
        <v>218.05</v>
      </c>
      <c r="F995" s="16" t="s">
        <v>308</v>
      </c>
      <c r="G995" s="21">
        <v>40.043</v>
      </c>
      <c r="H995" s="21">
        <v>5.4454</v>
      </c>
      <c r="I995" s="17">
        <v>46073.0</v>
      </c>
      <c r="J995" s="18">
        <v>220.0</v>
      </c>
      <c r="K995" s="16">
        <v>6708.0</v>
      </c>
      <c r="L995" s="16" t="s">
        <v>2608</v>
      </c>
      <c r="M995" s="19">
        <v>0.89</v>
      </c>
      <c r="N995" s="16" t="s">
        <v>3680</v>
      </c>
      <c r="O995" s="16">
        <v>15518.0</v>
      </c>
      <c r="P995" s="19">
        <v>50.798</v>
      </c>
      <c r="Q995" s="16" t="s">
        <v>2440</v>
      </c>
      <c r="R995" s="19">
        <v>-2.3598</v>
      </c>
      <c r="S995" s="20">
        <v>5002233.0</v>
      </c>
      <c r="T995" s="20">
        <v>1.97891441033E11</v>
      </c>
      <c r="U995" s="21">
        <v>6.7226</v>
      </c>
      <c r="V995" s="21">
        <v>29.9795</v>
      </c>
      <c r="W995" s="21">
        <v>34.7246</v>
      </c>
      <c r="X995" s="21">
        <v>13.049</v>
      </c>
      <c r="Y995" s="21">
        <v>0.9082</v>
      </c>
      <c r="Z995" s="21">
        <v>4.3526</v>
      </c>
      <c r="AA995" s="16" t="s">
        <v>2620</v>
      </c>
      <c r="AB995" s="22">
        <f>IFERROR(__xludf.DUMMYFUNCTION("IFERROR(GOOGLEFINANCE(B995,""price""),"""")"),214.73)</f>
        <v>214.73</v>
      </c>
    </row>
    <row r="996">
      <c r="A996" s="7">
        <v>46072.86643875927</v>
      </c>
      <c r="B996" s="8" t="s">
        <v>3086</v>
      </c>
      <c r="C996" s="8" t="s">
        <v>3087</v>
      </c>
      <c r="D996" s="9">
        <v>46075.0</v>
      </c>
      <c r="E996" s="10">
        <v>67.44</v>
      </c>
      <c r="F996" s="8" t="s">
        <v>162</v>
      </c>
      <c r="G996" s="13">
        <v>8.8043</v>
      </c>
      <c r="H996" s="13">
        <v>7.6599</v>
      </c>
      <c r="I996" s="9">
        <v>46073.0</v>
      </c>
      <c r="J996" s="10">
        <v>67.5</v>
      </c>
      <c r="K996" s="8">
        <v>5968.0</v>
      </c>
      <c r="L996" s="8" t="s">
        <v>2627</v>
      </c>
      <c r="M996" s="11">
        <v>0.09</v>
      </c>
      <c r="N996" s="8" t="s">
        <v>3733</v>
      </c>
      <c r="O996" s="8">
        <v>12283.0</v>
      </c>
      <c r="P996" s="11">
        <v>17.2043</v>
      </c>
      <c r="Q996" s="8" t="s">
        <v>3089</v>
      </c>
      <c r="R996" s="11">
        <v>-5.161</v>
      </c>
      <c r="S996" s="12">
        <v>8626270.0</v>
      </c>
      <c r="T996" s="12">
        <v>4.4047133186E10</v>
      </c>
      <c r="U996" s="13">
        <v>2.8196</v>
      </c>
      <c r="V996" s="13">
        <v>27.6988</v>
      </c>
      <c r="W996" s="13">
        <v>9.1882</v>
      </c>
      <c r="X996" s="13">
        <v>2.7935</v>
      </c>
      <c r="Y996" s="13">
        <v>0.9722</v>
      </c>
      <c r="Z996" s="13">
        <v>0.397</v>
      </c>
      <c r="AA996" s="8" t="s">
        <v>2620</v>
      </c>
      <c r="AB996" s="14">
        <f>IFERROR(__xludf.DUMMYFUNCTION("IFERROR(GOOGLEFINANCE(B996,""price""),"""")"),67.82)</f>
        <v>67.82</v>
      </c>
    </row>
    <row r="997">
      <c r="A997" s="15">
        <v>46072.86643875927</v>
      </c>
      <c r="B997" s="16" t="s">
        <v>2634</v>
      </c>
      <c r="C997" s="16" t="s">
        <v>2635</v>
      </c>
      <c r="D997" s="17">
        <v>46075.0</v>
      </c>
      <c r="E997" s="18">
        <v>184.78</v>
      </c>
      <c r="F997" s="16" t="s">
        <v>245</v>
      </c>
      <c r="G997" s="21">
        <v>27.7827</v>
      </c>
      <c r="H997" s="21">
        <v>6.6509</v>
      </c>
      <c r="I997" s="17">
        <v>46073.0</v>
      </c>
      <c r="J997" s="18">
        <v>185.0</v>
      </c>
      <c r="K997" s="16">
        <v>4630.0</v>
      </c>
      <c r="L997" s="16" t="s">
        <v>2608</v>
      </c>
      <c r="M997" s="19">
        <v>0.12</v>
      </c>
      <c r="N997" s="16" t="s">
        <v>3734</v>
      </c>
      <c r="O997" s="16">
        <v>10787.0</v>
      </c>
      <c r="P997" s="19">
        <v>55.1692</v>
      </c>
      <c r="Q997" s="16" t="s">
        <v>2637</v>
      </c>
      <c r="R997" s="19">
        <v>0.4949</v>
      </c>
      <c r="S997" s="20">
        <v>1.0773338E7</v>
      </c>
      <c r="T997" s="20">
        <v>3.72058512558E11</v>
      </c>
      <c r="U997" s="21">
        <v>3.5636</v>
      </c>
      <c r="V997" s="21">
        <v>7.261</v>
      </c>
      <c r="W997" s="21">
        <v>8.9022</v>
      </c>
      <c r="X997" s="21">
        <v>-4.6053</v>
      </c>
      <c r="Y997" s="21">
        <v>0.2186</v>
      </c>
      <c r="Z997" s="21"/>
      <c r="AA997" s="16" t="s">
        <v>2620</v>
      </c>
      <c r="AB997" s="22">
        <f>IFERROR(__xludf.DUMMYFUNCTION("IFERROR(GOOGLEFINANCE(B997,""price""),"""")"),188.55)</f>
        <v>188.55</v>
      </c>
    </row>
    <row r="998">
      <c r="A998" s="7">
        <v>46072.86643875927</v>
      </c>
      <c r="B998" s="8" t="s">
        <v>2621</v>
      </c>
      <c r="C998" s="8" t="s">
        <v>2622</v>
      </c>
      <c r="D998" s="9">
        <v>46075.0</v>
      </c>
      <c r="E998" s="10">
        <v>62.57</v>
      </c>
      <c r="F998" s="8" t="s">
        <v>335</v>
      </c>
      <c r="G998" s="13">
        <v>41.3276</v>
      </c>
      <c r="H998" s="13">
        <v>1.514</v>
      </c>
      <c r="I998" s="9">
        <v>46073.0</v>
      </c>
      <c r="J998" s="10">
        <v>63.0</v>
      </c>
      <c r="K998" s="8">
        <v>4224.0</v>
      </c>
      <c r="L998" s="8" t="s">
        <v>2608</v>
      </c>
      <c r="M998" s="11">
        <v>0.69</v>
      </c>
      <c r="N998" s="8" t="s">
        <v>3683</v>
      </c>
      <c r="O998" s="8">
        <v>10784.0</v>
      </c>
      <c r="P998" s="11">
        <v>31.6307</v>
      </c>
      <c r="Q998" s="8" t="s">
        <v>2624</v>
      </c>
      <c r="R998" s="11">
        <v>0.032</v>
      </c>
      <c r="S998" s="12">
        <v>1.3357868E7</v>
      </c>
      <c r="T998" s="12">
        <v>8.9925706779E10</v>
      </c>
      <c r="U998" s="13">
        <v>2.8918</v>
      </c>
      <c r="V998" s="13">
        <v>11.9792</v>
      </c>
      <c r="W998" s="13">
        <v>22.7913</v>
      </c>
      <c r="X998" s="13">
        <v>-0.0477</v>
      </c>
      <c r="Y998" s="13">
        <v>0.5552</v>
      </c>
      <c r="Z998" s="13">
        <v>2.2911</v>
      </c>
      <c r="AA998" s="8" t="s">
        <v>2620</v>
      </c>
      <c r="AB998" s="14">
        <f>IFERROR(__xludf.DUMMYFUNCTION("IFERROR(GOOGLEFINANCE(B998,""price""),"""")"),67.8)</f>
        <v>67.8</v>
      </c>
    </row>
    <row r="999">
      <c r="A999" s="15">
        <v>46072.86643875927</v>
      </c>
      <c r="B999" s="16" t="s">
        <v>3684</v>
      </c>
      <c r="C999" s="16" t="s">
        <v>3685</v>
      </c>
      <c r="D999" s="17">
        <v>46075.0</v>
      </c>
      <c r="E999" s="18">
        <v>36.97</v>
      </c>
      <c r="F999" s="16" t="s">
        <v>917</v>
      </c>
      <c r="G999" s="21">
        <v>25.1565</v>
      </c>
      <c r="H999" s="21">
        <v>1.4696</v>
      </c>
      <c r="I999" s="17">
        <v>46073.0</v>
      </c>
      <c r="J999" s="18">
        <v>37.0</v>
      </c>
      <c r="K999" s="16">
        <v>9702.0</v>
      </c>
      <c r="L999" s="16" t="s">
        <v>2608</v>
      </c>
      <c r="M999" s="19">
        <v>0.08</v>
      </c>
      <c r="N999" s="16" t="s">
        <v>3686</v>
      </c>
      <c r="O999" s="16">
        <v>9702.0</v>
      </c>
      <c r="P999" s="19">
        <v>18.7317</v>
      </c>
      <c r="Q999" s="16" t="s">
        <v>3687</v>
      </c>
      <c r="R999" s="19">
        <v>0.4347</v>
      </c>
      <c r="S999" s="20">
        <v>1.1997392E7</v>
      </c>
      <c r="T999" s="20">
        <v>2.7348159125E10</v>
      </c>
      <c r="U999" s="21">
        <v>0.7111</v>
      </c>
      <c r="V999" s="21">
        <v>7.6548</v>
      </c>
      <c r="W999" s="21">
        <v>22.7865</v>
      </c>
      <c r="X999" s="21">
        <v>8.4158</v>
      </c>
      <c r="Y999" s="21">
        <v>1.3173</v>
      </c>
      <c r="Z999" s="21">
        <v>0.7742</v>
      </c>
      <c r="AA999" s="16" t="s">
        <v>2620</v>
      </c>
      <c r="AB999" s="22">
        <f>IFERROR(__xludf.DUMMYFUNCTION("IFERROR(GOOGLEFINANCE(B999,""price""),"""")"),39.65)</f>
        <v>39.65</v>
      </c>
    </row>
    <row r="1000">
      <c r="A1000" s="7">
        <v>46072.86643875927</v>
      </c>
      <c r="B1000" s="8" t="s">
        <v>2700</v>
      </c>
      <c r="C1000" s="8" t="s">
        <v>2701</v>
      </c>
      <c r="D1000" s="9">
        <v>46075.0</v>
      </c>
      <c r="E1000" s="10">
        <v>237.39</v>
      </c>
      <c r="F1000" s="8" t="s">
        <v>102</v>
      </c>
      <c r="G1000" s="13">
        <v>48.6525</v>
      </c>
      <c r="H1000" s="13">
        <v>4.8793</v>
      </c>
      <c r="I1000" s="9">
        <v>46073.0</v>
      </c>
      <c r="J1000" s="10">
        <v>240.0</v>
      </c>
      <c r="K1000" s="8">
        <v>5273.0</v>
      </c>
      <c r="L1000" s="8" t="s">
        <v>2608</v>
      </c>
      <c r="M1000" s="11">
        <v>1.1</v>
      </c>
      <c r="N1000" s="8" t="s">
        <v>3688</v>
      </c>
      <c r="O1000" s="8">
        <v>9640.0</v>
      </c>
      <c r="P1000" s="11">
        <v>31.8174</v>
      </c>
      <c r="Q1000" s="8" t="s">
        <v>2703</v>
      </c>
      <c r="R1000" s="11">
        <v>-1.1246</v>
      </c>
      <c r="S1000" s="12">
        <v>6384095.0</v>
      </c>
      <c r="T1000" s="12">
        <v>2.96445742241E11</v>
      </c>
      <c r="U1000" s="13">
        <v>11.6983</v>
      </c>
      <c r="V1000" s="13">
        <v>65.5649</v>
      </c>
      <c r="W1000" s="13">
        <v>33.7646</v>
      </c>
      <c r="X1000" s="13">
        <v>26.8457</v>
      </c>
      <c r="Y1000" s="13">
        <v>0.4419</v>
      </c>
      <c r="Z1000" s="13">
        <v>2.2562</v>
      </c>
      <c r="AA1000" s="8" t="s">
        <v>2620</v>
      </c>
      <c r="AB1000" s="14">
        <f>IFERROR(__xludf.DUMMYFUNCTION("IFERROR(GOOGLEFINANCE(B1000,""price""),"""")"),263.66)</f>
        <v>263.66</v>
      </c>
    </row>
    <row r="1001">
      <c r="A1001" s="15">
        <v>46072.86643875927</v>
      </c>
      <c r="B1001" s="16" t="s">
        <v>2804</v>
      </c>
      <c r="C1001" s="16" t="s">
        <v>2805</v>
      </c>
      <c r="D1001" s="17">
        <v>46075.0</v>
      </c>
      <c r="E1001" s="18">
        <v>129.99</v>
      </c>
      <c r="F1001" s="16" t="s">
        <v>308</v>
      </c>
      <c r="G1001" s="21">
        <v>70.689</v>
      </c>
      <c r="H1001" s="21">
        <v>1.8389</v>
      </c>
      <c r="I1001" s="17">
        <v>46073.0</v>
      </c>
      <c r="J1001" s="18">
        <v>132.0</v>
      </c>
      <c r="K1001" s="16">
        <v>7819.0</v>
      </c>
      <c r="L1001" s="16" t="s">
        <v>2608</v>
      </c>
      <c r="M1001" s="19">
        <v>1.55</v>
      </c>
      <c r="N1001" s="16" t="s">
        <v>3689</v>
      </c>
      <c r="O1001" s="16">
        <v>9034.0</v>
      </c>
      <c r="P1001" s="19">
        <v>45.4644</v>
      </c>
      <c r="Q1001" s="16" t="s">
        <v>2807</v>
      </c>
      <c r="R1001" s="19">
        <v>-1.5302</v>
      </c>
      <c r="S1001" s="20">
        <v>9169365.0</v>
      </c>
      <c r="T1001" s="20">
        <v>1.11524671493E11</v>
      </c>
      <c r="U1001" s="21">
        <v>6.1147</v>
      </c>
      <c r="V1001" s="21">
        <v>14.1911</v>
      </c>
      <c r="W1001" s="21">
        <v>15.3241</v>
      </c>
      <c r="X1001" s="21">
        <v>19.1416</v>
      </c>
      <c r="Y1001" s="21">
        <v>0.7942</v>
      </c>
      <c r="Z1001" s="21">
        <v>1.5878</v>
      </c>
      <c r="AA1001" s="16" t="s">
        <v>2620</v>
      </c>
      <c r="AB1001" s="22">
        <f>IFERROR(__xludf.DUMMYFUNCTION("IFERROR(GOOGLEFINANCE(B1001,""price""),"""")"),171.24)</f>
        <v>171.24</v>
      </c>
    </row>
    <row r="1002">
      <c r="A1002" s="7">
        <v>46072.86643875927</v>
      </c>
      <c r="B1002" s="8" t="s">
        <v>3347</v>
      </c>
      <c r="C1002" s="8" t="s">
        <v>3348</v>
      </c>
      <c r="D1002" s="9">
        <v>46075.0</v>
      </c>
      <c r="E1002" s="10">
        <v>334.74</v>
      </c>
      <c r="F1002" s="8" t="s">
        <v>308</v>
      </c>
      <c r="G1002" s="13">
        <v>41.1289</v>
      </c>
      <c r="H1002" s="13">
        <v>8.1388</v>
      </c>
      <c r="I1002" s="9">
        <v>46073.0</v>
      </c>
      <c r="J1002" s="10">
        <v>340.0</v>
      </c>
      <c r="K1002" s="8">
        <v>4169.0</v>
      </c>
      <c r="L1002" s="8" t="s">
        <v>2608</v>
      </c>
      <c r="M1002" s="11">
        <v>1.57</v>
      </c>
      <c r="N1002" s="8" t="s">
        <v>3690</v>
      </c>
      <c r="O1002" s="8">
        <v>8177.0</v>
      </c>
      <c r="P1002" s="11">
        <v>19.759</v>
      </c>
      <c r="Q1002" s="8" t="s">
        <v>3350</v>
      </c>
      <c r="R1002" s="11">
        <v>1.5656</v>
      </c>
      <c r="S1002" s="12">
        <v>4456653.0</v>
      </c>
      <c r="T1002" s="12">
        <v>3.51079849702E11</v>
      </c>
      <c r="U1002" s="13">
        <v>9.7635</v>
      </c>
      <c r="V1002" s="13">
        <v>45.2353</v>
      </c>
      <c r="W1002" s="13">
        <v>18.207</v>
      </c>
      <c r="X1002" s="13">
        <v>0.1223</v>
      </c>
      <c r="Y1002" s="13">
        <v>1.1542</v>
      </c>
      <c r="Z1002" s="13">
        <v>1.0415</v>
      </c>
      <c r="AA1002" s="8" t="s">
        <v>2620</v>
      </c>
      <c r="AB1002" s="14">
        <f>IFERROR(__xludf.DUMMYFUNCTION("IFERROR(GOOGLEFINANCE(B1002,""price""),"""")"),308.35)</f>
        <v>308.35</v>
      </c>
    </row>
    <row r="1003">
      <c r="A1003" s="15">
        <v>46072.86643875927</v>
      </c>
      <c r="B1003" s="16" t="s">
        <v>3463</v>
      </c>
      <c r="C1003" s="16" t="s">
        <v>3464</v>
      </c>
      <c r="D1003" s="17">
        <v>46075.0</v>
      </c>
      <c r="E1003" s="18">
        <v>59.77</v>
      </c>
      <c r="F1003" s="16" t="s">
        <v>245</v>
      </c>
      <c r="G1003" s="21">
        <v>18.0372</v>
      </c>
      <c r="H1003" s="21">
        <v>3.3137</v>
      </c>
      <c r="I1003" s="17">
        <v>46073.0</v>
      </c>
      <c r="J1003" s="18">
        <v>60.0</v>
      </c>
      <c r="K1003" s="16">
        <v>6184.0</v>
      </c>
      <c r="L1003" s="16" t="s">
        <v>2608</v>
      </c>
      <c r="M1003" s="19">
        <v>0.38</v>
      </c>
      <c r="N1003" s="16" t="s">
        <v>3691</v>
      </c>
      <c r="O1003" s="16">
        <v>7982.0</v>
      </c>
      <c r="P1003" s="19">
        <v>21.7077</v>
      </c>
      <c r="Q1003" s="16" t="s">
        <v>3466</v>
      </c>
      <c r="R1003" s="19">
        <v>1.9444</v>
      </c>
      <c r="S1003" s="20">
        <v>1.4132695E7</v>
      </c>
      <c r="T1003" s="20">
        <v>3.7300712442E10</v>
      </c>
      <c r="U1003" s="21">
        <v>2.1042</v>
      </c>
      <c r="V1003" s="21">
        <v>9.1961</v>
      </c>
      <c r="W1003" s="21">
        <v>35.6577</v>
      </c>
      <c r="X1003" s="21">
        <v>59.9561</v>
      </c>
      <c r="Y1003" s="21">
        <v>0.3357</v>
      </c>
      <c r="Z1003" s="21">
        <v>0.7627</v>
      </c>
      <c r="AA1003" s="16" t="s">
        <v>2620</v>
      </c>
      <c r="AB1003" s="22">
        <f>IFERROR(__xludf.DUMMYFUNCTION("IFERROR(GOOGLEFINANCE(B1003,""price""),"""")"),58.68)</f>
        <v>58.68</v>
      </c>
    </row>
    <row r="1004">
      <c r="A1004" s="7">
        <v>46072.86643875927</v>
      </c>
      <c r="B1004" s="8" t="s">
        <v>1492</v>
      </c>
      <c r="C1004" s="8" t="s">
        <v>1493</v>
      </c>
      <c r="D1004" s="9">
        <v>46075.0</v>
      </c>
      <c r="E1004" s="10">
        <v>25.02</v>
      </c>
      <c r="F1004" s="8" t="s">
        <v>93</v>
      </c>
      <c r="G1004" s="13">
        <v>13.334</v>
      </c>
      <c r="H1004" s="13">
        <v>1.8764</v>
      </c>
      <c r="I1004" s="9">
        <v>46073.0</v>
      </c>
      <c r="J1004" s="10">
        <v>25.0</v>
      </c>
      <c r="K1004" s="8">
        <v>5402.0</v>
      </c>
      <c r="L1004" s="8" t="s">
        <v>2608</v>
      </c>
      <c r="M1004" s="11">
        <v>0.08</v>
      </c>
      <c r="N1004" s="8" t="s">
        <v>3735</v>
      </c>
      <c r="O1004" s="8">
        <v>7198.0</v>
      </c>
      <c r="P1004" s="11">
        <v>20.2216</v>
      </c>
      <c r="Q1004" s="8" t="s">
        <v>1494</v>
      </c>
      <c r="R1004" s="11">
        <v>-0.3187</v>
      </c>
      <c r="S1004" s="12">
        <v>4880481.0</v>
      </c>
      <c r="T1004" s="12">
        <v>1.2134700184E10</v>
      </c>
      <c r="U1004" s="13">
        <v>0.643</v>
      </c>
      <c r="V1004" s="13">
        <v>11.1193</v>
      </c>
      <c r="W1004" s="13">
        <v>25.6333</v>
      </c>
      <c r="X1004" s="13">
        <v>-0.5598</v>
      </c>
      <c r="Y1004" s="13">
        <v>0.517</v>
      </c>
      <c r="Z1004" s="13">
        <v>0.2349</v>
      </c>
      <c r="AA1004" s="8" t="s">
        <v>2611</v>
      </c>
      <c r="AB1004" s="14">
        <f>IFERROR(__xludf.DUMMYFUNCTION("IFERROR(GOOGLEFINANCE(B1004,""price""),"""")"),24.05)</f>
        <v>24.05</v>
      </c>
    </row>
    <row r="1005">
      <c r="A1005" s="15">
        <v>46072.86643875927</v>
      </c>
      <c r="B1005" s="16" t="s">
        <v>2658</v>
      </c>
      <c r="C1005" s="16" t="s">
        <v>2659</v>
      </c>
      <c r="D1005" s="17">
        <v>46075.0</v>
      </c>
      <c r="E1005" s="18">
        <v>91.64</v>
      </c>
      <c r="F1005" s="16" t="s">
        <v>917</v>
      </c>
      <c r="G1005" s="21">
        <v>27.7672</v>
      </c>
      <c r="H1005" s="21">
        <v>3.3003</v>
      </c>
      <c r="I1005" s="17">
        <v>46073.0</v>
      </c>
      <c r="J1005" s="18">
        <v>90.0</v>
      </c>
      <c r="K1005" s="16">
        <v>4179.0</v>
      </c>
      <c r="L1005" s="16" t="s">
        <v>2608</v>
      </c>
      <c r="M1005" s="19">
        <v>1.79</v>
      </c>
      <c r="N1005" s="16" t="s">
        <v>3693</v>
      </c>
      <c r="O1005" s="16">
        <v>7194.0</v>
      </c>
      <c r="P1005" s="19">
        <v>40.8055</v>
      </c>
      <c r="Q1005" s="16" t="s">
        <v>2661</v>
      </c>
      <c r="R1005" s="19">
        <v>0.4604</v>
      </c>
      <c r="S1005" s="20">
        <v>8483548.0</v>
      </c>
      <c r="T1005" s="20">
        <v>1.90933956129E11</v>
      </c>
      <c r="U1005" s="21">
        <v>2.0824</v>
      </c>
      <c r="V1005" s="21">
        <v>13.0533</v>
      </c>
      <c r="W1005" s="21">
        <v>26.8934</v>
      </c>
      <c r="X1005" s="21">
        <v>8.6905</v>
      </c>
      <c r="Y1005" s="21">
        <v>1.7594</v>
      </c>
      <c r="Z1005" s="21">
        <v>0.5953</v>
      </c>
      <c r="AA1005" s="16" t="s">
        <v>2611</v>
      </c>
      <c r="AB1005" s="22">
        <f>IFERROR(__xludf.DUMMYFUNCTION("IFERROR(GOOGLEFINANCE(B1005,""price""),"""")"),94.08)</f>
        <v>94.08</v>
      </c>
    </row>
    <row r="1006">
      <c r="A1006" s="7">
        <v>46072.86643875927</v>
      </c>
      <c r="B1006" s="8" t="s">
        <v>2676</v>
      </c>
      <c r="C1006" s="8" t="s">
        <v>2677</v>
      </c>
      <c r="D1006" s="9">
        <v>46075.0</v>
      </c>
      <c r="E1006" s="10">
        <v>29.72</v>
      </c>
      <c r="F1006" s="8" t="s">
        <v>93</v>
      </c>
      <c r="G1006" s="13">
        <v>12.9369</v>
      </c>
      <c r="H1006" s="13">
        <v>2.2973</v>
      </c>
      <c r="I1006" s="9">
        <v>46073.0</v>
      </c>
      <c r="J1006" s="10">
        <v>30.0</v>
      </c>
      <c r="K1006" s="8">
        <v>4262.0</v>
      </c>
      <c r="L1006" s="8" t="s">
        <v>2608</v>
      </c>
      <c r="M1006" s="11">
        <v>0.94</v>
      </c>
      <c r="N1006" s="8" t="s">
        <v>3694</v>
      </c>
      <c r="O1006" s="8">
        <v>6611.0</v>
      </c>
      <c r="P1006" s="11">
        <v>24.9061</v>
      </c>
      <c r="Q1006" s="8" t="s">
        <v>2679</v>
      </c>
      <c r="R1006" s="11">
        <v>-1.1311</v>
      </c>
      <c r="S1006" s="12">
        <v>1.201744E7</v>
      </c>
      <c r="T1006" s="12">
        <v>2.6060769886E10</v>
      </c>
      <c r="U1006" s="13">
        <v>0.7402</v>
      </c>
      <c r="V1006" s="13">
        <v>11.6787</v>
      </c>
      <c r="W1006" s="13">
        <v>28.7373</v>
      </c>
      <c r="X1006" s="13">
        <v>2.137</v>
      </c>
      <c r="Y1006" s="13">
        <v>0.2565</v>
      </c>
      <c r="Z1006" s="13">
        <v>0.1084</v>
      </c>
      <c r="AA1006" s="8" t="s">
        <v>2620</v>
      </c>
      <c r="AB1006" s="14">
        <f>IFERROR(__xludf.DUMMYFUNCTION("IFERROR(GOOGLEFINANCE(B1006,""price""),"""")"),27.5)</f>
        <v>27.5</v>
      </c>
    </row>
    <row r="1007">
      <c r="A1007" s="15">
        <v>46072.86643875927</v>
      </c>
      <c r="B1007" s="16" t="s">
        <v>2692</v>
      </c>
      <c r="C1007" s="16" t="s">
        <v>2693</v>
      </c>
      <c r="D1007" s="17">
        <v>46075.0</v>
      </c>
      <c r="E1007" s="18">
        <v>246.91</v>
      </c>
      <c r="F1007" s="16" t="s">
        <v>117</v>
      </c>
      <c r="G1007" s="21">
        <v>22.3533</v>
      </c>
      <c r="H1007" s="21">
        <v>11.0458</v>
      </c>
      <c r="I1007" s="17">
        <v>46073.0</v>
      </c>
      <c r="J1007" s="18">
        <v>245.0</v>
      </c>
      <c r="K1007" s="16">
        <v>3776.0</v>
      </c>
      <c r="L1007" s="16" t="s">
        <v>2608</v>
      </c>
      <c r="M1007" s="19">
        <v>0.77</v>
      </c>
      <c r="N1007" s="16" t="s">
        <v>3695</v>
      </c>
      <c r="O1007" s="16">
        <v>6600.0</v>
      </c>
      <c r="P1007" s="19">
        <v>43.4955</v>
      </c>
      <c r="Q1007" s="16" t="s">
        <v>2695</v>
      </c>
      <c r="R1007" s="19">
        <v>0.7837</v>
      </c>
      <c r="S1007" s="20">
        <v>7553934.0</v>
      </c>
      <c r="T1007" s="20">
        <v>5.95028157106E11</v>
      </c>
      <c r="U1007" s="21">
        <v>3.5734</v>
      </c>
      <c r="V1007" s="21">
        <v>35.0301</v>
      </c>
      <c r="W1007" s="21">
        <v>27.2081</v>
      </c>
      <c r="X1007" s="21">
        <v>6.046</v>
      </c>
      <c r="Y1007" s="21">
        <v>0.605</v>
      </c>
      <c r="Z1007" s="21">
        <v>1.0277</v>
      </c>
      <c r="AA1007" s="16" t="s">
        <v>2611</v>
      </c>
      <c r="AB1007" s="22">
        <f>IFERROR(__xludf.DUMMYFUNCTION("IFERROR(GOOGLEFINANCE(B1007,""price""),"""")"),238.46)</f>
        <v>238.46</v>
      </c>
    </row>
    <row r="1008">
      <c r="A1008" s="7">
        <v>46072.86643875927</v>
      </c>
      <c r="B1008" s="8" t="s">
        <v>3443</v>
      </c>
      <c r="C1008" s="8" t="s">
        <v>3444</v>
      </c>
      <c r="D1008" s="9">
        <v>46075.0</v>
      </c>
      <c r="E1008" s="10">
        <v>110.05</v>
      </c>
      <c r="F1008" s="8" t="s">
        <v>162</v>
      </c>
      <c r="G1008" s="13">
        <v>10.7559</v>
      </c>
      <c r="H1008" s="13">
        <v>10.2316</v>
      </c>
      <c r="I1008" s="9">
        <v>46073.0</v>
      </c>
      <c r="J1008" s="10">
        <v>110.0</v>
      </c>
      <c r="K1008" s="8">
        <v>4276.0</v>
      </c>
      <c r="L1008" s="8" t="s">
        <v>2608</v>
      </c>
      <c r="M1008" s="11">
        <v>0.05</v>
      </c>
      <c r="N1008" s="8" t="s">
        <v>3696</v>
      </c>
      <c r="O1008" s="8">
        <v>6286.0</v>
      </c>
      <c r="P1008" s="11">
        <v>16.3716</v>
      </c>
      <c r="Q1008" s="8" t="s">
        <v>3446</v>
      </c>
      <c r="R1008" s="11">
        <v>-5.8839</v>
      </c>
      <c r="S1008" s="12">
        <v>5147935.0</v>
      </c>
      <c r="T1008" s="12">
        <v>3.5593517805E10</v>
      </c>
      <c r="U1008" s="13">
        <v>5.4305</v>
      </c>
      <c r="V1008" s="13">
        <v>23.9868</v>
      </c>
      <c r="W1008" s="13">
        <v>8.4204</v>
      </c>
      <c r="X1008" s="13">
        <v>3.5189</v>
      </c>
      <c r="Y1008" s="13">
        <v>2.0309</v>
      </c>
      <c r="Z1008" s="13">
        <v>0.645</v>
      </c>
      <c r="AA1008" s="8" t="s">
        <v>2611</v>
      </c>
      <c r="AB1008" s="14">
        <f>IFERROR(__xludf.DUMMYFUNCTION("IFERROR(GOOGLEFINANCE(B1008,""price""),"""")"),96.4)</f>
        <v>96.4</v>
      </c>
    </row>
    <row r="1009">
      <c r="A1009" s="15">
        <v>46072.86643875927</v>
      </c>
      <c r="B1009" s="16" t="s">
        <v>3697</v>
      </c>
      <c r="C1009" s="16" t="s">
        <v>3698</v>
      </c>
      <c r="D1009" s="17">
        <v>46075.0</v>
      </c>
      <c r="E1009" s="18">
        <v>47.36</v>
      </c>
      <c r="F1009" s="16" t="s">
        <v>917</v>
      </c>
      <c r="G1009" s="21">
        <v>17.3169</v>
      </c>
      <c r="H1009" s="21">
        <v>2.7349</v>
      </c>
      <c r="I1009" s="17">
        <v>46073.0</v>
      </c>
      <c r="J1009" s="18">
        <v>47.0</v>
      </c>
      <c r="K1009" s="16">
        <v>4784.0</v>
      </c>
      <c r="L1009" s="16" t="s">
        <v>2608</v>
      </c>
      <c r="M1009" s="19">
        <v>0.76</v>
      </c>
      <c r="N1009" s="16" t="s">
        <v>3699</v>
      </c>
      <c r="O1009" s="16">
        <v>5935.0</v>
      </c>
      <c r="P1009" s="19">
        <v>26.2694</v>
      </c>
      <c r="Q1009" s="16" t="s">
        <v>3700</v>
      </c>
      <c r="R1009" s="19">
        <v>0.254</v>
      </c>
      <c r="S1009" s="20">
        <v>8858471.0</v>
      </c>
      <c r="T1009" s="20">
        <v>4.8444194222E10</v>
      </c>
      <c r="U1009" s="21">
        <v>1.0806</v>
      </c>
      <c r="V1009" s="21">
        <v>9.9356</v>
      </c>
      <c r="W1009" s="21">
        <v>21.2054</v>
      </c>
      <c r="X1009" s="21">
        <v>5.3367</v>
      </c>
      <c r="Y1009" s="21">
        <v>1.7554</v>
      </c>
      <c r="Z1009" s="21">
        <v>0.924</v>
      </c>
      <c r="AA1009" s="16" t="s">
        <v>2611</v>
      </c>
      <c r="AB1009" s="22">
        <f>IFERROR(__xludf.DUMMYFUNCTION("IFERROR(GOOGLEFINANCE(B1009,""price""),"""")"),48.57)</f>
        <v>48.57</v>
      </c>
    </row>
    <row r="1010">
      <c r="A1010" s="7">
        <v>46072.86643875927</v>
      </c>
      <c r="B1010" s="8" t="s">
        <v>2787</v>
      </c>
      <c r="C1010" s="8" t="s">
        <v>2788</v>
      </c>
      <c r="D1010" s="9">
        <v>46075.0</v>
      </c>
      <c r="E1010" s="10">
        <v>183.5</v>
      </c>
      <c r="F1010" s="8" t="s">
        <v>286</v>
      </c>
      <c r="G1010" s="13">
        <v>25.2605</v>
      </c>
      <c r="H1010" s="13">
        <v>7.2643</v>
      </c>
      <c r="I1010" s="9">
        <v>46073.0</v>
      </c>
      <c r="J1010" s="10">
        <v>180.0</v>
      </c>
      <c r="K1010" s="8">
        <v>3448.0</v>
      </c>
      <c r="L1010" s="8" t="s">
        <v>2608</v>
      </c>
      <c r="M1010" s="11">
        <v>1.91</v>
      </c>
      <c r="N1010" s="8" t="s">
        <v>3701</v>
      </c>
      <c r="O1010" s="8">
        <v>5169.0</v>
      </c>
      <c r="P1010" s="11">
        <v>30.1578</v>
      </c>
      <c r="Q1010" s="8" t="s">
        <v>2790</v>
      </c>
      <c r="R1010" s="11">
        <v>0.4544</v>
      </c>
      <c r="S1010" s="12">
        <v>3336733.0</v>
      </c>
      <c r="T1010" s="12">
        <v>2.85650697393E11</v>
      </c>
      <c r="U1010" s="13">
        <v>4.2265</v>
      </c>
      <c r="V1010" s="13"/>
      <c r="W1010" s="13">
        <v>35.6093</v>
      </c>
      <c r="X1010" s="13">
        <v>7.556</v>
      </c>
      <c r="Y1010" s="13"/>
      <c r="Z1010" s="13">
        <v>0.9582</v>
      </c>
      <c r="AA1010" s="8" t="s">
        <v>2611</v>
      </c>
      <c r="AB1010" s="14">
        <f>IFERROR(__xludf.DUMMYFUNCTION("IFERROR(GOOGLEFINANCE(B1010,""price""),"""")"),160.45)</f>
        <v>160.45</v>
      </c>
    </row>
    <row r="1011">
      <c r="A1011" s="15">
        <v>46072.86643875927</v>
      </c>
      <c r="B1011" s="16" t="s">
        <v>2775</v>
      </c>
      <c r="C1011" s="16" t="s">
        <v>2776</v>
      </c>
      <c r="D1011" s="17">
        <v>46075.0</v>
      </c>
      <c r="E1011" s="18">
        <v>57.89</v>
      </c>
      <c r="F1011" s="16" t="s">
        <v>93</v>
      </c>
      <c r="G1011" s="21">
        <v>12.5363</v>
      </c>
      <c r="H1011" s="21">
        <v>4.6178</v>
      </c>
      <c r="I1011" s="17">
        <v>46073.0</v>
      </c>
      <c r="J1011" s="18">
        <v>57.5</v>
      </c>
      <c r="K1011" s="16">
        <v>3097.0</v>
      </c>
      <c r="L1011" s="16" t="s">
        <v>2608</v>
      </c>
      <c r="M1011" s="19">
        <v>0.67</v>
      </c>
      <c r="N1011" s="16" t="s">
        <v>3702</v>
      </c>
      <c r="O1011" s="16">
        <v>4360.0</v>
      </c>
      <c r="P1011" s="19">
        <v>26.883</v>
      </c>
      <c r="Q1011" s="16" t="s">
        <v>2778</v>
      </c>
      <c r="R1011" s="19">
        <v>-1.4806</v>
      </c>
      <c r="S1011" s="20">
        <v>6914960.0</v>
      </c>
      <c r="T1011" s="20">
        <v>8.9986186438E10</v>
      </c>
      <c r="U1011" s="21">
        <v>1.3266</v>
      </c>
      <c r="V1011" s="21">
        <v>12.1773</v>
      </c>
      <c r="W1011" s="21">
        <v>23.9548</v>
      </c>
      <c r="X1011" s="21">
        <v>2.1447</v>
      </c>
      <c r="Y1011" s="21">
        <v>1.1953</v>
      </c>
      <c r="Z1011" s="21">
        <v>0.4632</v>
      </c>
      <c r="AA1011" s="16" t="s">
        <v>2611</v>
      </c>
      <c r="AB1011" s="22">
        <f>IFERROR(__xludf.DUMMYFUNCTION("IFERROR(GOOGLEFINANCE(B1011,""price""),"""")"),55.66)</f>
        <v>55.66</v>
      </c>
    </row>
    <row r="1012">
      <c r="A1012" s="7">
        <v>46072.86643875927</v>
      </c>
      <c r="B1012" s="8" t="s">
        <v>3237</v>
      </c>
      <c r="C1012" s="8" t="s">
        <v>3238</v>
      </c>
      <c r="D1012" s="9">
        <v>46075.0</v>
      </c>
      <c r="E1012" s="10">
        <v>327.11</v>
      </c>
      <c r="F1012" s="8" t="s">
        <v>149</v>
      </c>
      <c r="G1012" s="13">
        <v>27.3675</v>
      </c>
      <c r="H1012" s="13">
        <v>11.9525</v>
      </c>
      <c r="I1012" s="9">
        <v>46073.0</v>
      </c>
      <c r="J1012" s="10">
        <v>325.0</v>
      </c>
      <c r="K1012" s="8">
        <v>2128.0</v>
      </c>
      <c r="L1012" s="8" t="s">
        <v>2608</v>
      </c>
      <c r="M1012" s="11">
        <v>0.65</v>
      </c>
      <c r="N1012" s="8" t="s">
        <v>3703</v>
      </c>
      <c r="O1012" s="8">
        <v>4200.0</v>
      </c>
      <c r="P1012" s="11">
        <v>33.6782</v>
      </c>
      <c r="Q1012" s="8" t="s">
        <v>3240</v>
      </c>
      <c r="R1012" s="11">
        <v>-0.2379</v>
      </c>
      <c r="S1012" s="12">
        <v>4032263.0</v>
      </c>
      <c r="T1012" s="12">
        <v>2.32952822423E11</v>
      </c>
      <c r="U1012" s="13">
        <v>5.7755</v>
      </c>
      <c r="V1012" s="13"/>
      <c r="W1012" s="13">
        <v>46.1038</v>
      </c>
      <c r="X1012" s="13">
        <v>3.723</v>
      </c>
      <c r="Y1012" s="13"/>
      <c r="Z1012" s="13">
        <v>0.9546</v>
      </c>
      <c r="AA1012" s="8" t="s">
        <v>2611</v>
      </c>
      <c r="AB1012" s="14">
        <f>IFERROR(__xludf.DUMMYFUNCTION("IFERROR(GOOGLEFINANCE(B1012,""price""),"""")"),305.68)</f>
        <v>305.68</v>
      </c>
    </row>
    <row r="1013">
      <c r="A1013" s="15">
        <v>46072.86643875927</v>
      </c>
      <c r="B1013" s="16" t="s">
        <v>3542</v>
      </c>
      <c r="C1013" s="16" t="s">
        <v>3543</v>
      </c>
      <c r="D1013" s="17">
        <v>46075.0</v>
      </c>
      <c r="E1013" s="18">
        <v>151.3</v>
      </c>
      <c r="F1013" s="16" t="s">
        <v>308</v>
      </c>
      <c r="G1013" s="21">
        <v>36.952</v>
      </c>
      <c r="H1013" s="21">
        <v>4.0945</v>
      </c>
      <c r="I1013" s="17">
        <v>46073.0</v>
      </c>
      <c r="J1013" s="18">
        <v>152.5</v>
      </c>
      <c r="K1013" s="16">
        <v>2302.0</v>
      </c>
      <c r="L1013" s="16" t="s">
        <v>2608</v>
      </c>
      <c r="M1013" s="19">
        <v>0.79</v>
      </c>
      <c r="N1013" s="16" t="s">
        <v>3640</v>
      </c>
      <c r="O1013" s="16">
        <v>3975.0</v>
      </c>
      <c r="P1013" s="19">
        <v>21.8375</v>
      </c>
      <c r="Q1013" s="16" t="s">
        <v>3545</v>
      </c>
      <c r="R1013" s="19">
        <v>0.1059</v>
      </c>
      <c r="S1013" s="20">
        <v>2253974.0</v>
      </c>
      <c r="T1013" s="20">
        <v>8.5076301787E10</v>
      </c>
      <c r="U1013" s="21">
        <v>4.9042</v>
      </c>
      <c r="V1013" s="21">
        <v>11.3131</v>
      </c>
      <c r="W1013" s="21">
        <v>19.8768</v>
      </c>
      <c r="X1013" s="21">
        <v>3.607</v>
      </c>
      <c r="Y1013" s="21">
        <v>0.6933</v>
      </c>
      <c r="Z1013" s="21">
        <v>0.8406</v>
      </c>
      <c r="AA1013" s="16" t="s">
        <v>2620</v>
      </c>
      <c r="AB1013" s="22">
        <f>IFERROR(__xludf.DUMMYFUNCTION("IFERROR(GOOGLEFINANCE(B1013,""price""),"""")"),143.77)</f>
        <v>143.77</v>
      </c>
    </row>
    <row r="1014">
      <c r="A1014" s="7">
        <v>46072.86643875927</v>
      </c>
      <c r="B1014" s="8" t="s">
        <v>3022</v>
      </c>
      <c r="C1014" s="8" t="s">
        <v>3023</v>
      </c>
      <c r="D1014" s="9">
        <v>46075.0</v>
      </c>
      <c r="E1014" s="10">
        <v>760.53</v>
      </c>
      <c r="F1014" s="8" t="s">
        <v>102</v>
      </c>
      <c r="G1014" s="13">
        <v>40.3968</v>
      </c>
      <c r="H1014" s="13">
        <v>18.8265</v>
      </c>
      <c r="I1014" s="9">
        <v>46073.0</v>
      </c>
      <c r="J1014" s="10">
        <v>750.0</v>
      </c>
      <c r="K1014" s="8">
        <v>1593.0</v>
      </c>
      <c r="L1014" s="8" t="s">
        <v>2608</v>
      </c>
      <c r="M1014" s="11">
        <v>1.38</v>
      </c>
      <c r="N1014" s="8" t="s">
        <v>3704</v>
      </c>
      <c r="O1014" s="8">
        <v>2990.0</v>
      </c>
      <c r="P1014" s="11">
        <v>35.9586</v>
      </c>
      <c r="Q1014" s="8" t="s">
        <v>3025</v>
      </c>
      <c r="R1014" s="11">
        <v>1.1383</v>
      </c>
      <c r="S1014" s="12">
        <v>2908015.0</v>
      </c>
      <c r="T1014" s="12">
        <v>3.53864977183E11</v>
      </c>
      <c r="U1014" s="13">
        <v>24.745</v>
      </c>
      <c r="V1014" s="13">
        <v>43.5394</v>
      </c>
      <c r="W1014" s="13">
        <v>17.1611</v>
      </c>
      <c r="X1014" s="13">
        <v>4.2895</v>
      </c>
      <c r="Y1014" s="13">
        <v>2.0667</v>
      </c>
      <c r="Z1014" s="13">
        <v>1.4357</v>
      </c>
      <c r="AA1014" s="8" t="s">
        <v>2611</v>
      </c>
      <c r="AB1014" s="14">
        <f>IFERROR(__xludf.DUMMYFUNCTION("IFERROR(GOOGLEFINANCE(B1014,""price""),"""")"),790.66)</f>
        <v>790.66</v>
      </c>
    </row>
    <row r="1015">
      <c r="A1015" s="15">
        <v>46072.86643875927</v>
      </c>
      <c r="B1015" s="16" t="s">
        <v>3355</v>
      </c>
      <c r="C1015" s="16" t="s">
        <v>3356</v>
      </c>
      <c r="D1015" s="17">
        <v>46075.0</v>
      </c>
      <c r="E1015" s="18">
        <v>212.98</v>
      </c>
      <c r="F1015" s="16" t="s">
        <v>149</v>
      </c>
      <c r="G1015" s="21">
        <v>22.3198</v>
      </c>
      <c r="H1015" s="21">
        <v>9.5422</v>
      </c>
      <c r="I1015" s="17">
        <v>46073.0</v>
      </c>
      <c r="J1015" s="18">
        <v>210.0</v>
      </c>
      <c r="K1015" s="16">
        <v>2839.0</v>
      </c>
      <c r="L1015" s="16" t="s">
        <v>2608</v>
      </c>
      <c r="M1015" s="19">
        <v>1.4</v>
      </c>
      <c r="N1015" s="16" t="s">
        <v>3736</v>
      </c>
      <c r="O1015" s="16">
        <v>2839.0</v>
      </c>
      <c r="P1015" s="19">
        <v>30.036</v>
      </c>
      <c r="Q1015" s="16" t="s">
        <v>3358</v>
      </c>
      <c r="R1015" s="19">
        <v>-1.585</v>
      </c>
      <c r="S1015" s="20">
        <v>1321647.0</v>
      </c>
      <c r="T1015" s="20">
        <v>2.4522358244E10</v>
      </c>
      <c r="U1015" s="21">
        <v>5.601</v>
      </c>
      <c r="V1015" s="21">
        <v>54.1035</v>
      </c>
      <c r="W1015" s="21">
        <v>11.9278</v>
      </c>
      <c r="X1015" s="21">
        <v>8.6138</v>
      </c>
      <c r="Y1015" s="21">
        <v>3.9974</v>
      </c>
      <c r="Z1015" s="21">
        <v>0.3937</v>
      </c>
      <c r="AA1015" s="16" t="s">
        <v>2611</v>
      </c>
      <c r="AB1015" s="22">
        <f>IFERROR(__xludf.DUMMYFUNCTION("IFERROR(GOOGLEFINANCE(B1015,""price""),"""")"),192.39)</f>
        <v>192.39</v>
      </c>
    </row>
    <row r="1016">
      <c r="A1016" s="7">
        <v>46072.86643875927</v>
      </c>
      <c r="B1016" s="8" t="s">
        <v>2646</v>
      </c>
      <c r="C1016" s="8" t="s">
        <v>2647</v>
      </c>
      <c r="D1016" s="9">
        <v>46075.0</v>
      </c>
      <c r="E1016" s="10">
        <v>36.18</v>
      </c>
      <c r="F1016" s="8" t="s">
        <v>270</v>
      </c>
      <c r="G1016" s="13">
        <v>13.6246</v>
      </c>
      <c r="H1016" s="13">
        <v>2.6555</v>
      </c>
      <c r="I1016" s="9">
        <v>46073.0</v>
      </c>
      <c r="J1016" s="10">
        <v>36.0</v>
      </c>
      <c r="K1016" s="8">
        <v>2768.0</v>
      </c>
      <c r="L1016" s="8" t="s">
        <v>2627</v>
      </c>
      <c r="M1016" s="11">
        <v>0.5</v>
      </c>
      <c r="N1016" s="8" t="s">
        <v>3705</v>
      </c>
      <c r="O1016" s="8">
        <v>2768.0</v>
      </c>
      <c r="P1016" s="11">
        <v>42.5024</v>
      </c>
      <c r="Q1016" s="8" t="s">
        <v>2649</v>
      </c>
      <c r="R1016" s="11">
        <v>0.1939</v>
      </c>
      <c r="S1016" s="12">
        <v>3944617.0</v>
      </c>
      <c r="T1016" s="12">
        <v>7.8268956729E10</v>
      </c>
      <c r="U1016" s="13">
        <v>0.7121</v>
      </c>
      <c r="V1016" s="13"/>
      <c r="W1016" s="13">
        <v>13.037</v>
      </c>
      <c r="X1016" s="13">
        <v>-5.779</v>
      </c>
      <c r="Y1016" s="13"/>
      <c r="Z1016" s="13"/>
      <c r="AA1016" s="8" t="s">
        <v>2611</v>
      </c>
      <c r="AB1016" s="14">
        <f>IFERROR(__xludf.DUMMYFUNCTION("IFERROR(GOOGLEFINANCE(B1016,""price""),"""")"),37.35)</f>
        <v>37.35</v>
      </c>
    </row>
    <row r="1017">
      <c r="A1017" s="15">
        <v>46072.86643875927</v>
      </c>
      <c r="B1017" s="16" t="s">
        <v>2768</v>
      </c>
      <c r="C1017" s="16" t="s">
        <v>2769</v>
      </c>
      <c r="D1017" s="17">
        <v>46075.0</v>
      </c>
      <c r="E1017" s="18">
        <v>284.67</v>
      </c>
      <c r="F1017" s="16" t="s">
        <v>308</v>
      </c>
      <c r="G1017" s="21">
        <v>28.5793</v>
      </c>
      <c r="H1017" s="21">
        <v>9.9607</v>
      </c>
      <c r="I1017" s="17">
        <v>46073.0</v>
      </c>
      <c r="J1017" s="18">
        <v>290.0</v>
      </c>
      <c r="K1017" s="16">
        <v>1344.0</v>
      </c>
      <c r="L1017" s="16" t="s">
        <v>2608</v>
      </c>
      <c r="M1017" s="19">
        <v>1.87</v>
      </c>
      <c r="N1017" s="16" t="s">
        <v>3706</v>
      </c>
      <c r="O1017" s="16">
        <v>2668.0</v>
      </c>
      <c r="P1017" s="19">
        <v>37.0135</v>
      </c>
      <c r="Q1017" s="16" t="s">
        <v>2771</v>
      </c>
      <c r="R1017" s="19">
        <v>-4.0093</v>
      </c>
      <c r="S1017" s="20">
        <v>1.039975E7</v>
      </c>
      <c r="T1017" s="20">
        <v>9.6513927692E10</v>
      </c>
      <c r="U1017" s="21">
        <v>21.5755</v>
      </c>
      <c r="V1017" s="21">
        <v>41.2731</v>
      </c>
      <c r="W1017" s="21">
        <v>27.8834</v>
      </c>
      <c r="X1017" s="21">
        <v>-31.1967</v>
      </c>
      <c r="Y1017" s="21">
        <v>0.7076</v>
      </c>
      <c r="Z1017" s="21">
        <v>1.455</v>
      </c>
      <c r="AA1017" s="16" t="s">
        <v>2620</v>
      </c>
      <c r="AB1017" s="22">
        <f>IFERROR(__xludf.DUMMYFUNCTION("IFERROR(GOOGLEFINANCE(B1017,""price""),"""")"),343.43)</f>
        <v>343.43</v>
      </c>
    </row>
    <row r="1018">
      <c r="A1018" s="7">
        <v>46072.86643875927</v>
      </c>
      <c r="B1018" s="8" t="s">
        <v>3416</v>
      </c>
      <c r="C1018" s="8" t="s">
        <v>3417</v>
      </c>
      <c r="D1018" s="9">
        <v>46075.0</v>
      </c>
      <c r="E1018" s="10">
        <v>67.99</v>
      </c>
      <c r="F1018" s="8" t="s">
        <v>286</v>
      </c>
      <c r="G1018" s="13">
        <v>16.5157</v>
      </c>
      <c r="H1018" s="13">
        <v>4.1167</v>
      </c>
      <c r="I1018" s="9">
        <v>46073.0</v>
      </c>
      <c r="J1018" s="10">
        <v>68.0</v>
      </c>
      <c r="K1018" s="8">
        <v>1576.0</v>
      </c>
      <c r="L1018" s="8" t="s">
        <v>2608</v>
      </c>
      <c r="M1018" s="11">
        <v>0.01</v>
      </c>
      <c r="N1018" s="8" t="s">
        <v>3707</v>
      </c>
      <c r="O1018" s="8">
        <v>2586.0</v>
      </c>
      <c r="P1018" s="11">
        <v>27.9172</v>
      </c>
      <c r="Q1018" s="8" t="s">
        <v>3419</v>
      </c>
      <c r="R1018" s="11">
        <v>1.8272</v>
      </c>
      <c r="S1018" s="12">
        <v>7836672.0</v>
      </c>
      <c r="T1018" s="12">
        <v>1.14132870145E11</v>
      </c>
      <c r="U1018" s="13">
        <v>1.4118</v>
      </c>
      <c r="V1018" s="13"/>
      <c r="W1018" s="13">
        <v>63.7221</v>
      </c>
      <c r="X1018" s="13">
        <v>-1.4919</v>
      </c>
      <c r="Y1018" s="13"/>
      <c r="Z1018" s="13">
        <v>0.648</v>
      </c>
      <c r="AA1018" s="8" t="s">
        <v>2620</v>
      </c>
      <c r="AB1018" s="14">
        <f>IFERROR(__xludf.DUMMYFUNCTION("IFERROR(GOOGLEFINANCE(B1018,""price""),"""")"),67.38)</f>
        <v>67.38</v>
      </c>
    </row>
    <row r="1019">
      <c r="A1019" s="15">
        <v>46072.86643875927</v>
      </c>
      <c r="B1019" s="16" t="s">
        <v>2973</v>
      </c>
      <c r="C1019" s="16" t="s">
        <v>2974</v>
      </c>
      <c r="D1019" s="17">
        <v>46075.0</v>
      </c>
      <c r="E1019" s="18">
        <v>51.78</v>
      </c>
      <c r="F1019" s="16" t="s">
        <v>93</v>
      </c>
      <c r="G1019" s="21">
        <v>13.5642</v>
      </c>
      <c r="H1019" s="21">
        <v>3.8174</v>
      </c>
      <c r="I1019" s="17">
        <v>46073.0</v>
      </c>
      <c r="J1019" s="18">
        <v>52.5</v>
      </c>
      <c r="K1019" s="16">
        <v>2561.0</v>
      </c>
      <c r="L1019" s="16" t="s">
        <v>2608</v>
      </c>
      <c r="M1019" s="19">
        <v>1.39</v>
      </c>
      <c r="N1019" s="16" t="s">
        <v>3594</v>
      </c>
      <c r="O1019" s="16">
        <v>2561.0</v>
      </c>
      <c r="P1019" s="19">
        <v>19.7302</v>
      </c>
      <c r="Q1019" s="16" t="s">
        <v>2976</v>
      </c>
      <c r="R1019" s="19">
        <v>-1.7271</v>
      </c>
      <c r="S1019" s="20">
        <v>9333719.0</v>
      </c>
      <c r="T1019" s="20">
        <v>6.6239367329E10</v>
      </c>
      <c r="U1019" s="21">
        <v>1.2598</v>
      </c>
      <c r="V1019" s="21">
        <v>8.2363</v>
      </c>
      <c r="W1019" s="21">
        <v>21.1616</v>
      </c>
      <c r="X1019" s="21">
        <v>24.2886</v>
      </c>
      <c r="Y1019" s="21">
        <v>1.0708</v>
      </c>
      <c r="Z1019" s="21">
        <v>0.3413</v>
      </c>
      <c r="AA1019" s="16" t="s">
        <v>2620</v>
      </c>
      <c r="AB1019" s="22">
        <f>IFERROR(__xludf.DUMMYFUNCTION("IFERROR(GOOGLEFINANCE(B1019,""price""),"""")"),49.6)</f>
        <v>49.6</v>
      </c>
    </row>
    <row r="1020">
      <c r="A1020" s="7">
        <v>46072.86643875927</v>
      </c>
      <c r="B1020" s="8" t="s">
        <v>2505</v>
      </c>
      <c r="C1020" s="8" t="s">
        <v>2506</v>
      </c>
      <c r="D1020" s="9">
        <v>46075.0</v>
      </c>
      <c r="E1020" s="10">
        <v>180.04</v>
      </c>
      <c r="F1020" s="8" t="s">
        <v>335</v>
      </c>
      <c r="G1020" s="13">
        <v>23.8856</v>
      </c>
      <c r="H1020" s="13">
        <v>7.5376</v>
      </c>
      <c r="I1020" s="9">
        <v>46073.0</v>
      </c>
      <c r="J1020" s="10">
        <v>180.0</v>
      </c>
      <c r="K1020" s="8">
        <v>1546.0</v>
      </c>
      <c r="L1020" s="8" t="s">
        <v>2627</v>
      </c>
      <c r="M1020" s="11">
        <v>0.02</v>
      </c>
      <c r="N1020" s="8" t="s">
        <v>3708</v>
      </c>
      <c r="O1020" s="8">
        <v>2553.0</v>
      </c>
      <c r="P1020" s="11">
        <v>20.3538</v>
      </c>
      <c r="Q1020" s="8" t="s">
        <v>2507</v>
      </c>
      <c r="R1020" s="11">
        <v>-2.4385</v>
      </c>
      <c r="S1020" s="12">
        <v>1987140.0</v>
      </c>
      <c r="T1020" s="12">
        <v>4.1203711258E10</v>
      </c>
      <c r="U1020" s="13">
        <v>5.69</v>
      </c>
      <c r="V1020" s="13">
        <v>8.4356</v>
      </c>
      <c r="W1020" s="13">
        <v>8.2261</v>
      </c>
      <c r="X1020" s="13">
        <v>5.7251</v>
      </c>
      <c r="Y1020" s="13">
        <v>0.3401</v>
      </c>
      <c r="Z1020" s="13">
        <v>2.9383</v>
      </c>
      <c r="AA1020" s="8" t="s">
        <v>2611</v>
      </c>
      <c r="AB1020" s="14">
        <f>IFERROR(__xludf.DUMMYFUNCTION("IFERROR(GOOGLEFINANCE(B1020,""price""),"""")"),186.12)</f>
        <v>186.12</v>
      </c>
    </row>
    <row r="1021">
      <c r="A1021" s="15">
        <v>46072.86643875927</v>
      </c>
      <c r="B1021" s="16" t="s">
        <v>2344</v>
      </c>
      <c r="C1021" s="16" t="s">
        <v>2345</v>
      </c>
      <c r="D1021" s="17">
        <v>46075.0</v>
      </c>
      <c r="E1021" s="18">
        <v>72.17</v>
      </c>
      <c r="F1021" s="16" t="s">
        <v>270</v>
      </c>
      <c r="G1021" s="21"/>
      <c r="H1021" s="21"/>
      <c r="I1021" s="17">
        <v>46073.0</v>
      </c>
      <c r="J1021" s="18">
        <v>73.0</v>
      </c>
      <c r="K1021" s="16">
        <v>1518.0</v>
      </c>
      <c r="L1021" s="16" t="s">
        <v>2608</v>
      </c>
      <c r="M1021" s="19">
        <v>1.15</v>
      </c>
      <c r="N1021" s="16" t="s">
        <v>3709</v>
      </c>
      <c r="O1021" s="16">
        <v>2552.0</v>
      </c>
      <c r="P1021" s="19">
        <v>44.9426</v>
      </c>
      <c r="Q1021" s="16" t="s">
        <v>2346</v>
      </c>
      <c r="R1021" s="19">
        <v>0.0416</v>
      </c>
      <c r="S1021" s="20">
        <v>6657595.0</v>
      </c>
      <c r="T1021" s="20">
        <v>8.8135365252E10</v>
      </c>
      <c r="U1021" s="21">
        <v>1.778</v>
      </c>
      <c r="V1021" s="21">
        <v>20.7424</v>
      </c>
      <c r="W1021" s="21">
        <v>36.7664</v>
      </c>
      <c r="X1021" s="21">
        <v>10.611</v>
      </c>
      <c r="Y1021" s="21">
        <v>2.2926</v>
      </c>
      <c r="Z1021" s="21">
        <v>0.5313</v>
      </c>
      <c r="AA1021" s="16" t="s">
        <v>2620</v>
      </c>
      <c r="AB1021" s="22">
        <f>IFERROR(__xludf.DUMMYFUNCTION("IFERROR(GOOGLEFINANCE(B1021,""price""),"""")"),72.74)</f>
        <v>72.74</v>
      </c>
    </row>
    <row r="1022">
      <c r="A1022" s="7">
        <v>46072.86643875927</v>
      </c>
      <c r="B1022" s="8" t="s">
        <v>2680</v>
      </c>
      <c r="C1022" s="8" t="s">
        <v>2681</v>
      </c>
      <c r="D1022" s="9">
        <v>46075.0</v>
      </c>
      <c r="E1022" s="10">
        <v>199.24</v>
      </c>
      <c r="F1022" s="8" t="s">
        <v>245</v>
      </c>
      <c r="G1022" s="13">
        <v>26.0516</v>
      </c>
      <c r="H1022" s="13">
        <v>7.6479</v>
      </c>
      <c r="I1022" s="9">
        <v>46073.0</v>
      </c>
      <c r="J1022" s="10">
        <v>200.0</v>
      </c>
      <c r="K1022" s="8">
        <v>1409.0</v>
      </c>
      <c r="L1022" s="8" t="s">
        <v>2608</v>
      </c>
      <c r="M1022" s="11">
        <v>0.38</v>
      </c>
      <c r="N1022" s="8" t="s">
        <v>3710</v>
      </c>
      <c r="O1022" s="8">
        <v>2456.0</v>
      </c>
      <c r="P1022" s="11">
        <v>38.0021</v>
      </c>
      <c r="Q1022" s="8" t="s">
        <v>2683</v>
      </c>
      <c r="R1022" s="11">
        <v>-0.1103</v>
      </c>
      <c r="S1022" s="12">
        <v>2187636.0</v>
      </c>
      <c r="T1022" s="12">
        <v>6.0770099106E10</v>
      </c>
      <c r="U1022" s="13">
        <v>6.361</v>
      </c>
      <c r="V1022" s="13">
        <v>9.7104</v>
      </c>
      <c r="W1022" s="13">
        <v>3.6059</v>
      </c>
      <c r="X1022" s="13">
        <v>-5.4437</v>
      </c>
      <c r="Y1022" s="13">
        <v>0.4476</v>
      </c>
      <c r="Z1022" s="13">
        <v>1.645</v>
      </c>
      <c r="AA1022" s="8" t="s">
        <v>2620</v>
      </c>
      <c r="AB1022" s="14">
        <f>IFERROR(__xludf.DUMMYFUNCTION("IFERROR(GOOGLEFINANCE(B1022,""price""),"""")"),238.82)</f>
        <v>238.82</v>
      </c>
    </row>
    <row r="1023">
      <c r="A1023" s="15">
        <v>46072.86643875927</v>
      </c>
      <c r="B1023" s="16" t="s">
        <v>2696</v>
      </c>
      <c r="C1023" s="16" t="s">
        <v>2697</v>
      </c>
      <c r="D1023" s="17">
        <v>46075.0</v>
      </c>
      <c r="E1023" s="18">
        <v>185.19</v>
      </c>
      <c r="F1023" s="16" t="s">
        <v>162</v>
      </c>
      <c r="G1023" s="21">
        <v>38.317</v>
      </c>
      <c r="H1023" s="21">
        <v>4.8331</v>
      </c>
      <c r="I1023" s="17">
        <v>46073.0</v>
      </c>
      <c r="J1023" s="18">
        <v>185.0</v>
      </c>
      <c r="K1023" s="16">
        <v>2428.0</v>
      </c>
      <c r="L1023" s="16" t="s">
        <v>2608</v>
      </c>
      <c r="M1023" s="19">
        <v>0.1</v>
      </c>
      <c r="N1023" s="16" t="s">
        <v>3711</v>
      </c>
      <c r="O1023" s="16">
        <v>2428.0</v>
      </c>
      <c r="P1023" s="19">
        <v>45.6021</v>
      </c>
      <c r="Q1023" s="16" t="s">
        <v>2699</v>
      </c>
      <c r="R1023" s="19">
        <v>-0.3605</v>
      </c>
      <c r="S1023" s="20">
        <v>2469954.0</v>
      </c>
      <c r="T1023" s="20">
        <v>2.1967392386E10</v>
      </c>
      <c r="U1023" s="21">
        <v>7.995</v>
      </c>
      <c r="V1023" s="21">
        <v>32.9109</v>
      </c>
      <c r="W1023" s="21">
        <v>4.9029</v>
      </c>
      <c r="X1023" s="21">
        <v>-8.4186</v>
      </c>
      <c r="Y1023" s="21">
        <v>0.756</v>
      </c>
      <c r="Z1023" s="21">
        <v>1.5278</v>
      </c>
      <c r="AA1023" s="16" t="s">
        <v>2611</v>
      </c>
      <c r="AB1023" s="22">
        <f>IFERROR(__xludf.DUMMYFUNCTION("IFERROR(GOOGLEFINANCE(B1023,""price""),"""")"),163.49)</f>
        <v>163.49</v>
      </c>
    </row>
    <row r="1024">
      <c r="A1024" s="7">
        <v>46072.86643875927</v>
      </c>
      <c r="B1024" s="8" t="s">
        <v>2843</v>
      </c>
      <c r="C1024" s="8" t="s">
        <v>2844</v>
      </c>
      <c r="D1024" s="9">
        <v>46075.0</v>
      </c>
      <c r="E1024" s="10">
        <v>205.41</v>
      </c>
      <c r="F1024" s="8" t="s">
        <v>308</v>
      </c>
      <c r="G1024" s="13">
        <v>41.3933</v>
      </c>
      <c r="H1024" s="13">
        <v>4.9624</v>
      </c>
      <c r="I1024" s="9">
        <v>46073.0</v>
      </c>
      <c r="J1024" s="10">
        <v>205.0</v>
      </c>
      <c r="K1024" s="8">
        <v>2062.0</v>
      </c>
      <c r="L1024" s="8" t="s">
        <v>2608</v>
      </c>
      <c r="M1024" s="11">
        <v>0.2</v>
      </c>
      <c r="N1024" s="8" t="s">
        <v>3737</v>
      </c>
      <c r="O1024" s="8">
        <v>2062.0</v>
      </c>
      <c r="P1024" s="11">
        <v>35.0979</v>
      </c>
      <c r="Q1024" s="8" t="s">
        <v>2846</v>
      </c>
      <c r="R1024" s="11">
        <v>0.293</v>
      </c>
      <c r="S1024" s="12">
        <v>6128377.0</v>
      </c>
      <c r="T1024" s="12">
        <v>2.75719292148E11</v>
      </c>
      <c r="U1024" s="13">
        <v>4.8585</v>
      </c>
      <c r="V1024" s="13">
        <v>10.7368</v>
      </c>
      <c r="W1024" s="13">
        <v>10.0301</v>
      </c>
      <c r="X1024" s="13">
        <v>9.7414</v>
      </c>
      <c r="Y1024" s="13">
        <v>0.6124</v>
      </c>
      <c r="Z1024" s="13">
        <v>0.9804</v>
      </c>
      <c r="AA1024" s="8" t="s">
        <v>2611</v>
      </c>
      <c r="AB1024" s="14">
        <f>IFERROR(__xludf.DUMMYFUNCTION("IFERROR(GOOGLEFINANCE(B1024,""price""),"""")"),201.56)</f>
        <v>201.56</v>
      </c>
    </row>
    <row r="1025">
      <c r="A1025" s="15">
        <v>46072.86643875927</v>
      </c>
      <c r="B1025" s="16" t="s">
        <v>3713</v>
      </c>
      <c r="C1025" s="16" t="s">
        <v>3714</v>
      </c>
      <c r="D1025" s="17">
        <v>46075.0</v>
      </c>
      <c r="E1025" s="18">
        <v>157.46</v>
      </c>
      <c r="F1025" s="16" t="s">
        <v>149</v>
      </c>
      <c r="G1025" s="21">
        <v>114.9343</v>
      </c>
      <c r="H1025" s="21">
        <v>1.37</v>
      </c>
      <c r="I1025" s="17">
        <v>46073.0</v>
      </c>
      <c r="J1025" s="18">
        <v>155.0</v>
      </c>
      <c r="K1025" s="16">
        <v>2056.0</v>
      </c>
      <c r="L1025" s="16" t="s">
        <v>2608</v>
      </c>
      <c r="M1025" s="19">
        <v>1.56</v>
      </c>
      <c r="N1025" s="16" t="s">
        <v>3715</v>
      </c>
      <c r="O1025" s="16">
        <v>2056.0</v>
      </c>
      <c r="P1025" s="19">
        <v>21.2051</v>
      </c>
      <c r="Q1025" s="16" t="s">
        <v>3716</v>
      </c>
      <c r="R1025" s="19">
        <v>1.0784</v>
      </c>
      <c r="S1025" s="20">
        <v>3758128.0</v>
      </c>
      <c r="T1025" s="20">
        <v>3.6563667238E10</v>
      </c>
      <c r="U1025" s="21">
        <v>5.0357</v>
      </c>
      <c r="V1025" s="21">
        <v>79.6258</v>
      </c>
      <c r="W1025" s="21">
        <v>6.0286</v>
      </c>
      <c r="X1025" s="21">
        <v>5.3898</v>
      </c>
      <c r="Y1025" s="21">
        <v>18.0088</v>
      </c>
      <c r="Z1025" s="21">
        <v>0.9212</v>
      </c>
      <c r="AA1025" s="16" t="s">
        <v>2611</v>
      </c>
      <c r="AB1025" s="22">
        <f>IFERROR(__xludf.DUMMYFUNCTION("IFERROR(GOOGLEFINANCE(B1025,""price""),"""")"),160.59)</f>
        <v>160.59</v>
      </c>
    </row>
    <row r="1026">
      <c r="A1026" s="7">
        <v>46072.86643875927</v>
      </c>
      <c r="B1026" s="8" t="s">
        <v>2366</v>
      </c>
      <c r="C1026" s="8" t="s">
        <v>2367</v>
      </c>
      <c r="D1026" s="9">
        <v>46075.0</v>
      </c>
      <c r="E1026" s="10">
        <v>261.88</v>
      </c>
      <c r="F1026" s="8" t="s">
        <v>102</v>
      </c>
      <c r="G1026" s="13">
        <v>38.3449</v>
      </c>
      <c r="H1026" s="13">
        <v>6.8296</v>
      </c>
      <c r="I1026" s="9">
        <v>46073.0</v>
      </c>
      <c r="J1026" s="10">
        <v>260.0</v>
      </c>
      <c r="K1026" s="8">
        <v>2016.0</v>
      </c>
      <c r="L1026" s="8" t="s">
        <v>2608</v>
      </c>
      <c r="M1026" s="11">
        <v>0.72</v>
      </c>
      <c r="N1026" s="8" t="s">
        <v>3738</v>
      </c>
      <c r="O1026" s="8">
        <v>2016.0</v>
      </c>
      <c r="P1026" s="11">
        <v>45.641</v>
      </c>
      <c r="Q1026" s="8" t="s">
        <v>2368</v>
      </c>
      <c r="R1026" s="11">
        <v>0.9833</v>
      </c>
      <c r="S1026" s="12">
        <v>1213433.0</v>
      </c>
      <c r="T1026" s="12">
        <v>4.4655037152E10</v>
      </c>
      <c r="U1026" s="13">
        <v>5.7633</v>
      </c>
      <c r="V1026" s="13">
        <v>11.0112</v>
      </c>
      <c r="W1026" s="13">
        <v>16.3428</v>
      </c>
      <c r="X1026" s="13">
        <v>7.5094</v>
      </c>
      <c r="Y1026" s="13">
        <v>0.5325</v>
      </c>
      <c r="Z1026" s="13">
        <v>1.1056</v>
      </c>
      <c r="AA1026" s="8" t="s">
        <v>2611</v>
      </c>
      <c r="AB1026" s="14">
        <f>IFERROR(__xludf.DUMMYFUNCTION("IFERROR(GOOGLEFINANCE(B1026,""price""),"""")"),267.28)</f>
        <v>267.28</v>
      </c>
    </row>
    <row r="1027">
      <c r="A1027" s="15">
        <v>46072.86643875927</v>
      </c>
      <c r="B1027" s="16" t="s">
        <v>3516</v>
      </c>
      <c r="C1027" s="16" t="s">
        <v>3517</v>
      </c>
      <c r="D1027" s="17">
        <v>46075.0</v>
      </c>
      <c r="E1027" s="18">
        <v>278.18</v>
      </c>
      <c r="F1027" s="16" t="s">
        <v>137</v>
      </c>
      <c r="G1027" s="21">
        <v>23.0616</v>
      </c>
      <c r="H1027" s="21">
        <v>12.0625</v>
      </c>
      <c r="I1027" s="17">
        <v>46073.0</v>
      </c>
      <c r="J1027" s="18">
        <v>280.0</v>
      </c>
      <c r="K1027" s="16">
        <v>1934.0</v>
      </c>
      <c r="L1027" s="16" t="s">
        <v>2608</v>
      </c>
      <c r="M1027" s="19">
        <v>0.65</v>
      </c>
      <c r="N1027" s="16" t="s">
        <v>3717</v>
      </c>
      <c r="O1027" s="16">
        <v>1934.0</v>
      </c>
      <c r="P1027" s="19">
        <v>27.0763</v>
      </c>
      <c r="Q1027" s="16" t="s">
        <v>3519</v>
      </c>
      <c r="R1027" s="19">
        <v>-1.4001</v>
      </c>
      <c r="S1027" s="20">
        <v>1997055.0</v>
      </c>
      <c r="T1027" s="20">
        <v>1.56045467608E11</v>
      </c>
      <c r="U1027" s="21">
        <v>6.7868</v>
      </c>
      <c r="V1027" s="21"/>
      <c r="W1027" s="21">
        <v>12.099</v>
      </c>
      <c r="X1027" s="21">
        <v>0.6366</v>
      </c>
      <c r="Y1027" s="21"/>
      <c r="Z1027" s="21">
        <v>1.0395</v>
      </c>
      <c r="AA1027" s="16" t="s">
        <v>2620</v>
      </c>
      <c r="AB1027" s="22">
        <f>IFERROR(__xludf.DUMMYFUNCTION("IFERROR(GOOGLEFINANCE(B1027,""price""),"""")"),244.22)</f>
        <v>244.22</v>
      </c>
    </row>
    <row r="1028">
      <c r="A1028" s="7">
        <v>46072.86643875927</v>
      </c>
      <c r="B1028" s="8" t="s">
        <v>2663</v>
      </c>
      <c r="C1028" s="8" t="s">
        <v>2664</v>
      </c>
      <c r="D1028" s="9">
        <v>46075.0</v>
      </c>
      <c r="E1028" s="10">
        <v>125.4</v>
      </c>
      <c r="F1028" s="8" t="s">
        <v>335</v>
      </c>
      <c r="G1028" s="13">
        <v>19.4935</v>
      </c>
      <c r="H1028" s="13">
        <v>6.4329</v>
      </c>
      <c r="I1028" s="9">
        <v>46073.0</v>
      </c>
      <c r="J1028" s="10">
        <v>125.0</v>
      </c>
      <c r="K1028" s="8">
        <v>1882.0</v>
      </c>
      <c r="L1028" s="8" t="s">
        <v>2608</v>
      </c>
      <c r="M1028" s="11">
        <v>0.32</v>
      </c>
      <c r="N1028" s="8" t="s">
        <v>3718</v>
      </c>
      <c r="O1028" s="8">
        <v>1882.0</v>
      </c>
      <c r="P1028" s="11">
        <v>19.6414</v>
      </c>
      <c r="Q1028" s="8" t="s">
        <v>2666</v>
      </c>
      <c r="R1028" s="11">
        <v>0.5694</v>
      </c>
      <c r="S1028" s="12">
        <v>7854158.0</v>
      </c>
      <c r="T1028" s="12">
        <v>1.36844375287E11</v>
      </c>
      <c r="U1028" s="13">
        <v>5.7529</v>
      </c>
      <c r="V1028" s="13">
        <v>22.8383</v>
      </c>
      <c r="W1028" s="13">
        <v>42.3718</v>
      </c>
      <c r="X1028" s="13">
        <v>26.2476</v>
      </c>
      <c r="Y1028" s="13">
        <v>0.1701</v>
      </c>
      <c r="Z1028" s="13">
        <v>2.0393</v>
      </c>
      <c r="AA1028" s="8" t="s">
        <v>2611</v>
      </c>
      <c r="AB1028" s="14">
        <f>IFERROR(__xludf.DUMMYFUNCTION("IFERROR(GOOGLEFINANCE(B1028,""price""),"""")"),120.9)</f>
        <v>120.9</v>
      </c>
    </row>
    <row r="1029">
      <c r="A1029" s="15">
        <v>46072.86643875927</v>
      </c>
      <c r="B1029" s="16" t="s">
        <v>3538</v>
      </c>
      <c r="C1029" s="16" t="s">
        <v>3539</v>
      </c>
      <c r="D1029" s="17">
        <v>46075.0</v>
      </c>
      <c r="E1029" s="18">
        <v>194.07</v>
      </c>
      <c r="F1029" s="16" t="s">
        <v>335</v>
      </c>
      <c r="G1029" s="21">
        <v>42.0848</v>
      </c>
      <c r="H1029" s="21">
        <v>4.6114</v>
      </c>
      <c r="I1029" s="17">
        <v>46073.0</v>
      </c>
      <c r="J1029" s="18">
        <v>197.5</v>
      </c>
      <c r="K1029" s="16">
        <v>1721.0</v>
      </c>
      <c r="L1029" s="16" t="s">
        <v>2627</v>
      </c>
      <c r="M1029" s="19">
        <v>1.77</v>
      </c>
      <c r="N1029" s="16" t="s">
        <v>3739</v>
      </c>
      <c r="O1029" s="16">
        <v>1721.0</v>
      </c>
      <c r="P1029" s="19">
        <v>34.1907</v>
      </c>
      <c r="Q1029" s="16" t="s">
        <v>3541</v>
      </c>
      <c r="R1029" s="19">
        <v>0.7319</v>
      </c>
      <c r="S1029" s="20">
        <v>1285470.0</v>
      </c>
      <c r="T1029" s="20">
        <v>1.60313928732E11</v>
      </c>
      <c r="U1029" s="21">
        <v>10.7398</v>
      </c>
      <c r="V1029" s="21">
        <v>39.4499</v>
      </c>
      <c r="W1029" s="21">
        <v>50.2534</v>
      </c>
      <c r="X1029" s="21">
        <v>12.6994</v>
      </c>
      <c r="Y1029" s="21">
        <v>0.7113</v>
      </c>
      <c r="Z1029" s="21">
        <v>4.5168</v>
      </c>
      <c r="AA1029" s="16" t="s">
        <v>2620</v>
      </c>
      <c r="AB1029" s="22">
        <f>IFERROR(__xludf.DUMMYFUNCTION("IFERROR(GOOGLEFINANCE(B1029,""price""),"""")"),192.56)</f>
        <v>192.56</v>
      </c>
    </row>
    <row r="1030">
      <c r="A1030" s="7">
        <v>46072.86643875927</v>
      </c>
      <c r="B1030" s="8" t="s">
        <v>2133</v>
      </c>
      <c r="C1030" s="8" t="s">
        <v>2134</v>
      </c>
      <c r="D1030" s="9">
        <v>46075.0</v>
      </c>
      <c r="E1030" s="10">
        <v>383.14</v>
      </c>
      <c r="F1030" s="8" t="s">
        <v>162</v>
      </c>
      <c r="G1030" s="13">
        <v>21.1348</v>
      </c>
      <c r="H1030" s="13">
        <v>18.1284</v>
      </c>
      <c r="I1030" s="9">
        <v>46073.0</v>
      </c>
      <c r="J1030" s="10">
        <v>390.0</v>
      </c>
      <c r="K1030" s="8">
        <v>1714.0</v>
      </c>
      <c r="L1030" s="8" t="s">
        <v>2608</v>
      </c>
      <c r="M1030" s="11">
        <v>1.79</v>
      </c>
      <c r="N1030" s="8" t="s">
        <v>3740</v>
      </c>
      <c r="O1030" s="8">
        <v>1714.0</v>
      </c>
      <c r="P1030" s="11">
        <v>51.7701</v>
      </c>
      <c r="Q1030" s="8" t="s">
        <v>2135</v>
      </c>
      <c r="R1030" s="11">
        <v>0.0157</v>
      </c>
      <c r="S1030" s="12">
        <v>1198953.0</v>
      </c>
      <c r="T1030" s="12">
        <v>9.0084953329E10</v>
      </c>
      <c r="U1030" s="13">
        <v>8.8364</v>
      </c>
      <c r="V1030" s="13">
        <v>15.8681</v>
      </c>
      <c r="W1030" s="13">
        <v>7.0782</v>
      </c>
      <c r="X1030" s="13">
        <v>3.0895</v>
      </c>
      <c r="Y1030" s="13">
        <v>1.3421</v>
      </c>
      <c r="Z1030" s="13">
        <v>1.2738</v>
      </c>
      <c r="AA1030" s="8" t="s">
        <v>2620</v>
      </c>
      <c r="AB1030" s="14">
        <f>IFERROR(__xludf.DUMMYFUNCTION("IFERROR(GOOGLEFINANCE(B1030,""price""),"""")"),374.08)</f>
        <v>374.08</v>
      </c>
    </row>
    <row r="1031">
      <c r="A1031" s="15">
        <v>46072.86643875927</v>
      </c>
      <c r="B1031" s="16" t="s">
        <v>2726</v>
      </c>
      <c r="C1031" s="16" t="s">
        <v>2727</v>
      </c>
      <c r="D1031" s="17">
        <v>46075.0</v>
      </c>
      <c r="E1031" s="18">
        <v>81.99</v>
      </c>
      <c r="F1031" s="16" t="s">
        <v>286</v>
      </c>
      <c r="G1031" s="21">
        <v>46.6754</v>
      </c>
      <c r="H1031" s="21">
        <v>1.7566</v>
      </c>
      <c r="I1031" s="17">
        <v>46073.0</v>
      </c>
      <c r="J1031" s="18">
        <v>82.5</v>
      </c>
      <c r="K1031" s="16">
        <v>1674.0</v>
      </c>
      <c r="L1031" s="16" t="s">
        <v>2608</v>
      </c>
      <c r="M1031" s="19">
        <v>0.62</v>
      </c>
      <c r="N1031" s="16" t="s">
        <v>3720</v>
      </c>
      <c r="O1031" s="16">
        <v>1674.0</v>
      </c>
      <c r="P1031" s="19">
        <v>34.2402</v>
      </c>
      <c r="Q1031" s="16" t="s">
        <v>2729</v>
      </c>
      <c r="R1031" s="19">
        <v>-1.4306</v>
      </c>
      <c r="S1031" s="20">
        <v>5740033.0</v>
      </c>
      <c r="T1031" s="20">
        <v>8.0105966776E10</v>
      </c>
      <c r="U1031" s="21">
        <v>1.5242</v>
      </c>
      <c r="V1031" s="21">
        <v>25.538</v>
      </c>
      <c r="W1031" s="21">
        <v>29.9505</v>
      </c>
      <c r="X1031" s="21">
        <v>7.618</v>
      </c>
      <c r="Y1031" s="21">
        <v>0.0</v>
      </c>
      <c r="Z1031" s="21">
        <v>3.1855</v>
      </c>
      <c r="AA1031" s="16" t="s">
        <v>2620</v>
      </c>
      <c r="AB1031" s="22">
        <f>IFERROR(__xludf.DUMMYFUNCTION("IFERROR(GOOGLEFINANCE(B1031,""price""),"""")"),75.72)</f>
        <v>75.72</v>
      </c>
    </row>
    <row r="1032">
      <c r="A1032" s="7">
        <v>46072.86643875927</v>
      </c>
      <c r="B1032" s="8" t="s">
        <v>3291</v>
      </c>
      <c r="C1032" s="8" t="s">
        <v>3292</v>
      </c>
      <c r="D1032" s="9">
        <v>46075.0</v>
      </c>
      <c r="E1032" s="10">
        <v>233.42</v>
      </c>
      <c r="F1032" s="8" t="s">
        <v>270</v>
      </c>
      <c r="G1032" s="13">
        <v>34.8461</v>
      </c>
      <c r="H1032" s="13">
        <v>6.6986</v>
      </c>
      <c r="I1032" s="9">
        <v>46073.0</v>
      </c>
      <c r="J1032" s="10">
        <v>230.0</v>
      </c>
      <c r="K1032" s="8">
        <v>1630.0</v>
      </c>
      <c r="L1032" s="8" t="s">
        <v>2608</v>
      </c>
      <c r="M1032" s="11">
        <v>1.47</v>
      </c>
      <c r="N1032" s="8" t="s">
        <v>3721</v>
      </c>
      <c r="O1032" s="8">
        <v>1630.0</v>
      </c>
      <c r="P1032" s="11">
        <v>22.0938</v>
      </c>
      <c r="Q1032" s="8" t="s">
        <v>3294</v>
      </c>
      <c r="R1032" s="11">
        <v>-0.2734</v>
      </c>
      <c r="S1032" s="12">
        <v>2343414.0</v>
      </c>
      <c r="T1032" s="12">
        <v>9.4146637932E10</v>
      </c>
      <c r="U1032" s="13">
        <v>4.7448</v>
      </c>
      <c r="V1032" s="13">
        <v>29.6897</v>
      </c>
      <c r="W1032" s="13">
        <v>18.2788</v>
      </c>
      <c r="X1032" s="13">
        <v>14.2365</v>
      </c>
      <c r="Y1032" s="13">
        <v>2.3941</v>
      </c>
      <c r="Z1032" s="13">
        <v>0.8888</v>
      </c>
      <c r="AA1032" s="8" t="s">
        <v>2611</v>
      </c>
      <c r="AB1032" s="14">
        <f>IFERROR(__xludf.DUMMYFUNCTION("IFERROR(GOOGLEFINANCE(B1032,""price""),"""")"),229.45)</f>
        <v>229.45</v>
      </c>
    </row>
    <row r="1033">
      <c r="A1033" s="15">
        <v>46072.86643875927</v>
      </c>
      <c r="B1033" s="16" t="s">
        <v>2722</v>
      </c>
      <c r="C1033" s="16" t="s">
        <v>2723</v>
      </c>
      <c r="D1033" s="17">
        <v>46075.0</v>
      </c>
      <c r="E1033" s="18">
        <v>95.1</v>
      </c>
      <c r="F1033" s="16" t="s">
        <v>308</v>
      </c>
      <c r="G1033" s="21">
        <v>4362.3853</v>
      </c>
      <c r="H1033" s="21">
        <v>0.0218</v>
      </c>
      <c r="I1033" s="17">
        <v>46073.0</v>
      </c>
      <c r="J1033" s="18">
        <v>95.0</v>
      </c>
      <c r="K1033" s="16">
        <v>1564.0</v>
      </c>
      <c r="L1033" s="16" t="s">
        <v>2608</v>
      </c>
      <c r="M1033" s="19">
        <v>0.11</v>
      </c>
      <c r="N1033" s="16" t="s">
        <v>3722</v>
      </c>
      <c r="O1033" s="16">
        <v>1564.0</v>
      </c>
      <c r="P1033" s="19">
        <v>34.76</v>
      </c>
      <c r="Q1033" s="16" t="s">
        <v>2725</v>
      </c>
      <c r="R1033" s="19">
        <v>-2.1907</v>
      </c>
      <c r="S1033" s="20">
        <v>1594854.0</v>
      </c>
      <c r="T1033" s="20">
        <v>1.3008368936E10</v>
      </c>
      <c r="U1033" s="21">
        <v>5.1167</v>
      </c>
      <c r="V1033" s="21">
        <v>0.4328</v>
      </c>
      <c r="W1033" s="21">
        <v>2.9194</v>
      </c>
      <c r="X1033" s="21">
        <v>2.721</v>
      </c>
      <c r="Y1033" s="21">
        <v>0.059</v>
      </c>
      <c r="Z1033" s="21">
        <v>3.0922</v>
      </c>
      <c r="AA1033" s="16" t="s">
        <v>2611</v>
      </c>
      <c r="AB1033" s="22">
        <f>IFERROR(__xludf.DUMMYFUNCTION("IFERROR(GOOGLEFINANCE(B1033,""price""),"""")"),106.1)</f>
        <v>106.1</v>
      </c>
    </row>
    <row r="1034">
      <c r="A1034" s="7">
        <v>46072.86643875927</v>
      </c>
      <c r="B1034" s="8" t="s">
        <v>3134</v>
      </c>
      <c r="C1034" s="8" t="s">
        <v>3135</v>
      </c>
      <c r="D1034" s="9">
        <v>46075.0</v>
      </c>
      <c r="E1034" s="10">
        <v>140.31</v>
      </c>
      <c r="F1034" s="8" t="s">
        <v>93</v>
      </c>
      <c r="G1034" s="13">
        <v>10.5155</v>
      </c>
      <c r="H1034" s="13">
        <v>13.3432</v>
      </c>
      <c r="I1034" s="9">
        <v>46073.0</v>
      </c>
      <c r="J1034" s="10">
        <v>140.0</v>
      </c>
      <c r="K1034" s="8">
        <v>1544.0</v>
      </c>
      <c r="L1034" s="8" t="s">
        <v>2608</v>
      </c>
      <c r="M1034" s="11">
        <v>0.22</v>
      </c>
      <c r="N1034" s="8" t="s">
        <v>3741</v>
      </c>
      <c r="O1034" s="8">
        <v>1544.0</v>
      </c>
      <c r="P1034" s="11">
        <v>27.6578</v>
      </c>
      <c r="Q1034" s="8" t="s">
        <v>3137</v>
      </c>
      <c r="R1034" s="11">
        <v>-0.6725</v>
      </c>
      <c r="S1034" s="12">
        <v>1147772.0</v>
      </c>
      <c r="T1034" s="12">
        <v>3.909741766E10</v>
      </c>
      <c r="U1034" s="13">
        <v>2.6951</v>
      </c>
      <c r="V1034" s="13">
        <v>21.6564</v>
      </c>
      <c r="W1034" s="13">
        <v>17.4023</v>
      </c>
      <c r="X1034" s="13">
        <v>6.8061</v>
      </c>
      <c r="Y1034" s="13">
        <v>0.2303</v>
      </c>
      <c r="Z1034" s="13">
        <v>0.2897</v>
      </c>
      <c r="AA1034" s="8" t="s">
        <v>2611</v>
      </c>
      <c r="AB1034" s="14">
        <f>IFERROR(__xludf.DUMMYFUNCTION("IFERROR(GOOGLEFINANCE(B1034,""price""),"""")"),137.23)</f>
        <v>137.23</v>
      </c>
    </row>
    <row r="1035">
      <c r="A1035" s="15">
        <v>46072.86643875927</v>
      </c>
      <c r="B1035" s="16" t="s">
        <v>3531</v>
      </c>
      <c r="C1035" s="16" t="s">
        <v>3532</v>
      </c>
      <c r="D1035" s="17">
        <v>46075.0</v>
      </c>
      <c r="E1035" s="18">
        <v>262.97</v>
      </c>
      <c r="F1035" s="16" t="s">
        <v>162</v>
      </c>
      <c r="G1035" s="21">
        <v>21.9447</v>
      </c>
      <c r="H1035" s="21">
        <v>11.9833</v>
      </c>
      <c r="I1035" s="17">
        <v>46073.0</v>
      </c>
      <c r="J1035" s="18">
        <v>260.0</v>
      </c>
      <c r="K1035" s="16">
        <v>1447.0</v>
      </c>
      <c r="L1035" s="16" t="s">
        <v>2608</v>
      </c>
      <c r="M1035" s="19">
        <v>1.13</v>
      </c>
      <c r="N1035" s="16" t="s">
        <v>3723</v>
      </c>
      <c r="O1035" s="16">
        <v>1447.0</v>
      </c>
      <c r="P1035" s="19">
        <v>40.0836</v>
      </c>
      <c r="Q1035" s="16" t="s">
        <v>3534</v>
      </c>
      <c r="R1035" s="19">
        <v>-0.766</v>
      </c>
      <c r="S1035" s="20">
        <v>3243252.0</v>
      </c>
      <c r="T1035" s="20">
        <v>1.56044141312E11</v>
      </c>
      <c r="U1035" s="21">
        <v>4.9775</v>
      </c>
      <c r="V1035" s="21">
        <v>40.3767</v>
      </c>
      <c r="W1035" s="21">
        <v>40.0408</v>
      </c>
      <c r="X1035" s="21">
        <v>1.0722</v>
      </c>
      <c r="Y1035" s="21">
        <v>1.7773</v>
      </c>
      <c r="Z1035" s="21">
        <v>0.9085</v>
      </c>
      <c r="AA1035" s="16" t="s">
        <v>2611</v>
      </c>
      <c r="AB1035" s="22">
        <f>IFERROR(__xludf.DUMMYFUNCTION("IFERROR(GOOGLEFINANCE(B1035,""price""),"""")"),250.51)</f>
        <v>250.51</v>
      </c>
    </row>
    <row r="1036">
      <c r="A1036" s="7">
        <v>46072.86643875927</v>
      </c>
      <c r="B1036" s="8" t="s">
        <v>3208</v>
      </c>
      <c r="C1036" s="8" t="s">
        <v>3209</v>
      </c>
      <c r="D1036" s="9">
        <v>46075.0</v>
      </c>
      <c r="E1036" s="10">
        <v>200.38</v>
      </c>
      <c r="F1036" s="8" t="s">
        <v>137</v>
      </c>
      <c r="G1036" s="13">
        <v>31.3133</v>
      </c>
      <c r="H1036" s="13">
        <v>6.3992</v>
      </c>
      <c r="I1036" s="9">
        <v>46073.0</v>
      </c>
      <c r="J1036" s="10">
        <v>200.0</v>
      </c>
      <c r="K1036" s="8">
        <v>1423.0</v>
      </c>
      <c r="L1036" s="8" t="s">
        <v>2608</v>
      </c>
      <c r="M1036" s="11">
        <v>0.19</v>
      </c>
      <c r="N1036" s="8" t="s">
        <v>3742</v>
      </c>
      <c r="O1036" s="8">
        <v>1423.0</v>
      </c>
      <c r="P1036" s="11">
        <v>35.5296</v>
      </c>
      <c r="Q1036" s="8" t="s">
        <v>3211</v>
      </c>
      <c r="R1036" s="11">
        <v>0.0</v>
      </c>
      <c r="S1036" s="12">
        <v>1574624.0</v>
      </c>
      <c r="T1036" s="12">
        <v>6.4811899917E10</v>
      </c>
      <c r="U1036" s="13">
        <v>3.4126</v>
      </c>
      <c r="V1036" s="13">
        <v>37.4252</v>
      </c>
      <c r="W1036" s="13">
        <v>11.9137</v>
      </c>
      <c r="X1036" s="13">
        <v>3.7096</v>
      </c>
      <c r="Y1036" s="13">
        <v>0.8818</v>
      </c>
      <c r="Z1036" s="13">
        <v>1.5199</v>
      </c>
      <c r="AA1036" s="8" t="s">
        <v>2611</v>
      </c>
      <c r="AB1036" s="14">
        <f>IFERROR(__xludf.DUMMYFUNCTION("IFERROR(GOOGLEFINANCE(B1036,""price""),"""")"),221.16)</f>
        <v>221.16</v>
      </c>
    </row>
    <row r="1037">
      <c r="A1037" s="15">
        <v>46072.86643875927</v>
      </c>
      <c r="B1037" s="16" t="s">
        <v>3511</v>
      </c>
      <c r="C1037" s="16" t="s">
        <v>3512</v>
      </c>
      <c r="D1037" s="17">
        <v>46075.0</v>
      </c>
      <c r="E1037" s="18">
        <v>112.76</v>
      </c>
      <c r="F1037" s="16" t="s">
        <v>93</v>
      </c>
      <c r="G1037" s="21">
        <v>16.3745</v>
      </c>
      <c r="H1037" s="21">
        <v>6.8863</v>
      </c>
      <c r="I1037" s="17">
        <v>46073.0</v>
      </c>
      <c r="J1037" s="18">
        <v>115.0</v>
      </c>
      <c r="K1037" s="16">
        <v>1367.0</v>
      </c>
      <c r="L1037" s="16" t="s">
        <v>2608</v>
      </c>
      <c r="M1037" s="19">
        <v>1.99</v>
      </c>
      <c r="N1037" s="16" t="s">
        <v>3743</v>
      </c>
      <c r="O1037" s="16">
        <v>1367.0</v>
      </c>
      <c r="P1037" s="19">
        <v>18.8038</v>
      </c>
      <c r="Q1037" s="16" t="s">
        <v>3514</v>
      </c>
      <c r="R1037" s="19">
        <v>-0.7569</v>
      </c>
      <c r="S1037" s="20">
        <v>2336778.0</v>
      </c>
      <c r="T1037" s="20">
        <v>5.9099083845E10</v>
      </c>
      <c r="U1037" s="21">
        <v>2.475</v>
      </c>
      <c r="V1037" s="21">
        <v>15.3345</v>
      </c>
      <c r="W1037" s="21">
        <v>27.5608</v>
      </c>
      <c r="X1037" s="21">
        <v>-9.4737</v>
      </c>
      <c r="Y1037" s="21">
        <v>0.3919</v>
      </c>
      <c r="Z1037" s="21">
        <v>0.1099</v>
      </c>
      <c r="AA1037" s="16" t="s">
        <v>2620</v>
      </c>
      <c r="AB1037" s="22">
        <f>IFERROR(__xludf.DUMMYFUNCTION("IFERROR(GOOGLEFINANCE(B1037,""price""),"""")"),110.7)</f>
        <v>110.7</v>
      </c>
    </row>
    <row r="1038">
      <c r="A1038" s="7">
        <v>46072.86643875927</v>
      </c>
      <c r="B1038" s="8" t="s">
        <v>2521</v>
      </c>
      <c r="C1038" s="8" t="s">
        <v>2522</v>
      </c>
      <c r="D1038" s="9">
        <v>46075.0</v>
      </c>
      <c r="E1038" s="10">
        <v>345.3</v>
      </c>
      <c r="F1038" s="8" t="s">
        <v>308</v>
      </c>
      <c r="G1038" s="13">
        <v>63.0754</v>
      </c>
      <c r="H1038" s="13">
        <v>5.4744</v>
      </c>
      <c r="I1038" s="9">
        <v>46073.0</v>
      </c>
      <c r="J1038" s="10">
        <v>340.0</v>
      </c>
      <c r="K1038" s="8">
        <v>1261.0</v>
      </c>
      <c r="L1038" s="8" t="s">
        <v>2608</v>
      </c>
      <c r="M1038" s="11">
        <v>1.53</v>
      </c>
      <c r="N1038" s="8" t="s">
        <v>3724</v>
      </c>
      <c r="O1038" s="8">
        <v>1261.0</v>
      </c>
      <c r="P1038" s="11">
        <v>49.1959</v>
      </c>
      <c r="Q1038" s="8" t="s">
        <v>2523</v>
      </c>
      <c r="R1038" s="11">
        <v>-0.3089</v>
      </c>
      <c r="S1038" s="12">
        <v>5101152.0</v>
      </c>
      <c r="T1038" s="12">
        <v>1.68723453572E11</v>
      </c>
      <c r="U1038" s="13">
        <v>10.3865</v>
      </c>
      <c r="V1038" s="13">
        <v>7.8622</v>
      </c>
      <c r="W1038" s="13">
        <v>29.7854</v>
      </c>
      <c r="X1038" s="13">
        <v>25.9077</v>
      </c>
      <c r="Y1038" s="13">
        <v>0.257</v>
      </c>
      <c r="Z1038" s="13">
        <v>1.7555</v>
      </c>
      <c r="AA1038" s="8" t="s">
        <v>2611</v>
      </c>
      <c r="AB1038" s="14">
        <f>IFERROR(__xludf.DUMMYFUNCTION("IFERROR(GOOGLEFINANCE(B1038,""price""),"""")"),350.14)</f>
        <v>350.14</v>
      </c>
    </row>
    <row r="1039">
      <c r="A1039" s="15">
        <v>46072.86643875927</v>
      </c>
      <c r="B1039" s="16" t="s">
        <v>3141</v>
      </c>
      <c r="C1039" s="16" t="s">
        <v>3142</v>
      </c>
      <c r="D1039" s="17">
        <v>46075.0</v>
      </c>
      <c r="E1039" s="18">
        <v>329.16</v>
      </c>
      <c r="F1039" s="16" t="s">
        <v>93</v>
      </c>
      <c r="G1039" s="21">
        <v>12.7971</v>
      </c>
      <c r="H1039" s="21">
        <v>25.7215</v>
      </c>
      <c r="I1039" s="17">
        <v>46073.0</v>
      </c>
      <c r="J1039" s="18">
        <v>325.0</v>
      </c>
      <c r="K1039" s="16">
        <v>1232.0</v>
      </c>
      <c r="L1039" s="16" t="s">
        <v>2608</v>
      </c>
      <c r="M1039" s="19">
        <v>1.26</v>
      </c>
      <c r="N1039" s="16" t="s">
        <v>3665</v>
      </c>
      <c r="O1039" s="16">
        <v>1232.0</v>
      </c>
      <c r="P1039" s="19">
        <v>28.8679</v>
      </c>
      <c r="Q1039" s="16" t="s">
        <v>3144</v>
      </c>
      <c r="R1039" s="19">
        <v>-0.0395</v>
      </c>
      <c r="S1039" s="20">
        <v>1339253.0</v>
      </c>
      <c r="T1039" s="20">
        <v>1.29541198608E11</v>
      </c>
      <c r="U1039" s="21">
        <v>6.8055</v>
      </c>
      <c r="V1039" s="21">
        <v>14.9661</v>
      </c>
      <c r="W1039" s="21">
        <v>21.2322</v>
      </c>
      <c r="X1039" s="21">
        <v>6.9142</v>
      </c>
      <c r="Y1039" s="21"/>
      <c r="Z1039" s="21">
        <v>0.2721</v>
      </c>
      <c r="AA1039" s="16" t="s">
        <v>2611</v>
      </c>
      <c r="AB1039" s="22">
        <f>IFERROR(__xludf.DUMMYFUNCTION("IFERROR(GOOGLEFINANCE(B1039,""price""),"""")"),327.91)</f>
        <v>327.91</v>
      </c>
    </row>
    <row r="1040">
      <c r="A1040" s="7">
        <v>46072.86643875927</v>
      </c>
      <c r="B1040" s="8" t="s">
        <v>3049</v>
      </c>
      <c r="C1040" s="8" t="s">
        <v>3050</v>
      </c>
      <c r="D1040" s="9">
        <v>46075.0</v>
      </c>
      <c r="E1040" s="10">
        <v>73.99</v>
      </c>
      <c r="F1040" s="8" t="s">
        <v>93</v>
      </c>
      <c r="G1040" s="13">
        <v>33.463</v>
      </c>
      <c r="H1040" s="13">
        <v>2.2111</v>
      </c>
      <c r="I1040" s="9">
        <v>46073.0</v>
      </c>
      <c r="J1040" s="10">
        <v>75.0</v>
      </c>
      <c r="K1040" s="8">
        <v>1226.0</v>
      </c>
      <c r="L1040" s="8" t="s">
        <v>2627</v>
      </c>
      <c r="M1040" s="11">
        <v>1.37</v>
      </c>
      <c r="N1040" s="8" t="s">
        <v>3725</v>
      </c>
      <c r="O1040" s="8">
        <v>1226.0</v>
      </c>
      <c r="P1040" s="11">
        <v>19.955</v>
      </c>
      <c r="Q1040" s="8" t="s">
        <v>3052</v>
      </c>
      <c r="R1040" s="11">
        <v>-1.215</v>
      </c>
      <c r="S1040" s="12">
        <v>2459499.0</v>
      </c>
      <c r="T1040" s="12">
        <v>1.25492117934E11</v>
      </c>
      <c r="U1040" s="13">
        <v>3.0803</v>
      </c>
      <c r="V1040" s="13">
        <v>20.4086</v>
      </c>
      <c r="W1040" s="13">
        <v>86.2403</v>
      </c>
      <c r="X1040" s="13">
        <v>11.0531</v>
      </c>
      <c r="Y1040" s="13">
        <v>4.6187</v>
      </c>
      <c r="Z1040" s="13">
        <v>1.2729</v>
      </c>
      <c r="AA1040" s="8" t="s">
        <v>2620</v>
      </c>
      <c r="AB1040" s="14">
        <f>IFERROR(__xludf.DUMMYFUNCTION("IFERROR(GOOGLEFINANCE(B1040,""price""),"""")"),71.21)</f>
        <v>71.21</v>
      </c>
    </row>
    <row r="1041">
      <c r="A1041" s="15">
        <v>46072.86643875927</v>
      </c>
      <c r="B1041" s="16" t="s">
        <v>3744</v>
      </c>
      <c r="C1041" s="16" t="s">
        <v>3745</v>
      </c>
      <c r="D1041" s="17">
        <v>46075.0</v>
      </c>
      <c r="E1041" s="18">
        <v>37.68</v>
      </c>
      <c r="F1041" s="16" t="s">
        <v>112</v>
      </c>
      <c r="G1041" s="21">
        <v>52.6919</v>
      </c>
      <c r="H1041" s="21">
        <v>0.7151</v>
      </c>
      <c r="I1041" s="17">
        <v>46073.0</v>
      </c>
      <c r="J1041" s="18">
        <v>38.0</v>
      </c>
      <c r="K1041" s="16">
        <v>1220.0</v>
      </c>
      <c r="L1041" s="16" t="s">
        <v>2608</v>
      </c>
      <c r="M1041" s="19">
        <v>0.85</v>
      </c>
      <c r="N1041" s="16" t="s">
        <v>3746</v>
      </c>
      <c r="O1041" s="16">
        <v>1220.0</v>
      </c>
      <c r="P1041" s="19">
        <v>16.1067</v>
      </c>
      <c r="Q1041" s="16" t="s">
        <v>3747</v>
      </c>
      <c r="R1041" s="19">
        <v>-0.3175</v>
      </c>
      <c r="S1041" s="20">
        <v>1032656.0</v>
      </c>
      <c r="T1041" s="20">
        <v>2.027143828E9</v>
      </c>
      <c r="U1041" s="21">
        <v>1.2522</v>
      </c>
      <c r="V1041" s="21">
        <v>12.3777</v>
      </c>
      <c r="W1041" s="21">
        <v>20.7609</v>
      </c>
      <c r="X1041" s="21">
        <v>9.2961</v>
      </c>
      <c r="Y1041" s="21">
        <v>0.7359</v>
      </c>
      <c r="Z1041" s="21">
        <v>1.8374</v>
      </c>
      <c r="AA1041" s="16" t="s">
        <v>2620</v>
      </c>
      <c r="AB1041" s="22">
        <f>IFERROR(__xludf.DUMMYFUNCTION("IFERROR(GOOGLEFINANCE(B1041,""price""),"""")"),37.84)</f>
        <v>37.84</v>
      </c>
    </row>
    <row r="1042">
      <c r="A1042" s="7">
        <v>46072.86643875927</v>
      </c>
      <c r="B1042" s="8" t="s">
        <v>2710</v>
      </c>
      <c r="C1042" s="8" t="s">
        <v>2711</v>
      </c>
      <c r="D1042" s="9">
        <v>46075.0</v>
      </c>
      <c r="E1042" s="10">
        <v>128.42</v>
      </c>
      <c r="F1042" s="8" t="s">
        <v>917</v>
      </c>
      <c r="G1042" s="13">
        <v>19.2826</v>
      </c>
      <c r="H1042" s="13">
        <v>6.6599</v>
      </c>
      <c r="I1042" s="9">
        <v>46073.0</v>
      </c>
      <c r="J1042" s="10">
        <v>130.0</v>
      </c>
      <c r="K1042" s="8">
        <v>1212.0</v>
      </c>
      <c r="L1042" s="8" t="s">
        <v>2627</v>
      </c>
      <c r="M1042" s="11">
        <v>1.23</v>
      </c>
      <c r="N1042" s="8" t="s">
        <v>3726</v>
      </c>
      <c r="O1042" s="8">
        <v>1212.0</v>
      </c>
      <c r="P1042" s="11">
        <v>36.7957</v>
      </c>
      <c r="Q1042" s="8" t="s">
        <v>2713</v>
      </c>
      <c r="R1042" s="11">
        <v>0.9036</v>
      </c>
      <c r="S1042" s="12">
        <v>2556314.0</v>
      </c>
      <c r="T1042" s="12">
        <v>6.9457433441E10</v>
      </c>
      <c r="U1042" s="13">
        <v>2.5615</v>
      </c>
      <c r="V1042" s="13">
        <v>12.3274</v>
      </c>
      <c r="W1042" s="13">
        <v>25.0742</v>
      </c>
      <c r="X1042" s="13">
        <v>10.4587</v>
      </c>
      <c r="Y1042" s="13">
        <v>1.5949</v>
      </c>
      <c r="Z1042" s="13">
        <v>0.4546</v>
      </c>
      <c r="AA1042" s="8" t="s">
        <v>2620</v>
      </c>
      <c r="AB1042" s="14">
        <f>IFERROR(__xludf.DUMMYFUNCTION("IFERROR(GOOGLEFINANCE(B1042,""price""),"""")"),136.3)</f>
        <v>136.3</v>
      </c>
    </row>
    <row r="1043">
      <c r="A1043" s="15">
        <v>46072.86643875927</v>
      </c>
      <c r="B1043" s="16" t="s">
        <v>1626</v>
      </c>
      <c r="C1043" s="16" t="s">
        <v>1627</v>
      </c>
      <c r="D1043" s="17">
        <v>46075.0</v>
      </c>
      <c r="E1043" s="18">
        <v>45.82</v>
      </c>
      <c r="F1043" s="16" t="s">
        <v>917</v>
      </c>
      <c r="G1043" s="21">
        <v>23.4589</v>
      </c>
      <c r="H1043" s="21">
        <v>1.9532</v>
      </c>
      <c r="I1043" s="17">
        <v>46073.0</v>
      </c>
      <c r="J1043" s="18">
        <v>45.0</v>
      </c>
      <c r="K1043" s="16">
        <v>1128.0</v>
      </c>
      <c r="L1043" s="16" t="s">
        <v>2608</v>
      </c>
      <c r="M1043" s="19">
        <v>1.79</v>
      </c>
      <c r="N1043" s="16" t="s">
        <v>3727</v>
      </c>
      <c r="O1043" s="16">
        <v>1128.0</v>
      </c>
      <c r="P1043" s="19">
        <v>29.5935</v>
      </c>
      <c r="Q1043" s="16" t="s">
        <v>1628</v>
      </c>
      <c r="R1043" s="19">
        <v>1.1479</v>
      </c>
      <c r="S1043" s="20">
        <v>2873082.0</v>
      </c>
      <c r="T1043" s="20">
        <v>2.1926388202E10</v>
      </c>
      <c r="U1043" s="21">
        <v>0.8583</v>
      </c>
      <c r="V1043" s="21">
        <v>10.2226</v>
      </c>
      <c r="W1043" s="21">
        <v>27.6399</v>
      </c>
      <c r="X1043" s="21">
        <v>21.7613</v>
      </c>
      <c r="Y1043" s="21">
        <v>1.7185</v>
      </c>
      <c r="Z1043" s="21">
        <v>0.6876</v>
      </c>
      <c r="AA1043" s="16" t="s">
        <v>2611</v>
      </c>
      <c r="AB1043" s="22">
        <f>IFERROR(__xludf.DUMMYFUNCTION("IFERROR(GOOGLEFINANCE(B1043,""price""),"""")"),48.05)</f>
        <v>48.05</v>
      </c>
    </row>
    <row r="1044">
      <c r="A1044" s="7">
        <v>46072.86643875927</v>
      </c>
      <c r="B1044" s="8" t="s">
        <v>3558</v>
      </c>
      <c r="C1044" s="8" t="s">
        <v>3559</v>
      </c>
      <c r="D1044" s="9">
        <v>46075.0</v>
      </c>
      <c r="E1044" s="10">
        <v>240.77</v>
      </c>
      <c r="F1044" s="8" t="s">
        <v>308</v>
      </c>
      <c r="G1044" s="13">
        <v>30.1264</v>
      </c>
      <c r="H1044" s="13">
        <v>7.992</v>
      </c>
      <c r="I1044" s="9">
        <v>46073.0</v>
      </c>
      <c r="J1044" s="10">
        <v>237.5</v>
      </c>
      <c r="K1044" s="8">
        <v>1086.0</v>
      </c>
      <c r="L1044" s="8" t="s">
        <v>2627</v>
      </c>
      <c r="M1044" s="11">
        <v>1.36</v>
      </c>
      <c r="N1044" s="8" t="s">
        <v>3671</v>
      </c>
      <c r="O1044" s="8">
        <v>1086.0</v>
      </c>
      <c r="P1044" s="11">
        <v>53.3502</v>
      </c>
      <c r="Q1044" s="8" t="s">
        <v>3561</v>
      </c>
      <c r="R1044" s="11">
        <v>-0.1534</v>
      </c>
      <c r="S1044" s="12">
        <v>2360052.0</v>
      </c>
      <c r="T1044" s="12">
        <v>1.53051628074E11</v>
      </c>
      <c r="U1044" s="13">
        <v>4.6065</v>
      </c>
      <c r="V1044" s="13">
        <v>31.7068</v>
      </c>
      <c r="W1044" s="13">
        <v>19.7843</v>
      </c>
      <c r="X1044" s="13">
        <v>4.7901</v>
      </c>
      <c r="Y1044" s="13">
        <v>2.5578</v>
      </c>
      <c r="Z1044" s="13">
        <v>1.2978</v>
      </c>
      <c r="AA1044" s="8" t="s">
        <v>2611</v>
      </c>
      <c r="AB1044" s="14">
        <f>IFERROR(__xludf.DUMMYFUNCTION("IFERROR(GOOGLEFINANCE(B1044,""price""),"""")"),235.06)</f>
        <v>235.06</v>
      </c>
    </row>
    <row r="1045">
      <c r="A1045" s="15">
        <v>46072.86643875927</v>
      </c>
      <c r="B1045" s="16" t="s">
        <v>3728</v>
      </c>
      <c r="C1045" s="16" t="s">
        <v>3729</v>
      </c>
      <c r="D1045" s="17">
        <v>46075.0</v>
      </c>
      <c r="E1045" s="18">
        <v>310.35</v>
      </c>
      <c r="F1045" s="16" t="s">
        <v>149</v>
      </c>
      <c r="G1045" s="21">
        <v>19.9518</v>
      </c>
      <c r="H1045" s="21">
        <v>15.555</v>
      </c>
      <c r="I1045" s="17">
        <v>46073.0</v>
      </c>
      <c r="J1045" s="18">
        <v>310.0</v>
      </c>
      <c r="K1045" s="16">
        <v>1086.0</v>
      </c>
      <c r="L1045" s="16" t="s">
        <v>2627</v>
      </c>
      <c r="M1045" s="19">
        <v>0.11</v>
      </c>
      <c r="N1045" s="16" t="s">
        <v>3730</v>
      </c>
      <c r="O1045" s="16">
        <v>1086.0</v>
      </c>
      <c r="P1045" s="19">
        <v>28.5594</v>
      </c>
      <c r="Q1045" s="16" t="s">
        <v>3731</v>
      </c>
      <c r="R1045" s="19">
        <v>-2.6567</v>
      </c>
      <c r="S1045" s="20">
        <v>1766022.0</v>
      </c>
      <c r="T1045" s="20">
        <v>8.3958466137E10</v>
      </c>
      <c r="U1045" s="21">
        <v>13.9159</v>
      </c>
      <c r="V1045" s="21">
        <v>48.5</v>
      </c>
      <c r="W1045" s="21">
        <v>27.5551</v>
      </c>
      <c r="X1045" s="21">
        <v>8.7959</v>
      </c>
      <c r="Y1045" s="21">
        <v>2.1954</v>
      </c>
      <c r="Z1045" s="21">
        <v>0.1834</v>
      </c>
      <c r="AA1045" s="16" t="s">
        <v>2611</v>
      </c>
      <c r="AB1045" s="22">
        <f>IFERROR(__xludf.DUMMYFUNCTION("IFERROR(GOOGLEFINANCE(B1045,""price""),"""")"),276.94)</f>
        <v>276.94</v>
      </c>
    </row>
    <row r="1046">
      <c r="A1046" s="7">
        <v>46072.86643875927</v>
      </c>
      <c r="B1046" s="8" t="s">
        <v>2528</v>
      </c>
      <c r="C1046" s="8" t="s">
        <v>2529</v>
      </c>
      <c r="D1046" s="9">
        <v>46075.0</v>
      </c>
      <c r="E1046" s="10">
        <v>61.48</v>
      </c>
      <c r="F1046" s="8" t="s">
        <v>93</v>
      </c>
      <c r="G1046" s="13">
        <v>10.2349</v>
      </c>
      <c r="H1046" s="13">
        <v>6.0069</v>
      </c>
      <c r="I1046" s="9">
        <v>46073.0</v>
      </c>
      <c r="J1046" s="10">
        <v>62.5</v>
      </c>
      <c r="K1046" s="8">
        <v>1046.0</v>
      </c>
      <c r="L1046" s="8" t="s">
        <v>2608</v>
      </c>
      <c r="M1046" s="11">
        <v>1.66</v>
      </c>
      <c r="N1046" s="8" t="s">
        <v>3748</v>
      </c>
      <c r="O1046" s="8">
        <v>1046.0</v>
      </c>
      <c r="P1046" s="11">
        <v>19.8375</v>
      </c>
      <c r="Q1046" s="8" t="s">
        <v>2530</v>
      </c>
      <c r="R1046" s="11">
        <v>-0.9026</v>
      </c>
      <c r="S1046" s="12">
        <v>1849954.0</v>
      </c>
      <c r="T1046" s="12">
        <v>9.076971088E9</v>
      </c>
      <c r="U1046" s="13">
        <v>1.8174</v>
      </c>
      <c r="V1046" s="13">
        <v>13.3945</v>
      </c>
      <c r="W1046" s="13">
        <v>23.7662</v>
      </c>
      <c r="X1046" s="13">
        <v>-1.0012</v>
      </c>
      <c r="Y1046" s="13">
        <v>0.6373</v>
      </c>
      <c r="Z1046" s="13">
        <v>0.1512</v>
      </c>
      <c r="AA1046" s="8" t="s">
        <v>2620</v>
      </c>
      <c r="AB1046" s="14">
        <f>IFERROR(__xludf.DUMMYFUNCTION("IFERROR(GOOGLEFINANCE(B1046,""price""),"""")"),61.05)</f>
        <v>61.05</v>
      </c>
    </row>
    <row r="1047">
      <c r="A1047" s="7">
        <v>46072.86798766154</v>
      </c>
      <c r="B1047" s="8" t="s">
        <v>2630</v>
      </c>
      <c r="C1047" s="8" t="s">
        <v>2631</v>
      </c>
      <c r="D1047" s="9">
        <v>46075.0</v>
      </c>
      <c r="E1047" s="10">
        <v>417.35</v>
      </c>
      <c r="F1047" s="8" t="s">
        <v>308</v>
      </c>
      <c r="G1047" s="13">
        <v>39.6721</v>
      </c>
      <c r="H1047" s="13">
        <v>10.52</v>
      </c>
      <c r="I1047" s="9">
        <v>46073.0</v>
      </c>
      <c r="J1047" s="10">
        <v>410.0</v>
      </c>
      <c r="K1047" s="8">
        <v>15754.0</v>
      </c>
      <c r="L1047" s="8" t="s">
        <v>2608</v>
      </c>
      <c r="M1047" s="11">
        <v>1.76</v>
      </c>
      <c r="N1047" s="8" t="s">
        <v>3732</v>
      </c>
      <c r="O1047" s="8">
        <v>48318.0</v>
      </c>
      <c r="P1047" s="11">
        <v>36.5471</v>
      </c>
      <c r="Q1047" s="8" t="s">
        <v>2633</v>
      </c>
      <c r="R1047" s="11">
        <v>-0.8552</v>
      </c>
      <c r="S1047" s="12">
        <v>2.1650779E7</v>
      </c>
      <c r="T1047" s="12">
        <v>4.69731310521E11</v>
      </c>
      <c r="U1047" s="13">
        <v>25.3854</v>
      </c>
      <c r="V1047" s="13">
        <v>22.5543</v>
      </c>
      <c r="W1047" s="13">
        <v>32.9221</v>
      </c>
      <c r="X1047" s="13">
        <v>45.432</v>
      </c>
      <c r="Y1047" s="13">
        <v>0.2124</v>
      </c>
      <c r="Z1047" s="13">
        <v>2.4598</v>
      </c>
      <c r="AA1047" s="8" t="s">
        <v>2611</v>
      </c>
      <c r="AB1047" s="14">
        <f>IFERROR(__xludf.DUMMYFUNCTION("IFERROR(GOOGLEFINANCE(B1047,""price""),"""")"),420.59)</f>
        <v>420.59</v>
      </c>
    </row>
    <row r="1048">
      <c r="A1048" s="15">
        <v>46072.86798766154</v>
      </c>
      <c r="B1048" s="16" t="s">
        <v>2625</v>
      </c>
      <c r="C1048" s="16" t="s">
        <v>2626</v>
      </c>
      <c r="D1048" s="17">
        <v>46075.0</v>
      </c>
      <c r="E1048" s="18">
        <v>124.87</v>
      </c>
      <c r="F1048" s="16" t="s">
        <v>137</v>
      </c>
      <c r="G1048" s="21">
        <v>43.7987</v>
      </c>
      <c r="H1048" s="21">
        <v>2.851</v>
      </c>
      <c r="I1048" s="17">
        <v>46073.0</v>
      </c>
      <c r="J1048" s="18">
        <v>127.0</v>
      </c>
      <c r="K1048" s="16">
        <v>8841.0</v>
      </c>
      <c r="L1048" s="16" t="s">
        <v>2627</v>
      </c>
      <c r="M1048" s="19">
        <v>1.71</v>
      </c>
      <c r="N1048" s="16" t="s">
        <v>3674</v>
      </c>
      <c r="O1048" s="16">
        <v>44541.0</v>
      </c>
      <c r="P1048" s="19">
        <v>33.4544</v>
      </c>
      <c r="Q1048" s="16" t="s">
        <v>2629</v>
      </c>
      <c r="R1048" s="19">
        <v>-1.3821</v>
      </c>
      <c r="S1048" s="20">
        <v>4.2993096E7</v>
      </c>
      <c r="T1048" s="20">
        <v>9.95234773902E11</v>
      </c>
      <c r="U1048" s="21">
        <v>3.4673</v>
      </c>
      <c r="V1048" s="21">
        <v>22.9691</v>
      </c>
      <c r="W1048" s="21">
        <v>4.1214</v>
      </c>
      <c r="X1048" s="21">
        <v>4.3397</v>
      </c>
      <c r="Y1048" s="21">
        <v>0.6735</v>
      </c>
      <c r="Z1048" s="21">
        <v>0.7898</v>
      </c>
      <c r="AA1048" s="16" t="s">
        <v>2620</v>
      </c>
      <c r="AB1048" s="22">
        <f>IFERROR(__xludf.DUMMYFUNCTION("IFERROR(GOOGLEFINANCE(B1048,""price""),"""")"),126.79)</f>
        <v>126.79</v>
      </c>
    </row>
    <row r="1049">
      <c r="A1049" s="7">
        <v>46072.86798766154</v>
      </c>
      <c r="B1049" s="8" t="s">
        <v>2638</v>
      </c>
      <c r="C1049" s="8" t="s">
        <v>2639</v>
      </c>
      <c r="D1049" s="9">
        <v>46075.0</v>
      </c>
      <c r="E1049" s="10">
        <v>150.97</v>
      </c>
      <c r="F1049" s="8" t="s">
        <v>245</v>
      </c>
      <c r="G1049" s="13">
        <v>22.5503</v>
      </c>
      <c r="H1049" s="13">
        <v>6.6948</v>
      </c>
      <c r="I1049" s="9">
        <v>46073.0</v>
      </c>
      <c r="J1049" s="10">
        <v>150.0</v>
      </c>
      <c r="K1049" s="8">
        <v>8366.0</v>
      </c>
      <c r="L1049" s="8" t="s">
        <v>2608</v>
      </c>
      <c r="M1049" s="11">
        <v>0.64</v>
      </c>
      <c r="N1049" s="8" t="s">
        <v>3677</v>
      </c>
      <c r="O1049" s="8">
        <v>23953.0</v>
      </c>
      <c r="P1049" s="11">
        <v>53.3951</v>
      </c>
      <c r="Q1049" s="8" t="s">
        <v>2641</v>
      </c>
      <c r="R1049" s="11">
        <v>0.1925</v>
      </c>
      <c r="S1049" s="12">
        <v>2.0304925E7</v>
      </c>
      <c r="T1049" s="12">
        <v>6.36665448716E11</v>
      </c>
      <c r="U1049" s="13">
        <v>3.5144</v>
      </c>
      <c r="V1049" s="13">
        <v>11.0283</v>
      </c>
      <c r="W1049" s="13">
        <v>10.3419</v>
      </c>
      <c r="X1049" s="13">
        <v>-4.856</v>
      </c>
      <c r="Y1049" s="13">
        <v>0.1871</v>
      </c>
      <c r="Z1049" s="13">
        <v>1.1528</v>
      </c>
      <c r="AA1049" s="8" t="s">
        <v>2611</v>
      </c>
      <c r="AB1049" s="14">
        <f>IFERROR(__xludf.DUMMYFUNCTION("IFERROR(GOOGLEFINANCE(B1049,""price""),"""")"),152.51)</f>
        <v>152.51</v>
      </c>
    </row>
    <row r="1050">
      <c r="A1050" s="15">
        <v>46072.86798766154</v>
      </c>
      <c r="B1050" s="16" t="s">
        <v>2616</v>
      </c>
      <c r="C1050" s="16" t="s">
        <v>2617</v>
      </c>
      <c r="D1050" s="17">
        <v>46075.0</v>
      </c>
      <c r="E1050" s="18">
        <v>78.91</v>
      </c>
      <c r="F1050" s="16" t="s">
        <v>286</v>
      </c>
      <c r="G1050" s="21">
        <v>25.9701</v>
      </c>
      <c r="H1050" s="21">
        <v>3.0385</v>
      </c>
      <c r="I1050" s="17">
        <v>46073.0</v>
      </c>
      <c r="J1050" s="18">
        <v>80.0</v>
      </c>
      <c r="K1050" s="16">
        <v>7632.0</v>
      </c>
      <c r="L1050" s="16" t="s">
        <v>2608</v>
      </c>
      <c r="M1050" s="19">
        <v>1.38</v>
      </c>
      <c r="N1050" s="16" t="s">
        <v>3678</v>
      </c>
      <c r="O1050" s="16">
        <v>22603.0</v>
      </c>
      <c r="P1050" s="19">
        <v>39.4311</v>
      </c>
      <c r="Q1050" s="16" t="s">
        <v>2619</v>
      </c>
      <c r="R1050" s="19">
        <v>-0.7297</v>
      </c>
      <c r="S1050" s="20">
        <v>1.492465E7</v>
      </c>
      <c r="T1050" s="20">
        <v>3.39439948129E11</v>
      </c>
      <c r="U1050" s="21">
        <v>1.2936</v>
      </c>
      <c r="V1050" s="21">
        <v>45.9693</v>
      </c>
      <c r="W1050" s="21">
        <v>29.0951</v>
      </c>
      <c r="X1050" s="21">
        <v>3.1925</v>
      </c>
      <c r="Y1050" s="21">
        <v>1.4142</v>
      </c>
      <c r="Z1050" s="21">
        <v>1.4588</v>
      </c>
      <c r="AA1050" s="16" t="s">
        <v>2620</v>
      </c>
      <c r="AB1050" s="22">
        <f>IFERROR(__xludf.DUMMYFUNCTION("IFERROR(GOOGLEFINANCE(B1050,""price""),"""")"),77.47)</f>
        <v>77.47</v>
      </c>
    </row>
    <row r="1051">
      <c r="A1051" s="7">
        <v>46072.86798766154</v>
      </c>
      <c r="B1051" s="8" t="s">
        <v>3523</v>
      </c>
      <c r="C1051" s="8" t="s">
        <v>3524</v>
      </c>
      <c r="D1051" s="9">
        <v>46075.0</v>
      </c>
      <c r="E1051" s="10">
        <v>41.68</v>
      </c>
      <c r="F1051" s="8" t="s">
        <v>162</v>
      </c>
      <c r="G1051" s="13">
        <v>27.0123</v>
      </c>
      <c r="H1051" s="13">
        <v>1.543</v>
      </c>
      <c r="I1051" s="9">
        <v>46073.0</v>
      </c>
      <c r="J1051" s="10">
        <v>42.0</v>
      </c>
      <c r="K1051" s="8">
        <v>7631.0</v>
      </c>
      <c r="L1051" s="8" t="s">
        <v>2608</v>
      </c>
      <c r="M1051" s="11">
        <v>0.77</v>
      </c>
      <c r="N1051" s="8" t="s">
        <v>3679</v>
      </c>
      <c r="O1051" s="8">
        <v>16736.0</v>
      </c>
      <c r="P1051" s="11">
        <v>41.9162</v>
      </c>
      <c r="Q1051" s="8" t="s">
        <v>3526</v>
      </c>
      <c r="R1051" s="11">
        <v>0.7737</v>
      </c>
      <c r="S1051" s="12">
        <v>1.0273962E7</v>
      </c>
      <c r="T1051" s="12">
        <v>7.7506327013E10</v>
      </c>
      <c r="U1051" s="13">
        <v>0.818</v>
      </c>
      <c r="V1051" s="13">
        <v>22.5202</v>
      </c>
      <c r="W1051" s="13">
        <v>33.2458</v>
      </c>
      <c r="X1051" s="13">
        <v>-3.0812</v>
      </c>
      <c r="Y1051" s="13">
        <v>1.4762</v>
      </c>
      <c r="Z1051" s="13">
        <v>0.8139</v>
      </c>
      <c r="AA1051" s="8" t="s">
        <v>2620</v>
      </c>
      <c r="AB1051" s="14">
        <f>IFERROR(__xludf.DUMMYFUNCTION("IFERROR(GOOGLEFINANCE(B1051,""price""),"""")"),42.24)</f>
        <v>42.24</v>
      </c>
    </row>
    <row r="1052">
      <c r="A1052" s="15">
        <v>46072.86798766154</v>
      </c>
      <c r="B1052" s="16" t="s">
        <v>2438</v>
      </c>
      <c r="C1052" s="16" t="s">
        <v>2439</v>
      </c>
      <c r="D1052" s="17">
        <v>46075.0</v>
      </c>
      <c r="E1052" s="18">
        <v>218.05</v>
      </c>
      <c r="F1052" s="16" t="s">
        <v>308</v>
      </c>
      <c r="G1052" s="21">
        <v>40.043</v>
      </c>
      <c r="H1052" s="21">
        <v>5.4454</v>
      </c>
      <c r="I1052" s="17">
        <v>46073.0</v>
      </c>
      <c r="J1052" s="18">
        <v>220.0</v>
      </c>
      <c r="K1052" s="16">
        <v>6708.0</v>
      </c>
      <c r="L1052" s="16" t="s">
        <v>2608</v>
      </c>
      <c r="M1052" s="19">
        <v>0.89</v>
      </c>
      <c r="N1052" s="16" t="s">
        <v>3680</v>
      </c>
      <c r="O1052" s="16">
        <v>15518.0</v>
      </c>
      <c r="P1052" s="19">
        <v>50.798</v>
      </c>
      <c r="Q1052" s="16" t="s">
        <v>2440</v>
      </c>
      <c r="R1052" s="19">
        <v>-2.3598</v>
      </c>
      <c r="S1052" s="20">
        <v>5002233.0</v>
      </c>
      <c r="T1052" s="20">
        <v>1.97891441033E11</v>
      </c>
      <c r="U1052" s="21">
        <v>6.7226</v>
      </c>
      <c r="V1052" s="21">
        <v>29.9795</v>
      </c>
      <c r="W1052" s="21">
        <v>34.7246</v>
      </c>
      <c r="X1052" s="21">
        <v>13.049</v>
      </c>
      <c r="Y1052" s="21">
        <v>0.9082</v>
      </c>
      <c r="Z1052" s="21">
        <v>4.3526</v>
      </c>
      <c r="AA1052" s="16" t="s">
        <v>2620</v>
      </c>
      <c r="AB1052" s="22">
        <f>IFERROR(__xludf.DUMMYFUNCTION("IFERROR(GOOGLEFINANCE(B1052,""price""),"""")"),214.73)</f>
        <v>214.73</v>
      </c>
    </row>
    <row r="1053">
      <c r="A1053" s="7">
        <v>46072.86798766154</v>
      </c>
      <c r="B1053" s="8" t="s">
        <v>3086</v>
      </c>
      <c r="C1053" s="8" t="s">
        <v>3087</v>
      </c>
      <c r="D1053" s="9">
        <v>46075.0</v>
      </c>
      <c r="E1053" s="10">
        <v>67.44</v>
      </c>
      <c r="F1053" s="8" t="s">
        <v>162</v>
      </c>
      <c r="G1053" s="13">
        <v>8.8043</v>
      </c>
      <c r="H1053" s="13">
        <v>7.6599</v>
      </c>
      <c r="I1053" s="9">
        <v>46073.0</v>
      </c>
      <c r="J1053" s="10">
        <v>67.5</v>
      </c>
      <c r="K1053" s="8">
        <v>5968.0</v>
      </c>
      <c r="L1053" s="8" t="s">
        <v>2627</v>
      </c>
      <c r="M1053" s="11">
        <v>0.09</v>
      </c>
      <c r="N1053" s="8" t="s">
        <v>3733</v>
      </c>
      <c r="O1053" s="8">
        <v>12283.0</v>
      </c>
      <c r="P1053" s="11">
        <v>17.2043</v>
      </c>
      <c r="Q1053" s="8" t="s">
        <v>3089</v>
      </c>
      <c r="R1053" s="11">
        <v>-5.161</v>
      </c>
      <c r="S1053" s="12">
        <v>8626270.0</v>
      </c>
      <c r="T1053" s="12">
        <v>4.4047133186E10</v>
      </c>
      <c r="U1053" s="13">
        <v>2.8196</v>
      </c>
      <c r="V1053" s="13">
        <v>27.6988</v>
      </c>
      <c r="W1053" s="13">
        <v>9.1882</v>
      </c>
      <c r="X1053" s="13">
        <v>2.7935</v>
      </c>
      <c r="Y1053" s="13">
        <v>0.9722</v>
      </c>
      <c r="Z1053" s="13">
        <v>0.397</v>
      </c>
      <c r="AA1053" s="8" t="s">
        <v>2620</v>
      </c>
      <c r="AB1053" s="14">
        <f>IFERROR(__xludf.DUMMYFUNCTION("IFERROR(GOOGLEFINANCE(B1053,""price""),"""")"),67.82)</f>
        <v>67.82</v>
      </c>
    </row>
    <row r="1054">
      <c r="A1054" s="15">
        <v>46072.86798766154</v>
      </c>
      <c r="B1054" s="16" t="s">
        <v>2634</v>
      </c>
      <c r="C1054" s="16" t="s">
        <v>2635</v>
      </c>
      <c r="D1054" s="17">
        <v>46075.0</v>
      </c>
      <c r="E1054" s="18">
        <v>184.78</v>
      </c>
      <c r="F1054" s="16" t="s">
        <v>245</v>
      </c>
      <c r="G1054" s="21">
        <v>27.7827</v>
      </c>
      <c r="H1054" s="21">
        <v>6.6509</v>
      </c>
      <c r="I1054" s="17">
        <v>46073.0</v>
      </c>
      <c r="J1054" s="18">
        <v>185.0</v>
      </c>
      <c r="K1054" s="16">
        <v>4630.0</v>
      </c>
      <c r="L1054" s="16" t="s">
        <v>2608</v>
      </c>
      <c r="M1054" s="19">
        <v>0.12</v>
      </c>
      <c r="N1054" s="16" t="s">
        <v>3734</v>
      </c>
      <c r="O1054" s="16">
        <v>10787.0</v>
      </c>
      <c r="P1054" s="19">
        <v>55.1692</v>
      </c>
      <c r="Q1054" s="16" t="s">
        <v>2637</v>
      </c>
      <c r="R1054" s="19">
        <v>0.4949</v>
      </c>
      <c r="S1054" s="20">
        <v>1.0773338E7</v>
      </c>
      <c r="T1054" s="20">
        <v>3.72058512558E11</v>
      </c>
      <c r="U1054" s="21">
        <v>3.5636</v>
      </c>
      <c r="V1054" s="21">
        <v>7.261</v>
      </c>
      <c r="W1054" s="21">
        <v>8.9022</v>
      </c>
      <c r="X1054" s="21">
        <v>-4.6053</v>
      </c>
      <c r="Y1054" s="21">
        <v>0.2186</v>
      </c>
      <c r="Z1054" s="21"/>
      <c r="AA1054" s="16" t="s">
        <v>2620</v>
      </c>
      <c r="AB1054" s="22">
        <f>IFERROR(__xludf.DUMMYFUNCTION("IFERROR(GOOGLEFINANCE(B1054,""price""),"""")"),188.55)</f>
        <v>188.55</v>
      </c>
    </row>
    <row r="1055">
      <c r="A1055" s="7">
        <v>46072.86798766154</v>
      </c>
      <c r="B1055" s="8" t="s">
        <v>2621</v>
      </c>
      <c r="C1055" s="8" t="s">
        <v>2622</v>
      </c>
      <c r="D1055" s="9">
        <v>46075.0</v>
      </c>
      <c r="E1055" s="10">
        <v>62.57</v>
      </c>
      <c r="F1055" s="8" t="s">
        <v>335</v>
      </c>
      <c r="G1055" s="13">
        <v>41.3276</v>
      </c>
      <c r="H1055" s="13">
        <v>1.514</v>
      </c>
      <c r="I1055" s="9">
        <v>46073.0</v>
      </c>
      <c r="J1055" s="10">
        <v>63.0</v>
      </c>
      <c r="K1055" s="8">
        <v>4224.0</v>
      </c>
      <c r="L1055" s="8" t="s">
        <v>2608</v>
      </c>
      <c r="M1055" s="11">
        <v>0.69</v>
      </c>
      <c r="N1055" s="8" t="s">
        <v>3683</v>
      </c>
      <c r="O1055" s="8">
        <v>10784.0</v>
      </c>
      <c r="P1055" s="11">
        <v>31.6307</v>
      </c>
      <c r="Q1055" s="8" t="s">
        <v>2624</v>
      </c>
      <c r="R1055" s="11">
        <v>0.032</v>
      </c>
      <c r="S1055" s="12">
        <v>1.3357868E7</v>
      </c>
      <c r="T1055" s="12">
        <v>8.9925706779E10</v>
      </c>
      <c r="U1055" s="13">
        <v>2.8918</v>
      </c>
      <c r="V1055" s="13">
        <v>11.9792</v>
      </c>
      <c r="W1055" s="13">
        <v>22.7913</v>
      </c>
      <c r="X1055" s="13">
        <v>-0.0477</v>
      </c>
      <c r="Y1055" s="13">
        <v>0.5552</v>
      </c>
      <c r="Z1055" s="13">
        <v>2.2911</v>
      </c>
      <c r="AA1055" s="8" t="s">
        <v>2620</v>
      </c>
      <c r="AB1055" s="14">
        <f>IFERROR(__xludf.DUMMYFUNCTION("IFERROR(GOOGLEFINANCE(B1055,""price""),"""")"),67.8)</f>
        <v>67.8</v>
      </c>
    </row>
    <row r="1056">
      <c r="A1056" s="15">
        <v>46072.86798766154</v>
      </c>
      <c r="B1056" s="16" t="s">
        <v>3684</v>
      </c>
      <c r="C1056" s="16" t="s">
        <v>3685</v>
      </c>
      <c r="D1056" s="17">
        <v>46075.0</v>
      </c>
      <c r="E1056" s="18">
        <v>36.97</v>
      </c>
      <c r="F1056" s="16" t="s">
        <v>917</v>
      </c>
      <c r="G1056" s="21">
        <v>25.1565</v>
      </c>
      <c r="H1056" s="21">
        <v>1.4696</v>
      </c>
      <c r="I1056" s="17">
        <v>46073.0</v>
      </c>
      <c r="J1056" s="18">
        <v>37.0</v>
      </c>
      <c r="K1056" s="16">
        <v>9702.0</v>
      </c>
      <c r="L1056" s="16" t="s">
        <v>2608</v>
      </c>
      <c r="M1056" s="19">
        <v>0.08</v>
      </c>
      <c r="N1056" s="16" t="s">
        <v>3686</v>
      </c>
      <c r="O1056" s="16">
        <v>9702.0</v>
      </c>
      <c r="P1056" s="19">
        <v>18.7317</v>
      </c>
      <c r="Q1056" s="16" t="s">
        <v>3687</v>
      </c>
      <c r="R1056" s="19">
        <v>0.4347</v>
      </c>
      <c r="S1056" s="20">
        <v>1.1997392E7</v>
      </c>
      <c r="T1056" s="20">
        <v>2.7348159125E10</v>
      </c>
      <c r="U1056" s="21">
        <v>0.7111</v>
      </c>
      <c r="V1056" s="21">
        <v>7.6548</v>
      </c>
      <c r="W1056" s="21">
        <v>22.7865</v>
      </c>
      <c r="X1056" s="21">
        <v>8.4158</v>
      </c>
      <c r="Y1056" s="21">
        <v>1.3173</v>
      </c>
      <c r="Z1056" s="21">
        <v>0.7742</v>
      </c>
      <c r="AA1056" s="16" t="s">
        <v>2620</v>
      </c>
      <c r="AB1056" s="22">
        <f>IFERROR(__xludf.DUMMYFUNCTION("IFERROR(GOOGLEFINANCE(B1056,""price""),"""")"),39.65)</f>
        <v>39.65</v>
      </c>
    </row>
    <row r="1057">
      <c r="A1057" s="7">
        <v>46072.86798766154</v>
      </c>
      <c r="B1057" s="8" t="s">
        <v>2700</v>
      </c>
      <c r="C1057" s="8" t="s">
        <v>2701</v>
      </c>
      <c r="D1057" s="9">
        <v>46075.0</v>
      </c>
      <c r="E1057" s="10">
        <v>237.39</v>
      </c>
      <c r="F1057" s="8" t="s">
        <v>102</v>
      </c>
      <c r="G1057" s="13">
        <v>48.6525</v>
      </c>
      <c r="H1057" s="13">
        <v>4.8793</v>
      </c>
      <c r="I1057" s="9">
        <v>46073.0</v>
      </c>
      <c r="J1057" s="10">
        <v>240.0</v>
      </c>
      <c r="K1057" s="8">
        <v>5273.0</v>
      </c>
      <c r="L1057" s="8" t="s">
        <v>2608</v>
      </c>
      <c r="M1057" s="11">
        <v>1.1</v>
      </c>
      <c r="N1057" s="8" t="s">
        <v>3688</v>
      </c>
      <c r="O1057" s="8">
        <v>9640.0</v>
      </c>
      <c r="P1057" s="11">
        <v>31.8174</v>
      </c>
      <c r="Q1057" s="8" t="s">
        <v>2703</v>
      </c>
      <c r="R1057" s="11">
        <v>-1.1246</v>
      </c>
      <c r="S1057" s="12">
        <v>6384095.0</v>
      </c>
      <c r="T1057" s="12">
        <v>2.96445742241E11</v>
      </c>
      <c r="U1057" s="13">
        <v>11.6983</v>
      </c>
      <c r="V1057" s="13">
        <v>65.5649</v>
      </c>
      <c r="W1057" s="13">
        <v>33.7646</v>
      </c>
      <c r="X1057" s="13">
        <v>26.8457</v>
      </c>
      <c r="Y1057" s="13">
        <v>0.4419</v>
      </c>
      <c r="Z1057" s="13">
        <v>2.2562</v>
      </c>
      <c r="AA1057" s="8" t="s">
        <v>2620</v>
      </c>
      <c r="AB1057" s="14">
        <f>IFERROR(__xludf.DUMMYFUNCTION("IFERROR(GOOGLEFINANCE(B1057,""price""),"""")"),263.66)</f>
        <v>263.66</v>
      </c>
    </row>
    <row r="1058">
      <c r="A1058" s="15">
        <v>46072.86798766154</v>
      </c>
      <c r="B1058" s="16" t="s">
        <v>2804</v>
      </c>
      <c r="C1058" s="16" t="s">
        <v>2805</v>
      </c>
      <c r="D1058" s="17">
        <v>46075.0</v>
      </c>
      <c r="E1058" s="18">
        <v>129.99</v>
      </c>
      <c r="F1058" s="16" t="s">
        <v>308</v>
      </c>
      <c r="G1058" s="21">
        <v>70.689</v>
      </c>
      <c r="H1058" s="21">
        <v>1.8389</v>
      </c>
      <c r="I1058" s="17">
        <v>46073.0</v>
      </c>
      <c r="J1058" s="18">
        <v>132.0</v>
      </c>
      <c r="K1058" s="16">
        <v>7819.0</v>
      </c>
      <c r="L1058" s="16" t="s">
        <v>2608</v>
      </c>
      <c r="M1058" s="19">
        <v>1.55</v>
      </c>
      <c r="N1058" s="16" t="s">
        <v>3689</v>
      </c>
      <c r="O1058" s="16">
        <v>9034.0</v>
      </c>
      <c r="P1058" s="19">
        <v>45.4644</v>
      </c>
      <c r="Q1058" s="16" t="s">
        <v>2807</v>
      </c>
      <c r="R1058" s="19">
        <v>-1.5302</v>
      </c>
      <c r="S1058" s="20">
        <v>9169365.0</v>
      </c>
      <c r="T1058" s="20">
        <v>1.11524671493E11</v>
      </c>
      <c r="U1058" s="21">
        <v>6.1147</v>
      </c>
      <c r="V1058" s="21">
        <v>14.1911</v>
      </c>
      <c r="W1058" s="21">
        <v>15.3241</v>
      </c>
      <c r="X1058" s="21">
        <v>19.1416</v>
      </c>
      <c r="Y1058" s="21">
        <v>0.7942</v>
      </c>
      <c r="Z1058" s="21">
        <v>1.5878</v>
      </c>
      <c r="AA1058" s="16" t="s">
        <v>2620</v>
      </c>
      <c r="AB1058" s="22">
        <f>IFERROR(__xludf.DUMMYFUNCTION("IFERROR(GOOGLEFINANCE(B1058,""price""),"""")"),171.24)</f>
        <v>171.24</v>
      </c>
    </row>
    <row r="1059">
      <c r="A1059" s="7">
        <v>46072.86798766154</v>
      </c>
      <c r="B1059" s="8" t="s">
        <v>3347</v>
      </c>
      <c r="C1059" s="8" t="s">
        <v>3348</v>
      </c>
      <c r="D1059" s="9">
        <v>46075.0</v>
      </c>
      <c r="E1059" s="10">
        <v>334.74</v>
      </c>
      <c r="F1059" s="8" t="s">
        <v>308</v>
      </c>
      <c r="G1059" s="13">
        <v>41.1289</v>
      </c>
      <c r="H1059" s="13">
        <v>8.1388</v>
      </c>
      <c r="I1059" s="9">
        <v>46073.0</v>
      </c>
      <c r="J1059" s="10">
        <v>340.0</v>
      </c>
      <c r="K1059" s="8">
        <v>4169.0</v>
      </c>
      <c r="L1059" s="8" t="s">
        <v>2608</v>
      </c>
      <c r="M1059" s="11">
        <v>1.57</v>
      </c>
      <c r="N1059" s="8" t="s">
        <v>3690</v>
      </c>
      <c r="O1059" s="8">
        <v>8177.0</v>
      </c>
      <c r="P1059" s="11">
        <v>19.759</v>
      </c>
      <c r="Q1059" s="8" t="s">
        <v>3350</v>
      </c>
      <c r="R1059" s="11">
        <v>1.5656</v>
      </c>
      <c r="S1059" s="12">
        <v>4456653.0</v>
      </c>
      <c r="T1059" s="12">
        <v>3.51079849702E11</v>
      </c>
      <c r="U1059" s="13">
        <v>9.7635</v>
      </c>
      <c r="V1059" s="13">
        <v>45.2353</v>
      </c>
      <c r="W1059" s="13">
        <v>18.207</v>
      </c>
      <c r="X1059" s="13">
        <v>0.1223</v>
      </c>
      <c r="Y1059" s="13">
        <v>1.1542</v>
      </c>
      <c r="Z1059" s="13">
        <v>1.0415</v>
      </c>
      <c r="AA1059" s="8" t="s">
        <v>2620</v>
      </c>
      <c r="AB1059" s="14">
        <f>IFERROR(__xludf.DUMMYFUNCTION("IFERROR(GOOGLEFINANCE(B1059,""price""),"""")"),308.35)</f>
        <v>308.35</v>
      </c>
    </row>
    <row r="1060">
      <c r="A1060" s="15">
        <v>46072.86798766154</v>
      </c>
      <c r="B1060" s="16" t="s">
        <v>3463</v>
      </c>
      <c r="C1060" s="16" t="s">
        <v>3464</v>
      </c>
      <c r="D1060" s="17">
        <v>46075.0</v>
      </c>
      <c r="E1060" s="18">
        <v>59.77</v>
      </c>
      <c r="F1060" s="16" t="s">
        <v>245</v>
      </c>
      <c r="G1060" s="21">
        <v>18.0372</v>
      </c>
      <c r="H1060" s="21">
        <v>3.3137</v>
      </c>
      <c r="I1060" s="17">
        <v>46073.0</v>
      </c>
      <c r="J1060" s="18">
        <v>60.0</v>
      </c>
      <c r="K1060" s="16">
        <v>6184.0</v>
      </c>
      <c r="L1060" s="16" t="s">
        <v>2608</v>
      </c>
      <c r="M1060" s="19">
        <v>0.38</v>
      </c>
      <c r="N1060" s="16" t="s">
        <v>3691</v>
      </c>
      <c r="O1060" s="16">
        <v>7982.0</v>
      </c>
      <c r="P1060" s="19">
        <v>21.7077</v>
      </c>
      <c r="Q1060" s="16" t="s">
        <v>3466</v>
      </c>
      <c r="R1060" s="19">
        <v>1.9444</v>
      </c>
      <c r="S1060" s="20">
        <v>1.4132695E7</v>
      </c>
      <c r="T1060" s="20">
        <v>3.7300712442E10</v>
      </c>
      <c r="U1060" s="21">
        <v>2.1042</v>
      </c>
      <c r="V1060" s="21">
        <v>9.1961</v>
      </c>
      <c r="W1060" s="21">
        <v>35.6577</v>
      </c>
      <c r="X1060" s="21">
        <v>59.9561</v>
      </c>
      <c r="Y1060" s="21">
        <v>0.3357</v>
      </c>
      <c r="Z1060" s="21">
        <v>0.7627</v>
      </c>
      <c r="AA1060" s="16" t="s">
        <v>2620</v>
      </c>
      <c r="AB1060" s="22">
        <f>IFERROR(__xludf.DUMMYFUNCTION("IFERROR(GOOGLEFINANCE(B1060,""price""),"""")"),58.68)</f>
        <v>58.68</v>
      </c>
    </row>
    <row r="1061">
      <c r="A1061" s="7">
        <v>46072.86798766154</v>
      </c>
      <c r="B1061" s="8" t="s">
        <v>1492</v>
      </c>
      <c r="C1061" s="8" t="s">
        <v>1493</v>
      </c>
      <c r="D1061" s="9">
        <v>46075.0</v>
      </c>
      <c r="E1061" s="10">
        <v>25.02</v>
      </c>
      <c r="F1061" s="8" t="s">
        <v>93</v>
      </c>
      <c r="G1061" s="13">
        <v>13.334</v>
      </c>
      <c r="H1061" s="13">
        <v>1.8764</v>
      </c>
      <c r="I1061" s="9">
        <v>46073.0</v>
      </c>
      <c r="J1061" s="10">
        <v>25.0</v>
      </c>
      <c r="K1061" s="8">
        <v>5402.0</v>
      </c>
      <c r="L1061" s="8" t="s">
        <v>2608</v>
      </c>
      <c r="M1061" s="11">
        <v>0.08</v>
      </c>
      <c r="N1061" s="8" t="s">
        <v>3735</v>
      </c>
      <c r="O1061" s="8">
        <v>7198.0</v>
      </c>
      <c r="P1061" s="11">
        <v>20.2216</v>
      </c>
      <c r="Q1061" s="8" t="s">
        <v>1494</v>
      </c>
      <c r="R1061" s="11">
        <v>-0.3187</v>
      </c>
      <c r="S1061" s="12">
        <v>4880481.0</v>
      </c>
      <c r="T1061" s="12">
        <v>1.2134700184E10</v>
      </c>
      <c r="U1061" s="13">
        <v>0.643</v>
      </c>
      <c r="V1061" s="13">
        <v>11.1193</v>
      </c>
      <c r="W1061" s="13">
        <v>25.6333</v>
      </c>
      <c r="X1061" s="13">
        <v>-0.5598</v>
      </c>
      <c r="Y1061" s="13">
        <v>0.517</v>
      </c>
      <c r="Z1061" s="13">
        <v>0.2349</v>
      </c>
      <c r="AA1061" s="8" t="s">
        <v>2611</v>
      </c>
      <c r="AB1061" s="14">
        <f>IFERROR(__xludf.DUMMYFUNCTION("IFERROR(GOOGLEFINANCE(B1061,""price""),"""")"),24.05)</f>
        <v>24.05</v>
      </c>
    </row>
    <row r="1062">
      <c r="A1062" s="15">
        <v>46072.86798766154</v>
      </c>
      <c r="B1062" s="16" t="s">
        <v>2658</v>
      </c>
      <c r="C1062" s="16" t="s">
        <v>2659</v>
      </c>
      <c r="D1062" s="17">
        <v>46075.0</v>
      </c>
      <c r="E1062" s="18">
        <v>91.64</v>
      </c>
      <c r="F1062" s="16" t="s">
        <v>917</v>
      </c>
      <c r="G1062" s="21">
        <v>27.7672</v>
      </c>
      <c r="H1062" s="21">
        <v>3.3003</v>
      </c>
      <c r="I1062" s="17">
        <v>46073.0</v>
      </c>
      <c r="J1062" s="18">
        <v>90.0</v>
      </c>
      <c r="K1062" s="16">
        <v>4179.0</v>
      </c>
      <c r="L1062" s="16" t="s">
        <v>2608</v>
      </c>
      <c r="M1062" s="19">
        <v>1.79</v>
      </c>
      <c r="N1062" s="16" t="s">
        <v>3693</v>
      </c>
      <c r="O1062" s="16">
        <v>7194.0</v>
      </c>
      <c r="P1062" s="19">
        <v>40.8055</v>
      </c>
      <c r="Q1062" s="16" t="s">
        <v>2661</v>
      </c>
      <c r="R1062" s="19">
        <v>0.4604</v>
      </c>
      <c r="S1062" s="20">
        <v>8483548.0</v>
      </c>
      <c r="T1062" s="20">
        <v>1.90933956129E11</v>
      </c>
      <c r="U1062" s="21">
        <v>2.0824</v>
      </c>
      <c r="V1062" s="21">
        <v>13.0533</v>
      </c>
      <c r="W1062" s="21">
        <v>26.8934</v>
      </c>
      <c r="X1062" s="21">
        <v>8.6905</v>
      </c>
      <c r="Y1062" s="21">
        <v>1.7594</v>
      </c>
      <c r="Z1062" s="21">
        <v>0.5953</v>
      </c>
      <c r="AA1062" s="16" t="s">
        <v>2611</v>
      </c>
      <c r="AB1062" s="22">
        <f>IFERROR(__xludf.DUMMYFUNCTION("IFERROR(GOOGLEFINANCE(B1062,""price""),"""")"),94.08)</f>
        <v>94.08</v>
      </c>
    </row>
    <row r="1063">
      <c r="A1063" s="7">
        <v>46072.86798766154</v>
      </c>
      <c r="B1063" s="8" t="s">
        <v>2676</v>
      </c>
      <c r="C1063" s="8" t="s">
        <v>2677</v>
      </c>
      <c r="D1063" s="9">
        <v>46075.0</v>
      </c>
      <c r="E1063" s="10">
        <v>29.72</v>
      </c>
      <c r="F1063" s="8" t="s">
        <v>93</v>
      </c>
      <c r="G1063" s="13">
        <v>12.9369</v>
      </c>
      <c r="H1063" s="13">
        <v>2.2973</v>
      </c>
      <c r="I1063" s="9">
        <v>46073.0</v>
      </c>
      <c r="J1063" s="10">
        <v>30.0</v>
      </c>
      <c r="K1063" s="8">
        <v>4262.0</v>
      </c>
      <c r="L1063" s="8" t="s">
        <v>2608</v>
      </c>
      <c r="M1063" s="11">
        <v>0.94</v>
      </c>
      <c r="N1063" s="8" t="s">
        <v>3694</v>
      </c>
      <c r="O1063" s="8">
        <v>6611.0</v>
      </c>
      <c r="P1063" s="11">
        <v>24.9061</v>
      </c>
      <c r="Q1063" s="8" t="s">
        <v>2679</v>
      </c>
      <c r="R1063" s="11">
        <v>-1.1311</v>
      </c>
      <c r="S1063" s="12">
        <v>1.201744E7</v>
      </c>
      <c r="T1063" s="12">
        <v>2.6060769886E10</v>
      </c>
      <c r="U1063" s="13">
        <v>0.7402</v>
      </c>
      <c r="V1063" s="13">
        <v>11.6787</v>
      </c>
      <c r="W1063" s="13">
        <v>28.7373</v>
      </c>
      <c r="X1063" s="13">
        <v>2.137</v>
      </c>
      <c r="Y1063" s="13">
        <v>0.2565</v>
      </c>
      <c r="Z1063" s="13">
        <v>0.1084</v>
      </c>
      <c r="AA1063" s="8" t="s">
        <v>2620</v>
      </c>
      <c r="AB1063" s="14">
        <f>IFERROR(__xludf.DUMMYFUNCTION("IFERROR(GOOGLEFINANCE(B1063,""price""),"""")"),27.5)</f>
        <v>27.5</v>
      </c>
    </row>
    <row r="1064">
      <c r="A1064" s="15">
        <v>46072.86798766154</v>
      </c>
      <c r="B1064" s="16" t="s">
        <v>2692</v>
      </c>
      <c r="C1064" s="16" t="s">
        <v>2693</v>
      </c>
      <c r="D1064" s="17">
        <v>46075.0</v>
      </c>
      <c r="E1064" s="18">
        <v>246.91</v>
      </c>
      <c r="F1064" s="16" t="s">
        <v>117</v>
      </c>
      <c r="G1064" s="21">
        <v>22.3533</v>
      </c>
      <c r="H1064" s="21">
        <v>11.0458</v>
      </c>
      <c r="I1064" s="17">
        <v>46073.0</v>
      </c>
      <c r="J1064" s="18">
        <v>245.0</v>
      </c>
      <c r="K1064" s="16">
        <v>3776.0</v>
      </c>
      <c r="L1064" s="16" t="s">
        <v>2608</v>
      </c>
      <c r="M1064" s="19">
        <v>0.77</v>
      </c>
      <c r="N1064" s="16" t="s">
        <v>3695</v>
      </c>
      <c r="O1064" s="16">
        <v>6600.0</v>
      </c>
      <c r="P1064" s="19">
        <v>43.4955</v>
      </c>
      <c r="Q1064" s="16" t="s">
        <v>2695</v>
      </c>
      <c r="R1064" s="19">
        <v>0.7837</v>
      </c>
      <c r="S1064" s="20">
        <v>7553934.0</v>
      </c>
      <c r="T1064" s="20">
        <v>5.95028157106E11</v>
      </c>
      <c r="U1064" s="21">
        <v>3.5734</v>
      </c>
      <c r="V1064" s="21">
        <v>35.0301</v>
      </c>
      <c r="W1064" s="21">
        <v>27.2081</v>
      </c>
      <c r="X1064" s="21">
        <v>6.046</v>
      </c>
      <c r="Y1064" s="21">
        <v>0.605</v>
      </c>
      <c r="Z1064" s="21">
        <v>1.0277</v>
      </c>
      <c r="AA1064" s="16" t="s">
        <v>2611</v>
      </c>
      <c r="AB1064" s="22">
        <f>IFERROR(__xludf.DUMMYFUNCTION("IFERROR(GOOGLEFINANCE(B1064,""price""),"""")"),238.46)</f>
        <v>238.46</v>
      </c>
    </row>
    <row r="1065">
      <c r="A1065" s="7">
        <v>46072.86798766154</v>
      </c>
      <c r="B1065" s="8" t="s">
        <v>3443</v>
      </c>
      <c r="C1065" s="8" t="s">
        <v>3444</v>
      </c>
      <c r="D1065" s="9">
        <v>46075.0</v>
      </c>
      <c r="E1065" s="10">
        <v>110.05</v>
      </c>
      <c r="F1065" s="8" t="s">
        <v>162</v>
      </c>
      <c r="G1065" s="13">
        <v>10.7559</v>
      </c>
      <c r="H1065" s="13">
        <v>10.2316</v>
      </c>
      <c r="I1065" s="9">
        <v>46073.0</v>
      </c>
      <c r="J1065" s="10">
        <v>110.0</v>
      </c>
      <c r="K1065" s="8">
        <v>4276.0</v>
      </c>
      <c r="L1065" s="8" t="s">
        <v>2608</v>
      </c>
      <c r="M1065" s="11">
        <v>0.05</v>
      </c>
      <c r="N1065" s="8" t="s">
        <v>3696</v>
      </c>
      <c r="O1065" s="8">
        <v>6286.0</v>
      </c>
      <c r="P1065" s="11">
        <v>16.3716</v>
      </c>
      <c r="Q1065" s="8" t="s">
        <v>3446</v>
      </c>
      <c r="R1065" s="11">
        <v>-5.8839</v>
      </c>
      <c r="S1065" s="12">
        <v>5147935.0</v>
      </c>
      <c r="T1065" s="12">
        <v>3.5593517805E10</v>
      </c>
      <c r="U1065" s="13">
        <v>5.4305</v>
      </c>
      <c r="V1065" s="13">
        <v>23.9868</v>
      </c>
      <c r="W1065" s="13">
        <v>8.4204</v>
      </c>
      <c r="X1065" s="13">
        <v>3.5189</v>
      </c>
      <c r="Y1065" s="13">
        <v>2.0309</v>
      </c>
      <c r="Z1065" s="13">
        <v>0.645</v>
      </c>
      <c r="AA1065" s="8" t="s">
        <v>2611</v>
      </c>
      <c r="AB1065" s="14">
        <f>IFERROR(__xludf.DUMMYFUNCTION("IFERROR(GOOGLEFINANCE(B1065,""price""),"""")"),96.4)</f>
        <v>96.4</v>
      </c>
    </row>
    <row r="1066">
      <c r="A1066" s="15">
        <v>46072.86798766154</v>
      </c>
      <c r="B1066" s="16" t="s">
        <v>3697</v>
      </c>
      <c r="C1066" s="16" t="s">
        <v>3698</v>
      </c>
      <c r="D1066" s="17">
        <v>46075.0</v>
      </c>
      <c r="E1066" s="18">
        <v>47.36</v>
      </c>
      <c r="F1066" s="16" t="s">
        <v>917</v>
      </c>
      <c r="G1066" s="21">
        <v>17.3169</v>
      </c>
      <c r="H1066" s="21">
        <v>2.7349</v>
      </c>
      <c r="I1066" s="17">
        <v>46073.0</v>
      </c>
      <c r="J1066" s="18">
        <v>47.0</v>
      </c>
      <c r="K1066" s="16">
        <v>4784.0</v>
      </c>
      <c r="L1066" s="16" t="s">
        <v>2608</v>
      </c>
      <c r="M1066" s="19">
        <v>0.76</v>
      </c>
      <c r="N1066" s="16" t="s">
        <v>3699</v>
      </c>
      <c r="O1066" s="16">
        <v>5935.0</v>
      </c>
      <c r="P1066" s="19">
        <v>26.2694</v>
      </c>
      <c r="Q1066" s="16" t="s">
        <v>3700</v>
      </c>
      <c r="R1066" s="19">
        <v>0.254</v>
      </c>
      <c r="S1066" s="20">
        <v>8858471.0</v>
      </c>
      <c r="T1066" s="20">
        <v>4.8444194222E10</v>
      </c>
      <c r="U1066" s="21">
        <v>1.0806</v>
      </c>
      <c r="V1066" s="21">
        <v>9.9356</v>
      </c>
      <c r="W1066" s="21">
        <v>21.2054</v>
      </c>
      <c r="X1066" s="21">
        <v>5.3367</v>
      </c>
      <c r="Y1066" s="21">
        <v>1.7554</v>
      </c>
      <c r="Z1066" s="21">
        <v>0.924</v>
      </c>
      <c r="AA1066" s="16" t="s">
        <v>2611</v>
      </c>
      <c r="AB1066" s="22">
        <f>IFERROR(__xludf.DUMMYFUNCTION("IFERROR(GOOGLEFINANCE(B1066,""price""),"""")"),48.57)</f>
        <v>48.57</v>
      </c>
    </row>
    <row r="1067">
      <c r="A1067" s="7">
        <v>46072.86798766154</v>
      </c>
      <c r="B1067" s="8" t="s">
        <v>2787</v>
      </c>
      <c r="C1067" s="8" t="s">
        <v>2788</v>
      </c>
      <c r="D1067" s="9">
        <v>46075.0</v>
      </c>
      <c r="E1067" s="10">
        <v>183.5</v>
      </c>
      <c r="F1067" s="8" t="s">
        <v>286</v>
      </c>
      <c r="G1067" s="13">
        <v>25.2605</v>
      </c>
      <c r="H1067" s="13">
        <v>7.2643</v>
      </c>
      <c r="I1067" s="9">
        <v>46073.0</v>
      </c>
      <c r="J1067" s="10">
        <v>180.0</v>
      </c>
      <c r="K1067" s="8">
        <v>3448.0</v>
      </c>
      <c r="L1067" s="8" t="s">
        <v>2608</v>
      </c>
      <c r="M1067" s="11">
        <v>1.91</v>
      </c>
      <c r="N1067" s="8" t="s">
        <v>3701</v>
      </c>
      <c r="O1067" s="8">
        <v>5169.0</v>
      </c>
      <c r="P1067" s="11">
        <v>30.1578</v>
      </c>
      <c r="Q1067" s="8" t="s">
        <v>2790</v>
      </c>
      <c r="R1067" s="11">
        <v>0.4544</v>
      </c>
      <c r="S1067" s="12">
        <v>3336733.0</v>
      </c>
      <c r="T1067" s="12">
        <v>2.85650697393E11</v>
      </c>
      <c r="U1067" s="13">
        <v>4.2265</v>
      </c>
      <c r="V1067" s="13"/>
      <c r="W1067" s="13">
        <v>35.6093</v>
      </c>
      <c r="X1067" s="13">
        <v>7.556</v>
      </c>
      <c r="Y1067" s="13"/>
      <c r="Z1067" s="13">
        <v>0.9582</v>
      </c>
      <c r="AA1067" s="8" t="s">
        <v>2611</v>
      </c>
      <c r="AB1067" s="14">
        <f>IFERROR(__xludf.DUMMYFUNCTION("IFERROR(GOOGLEFINANCE(B1067,""price""),"""")"),160.45)</f>
        <v>160.45</v>
      </c>
    </row>
    <row r="1068">
      <c r="A1068" s="15">
        <v>46072.86798766154</v>
      </c>
      <c r="B1068" s="16" t="s">
        <v>2775</v>
      </c>
      <c r="C1068" s="16" t="s">
        <v>2776</v>
      </c>
      <c r="D1068" s="17">
        <v>46075.0</v>
      </c>
      <c r="E1068" s="18">
        <v>57.89</v>
      </c>
      <c r="F1068" s="16" t="s">
        <v>93</v>
      </c>
      <c r="G1068" s="21">
        <v>12.5363</v>
      </c>
      <c r="H1068" s="21">
        <v>4.6178</v>
      </c>
      <c r="I1068" s="17">
        <v>46073.0</v>
      </c>
      <c r="J1068" s="18">
        <v>57.5</v>
      </c>
      <c r="K1068" s="16">
        <v>3097.0</v>
      </c>
      <c r="L1068" s="16" t="s">
        <v>2608</v>
      </c>
      <c r="M1068" s="19">
        <v>0.67</v>
      </c>
      <c r="N1068" s="16" t="s">
        <v>3702</v>
      </c>
      <c r="O1068" s="16">
        <v>4360.0</v>
      </c>
      <c r="P1068" s="19">
        <v>26.883</v>
      </c>
      <c r="Q1068" s="16" t="s">
        <v>2778</v>
      </c>
      <c r="R1068" s="19">
        <v>-1.4806</v>
      </c>
      <c r="S1068" s="20">
        <v>6914960.0</v>
      </c>
      <c r="T1068" s="20">
        <v>8.9986186438E10</v>
      </c>
      <c r="U1068" s="21">
        <v>1.3266</v>
      </c>
      <c r="V1068" s="21">
        <v>12.1773</v>
      </c>
      <c r="W1068" s="21">
        <v>23.9548</v>
      </c>
      <c r="X1068" s="21">
        <v>2.1447</v>
      </c>
      <c r="Y1068" s="21">
        <v>1.1953</v>
      </c>
      <c r="Z1068" s="21">
        <v>0.4632</v>
      </c>
      <c r="AA1068" s="16" t="s">
        <v>2611</v>
      </c>
      <c r="AB1068" s="22">
        <f>IFERROR(__xludf.DUMMYFUNCTION("IFERROR(GOOGLEFINANCE(B1068,""price""),"""")"),55.66)</f>
        <v>55.66</v>
      </c>
    </row>
    <row r="1069">
      <c r="A1069" s="7">
        <v>46072.86798766154</v>
      </c>
      <c r="B1069" s="8" t="s">
        <v>3237</v>
      </c>
      <c r="C1069" s="8" t="s">
        <v>3238</v>
      </c>
      <c r="D1069" s="9">
        <v>46075.0</v>
      </c>
      <c r="E1069" s="10">
        <v>327.11</v>
      </c>
      <c r="F1069" s="8" t="s">
        <v>149</v>
      </c>
      <c r="G1069" s="13">
        <v>27.3675</v>
      </c>
      <c r="H1069" s="13">
        <v>11.9525</v>
      </c>
      <c r="I1069" s="9">
        <v>46073.0</v>
      </c>
      <c r="J1069" s="10">
        <v>325.0</v>
      </c>
      <c r="K1069" s="8">
        <v>2128.0</v>
      </c>
      <c r="L1069" s="8" t="s">
        <v>2608</v>
      </c>
      <c r="M1069" s="11">
        <v>0.65</v>
      </c>
      <c r="N1069" s="8" t="s">
        <v>3703</v>
      </c>
      <c r="O1069" s="8">
        <v>4200.0</v>
      </c>
      <c r="P1069" s="11">
        <v>33.6782</v>
      </c>
      <c r="Q1069" s="8" t="s">
        <v>3240</v>
      </c>
      <c r="R1069" s="11">
        <v>-0.2379</v>
      </c>
      <c r="S1069" s="12">
        <v>4032263.0</v>
      </c>
      <c r="T1069" s="12">
        <v>2.32952822423E11</v>
      </c>
      <c r="U1069" s="13">
        <v>5.7755</v>
      </c>
      <c r="V1069" s="13"/>
      <c r="W1069" s="13">
        <v>46.1038</v>
      </c>
      <c r="X1069" s="13">
        <v>3.723</v>
      </c>
      <c r="Y1069" s="13"/>
      <c r="Z1069" s="13">
        <v>0.9546</v>
      </c>
      <c r="AA1069" s="8" t="s">
        <v>2611</v>
      </c>
      <c r="AB1069" s="14">
        <f>IFERROR(__xludf.DUMMYFUNCTION("IFERROR(GOOGLEFINANCE(B1069,""price""),"""")"),305.68)</f>
        <v>305.68</v>
      </c>
    </row>
    <row r="1070">
      <c r="A1070" s="15">
        <v>46072.86798766154</v>
      </c>
      <c r="B1070" s="16" t="s">
        <v>3542</v>
      </c>
      <c r="C1070" s="16" t="s">
        <v>3543</v>
      </c>
      <c r="D1070" s="17">
        <v>46075.0</v>
      </c>
      <c r="E1070" s="18">
        <v>151.3</v>
      </c>
      <c r="F1070" s="16" t="s">
        <v>308</v>
      </c>
      <c r="G1070" s="21">
        <v>36.952</v>
      </c>
      <c r="H1070" s="21">
        <v>4.0945</v>
      </c>
      <c r="I1070" s="17">
        <v>46073.0</v>
      </c>
      <c r="J1070" s="18">
        <v>152.5</v>
      </c>
      <c r="K1070" s="16">
        <v>2302.0</v>
      </c>
      <c r="L1070" s="16" t="s">
        <v>2608</v>
      </c>
      <c r="M1070" s="19">
        <v>0.79</v>
      </c>
      <c r="N1070" s="16" t="s">
        <v>3640</v>
      </c>
      <c r="O1070" s="16">
        <v>3975.0</v>
      </c>
      <c r="P1070" s="19">
        <v>21.8375</v>
      </c>
      <c r="Q1070" s="16" t="s">
        <v>3545</v>
      </c>
      <c r="R1070" s="19">
        <v>0.1059</v>
      </c>
      <c r="S1070" s="20">
        <v>2253974.0</v>
      </c>
      <c r="T1070" s="20">
        <v>8.5076301787E10</v>
      </c>
      <c r="U1070" s="21">
        <v>4.9042</v>
      </c>
      <c r="V1070" s="21">
        <v>11.3131</v>
      </c>
      <c r="W1070" s="21">
        <v>19.8768</v>
      </c>
      <c r="X1070" s="21">
        <v>3.607</v>
      </c>
      <c r="Y1070" s="21">
        <v>0.6933</v>
      </c>
      <c r="Z1070" s="21">
        <v>0.8406</v>
      </c>
      <c r="AA1070" s="16" t="s">
        <v>2620</v>
      </c>
      <c r="AB1070" s="22">
        <f>IFERROR(__xludf.DUMMYFUNCTION("IFERROR(GOOGLEFINANCE(B1070,""price""),"""")"),143.77)</f>
        <v>143.77</v>
      </c>
    </row>
    <row r="1071">
      <c r="A1071" s="7">
        <v>46072.86798766154</v>
      </c>
      <c r="B1071" s="8" t="s">
        <v>3022</v>
      </c>
      <c r="C1071" s="8" t="s">
        <v>3023</v>
      </c>
      <c r="D1071" s="9">
        <v>46075.0</v>
      </c>
      <c r="E1071" s="10">
        <v>760.53</v>
      </c>
      <c r="F1071" s="8" t="s">
        <v>102</v>
      </c>
      <c r="G1071" s="13">
        <v>40.3968</v>
      </c>
      <c r="H1071" s="13">
        <v>18.8265</v>
      </c>
      <c r="I1071" s="9">
        <v>46073.0</v>
      </c>
      <c r="J1071" s="10">
        <v>750.0</v>
      </c>
      <c r="K1071" s="8">
        <v>1593.0</v>
      </c>
      <c r="L1071" s="8" t="s">
        <v>2608</v>
      </c>
      <c r="M1071" s="11">
        <v>1.38</v>
      </c>
      <c r="N1071" s="8" t="s">
        <v>3704</v>
      </c>
      <c r="O1071" s="8">
        <v>2990.0</v>
      </c>
      <c r="P1071" s="11">
        <v>35.9586</v>
      </c>
      <c r="Q1071" s="8" t="s">
        <v>3025</v>
      </c>
      <c r="R1071" s="11">
        <v>1.1383</v>
      </c>
      <c r="S1071" s="12">
        <v>2908015.0</v>
      </c>
      <c r="T1071" s="12">
        <v>3.53864977183E11</v>
      </c>
      <c r="U1071" s="13">
        <v>24.745</v>
      </c>
      <c r="V1071" s="13">
        <v>43.5394</v>
      </c>
      <c r="W1071" s="13">
        <v>17.1611</v>
      </c>
      <c r="X1071" s="13">
        <v>4.2895</v>
      </c>
      <c r="Y1071" s="13">
        <v>2.0667</v>
      </c>
      <c r="Z1071" s="13">
        <v>1.4357</v>
      </c>
      <c r="AA1071" s="8" t="s">
        <v>2611</v>
      </c>
      <c r="AB1071" s="14">
        <f>IFERROR(__xludf.DUMMYFUNCTION("IFERROR(GOOGLEFINANCE(B1071,""price""),"""")"),790.66)</f>
        <v>790.66</v>
      </c>
    </row>
    <row r="1072">
      <c r="A1072" s="15">
        <v>46072.86798766154</v>
      </c>
      <c r="B1072" s="16" t="s">
        <v>3355</v>
      </c>
      <c r="C1072" s="16" t="s">
        <v>3356</v>
      </c>
      <c r="D1072" s="17">
        <v>46075.0</v>
      </c>
      <c r="E1072" s="18">
        <v>212.98</v>
      </c>
      <c r="F1072" s="16" t="s">
        <v>149</v>
      </c>
      <c r="G1072" s="21">
        <v>22.3198</v>
      </c>
      <c r="H1072" s="21">
        <v>9.5422</v>
      </c>
      <c r="I1072" s="17">
        <v>46073.0</v>
      </c>
      <c r="J1072" s="18">
        <v>210.0</v>
      </c>
      <c r="K1072" s="16">
        <v>2839.0</v>
      </c>
      <c r="L1072" s="16" t="s">
        <v>2608</v>
      </c>
      <c r="M1072" s="19">
        <v>1.4</v>
      </c>
      <c r="N1072" s="16" t="s">
        <v>3736</v>
      </c>
      <c r="O1072" s="16">
        <v>2839.0</v>
      </c>
      <c r="P1072" s="19">
        <v>30.036</v>
      </c>
      <c r="Q1072" s="16" t="s">
        <v>3358</v>
      </c>
      <c r="R1072" s="19">
        <v>-1.585</v>
      </c>
      <c r="S1072" s="20">
        <v>1321647.0</v>
      </c>
      <c r="T1072" s="20">
        <v>2.4522358244E10</v>
      </c>
      <c r="U1072" s="21">
        <v>5.601</v>
      </c>
      <c r="V1072" s="21">
        <v>54.1035</v>
      </c>
      <c r="W1072" s="21">
        <v>11.9278</v>
      </c>
      <c r="X1072" s="21">
        <v>8.6138</v>
      </c>
      <c r="Y1072" s="21">
        <v>3.9974</v>
      </c>
      <c r="Z1072" s="21">
        <v>0.3937</v>
      </c>
      <c r="AA1072" s="16" t="s">
        <v>2611</v>
      </c>
      <c r="AB1072" s="22">
        <f>IFERROR(__xludf.DUMMYFUNCTION("IFERROR(GOOGLEFINANCE(B1072,""price""),"""")"),192.39)</f>
        <v>192.39</v>
      </c>
    </row>
    <row r="1073">
      <c r="A1073" s="7">
        <v>46072.86798766154</v>
      </c>
      <c r="B1073" s="8" t="s">
        <v>2646</v>
      </c>
      <c r="C1073" s="8" t="s">
        <v>2647</v>
      </c>
      <c r="D1073" s="9">
        <v>46075.0</v>
      </c>
      <c r="E1073" s="10">
        <v>36.18</v>
      </c>
      <c r="F1073" s="8" t="s">
        <v>270</v>
      </c>
      <c r="G1073" s="13">
        <v>13.6246</v>
      </c>
      <c r="H1073" s="13">
        <v>2.6555</v>
      </c>
      <c r="I1073" s="9">
        <v>46073.0</v>
      </c>
      <c r="J1073" s="10">
        <v>36.0</v>
      </c>
      <c r="K1073" s="8">
        <v>2768.0</v>
      </c>
      <c r="L1073" s="8" t="s">
        <v>2627</v>
      </c>
      <c r="M1073" s="11">
        <v>0.5</v>
      </c>
      <c r="N1073" s="8" t="s">
        <v>3705</v>
      </c>
      <c r="O1073" s="8">
        <v>2768.0</v>
      </c>
      <c r="P1073" s="11">
        <v>42.5024</v>
      </c>
      <c r="Q1073" s="8" t="s">
        <v>2649</v>
      </c>
      <c r="R1073" s="11">
        <v>0.1939</v>
      </c>
      <c r="S1073" s="12">
        <v>3944617.0</v>
      </c>
      <c r="T1073" s="12">
        <v>7.8268956729E10</v>
      </c>
      <c r="U1073" s="13">
        <v>0.7121</v>
      </c>
      <c r="V1073" s="13"/>
      <c r="W1073" s="13">
        <v>13.037</v>
      </c>
      <c r="X1073" s="13">
        <v>-5.779</v>
      </c>
      <c r="Y1073" s="13"/>
      <c r="Z1073" s="13"/>
      <c r="AA1073" s="8" t="s">
        <v>2611</v>
      </c>
      <c r="AB1073" s="14">
        <f>IFERROR(__xludf.DUMMYFUNCTION("IFERROR(GOOGLEFINANCE(B1073,""price""),"""")"),37.35)</f>
        <v>37.35</v>
      </c>
    </row>
    <row r="1074">
      <c r="A1074" s="15">
        <v>46072.86798766154</v>
      </c>
      <c r="B1074" s="16" t="s">
        <v>2768</v>
      </c>
      <c r="C1074" s="16" t="s">
        <v>2769</v>
      </c>
      <c r="D1074" s="17">
        <v>46075.0</v>
      </c>
      <c r="E1074" s="18">
        <v>284.67</v>
      </c>
      <c r="F1074" s="16" t="s">
        <v>308</v>
      </c>
      <c r="G1074" s="21">
        <v>28.5793</v>
      </c>
      <c r="H1074" s="21">
        <v>9.9607</v>
      </c>
      <c r="I1074" s="17">
        <v>46073.0</v>
      </c>
      <c r="J1074" s="18">
        <v>290.0</v>
      </c>
      <c r="K1074" s="16">
        <v>1344.0</v>
      </c>
      <c r="L1074" s="16" t="s">
        <v>2608</v>
      </c>
      <c r="M1074" s="19">
        <v>1.87</v>
      </c>
      <c r="N1074" s="16" t="s">
        <v>3706</v>
      </c>
      <c r="O1074" s="16">
        <v>2668.0</v>
      </c>
      <c r="P1074" s="19">
        <v>37.0135</v>
      </c>
      <c r="Q1074" s="16" t="s">
        <v>2771</v>
      </c>
      <c r="R1074" s="19">
        <v>-4.0093</v>
      </c>
      <c r="S1074" s="20">
        <v>1.039975E7</v>
      </c>
      <c r="T1074" s="20">
        <v>9.6513927692E10</v>
      </c>
      <c r="U1074" s="21">
        <v>21.5755</v>
      </c>
      <c r="V1074" s="21">
        <v>41.2731</v>
      </c>
      <c r="W1074" s="21">
        <v>27.8834</v>
      </c>
      <c r="X1074" s="21">
        <v>-31.1967</v>
      </c>
      <c r="Y1074" s="21">
        <v>0.7076</v>
      </c>
      <c r="Z1074" s="21">
        <v>1.455</v>
      </c>
      <c r="AA1074" s="16" t="s">
        <v>2620</v>
      </c>
      <c r="AB1074" s="22">
        <f>IFERROR(__xludf.DUMMYFUNCTION("IFERROR(GOOGLEFINANCE(B1074,""price""),"""")"),343.43)</f>
        <v>343.43</v>
      </c>
    </row>
    <row r="1075">
      <c r="A1075" s="7">
        <v>46072.86798766154</v>
      </c>
      <c r="B1075" s="8" t="s">
        <v>3416</v>
      </c>
      <c r="C1075" s="8" t="s">
        <v>3417</v>
      </c>
      <c r="D1075" s="9">
        <v>46075.0</v>
      </c>
      <c r="E1075" s="10">
        <v>67.99</v>
      </c>
      <c r="F1075" s="8" t="s">
        <v>286</v>
      </c>
      <c r="G1075" s="13">
        <v>16.5157</v>
      </c>
      <c r="H1075" s="13">
        <v>4.1167</v>
      </c>
      <c r="I1075" s="9">
        <v>46073.0</v>
      </c>
      <c r="J1075" s="10">
        <v>68.0</v>
      </c>
      <c r="K1075" s="8">
        <v>1576.0</v>
      </c>
      <c r="L1075" s="8" t="s">
        <v>2608</v>
      </c>
      <c r="M1075" s="11">
        <v>0.01</v>
      </c>
      <c r="N1075" s="8" t="s">
        <v>3707</v>
      </c>
      <c r="O1075" s="8">
        <v>2586.0</v>
      </c>
      <c r="P1075" s="11">
        <v>27.9172</v>
      </c>
      <c r="Q1075" s="8" t="s">
        <v>3419</v>
      </c>
      <c r="R1075" s="11">
        <v>1.8272</v>
      </c>
      <c r="S1075" s="12">
        <v>7836672.0</v>
      </c>
      <c r="T1075" s="12">
        <v>1.14132870145E11</v>
      </c>
      <c r="U1075" s="13">
        <v>1.4118</v>
      </c>
      <c r="V1075" s="13"/>
      <c r="W1075" s="13">
        <v>63.7221</v>
      </c>
      <c r="X1075" s="13">
        <v>-1.4919</v>
      </c>
      <c r="Y1075" s="13"/>
      <c r="Z1075" s="13">
        <v>0.648</v>
      </c>
      <c r="AA1075" s="8" t="s">
        <v>2620</v>
      </c>
      <c r="AB1075" s="14">
        <f>IFERROR(__xludf.DUMMYFUNCTION("IFERROR(GOOGLEFINANCE(B1075,""price""),"""")"),67.38)</f>
        <v>67.38</v>
      </c>
    </row>
    <row r="1076">
      <c r="A1076" s="15">
        <v>46072.86798766154</v>
      </c>
      <c r="B1076" s="16" t="s">
        <v>2973</v>
      </c>
      <c r="C1076" s="16" t="s">
        <v>2974</v>
      </c>
      <c r="D1076" s="17">
        <v>46075.0</v>
      </c>
      <c r="E1076" s="18">
        <v>51.78</v>
      </c>
      <c r="F1076" s="16" t="s">
        <v>93</v>
      </c>
      <c r="G1076" s="21">
        <v>13.5642</v>
      </c>
      <c r="H1076" s="21">
        <v>3.8174</v>
      </c>
      <c r="I1076" s="17">
        <v>46073.0</v>
      </c>
      <c r="J1076" s="18">
        <v>52.5</v>
      </c>
      <c r="K1076" s="16">
        <v>2561.0</v>
      </c>
      <c r="L1076" s="16" t="s">
        <v>2608</v>
      </c>
      <c r="M1076" s="19">
        <v>1.39</v>
      </c>
      <c r="N1076" s="16" t="s">
        <v>3594</v>
      </c>
      <c r="O1076" s="16">
        <v>2561.0</v>
      </c>
      <c r="P1076" s="19">
        <v>19.7302</v>
      </c>
      <c r="Q1076" s="16" t="s">
        <v>2976</v>
      </c>
      <c r="R1076" s="19">
        <v>-1.7271</v>
      </c>
      <c r="S1076" s="20">
        <v>9333719.0</v>
      </c>
      <c r="T1076" s="20">
        <v>6.6239367329E10</v>
      </c>
      <c r="U1076" s="21">
        <v>1.2598</v>
      </c>
      <c r="V1076" s="21">
        <v>8.2363</v>
      </c>
      <c r="W1076" s="21">
        <v>21.1616</v>
      </c>
      <c r="X1076" s="21">
        <v>24.2886</v>
      </c>
      <c r="Y1076" s="21">
        <v>1.0708</v>
      </c>
      <c r="Z1076" s="21">
        <v>0.3413</v>
      </c>
      <c r="AA1076" s="16" t="s">
        <v>2620</v>
      </c>
      <c r="AB1076" s="22">
        <f>IFERROR(__xludf.DUMMYFUNCTION("IFERROR(GOOGLEFINANCE(B1076,""price""),"""")"),49.6)</f>
        <v>49.6</v>
      </c>
    </row>
    <row r="1077">
      <c r="A1077" s="7">
        <v>46072.86798766154</v>
      </c>
      <c r="B1077" s="8" t="s">
        <v>2505</v>
      </c>
      <c r="C1077" s="8" t="s">
        <v>2506</v>
      </c>
      <c r="D1077" s="9">
        <v>46075.0</v>
      </c>
      <c r="E1077" s="10">
        <v>180.04</v>
      </c>
      <c r="F1077" s="8" t="s">
        <v>335</v>
      </c>
      <c r="G1077" s="13">
        <v>23.8856</v>
      </c>
      <c r="H1077" s="13">
        <v>7.5376</v>
      </c>
      <c r="I1077" s="9">
        <v>46073.0</v>
      </c>
      <c r="J1077" s="10">
        <v>180.0</v>
      </c>
      <c r="K1077" s="8">
        <v>1546.0</v>
      </c>
      <c r="L1077" s="8" t="s">
        <v>2627</v>
      </c>
      <c r="M1077" s="11">
        <v>0.02</v>
      </c>
      <c r="N1077" s="8" t="s">
        <v>3708</v>
      </c>
      <c r="O1077" s="8">
        <v>2553.0</v>
      </c>
      <c r="P1077" s="11">
        <v>20.3538</v>
      </c>
      <c r="Q1077" s="8" t="s">
        <v>2507</v>
      </c>
      <c r="R1077" s="11">
        <v>-2.4385</v>
      </c>
      <c r="S1077" s="12">
        <v>1987140.0</v>
      </c>
      <c r="T1077" s="12">
        <v>4.1203711258E10</v>
      </c>
      <c r="U1077" s="13">
        <v>5.69</v>
      </c>
      <c r="V1077" s="13">
        <v>8.4356</v>
      </c>
      <c r="W1077" s="13">
        <v>8.2261</v>
      </c>
      <c r="X1077" s="13">
        <v>5.7251</v>
      </c>
      <c r="Y1077" s="13">
        <v>0.3401</v>
      </c>
      <c r="Z1077" s="13">
        <v>2.9383</v>
      </c>
      <c r="AA1077" s="8" t="s">
        <v>2611</v>
      </c>
      <c r="AB1077" s="14">
        <f>IFERROR(__xludf.DUMMYFUNCTION("IFERROR(GOOGLEFINANCE(B1077,""price""),"""")"),186.12)</f>
        <v>186.12</v>
      </c>
    </row>
    <row r="1078">
      <c r="A1078" s="15">
        <v>46072.86798766154</v>
      </c>
      <c r="B1078" s="16" t="s">
        <v>2344</v>
      </c>
      <c r="C1078" s="16" t="s">
        <v>2345</v>
      </c>
      <c r="D1078" s="17">
        <v>46075.0</v>
      </c>
      <c r="E1078" s="18">
        <v>72.17</v>
      </c>
      <c r="F1078" s="16" t="s">
        <v>270</v>
      </c>
      <c r="G1078" s="21"/>
      <c r="H1078" s="21"/>
      <c r="I1078" s="17">
        <v>46073.0</v>
      </c>
      <c r="J1078" s="18">
        <v>73.0</v>
      </c>
      <c r="K1078" s="16">
        <v>1518.0</v>
      </c>
      <c r="L1078" s="16" t="s">
        <v>2608</v>
      </c>
      <c r="M1078" s="19">
        <v>1.15</v>
      </c>
      <c r="N1078" s="16" t="s">
        <v>3709</v>
      </c>
      <c r="O1078" s="16">
        <v>2552.0</v>
      </c>
      <c r="P1078" s="19">
        <v>44.9426</v>
      </c>
      <c r="Q1078" s="16" t="s">
        <v>2346</v>
      </c>
      <c r="R1078" s="19">
        <v>0.0416</v>
      </c>
      <c r="S1078" s="20">
        <v>6657595.0</v>
      </c>
      <c r="T1078" s="20">
        <v>8.8135365252E10</v>
      </c>
      <c r="U1078" s="21">
        <v>1.778</v>
      </c>
      <c r="V1078" s="21">
        <v>20.7424</v>
      </c>
      <c r="W1078" s="21">
        <v>36.7664</v>
      </c>
      <c r="X1078" s="21">
        <v>10.611</v>
      </c>
      <c r="Y1078" s="21">
        <v>2.2926</v>
      </c>
      <c r="Z1078" s="21">
        <v>0.5313</v>
      </c>
      <c r="AA1078" s="16" t="s">
        <v>2620</v>
      </c>
      <c r="AB1078" s="22">
        <f>IFERROR(__xludf.DUMMYFUNCTION("IFERROR(GOOGLEFINANCE(B1078,""price""),"""")"),72.74)</f>
        <v>72.74</v>
      </c>
    </row>
    <row r="1079">
      <c r="A1079" s="7">
        <v>46072.86798766154</v>
      </c>
      <c r="B1079" s="8" t="s">
        <v>2680</v>
      </c>
      <c r="C1079" s="8" t="s">
        <v>2681</v>
      </c>
      <c r="D1079" s="9">
        <v>46075.0</v>
      </c>
      <c r="E1079" s="10">
        <v>199.24</v>
      </c>
      <c r="F1079" s="8" t="s">
        <v>245</v>
      </c>
      <c r="G1079" s="13">
        <v>26.0516</v>
      </c>
      <c r="H1079" s="13">
        <v>7.6479</v>
      </c>
      <c r="I1079" s="9">
        <v>46073.0</v>
      </c>
      <c r="J1079" s="10">
        <v>200.0</v>
      </c>
      <c r="K1079" s="8">
        <v>1409.0</v>
      </c>
      <c r="L1079" s="8" t="s">
        <v>2608</v>
      </c>
      <c r="M1079" s="11">
        <v>0.38</v>
      </c>
      <c r="N1079" s="8" t="s">
        <v>3710</v>
      </c>
      <c r="O1079" s="8">
        <v>2456.0</v>
      </c>
      <c r="P1079" s="11">
        <v>38.0021</v>
      </c>
      <c r="Q1079" s="8" t="s">
        <v>2683</v>
      </c>
      <c r="R1079" s="11">
        <v>-0.1103</v>
      </c>
      <c r="S1079" s="12">
        <v>2187636.0</v>
      </c>
      <c r="T1079" s="12">
        <v>6.0770099106E10</v>
      </c>
      <c r="U1079" s="13">
        <v>6.361</v>
      </c>
      <c r="V1079" s="13">
        <v>9.7104</v>
      </c>
      <c r="W1079" s="13">
        <v>3.6059</v>
      </c>
      <c r="X1079" s="13">
        <v>-5.4437</v>
      </c>
      <c r="Y1079" s="13">
        <v>0.4476</v>
      </c>
      <c r="Z1079" s="13">
        <v>1.645</v>
      </c>
      <c r="AA1079" s="8" t="s">
        <v>2620</v>
      </c>
      <c r="AB1079" s="14">
        <f>IFERROR(__xludf.DUMMYFUNCTION("IFERROR(GOOGLEFINANCE(B1079,""price""),"""")"),238.82)</f>
        <v>238.82</v>
      </c>
    </row>
    <row r="1080">
      <c r="A1080" s="15">
        <v>46072.86798766154</v>
      </c>
      <c r="B1080" s="16" t="s">
        <v>2696</v>
      </c>
      <c r="C1080" s="16" t="s">
        <v>2697</v>
      </c>
      <c r="D1080" s="17">
        <v>46075.0</v>
      </c>
      <c r="E1080" s="18">
        <v>185.19</v>
      </c>
      <c r="F1080" s="16" t="s">
        <v>162</v>
      </c>
      <c r="G1080" s="21">
        <v>38.317</v>
      </c>
      <c r="H1080" s="21">
        <v>4.8331</v>
      </c>
      <c r="I1080" s="17">
        <v>46073.0</v>
      </c>
      <c r="J1080" s="18">
        <v>185.0</v>
      </c>
      <c r="K1080" s="16">
        <v>2428.0</v>
      </c>
      <c r="L1080" s="16" t="s">
        <v>2608</v>
      </c>
      <c r="M1080" s="19">
        <v>0.1</v>
      </c>
      <c r="N1080" s="16" t="s">
        <v>3711</v>
      </c>
      <c r="O1080" s="16">
        <v>2428.0</v>
      </c>
      <c r="P1080" s="19">
        <v>45.6021</v>
      </c>
      <c r="Q1080" s="16" t="s">
        <v>2699</v>
      </c>
      <c r="R1080" s="19">
        <v>-0.3605</v>
      </c>
      <c r="S1080" s="20">
        <v>2469954.0</v>
      </c>
      <c r="T1080" s="20">
        <v>2.1967392386E10</v>
      </c>
      <c r="U1080" s="21">
        <v>7.995</v>
      </c>
      <c r="V1080" s="21">
        <v>32.9109</v>
      </c>
      <c r="W1080" s="21">
        <v>4.9029</v>
      </c>
      <c r="X1080" s="21">
        <v>-8.4186</v>
      </c>
      <c r="Y1080" s="21">
        <v>0.756</v>
      </c>
      <c r="Z1080" s="21">
        <v>1.5278</v>
      </c>
      <c r="AA1080" s="16" t="s">
        <v>2611</v>
      </c>
      <c r="AB1080" s="22">
        <f>IFERROR(__xludf.DUMMYFUNCTION("IFERROR(GOOGLEFINANCE(B1080,""price""),"""")"),163.49)</f>
        <v>163.49</v>
      </c>
    </row>
    <row r="1081">
      <c r="A1081" s="7">
        <v>46072.86798766154</v>
      </c>
      <c r="B1081" s="8" t="s">
        <v>2843</v>
      </c>
      <c r="C1081" s="8" t="s">
        <v>2844</v>
      </c>
      <c r="D1081" s="9">
        <v>46075.0</v>
      </c>
      <c r="E1081" s="10">
        <v>205.41</v>
      </c>
      <c r="F1081" s="8" t="s">
        <v>308</v>
      </c>
      <c r="G1081" s="13">
        <v>41.3933</v>
      </c>
      <c r="H1081" s="13">
        <v>4.9624</v>
      </c>
      <c r="I1081" s="9">
        <v>46073.0</v>
      </c>
      <c r="J1081" s="10">
        <v>205.0</v>
      </c>
      <c r="K1081" s="8">
        <v>2062.0</v>
      </c>
      <c r="L1081" s="8" t="s">
        <v>2608</v>
      </c>
      <c r="M1081" s="11">
        <v>0.2</v>
      </c>
      <c r="N1081" s="8" t="s">
        <v>3737</v>
      </c>
      <c r="O1081" s="8">
        <v>2062.0</v>
      </c>
      <c r="P1081" s="11">
        <v>35.0979</v>
      </c>
      <c r="Q1081" s="8" t="s">
        <v>2846</v>
      </c>
      <c r="R1081" s="11">
        <v>0.293</v>
      </c>
      <c r="S1081" s="12">
        <v>6128377.0</v>
      </c>
      <c r="T1081" s="12">
        <v>2.75719292148E11</v>
      </c>
      <c r="U1081" s="13">
        <v>4.8585</v>
      </c>
      <c r="V1081" s="13">
        <v>10.7368</v>
      </c>
      <c r="W1081" s="13">
        <v>10.0301</v>
      </c>
      <c r="X1081" s="13">
        <v>9.7414</v>
      </c>
      <c r="Y1081" s="13">
        <v>0.6124</v>
      </c>
      <c r="Z1081" s="13">
        <v>0.9804</v>
      </c>
      <c r="AA1081" s="8" t="s">
        <v>2611</v>
      </c>
      <c r="AB1081" s="14">
        <f>IFERROR(__xludf.DUMMYFUNCTION("IFERROR(GOOGLEFINANCE(B1081,""price""),"""")"),201.56)</f>
        <v>201.56</v>
      </c>
    </row>
    <row r="1082">
      <c r="A1082" s="15">
        <v>46072.86798766154</v>
      </c>
      <c r="B1082" s="16" t="s">
        <v>3713</v>
      </c>
      <c r="C1082" s="16" t="s">
        <v>3714</v>
      </c>
      <c r="D1082" s="17">
        <v>46075.0</v>
      </c>
      <c r="E1082" s="18">
        <v>157.46</v>
      </c>
      <c r="F1082" s="16" t="s">
        <v>149</v>
      </c>
      <c r="G1082" s="21">
        <v>114.9343</v>
      </c>
      <c r="H1082" s="21">
        <v>1.37</v>
      </c>
      <c r="I1082" s="17">
        <v>46073.0</v>
      </c>
      <c r="J1082" s="18">
        <v>155.0</v>
      </c>
      <c r="K1082" s="16">
        <v>2056.0</v>
      </c>
      <c r="L1082" s="16" t="s">
        <v>2608</v>
      </c>
      <c r="M1082" s="19">
        <v>1.56</v>
      </c>
      <c r="N1082" s="16" t="s">
        <v>3715</v>
      </c>
      <c r="O1082" s="16">
        <v>2056.0</v>
      </c>
      <c r="P1082" s="19">
        <v>21.2051</v>
      </c>
      <c r="Q1082" s="16" t="s">
        <v>3716</v>
      </c>
      <c r="R1082" s="19">
        <v>1.0784</v>
      </c>
      <c r="S1082" s="20">
        <v>3758128.0</v>
      </c>
      <c r="T1082" s="20">
        <v>3.6563667238E10</v>
      </c>
      <c r="U1082" s="21">
        <v>5.0357</v>
      </c>
      <c r="V1082" s="21">
        <v>79.6258</v>
      </c>
      <c r="W1082" s="21">
        <v>6.0286</v>
      </c>
      <c r="X1082" s="21">
        <v>5.3898</v>
      </c>
      <c r="Y1082" s="21">
        <v>18.0088</v>
      </c>
      <c r="Z1082" s="21">
        <v>0.9212</v>
      </c>
      <c r="AA1082" s="16" t="s">
        <v>2611</v>
      </c>
      <c r="AB1082" s="22">
        <f>IFERROR(__xludf.DUMMYFUNCTION("IFERROR(GOOGLEFINANCE(B1082,""price""),"""")"),160.59)</f>
        <v>160.59</v>
      </c>
    </row>
    <row r="1083">
      <c r="A1083" s="7">
        <v>46072.86798766154</v>
      </c>
      <c r="B1083" s="8" t="s">
        <v>2366</v>
      </c>
      <c r="C1083" s="8" t="s">
        <v>2367</v>
      </c>
      <c r="D1083" s="9">
        <v>46075.0</v>
      </c>
      <c r="E1083" s="10">
        <v>261.88</v>
      </c>
      <c r="F1083" s="8" t="s">
        <v>102</v>
      </c>
      <c r="G1083" s="13">
        <v>38.3449</v>
      </c>
      <c r="H1083" s="13">
        <v>6.8296</v>
      </c>
      <c r="I1083" s="9">
        <v>46073.0</v>
      </c>
      <c r="J1083" s="10">
        <v>260.0</v>
      </c>
      <c r="K1083" s="8">
        <v>2016.0</v>
      </c>
      <c r="L1083" s="8" t="s">
        <v>2608</v>
      </c>
      <c r="M1083" s="11">
        <v>0.72</v>
      </c>
      <c r="N1083" s="8" t="s">
        <v>3738</v>
      </c>
      <c r="O1083" s="8">
        <v>2016.0</v>
      </c>
      <c r="P1083" s="11">
        <v>45.641</v>
      </c>
      <c r="Q1083" s="8" t="s">
        <v>2368</v>
      </c>
      <c r="R1083" s="11">
        <v>0.9833</v>
      </c>
      <c r="S1083" s="12">
        <v>1213433.0</v>
      </c>
      <c r="T1083" s="12">
        <v>4.4655037152E10</v>
      </c>
      <c r="U1083" s="13">
        <v>5.7633</v>
      </c>
      <c r="V1083" s="13">
        <v>11.0112</v>
      </c>
      <c r="W1083" s="13">
        <v>16.3428</v>
      </c>
      <c r="X1083" s="13">
        <v>7.5094</v>
      </c>
      <c r="Y1083" s="13">
        <v>0.5325</v>
      </c>
      <c r="Z1083" s="13">
        <v>1.1056</v>
      </c>
      <c r="AA1083" s="8" t="s">
        <v>2611</v>
      </c>
      <c r="AB1083" s="14">
        <f>IFERROR(__xludf.DUMMYFUNCTION("IFERROR(GOOGLEFINANCE(B1083,""price""),"""")"),267.28)</f>
        <v>267.28</v>
      </c>
    </row>
    <row r="1084">
      <c r="A1084" s="15">
        <v>46072.86798766154</v>
      </c>
      <c r="B1084" s="16" t="s">
        <v>3516</v>
      </c>
      <c r="C1084" s="16" t="s">
        <v>3517</v>
      </c>
      <c r="D1084" s="17">
        <v>46075.0</v>
      </c>
      <c r="E1084" s="18">
        <v>278.18</v>
      </c>
      <c r="F1084" s="16" t="s">
        <v>137</v>
      </c>
      <c r="G1084" s="21">
        <v>23.0616</v>
      </c>
      <c r="H1084" s="21">
        <v>12.0625</v>
      </c>
      <c r="I1084" s="17">
        <v>46073.0</v>
      </c>
      <c r="J1084" s="18">
        <v>280.0</v>
      </c>
      <c r="K1084" s="16">
        <v>1934.0</v>
      </c>
      <c r="L1084" s="16" t="s">
        <v>2608</v>
      </c>
      <c r="M1084" s="19">
        <v>0.65</v>
      </c>
      <c r="N1084" s="16" t="s">
        <v>3717</v>
      </c>
      <c r="O1084" s="16">
        <v>1934.0</v>
      </c>
      <c r="P1084" s="19">
        <v>27.0763</v>
      </c>
      <c r="Q1084" s="16" t="s">
        <v>3519</v>
      </c>
      <c r="R1084" s="19">
        <v>-1.4001</v>
      </c>
      <c r="S1084" s="20">
        <v>1997055.0</v>
      </c>
      <c r="T1084" s="20">
        <v>1.56045467608E11</v>
      </c>
      <c r="U1084" s="21">
        <v>6.7868</v>
      </c>
      <c r="V1084" s="21"/>
      <c r="W1084" s="21">
        <v>12.099</v>
      </c>
      <c r="X1084" s="21">
        <v>0.6366</v>
      </c>
      <c r="Y1084" s="21"/>
      <c r="Z1084" s="21">
        <v>1.0395</v>
      </c>
      <c r="AA1084" s="16" t="s">
        <v>2620</v>
      </c>
      <c r="AB1084" s="22">
        <f>IFERROR(__xludf.DUMMYFUNCTION("IFERROR(GOOGLEFINANCE(B1084,""price""),"""")"),244.22)</f>
        <v>244.22</v>
      </c>
    </row>
    <row r="1085">
      <c r="A1085" s="7">
        <v>46072.86798766154</v>
      </c>
      <c r="B1085" s="8" t="s">
        <v>2663</v>
      </c>
      <c r="C1085" s="8" t="s">
        <v>2664</v>
      </c>
      <c r="D1085" s="9">
        <v>46075.0</v>
      </c>
      <c r="E1085" s="10">
        <v>125.4</v>
      </c>
      <c r="F1085" s="8" t="s">
        <v>335</v>
      </c>
      <c r="G1085" s="13">
        <v>19.4935</v>
      </c>
      <c r="H1085" s="13">
        <v>6.4329</v>
      </c>
      <c r="I1085" s="9">
        <v>46073.0</v>
      </c>
      <c r="J1085" s="10">
        <v>125.0</v>
      </c>
      <c r="K1085" s="8">
        <v>1882.0</v>
      </c>
      <c r="L1085" s="8" t="s">
        <v>2608</v>
      </c>
      <c r="M1085" s="11">
        <v>0.32</v>
      </c>
      <c r="N1085" s="8" t="s">
        <v>3718</v>
      </c>
      <c r="O1085" s="8">
        <v>1882.0</v>
      </c>
      <c r="P1085" s="11">
        <v>19.6414</v>
      </c>
      <c r="Q1085" s="8" t="s">
        <v>2666</v>
      </c>
      <c r="R1085" s="11">
        <v>0.5694</v>
      </c>
      <c r="S1085" s="12">
        <v>7854158.0</v>
      </c>
      <c r="T1085" s="12">
        <v>1.36844375287E11</v>
      </c>
      <c r="U1085" s="13">
        <v>5.7529</v>
      </c>
      <c r="V1085" s="13">
        <v>22.8383</v>
      </c>
      <c r="W1085" s="13">
        <v>42.3718</v>
      </c>
      <c r="X1085" s="13">
        <v>26.2476</v>
      </c>
      <c r="Y1085" s="13">
        <v>0.1701</v>
      </c>
      <c r="Z1085" s="13">
        <v>2.0393</v>
      </c>
      <c r="AA1085" s="8" t="s">
        <v>2611</v>
      </c>
      <c r="AB1085" s="14">
        <f>IFERROR(__xludf.DUMMYFUNCTION("IFERROR(GOOGLEFINANCE(B1085,""price""),"""")"),120.9)</f>
        <v>120.9</v>
      </c>
    </row>
    <row r="1086">
      <c r="A1086" s="15">
        <v>46072.86798766154</v>
      </c>
      <c r="B1086" s="16" t="s">
        <v>3538</v>
      </c>
      <c r="C1086" s="16" t="s">
        <v>3539</v>
      </c>
      <c r="D1086" s="17">
        <v>46075.0</v>
      </c>
      <c r="E1086" s="18">
        <v>194.07</v>
      </c>
      <c r="F1086" s="16" t="s">
        <v>335</v>
      </c>
      <c r="G1086" s="21">
        <v>42.0848</v>
      </c>
      <c r="H1086" s="21">
        <v>4.6114</v>
      </c>
      <c r="I1086" s="17">
        <v>46073.0</v>
      </c>
      <c r="J1086" s="18">
        <v>197.5</v>
      </c>
      <c r="K1086" s="16">
        <v>1721.0</v>
      </c>
      <c r="L1086" s="16" t="s">
        <v>2627</v>
      </c>
      <c r="M1086" s="19">
        <v>1.77</v>
      </c>
      <c r="N1086" s="16" t="s">
        <v>3739</v>
      </c>
      <c r="O1086" s="16">
        <v>1721.0</v>
      </c>
      <c r="P1086" s="19">
        <v>34.1907</v>
      </c>
      <c r="Q1086" s="16" t="s">
        <v>3541</v>
      </c>
      <c r="R1086" s="19">
        <v>0.7319</v>
      </c>
      <c r="S1086" s="20">
        <v>1285470.0</v>
      </c>
      <c r="T1086" s="20">
        <v>1.60313928732E11</v>
      </c>
      <c r="U1086" s="21">
        <v>10.7398</v>
      </c>
      <c r="V1086" s="21">
        <v>39.4499</v>
      </c>
      <c r="W1086" s="21">
        <v>50.2534</v>
      </c>
      <c r="X1086" s="21">
        <v>12.6994</v>
      </c>
      <c r="Y1086" s="21">
        <v>0.7113</v>
      </c>
      <c r="Z1086" s="21">
        <v>4.5168</v>
      </c>
      <c r="AA1086" s="16" t="s">
        <v>2620</v>
      </c>
      <c r="AB1086" s="22">
        <f>IFERROR(__xludf.DUMMYFUNCTION("IFERROR(GOOGLEFINANCE(B1086,""price""),"""")"),192.56)</f>
        <v>192.56</v>
      </c>
    </row>
    <row r="1087">
      <c r="A1087" s="7">
        <v>46072.86798766154</v>
      </c>
      <c r="B1087" s="8" t="s">
        <v>2133</v>
      </c>
      <c r="C1087" s="8" t="s">
        <v>2134</v>
      </c>
      <c r="D1087" s="9">
        <v>46075.0</v>
      </c>
      <c r="E1087" s="10">
        <v>383.14</v>
      </c>
      <c r="F1087" s="8" t="s">
        <v>162</v>
      </c>
      <c r="G1087" s="13">
        <v>21.1348</v>
      </c>
      <c r="H1087" s="13">
        <v>18.1284</v>
      </c>
      <c r="I1087" s="9">
        <v>46073.0</v>
      </c>
      <c r="J1087" s="10">
        <v>390.0</v>
      </c>
      <c r="K1087" s="8">
        <v>1714.0</v>
      </c>
      <c r="L1087" s="8" t="s">
        <v>2608</v>
      </c>
      <c r="M1087" s="11">
        <v>1.79</v>
      </c>
      <c r="N1087" s="8" t="s">
        <v>3740</v>
      </c>
      <c r="O1087" s="8">
        <v>1714.0</v>
      </c>
      <c r="P1087" s="11">
        <v>51.7701</v>
      </c>
      <c r="Q1087" s="8" t="s">
        <v>2135</v>
      </c>
      <c r="R1087" s="11">
        <v>0.0157</v>
      </c>
      <c r="S1087" s="12">
        <v>1198953.0</v>
      </c>
      <c r="T1087" s="12">
        <v>9.0084953329E10</v>
      </c>
      <c r="U1087" s="13">
        <v>8.8364</v>
      </c>
      <c r="V1087" s="13">
        <v>15.8681</v>
      </c>
      <c r="W1087" s="13">
        <v>7.0782</v>
      </c>
      <c r="X1087" s="13">
        <v>3.0895</v>
      </c>
      <c r="Y1087" s="13">
        <v>1.3421</v>
      </c>
      <c r="Z1087" s="13">
        <v>1.2738</v>
      </c>
      <c r="AA1087" s="8" t="s">
        <v>2620</v>
      </c>
      <c r="AB1087" s="14">
        <f>IFERROR(__xludf.DUMMYFUNCTION("IFERROR(GOOGLEFINANCE(B1087,""price""),"""")"),374.08)</f>
        <v>374.08</v>
      </c>
    </row>
    <row r="1088">
      <c r="A1088" s="15">
        <v>46072.86798766154</v>
      </c>
      <c r="B1088" s="16" t="s">
        <v>2726</v>
      </c>
      <c r="C1088" s="16" t="s">
        <v>2727</v>
      </c>
      <c r="D1088" s="17">
        <v>46075.0</v>
      </c>
      <c r="E1088" s="18">
        <v>81.99</v>
      </c>
      <c r="F1088" s="16" t="s">
        <v>286</v>
      </c>
      <c r="G1088" s="21">
        <v>46.6754</v>
      </c>
      <c r="H1088" s="21">
        <v>1.7566</v>
      </c>
      <c r="I1088" s="17">
        <v>46073.0</v>
      </c>
      <c r="J1088" s="18">
        <v>82.5</v>
      </c>
      <c r="K1088" s="16">
        <v>1674.0</v>
      </c>
      <c r="L1088" s="16" t="s">
        <v>2608</v>
      </c>
      <c r="M1088" s="19">
        <v>0.62</v>
      </c>
      <c r="N1088" s="16" t="s">
        <v>3720</v>
      </c>
      <c r="O1088" s="16">
        <v>1674.0</v>
      </c>
      <c r="P1088" s="19">
        <v>34.2402</v>
      </c>
      <c r="Q1088" s="16" t="s">
        <v>2729</v>
      </c>
      <c r="R1088" s="19">
        <v>-1.4306</v>
      </c>
      <c r="S1088" s="20">
        <v>5740033.0</v>
      </c>
      <c r="T1088" s="20">
        <v>8.0105966776E10</v>
      </c>
      <c r="U1088" s="21">
        <v>1.5242</v>
      </c>
      <c r="V1088" s="21">
        <v>25.538</v>
      </c>
      <c r="W1088" s="21">
        <v>29.9505</v>
      </c>
      <c r="X1088" s="21">
        <v>7.618</v>
      </c>
      <c r="Y1088" s="21">
        <v>0.0</v>
      </c>
      <c r="Z1088" s="21">
        <v>3.1855</v>
      </c>
      <c r="AA1088" s="16" t="s">
        <v>2620</v>
      </c>
      <c r="AB1088" s="22">
        <f>IFERROR(__xludf.DUMMYFUNCTION("IFERROR(GOOGLEFINANCE(B1088,""price""),"""")"),75.72)</f>
        <v>75.72</v>
      </c>
    </row>
    <row r="1089">
      <c r="A1089" s="7">
        <v>46072.86798766154</v>
      </c>
      <c r="B1089" s="8" t="s">
        <v>3291</v>
      </c>
      <c r="C1089" s="8" t="s">
        <v>3292</v>
      </c>
      <c r="D1089" s="9">
        <v>46075.0</v>
      </c>
      <c r="E1089" s="10">
        <v>233.42</v>
      </c>
      <c r="F1089" s="8" t="s">
        <v>270</v>
      </c>
      <c r="G1089" s="13">
        <v>34.8461</v>
      </c>
      <c r="H1089" s="13">
        <v>6.6986</v>
      </c>
      <c r="I1089" s="9">
        <v>46073.0</v>
      </c>
      <c r="J1089" s="10">
        <v>230.0</v>
      </c>
      <c r="K1089" s="8">
        <v>1630.0</v>
      </c>
      <c r="L1089" s="8" t="s">
        <v>2608</v>
      </c>
      <c r="M1089" s="11">
        <v>1.47</v>
      </c>
      <c r="N1089" s="8" t="s">
        <v>3721</v>
      </c>
      <c r="O1089" s="8">
        <v>1630.0</v>
      </c>
      <c r="P1089" s="11">
        <v>22.0938</v>
      </c>
      <c r="Q1089" s="8" t="s">
        <v>3294</v>
      </c>
      <c r="R1089" s="11">
        <v>-0.2734</v>
      </c>
      <c r="S1089" s="12">
        <v>2343414.0</v>
      </c>
      <c r="T1089" s="12">
        <v>9.4146637932E10</v>
      </c>
      <c r="U1089" s="13">
        <v>4.7448</v>
      </c>
      <c r="V1089" s="13">
        <v>29.6897</v>
      </c>
      <c r="W1089" s="13">
        <v>18.2788</v>
      </c>
      <c r="X1089" s="13">
        <v>14.2365</v>
      </c>
      <c r="Y1089" s="13">
        <v>2.3941</v>
      </c>
      <c r="Z1089" s="13">
        <v>0.8888</v>
      </c>
      <c r="AA1089" s="8" t="s">
        <v>2611</v>
      </c>
      <c r="AB1089" s="14">
        <f>IFERROR(__xludf.DUMMYFUNCTION("IFERROR(GOOGLEFINANCE(B1089,""price""),"""")"),229.45)</f>
        <v>229.45</v>
      </c>
    </row>
    <row r="1090">
      <c r="A1090" s="15">
        <v>46072.86798766154</v>
      </c>
      <c r="B1090" s="16" t="s">
        <v>2722</v>
      </c>
      <c r="C1090" s="16" t="s">
        <v>2723</v>
      </c>
      <c r="D1090" s="17">
        <v>46075.0</v>
      </c>
      <c r="E1090" s="18">
        <v>95.1</v>
      </c>
      <c r="F1090" s="16" t="s">
        <v>308</v>
      </c>
      <c r="G1090" s="21">
        <v>4362.3853</v>
      </c>
      <c r="H1090" s="21">
        <v>0.0218</v>
      </c>
      <c r="I1090" s="17">
        <v>46073.0</v>
      </c>
      <c r="J1090" s="18">
        <v>95.0</v>
      </c>
      <c r="K1090" s="16">
        <v>1564.0</v>
      </c>
      <c r="L1090" s="16" t="s">
        <v>2608</v>
      </c>
      <c r="M1090" s="19">
        <v>0.11</v>
      </c>
      <c r="N1090" s="16" t="s">
        <v>3722</v>
      </c>
      <c r="O1090" s="16">
        <v>1564.0</v>
      </c>
      <c r="P1090" s="19">
        <v>34.76</v>
      </c>
      <c r="Q1090" s="16" t="s">
        <v>2725</v>
      </c>
      <c r="R1090" s="19">
        <v>-2.1907</v>
      </c>
      <c r="S1090" s="20">
        <v>1594854.0</v>
      </c>
      <c r="T1090" s="20">
        <v>1.3008368936E10</v>
      </c>
      <c r="U1090" s="21">
        <v>5.1167</v>
      </c>
      <c r="V1090" s="21">
        <v>0.4328</v>
      </c>
      <c r="W1090" s="21">
        <v>2.9194</v>
      </c>
      <c r="X1090" s="21">
        <v>2.721</v>
      </c>
      <c r="Y1090" s="21">
        <v>0.059</v>
      </c>
      <c r="Z1090" s="21">
        <v>3.0922</v>
      </c>
      <c r="AA1090" s="16" t="s">
        <v>2611</v>
      </c>
      <c r="AB1090" s="22">
        <f>IFERROR(__xludf.DUMMYFUNCTION("IFERROR(GOOGLEFINANCE(B1090,""price""),"""")"),106.1)</f>
        <v>106.1</v>
      </c>
    </row>
    <row r="1091">
      <c r="A1091" s="7">
        <v>46072.86798766154</v>
      </c>
      <c r="B1091" s="8" t="s">
        <v>3134</v>
      </c>
      <c r="C1091" s="8" t="s">
        <v>3135</v>
      </c>
      <c r="D1091" s="9">
        <v>46075.0</v>
      </c>
      <c r="E1091" s="10">
        <v>140.31</v>
      </c>
      <c r="F1091" s="8" t="s">
        <v>93</v>
      </c>
      <c r="G1091" s="13">
        <v>10.5155</v>
      </c>
      <c r="H1091" s="13">
        <v>13.3432</v>
      </c>
      <c r="I1091" s="9">
        <v>46073.0</v>
      </c>
      <c r="J1091" s="10">
        <v>140.0</v>
      </c>
      <c r="K1091" s="8">
        <v>1544.0</v>
      </c>
      <c r="L1091" s="8" t="s">
        <v>2608</v>
      </c>
      <c r="M1091" s="11">
        <v>0.22</v>
      </c>
      <c r="N1091" s="8" t="s">
        <v>3741</v>
      </c>
      <c r="O1091" s="8">
        <v>1544.0</v>
      </c>
      <c r="P1091" s="11">
        <v>27.6578</v>
      </c>
      <c r="Q1091" s="8" t="s">
        <v>3137</v>
      </c>
      <c r="R1091" s="11">
        <v>-0.6725</v>
      </c>
      <c r="S1091" s="12">
        <v>1147772.0</v>
      </c>
      <c r="T1091" s="12">
        <v>3.909741766E10</v>
      </c>
      <c r="U1091" s="13">
        <v>2.6951</v>
      </c>
      <c r="V1091" s="13">
        <v>21.6564</v>
      </c>
      <c r="W1091" s="13">
        <v>17.4023</v>
      </c>
      <c r="X1091" s="13">
        <v>6.8061</v>
      </c>
      <c r="Y1091" s="13">
        <v>0.2303</v>
      </c>
      <c r="Z1091" s="13">
        <v>0.2897</v>
      </c>
      <c r="AA1091" s="8" t="s">
        <v>2611</v>
      </c>
      <c r="AB1091" s="14">
        <f>IFERROR(__xludf.DUMMYFUNCTION("IFERROR(GOOGLEFINANCE(B1091,""price""),"""")"),137.23)</f>
        <v>137.23</v>
      </c>
    </row>
    <row r="1092">
      <c r="A1092" s="15">
        <v>46072.86798766154</v>
      </c>
      <c r="B1092" s="16" t="s">
        <v>3531</v>
      </c>
      <c r="C1092" s="16" t="s">
        <v>3532</v>
      </c>
      <c r="D1092" s="17">
        <v>46075.0</v>
      </c>
      <c r="E1092" s="18">
        <v>262.97</v>
      </c>
      <c r="F1092" s="16" t="s">
        <v>162</v>
      </c>
      <c r="G1092" s="21">
        <v>21.9447</v>
      </c>
      <c r="H1092" s="21">
        <v>11.9833</v>
      </c>
      <c r="I1092" s="17">
        <v>46073.0</v>
      </c>
      <c r="J1092" s="18">
        <v>260.0</v>
      </c>
      <c r="K1092" s="16">
        <v>1447.0</v>
      </c>
      <c r="L1092" s="16" t="s">
        <v>2608</v>
      </c>
      <c r="M1092" s="19">
        <v>1.13</v>
      </c>
      <c r="N1092" s="16" t="s">
        <v>3723</v>
      </c>
      <c r="O1092" s="16">
        <v>1447.0</v>
      </c>
      <c r="P1092" s="19">
        <v>40.0836</v>
      </c>
      <c r="Q1092" s="16" t="s">
        <v>3534</v>
      </c>
      <c r="R1092" s="19">
        <v>-0.766</v>
      </c>
      <c r="S1092" s="20">
        <v>3243252.0</v>
      </c>
      <c r="T1092" s="20">
        <v>1.56044141312E11</v>
      </c>
      <c r="U1092" s="21">
        <v>4.9775</v>
      </c>
      <c r="V1092" s="21">
        <v>40.3767</v>
      </c>
      <c r="W1092" s="21">
        <v>40.0408</v>
      </c>
      <c r="X1092" s="21">
        <v>1.0722</v>
      </c>
      <c r="Y1092" s="21">
        <v>1.7773</v>
      </c>
      <c r="Z1092" s="21">
        <v>0.9085</v>
      </c>
      <c r="AA1092" s="16" t="s">
        <v>2611</v>
      </c>
      <c r="AB1092" s="22">
        <f>IFERROR(__xludf.DUMMYFUNCTION("IFERROR(GOOGLEFINANCE(B1092,""price""),"""")"),250.51)</f>
        <v>250.51</v>
      </c>
    </row>
    <row r="1093">
      <c r="A1093" s="7">
        <v>46072.86798766154</v>
      </c>
      <c r="B1093" s="8" t="s">
        <v>3208</v>
      </c>
      <c r="C1093" s="8" t="s">
        <v>3209</v>
      </c>
      <c r="D1093" s="9">
        <v>46075.0</v>
      </c>
      <c r="E1093" s="10">
        <v>200.38</v>
      </c>
      <c r="F1093" s="8" t="s">
        <v>137</v>
      </c>
      <c r="G1093" s="13">
        <v>31.3133</v>
      </c>
      <c r="H1093" s="13">
        <v>6.3992</v>
      </c>
      <c r="I1093" s="9">
        <v>46073.0</v>
      </c>
      <c r="J1093" s="10">
        <v>200.0</v>
      </c>
      <c r="K1093" s="8">
        <v>1423.0</v>
      </c>
      <c r="L1093" s="8" t="s">
        <v>2608</v>
      </c>
      <c r="M1093" s="11">
        <v>0.19</v>
      </c>
      <c r="N1093" s="8" t="s">
        <v>3742</v>
      </c>
      <c r="O1093" s="8">
        <v>1423.0</v>
      </c>
      <c r="P1093" s="11">
        <v>35.5296</v>
      </c>
      <c r="Q1093" s="8" t="s">
        <v>3211</v>
      </c>
      <c r="R1093" s="11">
        <v>0.0</v>
      </c>
      <c r="S1093" s="12">
        <v>1574624.0</v>
      </c>
      <c r="T1093" s="12">
        <v>6.4811899917E10</v>
      </c>
      <c r="U1093" s="13">
        <v>3.4126</v>
      </c>
      <c r="V1093" s="13">
        <v>37.4252</v>
      </c>
      <c r="W1093" s="13">
        <v>11.9137</v>
      </c>
      <c r="X1093" s="13">
        <v>3.7096</v>
      </c>
      <c r="Y1093" s="13">
        <v>0.8818</v>
      </c>
      <c r="Z1093" s="13">
        <v>1.5199</v>
      </c>
      <c r="AA1093" s="8" t="s">
        <v>2611</v>
      </c>
      <c r="AB1093" s="14">
        <f>IFERROR(__xludf.DUMMYFUNCTION("IFERROR(GOOGLEFINANCE(B1093,""price""),"""")"),221.16)</f>
        <v>221.16</v>
      </c>
    </row>
    <row r="1094">
      <c r="A1094" s="15">
        <v>46072.86798766154</v>
      </c>
      <c r="B1094" s="16" t="s">
        <v>3511</v>
      </c>
      <c r="C1094" s="16" t="s">
        <v>3512</v>
      </c>
      <c r="D1094" s="17">
        <v>46075.0</v>
      </c>
      <c r="E1094" s="18">
        <v>112.76</v>
      </c>
      <c r="F1094" s="16" t="s">
        <v>93</v>
      </c>
      <c r="G1094" s="21">
        <v>16.3745</v>
      </c>
      <c r="H1094" s="21">
        <v>6.8863</v>
      </c>
      <c r="I1094" s="17">
        <v>46073.0</v>
      </c>
      <c r="J1094" s="18">
        <v>115.0</v>
      </c>
      <c r="K1094" s="16">
        <v>1367.0</v>
      </c>
      <c r="L1094" s="16" t="s">
        <v>2608</v>
      </c>
      <c r="M1094" s="19">
        <v>1.99</v>
      </c>
      <c r="N1094" s="16" t="s">
        <v>3743</v>
      </c>
      <c r="O1094" s="16">
        <v>1367.0</v>
      </c>
      <c r="P1094" s="19">
        <v>18.8038</v>
      </c>
      <c r="Q1094" s="16" t="s">
        <v>3514</v>
      </c>
      <c r="R1094" s="19">
        <v>-0.7569</v>
      </c>
      <c r="S1094" s="20">
        <v>2336778.0</v>
      </c>
      <c r="T1094" s="20">
        <v>5.9099083845E10</v>
      </c>
      <c r="U1094" s="21">
        <v>2.475</v>
      </c>
      <c r="V1094" s="21">
        <v>15.3345</v>
      </c>
      <c r="W1094" s="21">
        <v>27.5608</v>
      </c>
      <c r="X1094" s="21">
        <v>-9.4737</v>
      </c>
      <c r="Y1094" s="21">
        <v>0.3919</v>
      </c>
      <c r="Z1094" s="21">
        <v>0.1099</v>
      </c>
      <c r="AA1094" s="16" t="s">
        <v>2620</v>
      </c>
      <c r="AB1094" s="22">
        <f>IFERROR(__xludf.DUMMYFUNCTION("IFERROR(GOOGLEFINANCE(B1094,""price""),"""")"),110.7)</f>
        <v>110.7</v>
      </c>
    </row>
    <row r="1095">
      <c r="A1095" s="7">
        <v>46072.86798766154</v>
      </c>
      <c r="B1095" s="8" t="s">
        <v>2521</v>
      </c>
      <c r="C1095" s="8" t="s">
        <v>2522</v>
      </c>
      <c r="D1095" s="9">
        <v>46075.0</v>
      </c>
      <c r="E1095" s="10">
        <v>345.3</v>
      </c>
      <c r="F1095" s="8" t="s">
        <v>308</v>
      </c>
      <c r="G1095" s="13">
        <v>63.0754</v>
      </c>
      <c r="H1095" s="13">
        <v>5.4744</v>
      </c>
      <c r="I1095" s="9">
        <v>46073.0</v>
      </c>
      <c r="J1095" s="10">
        <v>340.0</v>
      </c>
      <c r="K1095" s="8">
        <v>1261.0</v>
      </c>
      <c r="L1095" s="8" t="s">
        <v>2608</v>
      </c>
      <c r="M1095" s="11">
        <v>1.53</v>
      </c>
      <c r="N1095" s="8" t="s">
        <v>3724</v>
      </c>
      <c r="O1095" s="8">
        <v>1261.0</v>
      </c>
      <c r="P1095" s="11">
        <v>49.1959</v>
      </c>
      <c r="Q1095" s="8" t="s">
        <v>2523</v>
      </c>
      <c r="R1095" s="11">
        <v>-0.3089</v>
      </c>
      <c r="S1095" s="12">
        <v>5101152.0</v>
      </c>
      <c r="T1095" s="12">
        <v>1.68723453572E11</v>
      </c>
      <c r="U1095" s="13">
        <v>10.3865</v>
      </c>
      <c r="V1095" s="13">
        <v>7.8622</v>
      </c>
      <c r="W1095" s="13">
        <v>29.7854</v>
      </c>
      <c r="X1095" s="13">
        <v>25.9077</v>
      </c>
      <c r="Y1095" s="13">
        <v>0.257</v>
      </c>
      <c r="Z1095" s="13">
        <v>1.7555</v>
      </c>
      <c r="AA1095" s="8" t="s">
        <v>2611</v>
      </c>
      <c r="AB1095" s="14">
        <f>IFERROR(__xludf.DUMMYFUNCTION("IFERROR(GOOGLEFINANCE(B1095,""price""),"""")"),350.14)</f>
        <v>350.14</v>
      </c>
    </row>
    <row r="1096">
      <c r="A1096" s="15">
        <v>46072.86798766154</v>
      </c>
      <c r="B1096" s="16" t="s">
        <v>3141</v>
      </c>
      <c r="C1096" s="16" t="s">
        <v>3142</v>
      </c>
      <c r="D1096" s="17">
        <v>46075.0</v>
      </c>
      <c r="E1096" s="18">
        <v>329.16</v>
      </c>
      <c r="F1096" s="16" t="s">
        <v>93</v>
      </c>
      <c r="G1096" s="21">
        <v>12.7971</v>
      </c>
      <c r="H1096" s="21">
        <v>25.7215</v>
      </c>
      <c r="I1096" s="17">
        <v>46073.0</v>
      </c>
      <c r="J1096" s="18">
        <v>325.0</v>
      </c>
      <c r="K1096" s="16">
        <v>1232.0</v>
      </c>
      <c r="L1096" s="16" t="s">
        <v>2608</v>
      </c>
      <c r="M1096" s="19">
        <v>1.26</v>
      </c>
      <c r="N1096" s="16" t="s">
        <v>3665</v>
      </c>
      <c r="O1096" s="16">
        <v>1232.0</v>
      </c>
      <c r="P1096" s="19">
        <v>28.8679</v>
      </c>
      <c r="Q1096" s="16" t="s">
        <v>3144</v>
      </c>
      <c r="R1096" s="19">
        <v>-0.0395</v>
      </c>
      <c r="S1096" s="20">
        <v>1339253.0</v>
      </c>
      <c r="T1096" s="20">
        <v>1.29541198608E11</v>
      </c>
      <c r="U1096" s="21">
        <v>6.8055</v>
      </c>
      <c r="V1096" s="21">
        <v>14.9661</v>
      </c>
      <c r="W1096" s="21">
        <v>21.2322</v>
      </c>
      <c r="X1096" s="21">
        <v>6.9142</v>
      </c>
      <c r="Y1096" s="21"/>
      <c r="Z1096" s="21">
        <v>0.2721</v>
      </c>
      <c r="AA1096" s="16" t="s">
        <v>2611</v>
      </c>
      <c r="AB1096" s="22">
        <f>IFERROR(__xludf.DUMMYFUNCTION("IFERROR(GOOGLEFINANCE(B1096,""price""),"""")"),327.91)</f>
        <v>327.91</v>
      </c>
    </row>
    <row r="1097">
      <c r="A1097" s="7">
        <v>46072.86798766154</v>
      </c>
      <c r="B1097" s="8" t="s">
        <v>3049</v>
      </c>
      <c r="C1097" s="8" t="s">
        <v>3050</v>
      </c>
      <c r="D1097" s="9">
        <v>46075.0</v>
      </c>
      <c r="E1097" s="10">
        <v>73.99</v>
      </c>
      <c r="F1097" s="8" t="s">
        <v>93</v>
      </c>
      <c r="G1097" s="13">
        <v>33.463</v>
      </c>
      <c r="H1097" s="13">
        <v>2.2111</v>
      </c>
      <c r="I1097" s="9">
        <v>46073.0</v>
      </c>
      <c r="J1097" s="10">
        <v>75.0</v>
      </c>
      <c r="K1097" s="8">
        <v>1226.0</v>
      </c>
      <c r="L1097" s="8" t="s">
        <v>2627</v>
      </c>
      <c r="M1097" s="11">
        <v>1.37</v>
      </c>
      <c r="N1097" s="8" t="s">
        <v>3725</v>
      </c>
      <c r="O1097" s="8">
        <v>1226.0</v>
      </c>
      <c r="P1097" s="11">
        <v>19.955</v>
      </c>
      <c r="Q1097" s="8" t="s">
        <v>3052</v>
      </c>
      <c r="R1097" s="11">
        <v>-1.215</v>
      </c>
      <c r="S1097" s="12">
        <v>2459499.0</v>
      </c>
      <c r="T1097" s="12">
        <v>1.25492117934E11</v>
      </c>
      <c r="U1097" s="13">
        <v>3.0803</v>
      </c>
      <c r="V1097" s="13">
        <v>20.4086</v>
      </c>
      <c r="W1097" s="13">
        <v>86.2403</v>
      </c>
      <c r="X1097" s="13">
        <v>11.0531</v>
      </c>
      <c r="Y1097" s="13">
        <v>4.6187</v>
      </c>
      <c r="Z1097" s="13">
        <v>1.2729</v>
      </c>
      <c r="AA1097" s="8" t="s">
        <v>2620</v>
      </c>
      <c r="AB1097" s="14">
        <f>IFERROR(__xludf.DUMMYFUNCTION("IFERROR(GOOGLEFINANCE(B1097,""price""),"""")"),71.21)</f>
        <v>71.21</v>
      </c>
    </row>
    <row r="1098">
      <c r="A1098" s="15">
        <v>46072.86798766154</v>
      </c>
      <c r="B1098" s="16" t="s">
        <v>3744</v>
      </c>
      <c r="C1098" s="16" t="s">
        <v>3745</v>
      </c>
      <c r="D1098" s="17">
        <v>46075.0</v>
      </c>
      <c r="E1098" s="18">
        <v>37.68</v>
      </c>
      <c r="F1098" s="16" t="s">
        <v>112</v>
      </c>
      <c r="G1098" s="21">
        <v>52.6919</v>
      </c>
      <c r="H1098" s="21">
        <v>0.7151</v>
      </c>
      <c r="I1098" s="17">
        <v>46073.0</v>
      </c>
      <c r="J1098" s="18">
        <v>38.0</v>
      </c>
      <c r="K1098" s="16">
        <v>1220.0</v>
      </c>
      <c r="L1098" s="16" t="s">
        <v>2608</v>
      </c>
      <c r="M1098" s="19">
        <v>0.85</v>
      </c>
      <c r="N1098" s="16" t="s">
        <v>3746</v>
      </c>
      <c r="O1098" s="16">
        <v>1220.0</v>
      </c>
      <c r="P1098" s="19">
        <v>16.1067</v>
      </c>
      <c r="Q1098" s="16" t="s">
        <v>3747</v>
      </c>
      <c r="R1098" s="19">
        <v>-0.3175</v>
      </c>
      <c r="S1098" s="20">
        <v>1032656.0</v>
      </c>
      <c r="T1098" s="20">
        <v>2.027143828E9</v>
      </c>
      <c r="U1098" s="21">
        <v>1.2522</v>
      </c>
      <c r="V1098" s="21">
        <v>12.3777</v>
      </c>
      <c r="W1098" s="21">
        <v>20.7609</v>
      </c>
      <c r="X1098" s="21">
        <v>9.2961</v>
      </c>
      <c r="Y1098" s="21">
        <v>0.7359</v>
      </c>
      <c r="Z1098" s="21">
        <v>1.8374</v>
      </c>
      <c r="AA1098" s="16" t="s">
        <v>2620</v>
      </c>
      <c r="AB1098" s="22">
        <f>IFERROR(__xludf.DUMMYFUNCTION("IFERROR(GOOGLEFINANCE(B1098,""price""),"""")"),37.84)</f>
        <v>37.84</v>
      </c>
    </row>
    <row r="1099">
      <c r="A1099" s="7">
        <v>46072.86798766154</v>
      </c>
      <c r="B1099" s="8" t="s">
        <v>2710</v>
      </c>
      <c r="C1099" s="8" t="s">
        <v>2711</v>
      </c>
      <c r="D1099" s="9">
        <v>46075.0</v>
      </c>
      <c r="E1099" s="10">
        <v>128.42</v>
      </c>
      <c r="F1099" s="8" t="s">
        <v>917</v>
      </c>
      <c r="G1099" s="13">
        <v>19.2826</v>
      </c>
      <c r="H1099" s="13">
        <v>6.6599</v>
      </c>
      <c r="I1099" s="9">
        <v>46073.0</v>
      </c>
      <c r="J1099" s="10">
        <v>130.0</v>
      </c>
      <c r="K1099" s="8">
        <v>1212.0</v>
      </c>
      <c r="L1099" s="8" t="s">
        <v>2627</v>
      </c>
      <c r="M1099" s="11">
        <v>1.23</v>
      </c>
      <c r="N1099" s="8" t="s">
        <v>3726</v>
      </c>
      <c r="O1099" s="8">
        <v>1212.0</v>
      </c>
      <c r="P1099" s="11">
        <v>36.7957</v>
      </c>
      <c r="Q1099" s="8" t="s">
        <v>2713</v>
      </c>
      <c r="R1099" s="11">
        <v>0.9036</v>
      </c>
      <c r="S1099" s="12">
        <v>2556314.0</v>
      </c>
      <c r="T1099" s="12">
        <v>6.9457433441E10</v>
      </c>
      <c r="U1099" s="13">
        <v>2.5615</v>
      </c>
      <c r="V1099" s="13">
        <v>12.3274</v>
      </c>
      <c r="W1099" s="13">
        <v>25.0742</v>
      </c>
      <c r="X1099" s="13">
        <v>10.4587</v>
      </c>
      <c r="Y1099" s="13">
        <v>1.5949</v>
      </c>
      <c r="Z1099" s="13">
        <v>0.4546</v>
      </c>
      <c r="AA1099" s="8" t="s">
        <v>2620</v>
      </c>
      <c r="AB1099" s="14">
        <f>IFERROR(__xludf.DUMMYFUNCTION("IFERROR(GOOGLEFINANCE(B1099,""price""),"""")"),136.3)</f>
        <v>136.3</v>
      </c>
    </row>
    <row r="1100">
      <c r="A1100" s="15">
        <v>46072.86798766154</v>
      </c>
      <c r="B1100" s="16" t="s">
        <v>1626</v>
      </c>
      <c r="C1100" s="16" t="s">
        <v>1627</v>
      </c>
      <c r="D1100" s="17">
        <v>46075.0</v>
      </c>
      <c r="E1100" s="18">
        <v>45.82</v>
      </c>
      <c r="F1100" s="16" t="s">
        <v>917</v>
      </c>
      <c r="G1100" s="21">
        <v>23.4589</v>
      </c>
      <c r="H1100" s="21">
        <v>1.9532</v>
      </c>
      <c r="I1100" s="17">
        <v>46073.0</v>
      </c>
      <c r="J1100" s="18">
        <v>45.0</v>
      </c>
      <c r="K1100" s="16">
        <v>1128.0</v>
      </c>
      <c r="L1100" s="16" t="s">
        <v>2608</v>
      </c>
      <c r="M1100" s="19">
        <v>1.79</v>
      </c>
      <c r="N1100" s="16" t="s">
        <v>3727</v>
      </c>
      <c r="O1100" s="16">
        <v>1128.0</v>
      </c>
      <c r="P1100" s="19">
        <v>29.5935</v>
      </c>
      <c r="Q1100" s="16" t="s">
        <v>1628</v>
      </c>
      <c r="R1100" s="19">
        <v>1.1479</v>
      </c>
      <c r="S1100" s="20">
        <v>2873082.0</v>
      </c>
      <c r="T1100" s="20">
        <v>2.1926388202E10</v>
      </c>
      <c r="U1100" s="21">
        <v>0.8583</v>
      </c>
      <c r="V1100" s="21">
        <v>10.2226</v>
      </c>
      <c r="W1100" s="21">
        <v>27.6399</v>
      </c>
      <c r="X1100" s="21">
        <v>21.7613</v>
      </c>
      <c r="Y1100" s="21">
        <v>1.7185</v>
      </c>
      <c r="Z1100" s="21">
        <v>0.6876</v>
      </c>
      <c r="AA1100" s="16" t="s">
        <v>2611</v>
      </c>
      <c r="AB1100" s="22">
        <f>IFERROR(__xludf.DUMMYFUNCTION("IFERROR(GOOGLEFINANCE(B1100,""price""),"""")"),48.05)</f>
        <v>48.05</v>
      </c>
    </row>
    <row r="1101">
      <c r="A1101" s="7">
        <v>46072.86798766154</v>
      </c>
      <c r="B1101" s="8" t="s">
        <v>3558</v>
      </c>
      <c r="C1101" s="8" t="s">
        <v>3559</v>
      </c>
      <c r="D1101" s="9">
        <v>46075.0</v>
      </c>
      <c r="E1101" s="10">
        <v>240.77</v>
      </c>
      <c r="F1101" s="8" t="s">
        <v>308</v>
      </c>
      <c r="G1101" s="13">
        <v>30.1264</v>
      </c>
      <c r="H1101" s="13">
        <v>7.992</v>
      </c>
      <c r="I1101" s="9">
        <v>46073.0</v>
      </c>
      <c r="J1101" s="10">
        <v>237.5</v>
      </c>
      <c r="K1101" s="8">
        <v>1086.0</v>
      </c>
      <c r="L1101" s="8" t="s">
        <v>2627</v>
      </c>
      <c r="M1101" s="11">
        <v>1.36</v>
      </c>
      <c r="N1101" s="8" t="s">
        <v>3671</v>
      </c>
      <c r="O1101" s="8">
        <v>1086.0</v>
      </c>
      <c r="P1101" s="11">
        <v>53.3502</v>
      </c>
      <c r="Q1101" s="8" t="s">
        <v>3561</v>
      </c>
      <c r="R1101" s="11">
        <v>-0.1534</v>
      </c>
      <c r="S1101" s="12">
        <v>2360052.0</v>
      </c>
      <c r="T1101" s="12">
        <v>1.53051628074E11</v>
      </c>
      <c r="U1101" s="13">
        <v>4.6065</v>
      </c>
      <c r="V1101" s="13">
        <v>31.7068</v>
      </c>
      <c r="W1101" s="13">
        <v>19.7843</v>
      </c>
      <c r="X1101" s="13">
        <v>4.7901</v>
      </c>
      <c r="Y1101" s="13">
        <v>2.5578</v>
      </c>
      <c r="Z1101" s="13">
        <v>1.2978</v>
      </c>
      <c r="AA1101" s="8" t="s">
        <v>2611</v>
      </c>
      <c r="AB1101" s="14">
        <f>IFERROR(__xludf.DUMMYFUNCTION("IFERROR(GOOGLEFINANCE(B1101,""price""),"""")"),235.06)</f>
        <v>235.06</v>
      </c>
    </row>
    <row r="1102">
      <c r="A1102" s="15">
        <v>46072.86798766154</v>
      </c>
      <c r="B1102" s="16" t="s">
        <v>3728</v>
      </c>
      <c r="C1102" s="16" t="s">
        <v>3729</v>
      </c>
      <c r="D1102" s="17">
        <v>46075.0</v>
      </c>
      <c r="E1102" s="18">
        <v>310.35</v>
      </c>
      <c r="F1102" s="16" t="s">
        <v>149</v>
      </c>
      <c r="G1102" s="21">
        <v>19.9518</v>
      </c>
      <c r="H1102" s="21">
        <v>15.555</v>
      </c>
      <c r="I1102" s="17">
        <v>46073.0</v>
      </c>
      <c r="J1102" s="18">
        <v>310.0</v>
      </c>
      <c r="K1102" s="16">
        <v>1086.0</v>
      </c>
      <c r="L1102" s="16" t="s">
        <v>2627</v>
      </c>
      <c r="M1102" s="19">
        <v>0.11</v>
      </c>
      <c r="N1102" s="16" t="s">
        <v>3730</v>
      </c>
      <c r="O1102" s="16">
        <v>1086.0</v>
      </c>
      <c r="P1102" s="19">
        <v>28.5594</v>
      </c>
      <c r="Q1102" s="16" t="s">
        <v>3731</v>
      </c>
      <c r="R1102" s="19">
        <v>-2.6567</v>
      </c>
      <c r="S1102" s="20">
        <v>1766022.0</v>
      </c>
      <c r="T1102" s="20">
        <v>8.3958466137E10</v>
      </c>
      <c r="U1102" s="21">
        <v>13.9159</v>
      </c>
      <c r="V1102" s="21">
        <v>48.5</v>
      </c>
      <c r="W1102" s="21">
        <v>27.5551</v>
      </c>
      <c r="X1102" s="21">
        <v>8.7959</v>
      </c>
      <c r="Y1102" s="21">
        <v>2.1954</v>
      </c>
      <c r="Z1102" s="21">
        <v>0.1834</v>
      </c>
      <c r="AA1102" s="16" t="s">
        <v>2611</v>
      </c>
      <c r="AB1102" s="22">
        <f>IFERROR(__xludf.DUMMYFUNCTION("IFERROR(GOOGLEFINANCE(B1102,""price""),"""")"),276.94)</f>
        <v>276.94</v>
      </c>
    </row>
    <row r="1103">
      <c r="A1103" s="7">
        <v>46072.86798766154</v>
      </c>
      <c r="B1103" s="8" t="s">
        <v>2528</v>
      </c>
      <c r="C1103" s="8" t="s">
        <v>2529</v>
      </c>
      <c r="D1103" s="9">
        <v>46075.0</v>
      </c>
      <c r="E1103" s="10">
        <v>61.48</v>
      </c>
      <c r="F1103" s="8" t="s">
        <v>93</v>
      </c>
      <c r="G1103" s="13">
        <v>10.2349</v>
      </c>
      <c r="H1103" s="13">
        <v>6.0069</v>
      </c>
      <c r="I1103" s="9">
        <v>46073.0</v>
      </c>
      <c r="J1103" s="10">
        <v>62.5</v>
      </c>
      <c r="K1103" s="8">
        <v>1046.0</v>
      </c>
      <c r="L1103" s="8" t="s">
        <v>2608</v>
      </c>
      <c r="M1103" s="11">
        <v>1.66</v>
      </c>
      <c r="N1103" s="8" t="s">
        <v>3748</v>
      </c>
      <c r="O1103" s="8">
        <v>1046.0</v>
      </c>
      <c r="P1103" s="11">
        <v>19.8375</v>
      </c>
      <c r="Q1103" s="8" t="s">
        <v>2530</v>
      </c>
      <c r="R1103" s="11">
        <v>-0.9026</v>
      </c>
      <c r="S1103" s="12">
        <v>1849954.0</v>
      </c>
      <c r="T1103" s="12">
        <v>9.076971088E9</v>
      </c>
      <c r="U1103" s="13">
        <v>1.8174</v>
      </c>
      <c r="V1103" s="13">
        <v>13.3945</v>
      </c>
      <c r="W1103" s="13">
        <v>23.7662</v>
      </c>
      <c r="X1103" s="13">
        <v>-1.0012</v>
      </c>
      <c r="Y1103" s="13">
        <v>0.6373</v>
      </c>
      <c r="Z1103" s="13">
        <v>0.1512</v>
      </c>
      <c r="AA1103" s="8" t="s">
        <v>2620</v>
      </c>
      <c r="AB1103" s="14">
        <f>IFERROR(__xludf.DUMMYFUNCTION("IFERROR(GOOGLEFINANCE(B1103,""price""),"""")"),61.05)</f>
        <v>61.05</v>
      </c>
    </row>
    <row r="1104">
      <c r="A1104" s="7">
        <v>46072.87010846348</v>
      </c>
      <c r="B1104" s="8" t="s">
        <v>2630</v>
      </c>
      <c r="C1104" s="8" t="s">
        <v>2631</v>
      </c>
      <c r="D1104" s="9">
        <v>46075.0</v>
      </c>
      <c r="E1104" s="10">
        <v>417.35</v>
      </c>
      <c r="F1104" s="8" t="s">
        <v>308</v>
      </c>
      <c r="G1104" s="13">
        <v>39.6721</v>
      </c>
      <c r="H1104" s="13">
        <v>10.52</v>
      </c>
      <c r="I1104" s="9">
        <v>46073.0</v>
      </c>
      <c r="J1104" s="10">
        <v>410.0</v>
      </c>
      <c r="K1104" s="8">
        <v>15754.0</v>
      </c>
      <c r="L1104" s="8" t="s">
        <v>2608</v>
      </c>
      <c r="M1104" s="11">
        <v>1.76</v>
      </c>
      <c r="N1104" s="8" t="s">
        <v>3732</v>
      </c>
      <c r="O1104" s="8">
        <v>48318.0</v>
      </c>
      <c r="P1104" s="11">
        <v>36.5471</v>
      </c>
      <c r="Q1104" s="8" t="s">
        <v>2633</v>
      </c>
      <c r="R1104" s="11">
        <v>-0.8552</v>
      </c>
      <c r="S1104" s="12">
        <v>2.1650779E7</v>
      </c>
      <c r="T1104" s="12">
        <v>4.69731310521E11</v>
      </c>
      <c r="U1104" s="13">
        <v>25.3854</v>
      </c>
      <c r="V1104" s="13">
        <v>22.5543</v>
      </c>
      <c r="W1104" s="13">
        <v>32.9221</v>
      </c>
      <c r="X1104" s="13">
        <v>45.432</v>
      </c>
      <c r="Y1104" s="13">
        <v>0.2124</v>
      </c>
      <c r="Z1104" s="13">
        <v>2.4598</v>
      </c>
      <c r="AA1104" s="8" t="s">
        <v>2611</v>
      </c>
      <c r="AB1104" s="14">
        <f>IFERROR(__xludf.DUMMYFUNCTION("IFERROR(GOOGLEFINANCE(B1104,""price""),"""")"),420.59)</f>
        <v>420.59</v>
      </c>
    </row>
    <row r="1105">
      <c r="A1105" s="15">
        <v>46072.87010846348</v>
      </c>
      <c r="B1105" s="16" t="s">
        <v>2625</v>
      </c>
      <c r="C1105" s="16" t="s">
        <v>2626</v>
      </c>
      <c r="D1105" s="17">
        <v>46075.0</v>
      </c>
      <c r="E1105" s="18">
        <v>124.87</v>
      </c>
      <c r="F1105" s="16" t="s">
        <v>137</v>
      </c>
      <c r="G1105" s="21">
        <v>43.7987</v>
      </c>
      <c r="H1105" s="21">
        <v>2.851</v>
      </c>
      <c r="I1105" s="17">
        <v>46073.0</v>
      </c>
      <c r="J1105" s="18">
        <v>127.0</v>
      </c>
      <c r="K1105" s="16">
        <v>8841.0</v>
      </c>
      <c r="L1105" s="16" t="s">
        <v>2627</v>
      </c>
      <c r="M1105" s="19">
        <v>1.71</v>
      </c>
      <c r="N1105" s="16" t="s">
        <v>3674</v>
      </c>
      <c r="O1105" s="16">
        <v>44541.0</v>
      </c>
      <c r="P1105" s="19">
        <v>33.4544</v>
      </c>
      <c r="Q1105" s="16" t="s">
        <v>2629</v>
      </c>
      <c r="R1105" s="19">
        <v>-1.3821</v>
      </c>
      <c r="S1105" s="20">
        <v>4.2993096E7</v>
      </c>
      <c r="T1105" s="20">
        <v>9.95234773902E11</v>
      </c>
      <c r="U1105" s="21">
        <v>3.4673</v>
      </c>
      <c r="V1105" s="21">
        <v>22.9691</v>
      </c>
      <c r="W1105" s="21">
        <v>4.1214</v>
      </c>
      <c r="X1105" s="21">
        <v>4.3397</v>
      </c>
      <c r="Y1105" s="21">
        <v>0.6735</v>
      </c>
      <c r="Z1105" s="21">
        <v>0.7898</v>
      </c>
      <c r="AA1105" s="16" t="s">
        <v>2620</v>
      </c>
      <c r="AB1105" s="22">
        <f>IFERROR(__xludf.DUMMYFUNCTION("IFERROR(GOOGLEFINANCE(B1105,""price""),"""")"),126.79)</f>
        <v>126.79</v>
      </c>
    </row>
    <row r="1106">
      <c r="A1106" s="7">
        <v>46072.87010846348</v>
      </c>
      <c r="B1106" s="8" t="s">
        <v>2638</v>
      </c>
      <c r="C1106" s="8" t="s">
        <v>2639</v>
      </c>
      <c r="D1106" s="9">
        <v>46075.0</v>
      </c>
      <c r="E1106" s="10">
        <v>150.97</v>
      </c>
      <c r="F1106" s="8" t="s">
        <v>245</v>
      </c>
      <c r="G1106" s="13">
        <v>22.5503</v>
      </c>
      <c r="H1106" s="13">
        <v>6.6948</v>
      </c>
      <c r="I1106" s="9">
        <v>46073.0</v>
      </c>
      <c r="J1106" s="10">
        <v>150.0</v>
      </c>
      <c r="K1106" s="8">
        <v>8366.0</v>
      </c>
      <c r="L1106" s="8" t="s">
        <v>2608</v>
      </c>
      <c r="M1106" s="11">
        <v>0.64</v>
      </c>
      <c r="N1106" s="8" t="s">
        <v>3677</v>
      </c>
      <c r="O1106" s="8">
        <v>23953.0</v>
      </c>
      <c r="P1106" s="11">
        <v>53.3951</v>
      </c>
      <c r="Q1106" s="8" t="s">
        <v>2641</v>
      </c>
      <c r="R1106" s="11">
        <v>0.1925</v>
      </c>
      <c r="S1106" s="12">
        <v>2.0304925E7</v>
      </c>
      <c r="T1106" s="12">
        <v>6.36665448716E11</v>
      </c>
      <c r="U1106" s="13">
        <v>3.5144</v>
      </c>
      <c r="V1106" s="13">
        <v>11.0283</v>
      </c>
      <c r="W1106" s="13">
        <v>10.3419</v>
      </c>
      <c r="X1106" s="13">
        <v>-4.856</v>
      </c>
      <c r="Y1106" s="13">
        <v>0.1871</v>
      </c>
      <c r="Z1106" s="13">
        <v>1.1528</v>
      </c>
      <c r="AA1106" s="8" t="s">
        <v>2611</v>
      </c>
      <c r="AB1106" s="14">
        <f>IFERROR(__xludf.DUMMYFUNCTION("IFERROR(GOOGLEFINANCE(B1106,""price""),"""")"),152.51)</f>
        <v>152.51</v>
      </c>
    </row>
    <row r="1107">
      <c r="A1107" s="15">
        <v>46072.87010846348</v>
      </c>
      <c r="B1107" s="16" t="s">
        <v>2616</v>
      </c>
      <c r="C1107" s="16" t="s">
        <v>2617</v>
      </c>
      <c r="D1107" s="17">
        <v>46075.0</v>
      </c>
      <c r="E1107" s="18">
        <v>78.91</v>
      </c>
      <c r="F1107" s="16" t="s">
        <v>286</v>
      </c>
      <c r="G1107" s="21">
        <v>25.9701</v>
      </c>
      <c r="H1107" s="21">
        <v>3.0385</v>
      </c>
      <c r="I1107" s="17">
        <v>46073.0</v>
      </c>
      <c r="J1107" s="18">
        <v>80.0</v>
      </c>
      <c r="K1107" s="16">
        <v>7632.0</v>
      </c>
      <c r="L1107" s="16" t="s">
        <v>2608</v>
      </c>
      <c r="M1107" s="19">
        <v>1.38</v>
      </c>
      <c r="N1107" s="16" t="s">
        <v>3678</v>
      </c>
      <c r="O1107" s="16">
        <v>22603.0</v>
      </c>
      <c r="P1107" s="19">
        <v>39.4311</v>
      </c>
      <c r="Q1107" s="16" t="s">
        <v>2619</v>
      </c>
      <c r="R1107" s="19">
        <v>-0.7297</v>
      </c>
      <c r="S1107" s="20">
        <v>1.492465E7</v>
      </c>
      <c r="T1107" s="20">
        <v>3.39439948129E11</v>
      </c>
      <c r="U1107" s="21">
        <v>1.2936</v>
      </c>
      <c r="V1107" s="21">
        <v>45.9693</v>
      </c>
      <c r="W1107" s="21">
        <v>29.0951</v>
      </c>
      <c r="X1107" s="21">
        <v>3.1925</v>
      </c>
      <c r="Y1107" s="21">
        <v>1.4142</v>
      </c>
      <c r="Z1107" s="21">
        <v>1.4588</v>
      </c>
      <c r="AA1107" s="16" t="s">
        <v>2620</v>
      </c>
      <c r="AB1107" s="22">
        <f>IFERROR(__xludf.DUMMYFUNCTION("IFERROR(GOOGLEFINANCE(B1107,""price""),"""")"),77.47)</f>
        <v>77.47</v>
      </c>
    </row>
    <row r="1108">
      <c r="A1108" s="7">
        <v>46072.87010846348</v>
      </c>
      <c r="B1108" s="8" t="s">
        <v>3523</v>
      </c>
      <c r="C1108" s="8" t="s">
        <v>3524</v>
      </c>
      <c r="D1108" s="9">
        <v>46075.0</v>
      </c>
      <c r="E1108" s="10">
        <v>41.68</v>
      </c>
      <c r="F1108" s="8" t="s">
        <v>162</v>
      </c>
      <c r="G1108" s="13">
        <v>27.0123</v>
      </c>
      <c r="H1108" s="13">
        <v>1.543</v>
      </c>
      <c r="I1108" s="9">
        <v>46073.0</v>
      </c>
      <c r="J1108" s="10">
        <v>42.0</v>
      </c>
      <c r="K1108" s="8">
        <v>7631.0</v>
      </c>
      <c r="L1108" s="8" t="s">
        <v>2608</v>
      </c>
      <c r="M1108" s="11">
        <v>0.77</v>
      </c>
      <c r="N1108" s="8" t="s">
        <v>3679</v>
      </c>
      <c r="O1108" s="8">
        <v>16736.0</v>
      </c>
      <c r="P1108" s="11">
        <v>41.9162</v>
      </c>
      <c r="Q1108" s="8" t="s">
        <v>3526</v>
      </c>
      <c r="R1108" s="11">
        <v>0.7737</v>
      </c>
      <c r="S1108" s="12">
        <v>1.0273962E7</v>
      </c>
      <c r="T1108" s="12">
        <v>7.7506327013E10</v>
      </c>
      <c r="U1108" s="13">
        <v>0.818</v>
      </c>
      <c r="V1108" s="13">
        <v>22.5202</v>
      </c>
      <c r="W1108" s="13">
        <v>33.2458</v>
      </c>
      <c r="X1108" s="13">
        <v>-3.0812</v>
      </c>
      <c r="Y1108" s="13">
        <v>1.4762</v>
      </c>
      <c r="Z1108" s="13">
        <v>0.8139</v>
      </c>
      <c r="AA1108" s="8" t="s">
        <v>2620</v>
      </c>
      <c r="AB1108" s="14">
        <f>IFERROR(__xludf.DUMMYFUNCTION("IFERROR(GOOGLEFINANCE(B1108,""price""),"""")"),42.24)</f>
        <v>42.24</v>
      </c>
    </row>
    <row r="1109">
      <c r="A1109" s="15">
        <v>46072.87010846348</v>
      </c>
      <c r="B1109" s="16" t="s">
        <v>2438</v>
      </c>
      <c r="C1109" s="16" t="s">
        <v>2439</v>
      </c>
      <c r="D1109" s="17">
        <v>46075.0</v>
      </c>
      <c r="E1109" s="18">
        <v>218.05</v>
      </c>
      <c r="F1109" s="16" t="s">
        <v>308</v>
      </c>
      <c r="G1109" s="21">
        <v>40.043</v>
      </c>
      <c r="H1109" s="21">
        <v>5.4454</v>
      </c>
      <c r="I1109" s="17">
        <v>46073.0</v>
      </c>
      <c r="J1109" s="18">
        <v>220.0</v>
      </c>
      <c r="K1109" s="16">
        <v>6708.0</v>
      </c>
      <c r="L1109" s="16" t="s">
        <v>2608</v>
      </c>
      <c r="M1109" s="19">
        <v>0.89</v>
      </c>
      <c r="N1109" s="16" t="s">
        <v>3680</v>
      </c>
      <c r="O1109" s="16">
        <v>15518.0</v>
      </c>
      <c r="P1109" s="19">
        <v>50.798</v>
      </c>
      <c r="Q1109" s="16" t="s">
        <v>2440</v>
      </c>
      <c r="R1109" s="19">
        <v>-2.3598</v>
      </c>
      <c r="S1109" s="20">
        <v>5002233.0</v>
      </c>
      <c r="T1109" s="20">
        <v>1.97891441033E11</v>
      </c>
      <c r="U1109" s="21">
        <v>6.7226</v>
      </c>
      <c r="V1109" s="21">
        <v>29.9795</v>
      </c>
      <c r="W1109" s="21">
        <v>34.7246</v>
      </c>
      <c r="X1109" s="21">
        <v>13.049</v>
      </c>
      <c r="Y1109" s="21">
        <v>0.9082</v>
      </c>
      <c r="Z1109" s="21">
        <v>4.3526</v>
      </c>
      <c r="AA1109" s="16" t="s">
        <v>2620</v>
      </c>
      <c r="AB1109" s="22">
        <f>IFERROR(__xludf.DUMMYFUNCTION("IFERROR(GOOGLEFINANCE(B1109,""price""),"""")"),214.73)</f>
        <v>214.73</v>
      </c>
    </row>
    <row r="1110">
      <c r="A1110" s="7">
        <v>46072.87010846348</v>
      </c>
      <c r="B1110" s="8" t="s">
        <v>3086</v>
      </c>
      <c r="C1110" s="8" t="s">
        <v>3087</v>
      </c>
      <c r="D1110" s="9">
        <v>46075.0</v>
      </c>
      <c r="E1110" s="10">
        <v>67.44</v>
      </c>
      <c r="F1110" s="8" t="s">
        <v>162</v>
      </c>
      <c r="G1110" s="13">
        <v>8.8043</v>
      </c>
      <c r="H1110" s="13">
        <v>7.6599</v>
      </c>
      <c r="I1110" s="9">
        <v>46073.0</v>
      </c>
      <c r="J1110" s="10">
        <v>67.5</v>
      </c>
      <c r="K1110" s="8">
        <v>5968.0</v>
      </c>
      <c r="L1110" s="8" t="s">
        <v>2627</v>
      </c>
      <c r="M1110" s="11">
        <v>0.09</v>
      </c>
      <c r="N1110" s="8" t="s">
        <v>3733</v>
      </c>
      <c r="O1110" s="8">
        <v>12283.0</v>
      </c>
      <c r="P1110" s="11">
        <v>17.2043</v>
      </c>
      <c r="Q1110" s="8" t="s">
        <v>3089</v>
      </c>
      <c r="R1110" s="11">
        <v>-5.161</v>
      </c>
      <c r="S1110" s="12">
        <v>8626270.0</v>
      </c>
      <c r="T1110" s="12">
        <v>4.4047133186E10</v>
      </c>
      <c r="U1110" s="13">
        <v>2.8196</v>
      </c>
      <c r="V1110" s="13">
        <v>27.6988</v>
      </c>
      <c r="W1110" s="13">
        <v>9.1882</v>
      </c>
      <c r="X1110" s="13">
        <v>2.7935</v>
      </c>
      <c r="Y1110" s="13">
        <v>0.9722</v>
      </c>
      <c r="Z1110" s="13">
        <v>0.397</v>
      </c>
      <c r="AA1110" s="8" t="s">
        <v>2620</v>
      </c>
      <c r="AB1110" s="14">
        <f>IFERROR(__xludf.DUMMYFUNCTION("IFERROR(GOOGLEFINANCE(B1110,""price""),"""")"),67.82)</f>
        <v>67.82</v>
      </c>
    </row>
    <row r="1111">
      <c r="A1111" s="15">
        <v>46072.87010846348</v>
      </c>
      <c r="B1111" s="16" t="s">
        <v>2634</v>
      </c>
      <c r="C1111" s="16" t="s">
        <v>2635</v>
      </c>
      <c r="D1111" s="17">
        <v>46075.0</v>
      </c>
      <c r="E1111" s="18">
        <v>184.78</v>
      </c>
      <c r="F1111" s="16" t="s">
        <v>245</v>
      </c>
      <c r="G1111" s="21">
        <v>27.7827</v>
      </c>
      <c r="H1111" s="21">
        <v>6.6509</v>
      </c>
      <c r="I1111" s="17">
        <v>46073.0</v>
      </c>
      <c r="J1111" s="18">
        <v>185.0</v>
      </c>
      <c r="K1111" s="16">
        <v>4630.0</v>
      </c>
      <c r="L1111" s="16" t="s">
        <v>2608</v>
      </c>
      <c r="M1111" s="19">
        <v>0.12</v>
      </c>
      <c r="N1111" s="16" t="s">
        <v>3734</v>
      </c>
      <c r="O1111" s="16">
        <v>10787.0</v>
      </c>
      <c r="P1111" s="19">
        <v>55.1692</v>
      </c>
      <c r="Q1111" s="16" t="s">
        <v>2637</v>
      </c>
      <c r="R1111" s="19">
        <v>0.4949</v>
      </c>
      <c r="S1111" s="20">
        <v>1.0773338E7</v>
      </c>
      <c r="T1111" s="20">
        <v>3.72058512558E11</v>
      </c>
      <c r="U1111" s="21">
        <v>3.5636</v>
      </c>
      <c r="V1111" s="21">
        <v>7.261</v>
      </c>
      <c r="W1111" s="21">
        <v>8.9022</v>
      </c>
      <c r="X1111" s="21">
        <v>-4.6053</v>
      </c>
      <c r="Y1111" s="21">
        <v>0.2186</v>
      </c>
      <c r="Z1111" s="21"/>
      <c r="AA1111" s="16" t="s">
        <v>2620</v>
      </c>
      <c r="AB1111" s="22">
        <f>IFERROR(__xludf.DUMMYFUNCTION("IFERROR(GOOGLEFINANCE(B1111,""price""),"""")"),188.55)</f>
        <v>188.55</v>
      </c>
    </row>
    <row r="1112">
      <c r="A1112" s="7">
        <v>46072.87010846348</v>
      </c>
      <c r="B1112" s="8" t="s">
        <v>2621</v>
      </c>
      <c r="C1112" s="8" t="s">
        <v>2622</v>
      </c>
      <c r="D1112" s="9">
        <v>46075.0</v>
      </c>
      <c r="E1112" s="10">
        <v>62.57</v>
      </c>
      <c r="F1112" s="8" t="s">
        <v>335</v>
      </c>
      <c r="G1112" s="13">
        <v>41.3276</v>
      </c>
      <c r="H1112" s="13">
        <v>1.514</v>
      </c>
      <c r="I1112" s="9">
        <v>46073.0</v>
      </c>
      <c r="J1112" s="10">
        <v>63.0</v>
      </c>
      <c r="K1112" s="8">
        <v>4224.0</v>
      </c>
      <c r="L1112" s="8" t="s">
        <v>2608</v>
      </c>
      <c r="M1112" s="11">
        <v>0.69</v>
      </c>
      <c r="N1112" s="8" t="s">
        <v>3683</v>
      </c>
      <c r="O1112" s="8">
        <v>10784.0</v>
      </c>
      <c r="P1112" s="11">
        <v>31.6307</v>
      </c>
      <c r="Q1112" s="8" t="s">
        <v>2624</v>
      </c>
      <c r="R1112" s="11">
        <v>0.032</v>
      </c>
      <c r="S1112" s="12">
        <v>1.3357868E7</v>
      </c>
      <c r="T1112" s="12">
        <v>8.9925706779E10</v>
      </c>
      <c r="U1112" s="13">
        <v>2.8918</v>
      </c>
      <c r="V1112" s="13">
        <v>11.9792</v>
      </c>
      <c r="W1112" s="13">
        <v>22.7913</v>
      </c>
      <c r="X1112" s="13">
        <v>-0.0477</v>
      </c>
      <c r="Y1112" s="13">
        <v>0.5552</v>
      </c>
      <c r="Z1112" s="13">
        <v>2.2911</v>
      </c>
      <c r="AA1112" s="8" t="s">
        <v>2620</v>
      </c>
      <c r="AB1112" s="14">
        <f>IFERROR(__xludf.DUMMYFUNCTION("IFERROR(GOOGLEFINANCE(B1112,""price""),"""")"),67.8)</f>
        <v>67.8</v>
      </c>
    </row>
    <row r="1113">
      <c r="A1113" s="15">
        <v>46072.87010846348</v>
      </c>
      <c r="B1113" s="16" t="s">
        <v>3684</v>
      </c>
      <c r="C1113" s="16" t="s">
        <v>3685</v>
      </c>
      <c r="D1113" s="17">
        <v>46075.0</v>
      </c>
      <c r="E1113" s="18">
        <v>36.97</v>
      </c>
      <c r="F1113" s="16" t="s">
        <v>917</v>
      </c>
      <c r="G1113" s="21">
        <v>25.1565</v>
      </c>
      <c r="H1113" s="21">
        <v>1.4696</v>
      </c>
      <c r="I1113" s="17">
        <v>46073.0</v>
      </c>
      <c r="J1113" s="18">
        <v>37.0</v>
      </c>
      <c r="K1113" s="16">
        <v>9702.0</v>
      </c>
      <c r="L1113" s="16" t="s">
        <v>2608</v>
      </c>
      <c r="M1113" s="19">
        <v>0.08</v>
      </c>
      <c r="N1113" s="16" t="s">
        <v>3686</v>
      </c>
      <c r="O1113" s="16">
        <v>9702.0</v>
      </c>
      <c r="P1113" s="19">
        <v>18.7317</v>
      </c>
      <c r="Q1113" s="16" t="s">
        <v>3687</v>
      </c>
      <c r="R1113" s="19">
        <v>0.4347</v>
      </c>
      <c r="S1113" s="20">
        <v>1.1997392E7</v>
      </c>
      <c r="T1113" s="20">
        <v>2.7348159125E10</v>
      </c>
      <c r="U1113" s="21">
        <v>0.7111</v>
      </c>
      <c r="V1113" s="21">
        <v>7.6548</v>
      </c>
      <c r="W1113" s="21">
        <v>22.7865</v>
      </c>
      <c r="X1113" s="21">
        <v>8.4158</v>
      </c>
      <c r="Y1113" s="21">
        <v>1.3173</v>
      </c>
      <c r="Z1113" s="21">
        <v>0.7742</v>
      </c>
      <c r="AA1113" s="16" t="s">
        <v>2620</v>
      </c>
      <c r="AB1113" s="22">
        <f>IFERROR(__xludf.DUMMYFUNCTION("IFERROR(GOOGLEFINANCE(B1113,""price""),"""")"),39.65)</f>
        <v>39.65</v>
      </c>
    </row>
    <row r="1114">
      <c r="A1114" s="7">
        <v>46072.87010846348</v>
      </c>
      <c r="B1114" s="8" t="s">
        <v>2700</v>
      </c>
      <c r="C1114" s="8" t="s">
        <v>2701</v>
      </c>
      <c r="D1114" s="9">
        <v>46075.0</v>
      </c>
      <c r="E1114" s="10">
        <v>237.39</v>
      </c>
      <c r="F1114" s="8" t="s">
        <v>102</v>
      </c>
      <c r="G1114" s="13">
        <v>48.6525</v>
      </c>
      <c r="H1114" s="13">
        <v>4.8793</v>
      </c>
      <c r="I1114" s="9">
        <v>46073.0</v>
      </c>
      <c r="J1114" s="10">
        <v>240.0</v>
      </c>
      <c r="K1114" s="8">
        <v>5273.0</v>
      </c>
      <c r="L1114" s="8" t="s">
        <v>2608</v>
      </c>
      <c r="M1114" s="11">
        <v>1.1</v>
      </c>
      <c r="N1114" s="8" t="s">
        <v>3688</v>
      </c>
      <c r="O1114" s="8">
        <v>9640.0</v>
      </c>
      <c r="P1114" s="11">
        <v>31.8174</v>
      </c>
      <c r="Q1114" s="8" t="s">
        <v>2703</v>
      </c>
      <c r="R1114" s="11">
        <v>-1.1246</v>
      </c>
      <c r="S1114" s="12">
        <v>6384095.0</v>
      </c>
      <c r="T1114" s="12">
        <v>2.96445742241E11</v>
      </c>
      <c r="U1114" s="13">
        <v>11.6983</v>
      </c>
      <c r="V1114" s="13">
        <v>65.5649</v>
      </c>
      <c r="W1114" s="13">
        <v>33.7646</v>
      </c>
      <c r="X1114" s="13">
        <v>26.8457</v>
      </c>
      <c r="Y1114" s="13">
        <v>0.4419</v>
      </c>
      <c r="Z1114" s="13">
        <v>2.2562</v>
      </c>
      <c r="AA1114" s="8" t="s">
        <v>2620</v>
      </c>
      <c r="AB1114" s="14">
        <f>IFERROR(__xludf.DUMMYFUNCTION("IFERROR(GOOGLEFINANCE(B1114,""price""),"""")"),263.66)</f>
        <v>263.66</v>
      </c>
    </row>
    <row r="1115">
      <c r="A1115" s="15">
        <v>46072.87010846348</v>
      </c>
      <c r="B1115" s="16" t="s">
        <v>2804</v>
      </c>
      <c r="C1115" s="16" t="s">
        <v>2805</v>
      </c>
      <c r="D1115" s="17">
        <v>46075.0</v>
      </c>
      <c r="E1115" s="18">
        <v>129.99</v>
      </c>
      <c r="F1115" s="16" t="s">
        <v>308</v>
      </c>
      <c r="G1115" s="21">
        <v>70.689</v>
      </c>
      <c r="H1115" s="21">
        <v>1.8389</v>
      </c>
      <c r="I1115" s="17">
        <v>46073.0</v>
      </c>
      <c r="J1115" s="18">
        <v>132.0</v>
      </c>
      <c r="K1115" s="16">
        <v>7819.0</v>
      </c>
      <c r="L1115" s="16" t="s">
        <v>2608</v>
      </c>
      <c r="M1115" s="19">
        <v>1.55</v>
      </c>
      <c r="N1115" s="16" t="s">
        <v>3689</v>
      </c>
      <c r="O1115" s="16">
        <v>9034.0</v>
      </c>
      <c r="P1115" s="19">
        <v>45.4644</v>
      </c>
      <c r="Q1115" s="16" t="s">
        <v>2807</v>
      </c>
      <c r="R1115" s="19">
        <v>-1.5302</v>
      </c>
      <c r="S1115" s="20">
        <v>9169365.0</v>
      </c>
      <c r="T1115" s="20">
        <v>1.11524671493E11</v>
      </c>
      <c r="U1115" s="21">
        <v>6.1147</v>
      </c>
      <c r="V1115" s="21">
        <v>14.1911</v>
      </c>
      <c r="W1115" s="21">
        <v>15.3241</v>
      </c>
      <c r="X1115" s="21">
        <v>19.1416</v>
      </c>
      <c r="Y1115" s="21">
        <v>0.7942</v>
      </c>
      <c r="Z1115" s="21">
        <v>1.5878</v>
      </c>
      <c r="AA1115" s="16" t="s">
        <v>2620</v>
      </c>
      <c r="AB1115" s="22">
        <f>IFERROR(__xludf.DUMMYFUNCTION("IFERROR(GOOGLEFINANCE(B1115,""price""),"""")"),171.24)</f>
        <v>171.24</v>
      </c>
    </row>
    <row r="1116">
      <c r="A1116" s="7">
        <v>46072.87010846348</v>
      </c>
      <c r="B1116" s="8" t="s">
        <v>3347</v>
      </c>
      <c r="C1116" s="8" t="s">
        <v>3348</v>
      </c>
      <c r="D1116" s="9">
        <v>46075.0</v>
      </c>
      <c r="E1116" s="10">
        <v>334.74</v>
      </c>
      <c r="F1116" s="8" t="s">
        <v>308</v>
      </c>
      <c r="G1116" s="13">
        <v>41.1289</v>
      </c>
      <c r="H1116" s="13">
        <v>8.1388</v>
      </c>
      <c r="I1116" s="9">
        <v>46073.0</v>
      </c>
      <c r="J1116" s="10">
        <v>340.0</v>
      </c>
      <c r="K1116" s="8">
        <v>4169.0</v>
      </c>
      <c r="L1116" s="8" t="s">
        <v>2608</v>
      </c>
      <c r="M1116" s="11">
        <v>1.57</v>
      </c>
      <c r="N1116" s="8" t="s">
        <v>3690</v>
      </c>
      <c r="O1116" s="8">
        <v>8177.0</v>
      </c>
      <c r="P1116" s="11">
        <v>19.759</v>
      </c>
      <c r="Q1116" s="8" t="s">
        <v>3350</v>
      </c>
      <c r="R1116" s="11">
        <v>1.5656</v>
      </c>
      <c r="S1116" s="12">
        <v>4456653.0</v>
      </c>
      <c r="T1116" s="12">
        <v>3.51079849702E11</v>
      </c>
      <c r="U1116" s="13">
        <v>9.7635</v>
      </c>
      <c r="V1116" s="13">
        <v>45.2353</v>
      </c>
      <c r="W1116" s="13">
        <v>18.207</v>
      </c>
      <c r="X1116" s="13">
        <v>0.1223</v>
      </c>
      <c r="Y1116" s="13">
        <v>1.1542</v>
      </c>
      <c r="Z1116" s="13">
        <v>1.0415</v>
      </c>
      <c r="AA1116" s="8" t="s">
        <v>2620</v>
      </c>
      <c r="AB1116" s="14">
        <f>IFERROR(__xludf.DUMMYFUNCTION("IFERROR(GOOGLEFINANCE(B1116,""price""),"""")"),308.35)</f>
        <v>308.35</v>
      </c>
    </row>
    <row r="1117">
      <c r="A1117" s="15">
        <v>46072.87010846348</v>
      </c>
      <c r="B1117" s="16" t="s">
        <v>3463</v>
      </c>
      <c r="C1117" s="16" t="s">
        <v>3464</v>
      </c>
      <c r="D1117" s="17">
        <v>46075.0</v>
      </c>
      <c r="E1117" s="18">
        <v>59.77</v>
      </c>
      <c r="F1117" s="16" t="s">
        <v>245</v>
      </c>
      <c r="G1117" s="21">
        <v>18.0372</v>
      </c>
      <c r="H1117" s="21">
        <v>3.3137</v>
      </c>
      <c r="I1117" s="17">
        <v>46073.0</v>
      </c>
      <c r="J1117" s="18">
        <v>60.0</v>
      </c>
      <c r="K1117" s="16">
        <v>6184.0</v>
      </c>
      <c r="L1117" s="16" t="s">
        <v>2608</v>
      </c>
      <c r="M1117" s="19">
        <v>0.38</v>
      </c>
      <c r="N1117" s="16" t="s">
        <v>3691</v>
      </c>
      <c r="O1117" s="16">
        <v>7982.0</v>
      </c>
      <c r="P1117" s="19">
        <v>21.7077</v>
      </c>
      <c r="Q1117" s="16" t="s">
        <v>3466</v>
      </c>
      <c r="R1117" s="19">
        <v>1.9444</v>
      </c>
      <c r="S1117" s="20">
        <v>1.4132695E7</v>
      </c>
      <c r="T1117" s="20">
        <v>3.7300712442E10</v>
      </c>
      <c r="U1117" s="21">
        <v>2.1042</v>
      </c>
      <c r="V1117" s="21">
        <v>9.1961</v>
      </c>
      <c r="W1117" s="21">
        <v>35.6577</v>
      </c>
      <c r="X1117" s="21">
        <v>59.9561</v>
      </c>
      <c r="Y1117" s="21">
        <v>0.3357</v>
      </c>
      <c r="Z1117" s="21">
        <v>0.7627</v>
      </c>
      <c r="AA1117" s="16" t="s">
        <v>2620</v>
      </c>
      <c r="AB1117" s="22">
        <f>IFERROR(__xludf.DUMMYFUNCTION("IFERROR(GOOGLEFINANCE(B1117,""price""),"""")"),58.68)</f>
        <v>58.68</v>
      </c>
    </row>
    <row r="1118">
      <c r="A1118" s="7">
        <v>46072.87010846348</v>
      </c>
      <c r="B1118" s="8" t="s">
        <v>1492</v>
      </c>
      <c r="C1118" s="8" t="s">
        <v>1493</v>
      </c>
      <c r="D1118" s="9">
        <v>46075.0</v>
      </c>
      <c r="E1118" s="10">
        <v>25.02</v>
      </c>
      <c r="F1118" s="8" t="s">
        <v>93</v>
      </c>
      <c r="G1118" s="13">
        <v>13.334</v>
      </c>
      <c r="H1118" s="13">
        <v>1.8764</v>
      </c>
      <c r="I1118" s="9">
        <v>46073.0</v>
      </c>
      <c r="J1118" s="10">
        <v>25.0</v>
      </c>
      <c r="K1118" s="8">
        <v>5402.0</v>
      </c>
      <c r="L1118" s="8" t="s">
        <v>2608</v>
      </c>
      <c r="M1118" s="11">
        <v>0.08</v>
      </c>
      <c r="N1118" s="8" t="s">
        <v>3735</v>
      </c>
      <c r="O1118" s="8">
        <v>7198.0</v>
      </c>
      <c r="P1118" s="11">
        <v>20.2216</v>
      </c>
      <c r="Q1118" s="8" t="s">
        <v>1494</v>
      </c>
      <c r="R1118" s="11">
        <v>-0.3187</v>
      </c>
      <c r="S1118" s="12">
        <v>4880481.0</v>
      </c>
      <c r="T1118" s="12">
        <v>1.2134700184E10</v>
      </c>
      <c r="U1118" s="13">
        <v>0.643</v>
      </c>
      <c r="V1118" s="13">
        <v>11.1193</v>
      </c>
      <c r="W1118" s="13">
        <v>25.6333</v>
      </c>
      <c r="X1118" s="13">
        <v>-0.5598</v>
      </c>
      <c r="Y1118" s="13">
        <v>0.517</v>
      </c>
      <c r="Z1118" s="13">
        <v>0.2349</v>
      </c>
      <c r="AA1118" s="8" t="s">
        <v>2611</v>
      </c>
      <c r="AB1118" s="14">
        <f>IFERROR(__xludf.DUMMYFUNCTION("IFERROR(GOOGLEFINANCE(B1118,""price""),"""")"),24.05)</f>
        <v>24.05</v>
      </c>
    </row>
    <row r="1119">
      <c r="A1119" s="15">
        <v>46072.87010846348</v>
      </c>
      <c r="B1119" s="16" t="s">
        <v>2658</v>
      </c>
      <c r="C1119" s="16" t="s">
        <v>2659</v>
      </c>
      <c r="D1119" s="17">
        <v>46075.0</v>
      </c>
      <c r="E1119" s="18">
        <v>91.64</v>
      </c>
      <c r="F1119" s="16" t="s">
        <v>917</v>
      </c>
      <c r="G1119" s="21">
        <v>27.7672</v>
      </c>
      <c r="H1119" s="21">
        <v>3.3003</v>
      </c>
      <c r="I1119" s="17">
        <v>46073.0</v>
      </c>
      <c r="J1119" s="18">
        <v>90.0</v>
      </c>
      <c r="K1119" s="16">
        <v>4179.0</v>
      </c>
      <c r="L1119" s="16" t="s">
        <v>2608</v>
      </c>
      <c r="M1119" s="19">
        <v>1.79</v>
      </c>
      <c r="N1119" s="16" t="s">
        <v>3693</v>
      </c>
      <c r="O1119" s="16">
        <v>7194.0</v>
      </c>
      <c r="P1119" s="19">
        <v>40.8055</v>
      </c>
      <c r="Q1119" s="16" t="s">
        <v>2661</v>
      </c>
      <c r="R1119" s="19">
        <v>0.4604</v>
      </c>
      <c r="S1119" s="20">
        <v>8483548.0</v>
      </c>
      <c r="T1119" s="20">
        <v>1.90933956129E11</v>
      </c>
      <c r="U1119" s="21">
        <v>2.0824</v>
      </c>
      <c r="V1119" s="21">
        <v>13.0533</v>
      </c>
      <c r="W1119" s="21">
        <v>26.8934</v>
      </c>
      <c r="X1119" s="21">
        <v>8.6905</v>
      </c>
      <c r="Y1119" s="21">
        <v>1.7594</v>
      </c>
      <c r="Z1119" s="21">
        <v>0.5953</v>
      </c>
      <c r="AA1119" s="16" t="s">
        <v>2611</v>
      </c>
      <c r="AB1119" s="22">
        <f>IFERROR(__xludf.DUMMYFUNCTION("IFERROR(GOOGLEFINANCE(B1119,""price""),"""")"),94.08)</f>
        <v>94.08</v>
      </c>
    </row>
    <row r="1120">
      <c r="A1120" s="7">
        <v>46072.87010846348</v>
      </c>
      <c r="B1120" s="8" t="s">
        <v>2676</v>
      </c>
      <c r="C1120" s="8" t="s">
        <v>2677</v>
      </c>
      <c r="D1120" s="9">
        <v>46075.0</v>
      </c>
      <c r="E1120" s="10">
        <v>29.72</v>
      </c>
      <c r="F1120" s="8" t="s">
        <v>93</v>
      </c>
      <c r="G1120" s="13">
        <v>12.9369</v>
      </c>
      <c r="H1120" s="13">
        <v>2.2973</v>
      </c>
      <c r="I1120" s="9">
        <v>46073.0</v>
      </c>
      <c r="J1120" s="10">
        <v>30.0</v>
      </c>
      <c r="K1120" s="8">
        <v>4262.0</v>
      </c>
      <c r="L1120" s="8" t="s">
        <v>2608</v>
      </c>
      <c r="M1120" s="11">
        <v>0.94</v>
      </c>
      <c r="N1120" s="8" t="s">
        <v>3694</v>
      </c>
      <c r="O1120" s="8">
        <v>6611.0</v>
      </c>
      <c r="P1120" s="11">
        <v>24.9061</v>
      </c>
      <c r="Q1120" s="8" t="s">
        <v>2679</v>
      </c>
      <c r="R1120" s="11">
        <v>-1.1311</v>
      </c>
      <c r="S1120" s="12">
        <v>1.201744E7</v>
      </c>
      <c r="T1120" s="12">
        <v>2.6060769886E10</v>
      </c>
      <c r="U1120" s="13">
        <v>0.7402</v>
      </c>
      <c r="V1120" s="13">
        <v>11.6787</v>
      </c>
      <c r="W1120" s="13">
        <v>28.7373</v>
      </c>
      <c r="X1120" s="13">
        <v>2.137</v>
      </c>
      <c r="Y1120" s="13">
        <v>0.2565</v>
      </c>
      <c r="Z1120" s="13">
        <v>0.1084</v>
      </c>
      <c r="AA1120" s="8" t="s">
        <v>2620</v>
      </c>
      <c r="AB1120" s="14">
        <f>IFERROR(__xludf.DUMMYFUNCTION("IFERROR(GOOGLEFINANCE(B1120,""price""),"""")"),27.5)</f>
        <v>27.5</v>
      </c>
    </row>
    <row r="1121">
      <c r="A1121" s="15">
        <v>46072.87010846348</v>
      </c>
      <c r="B1121" s="16" t="s">
        <v>2692</v>
      </c>
      <c r="C1121" s="16" t="s">
        <v>2693</v>
      </c>
      <c r="D1121" s="17">
        <v>46075.0</v>
      </c>
      <c r="E1121" s="18">
        <v>246.91</v>
      </c>
      <c r="F1121" s="16" t="s">
        <v>117</v>
      </c>
      <c r="G1121" s="21">
        <v>22.3533</v>
      </c>
      <c r="H1121" s="21">
        <v>11.0458</v>
      </c>
      <c r="I1121" s="17">
        <v>46073.0</v>
      </c>
      <c r="J1121" s="18">
        <v>245.0</v>
      </c>
      <c r="K1121" s="16">
        <v>3776.0</v>
      </c>
      <c r="L1121" s="16" t="s">
        <v>2608</v>
      </c>
      <c r="M1121" s="19">
        <v>0.77</v>
      </c>
      <c r="N1121" s="16" t="s">
        <v>3695</v>
      </c>
      <c r="O1121" s="16">
        <v>6600.0</v>
      </c>
      <c r="P1121" s="19">
        <v>43.4955</v>
      </c>
      <c r="Q1121" s="16" t="s">
        <v>2695</v>
      </c>
      <c r="R1121" s="19">
        <v>0.7837</v>
      </c>
      <c r="S1121" s="20">
        <v>7553934.0</v>
      </c>
      <c r="T1121" s="20">
        <v>5.95028157106E11</v>
      </c>
      <c r="U1121" s="21">
        <v>3.5734</v>
      </c>
      <c r="V1121" s="21">
        <v>35.0301</v>
      </c>
      <c r="W1121" s="21">
        <v>27.2081</v>
      </c>
      <c r="X1121" s="21">
        <v>6.046</v>
      </c>
      <c r="Y1121" s="21">
        <v>0.605</v>
      </c>
      <c r="Z1121" s="21">
        <v>1.0277</v>
      </c>
      <c r="AA1121" s="16" t="s">
        <v>2611</v>
      </c>
      <c r="AB1121" s="22">
        <f>IFERROR(__xludf.DUMMYFUNCTION("IFERROR(GOOGLEFINANCE(B1121,""price""),"""")"),238.46)</f>
        <v>238.46</v>
      </c>
    </row>
    <row r="1122">
      <c r="A1122" s="7">
        <v>46072.87010846348</v>
      </c>
      <c r="B1122" s="8" t="s">
        <v>3443</v>
      </c>
      <c r="C1122" s="8" t="s">
        <v>3444</v>
      </c>
      <c r="D1122" s="9">
        <v>46075.0</v>
      </c>
      <c r="E1122" s="10">
        <v>110.05</v>
      </c>
      <c r="F1122" s="8" t="s">
        <v>162</v>
      </c>
      <c r="G1122" s="13">
        <v>10.7559</v>
      </c>
      <c r="H1122" s="13">
        <v>10.2316</v>
      </c>
      <c r="I1122" s="9">
        <v>46073.0</v>
      </c>
      <c r="J1122" s="10">
        <v>110.0</v>
      </c>
      <c r="K1122" s="8">
        <v>4276.0</v>
      </c>
      <c r="L1122" s="8" t="s">
        <v>2608</v>
      </c>
      <c r="M1122" s="11">
        <v>0.05</v>
      </c>
      <c r="N1122" s="8" t="s">
        <v>3696</v>
      </c>
      <c r="O1122" s="8">
        <v>6286.0</v>
      </c>
      <c r="P1122" s="11">
        <v>16.3716</v>
      </c>
      <c r="Q1122" s="8" t="s">
        <v>3446</v>
      </c>
      <c r="R1122" s="11">
        <v>-5.8839</v>
      </c>
      <c r="S1122" s="12">
        <v>5147935.0</v>
      </c>
      <c r="T1122" s="12">
        <v>3.5593517805E10</v>
      </c>
      <c r="U1122" s="13">
        <v>5.4305</v>
      </c>
      <c r="V1122" s="13">
        <v>23.9868</v>
      </c>
      <c r="W1122" s="13">
        <v>8.4204</v>
      </c>
      <c r="X1122" s="13">
        <v>3.5189</v>
      </c>
      <c r="Y1122" s="13">
        <v>2.0309</v>
      </c>
      <c r="Z1122" s="13">
        <v>0.645</v>
      </c>
      <c r="AA1122" s="8" t="s">
        <v>2611</v>
      </c>
      <c r="AB1122" s="14">
        <f>IFERROR(__xludf.DUMMYFUNCTION("IFERROR(GOOGLEFINANCE(B1122,""price""),"""")"),96.4)</f>
        <v>96.4</v>
      </c>
    </row>
    <row r="1123">
      <c r="A1123" s="15">
        <v>46072.87010846348</v>
      </c>
      <c r="B1123" s="16" t="s">
        <v>3697</v>
      </c>
      <c r="C1123" s="16" t="s">
        <v>3698</v>
      </c>
      <c r="D1123" s="17">
        <v>46075.0</v>
      </c>
      <c r="E1123" s="18">
        <v>47.36</v>
      </c>
      <c r="F1123" s="16" t="s">
        <v>917</v>
      </c>
      <c r="G1123" s="21">
        <v>17.3169</v>
      </c>
      <c r="H1123" s="21">
        <v>2.7349</v>
      </c>
      <c r="I1123" s="17">
        <v>46073.0</v>
      </c>
      <c r="J1123" s="18">
        <v>47.0</v>
      </c>
      <c r="K1123" s="16">
        <v>4784.0</v>
      </c>
      <c r="L1123" s="16" t="s">
        <v>2608</v>
      </c>
      <c r="M1123" s="19">
        <v>0.76</v>
      </c>
      <c r="N1123" s="16" t="s">
        <v>3699</v>
      </c>
      <c r="O1123" s="16">
        <v>5935.0</v>
      </c>
      <c r="P1123" s="19">
        <v>26.2694</v>
      </c>
      <c r="Q1123" s="16" t="s">
        <v>3700</v>
      </c>
      <c r="R1123" s="19">
        <v>0.254</v>
      </c>
      <c r="S1123" s="20">
        <v>8858471.0</v>
      </c>
      <c r="T1123" s="20">
        <v>4.8444194222E10</v>
      </c>
      <c r="U1123" s="21">
        <v>1.0806</v>
      </c>
      <c r="V1123" s="21">
        <v>9.9356</v>
      </c>
      <c r="W1123" s="21">
        <v>21.2054</v>
      </c>
      <c r="X1123" s="21">
        <v>5.3367</v>
      </c>
      <c r="Y1123" s="21">
        <v>1.7554</v>
      </c>
      <c r="Z1123" s="21">
        <v>0.924</v>
      </c>
      <c r="AA1123" s="16" t="s">
        <v>2611</v>
      </c>
      <c r="AB1123" s="22">
        <f>IFERROR(__xludf.DUMMYFUNCTION("IFERROR(GOOGLEFINANCE(B1123,""price""),"""")"),48.57)</f>
        <v>48.57</v>
      </c>
    </row>
    <row r="1124">
      <c r="A1124" s="7">
        <v>46072.87010846348</v>
      </c>
      <c r="B1124" s="8" t="s">
        <v>2787</v>
      </c>
      <c r="C1124" s="8" t="s">
        <v>2788</v>
      </c>
      <c r="D1124" s="9">
        <v>46075.0</v>
      </c>
      <c r="E1124" s="10">
        <v>183.5</v>
      </c>
      <c r="F1124" s="8" t="s">
        <v>286</v>
      </c>
      <c r="G1124" s="13">
        <v>25.2605</v>
      </c>
      <c r="H1124" s="13">
        <v>7.2643</v>
      </c>
      <c r="I1124" s="9">
        <v>46073.0</v>
      </c>
      <c r="J1124" s="10">
        <v>180.0</v>
      </c>
      <c r="K1124" s="8">
        <v>3448.0</v>
      </c>
      <c r="L1124" s="8" t="s">
        <v>2608</v>
      </c>
      <c r="M1124" s="11">
        <v>1.91</v>
      </c>
      <c r="N1124" s="8" t="s">
        <v>3701</v>
      </c>
      <c r="O1124" s="8">
        <v>5169.0</v>
      </c>
      <c r="P1124" s="11">
        <v>30.1578</v>
      </c>
      <c r="Q1124" s="8" t="s">
        <v>2790</v>
      </c>
      <c r="R1124" s="11">
        <v>0.4544</v>
      </c>
      <c r="S1124" s="12">
        <v>3336733.0</v>
      </c>
      <c r="T1124" s="12">
        <v>2.85650697393E11</v>
      </c>
      <c r="U1124" s="13">
        <v>4.2265</v>
      </c>
      <c r="V1124" s="13"/>
      <c r="W1124" s="13">
        <v>35.6093</v>
      </c>
      <c r="X1124" s="13">
        <v>7.556</v>
      </c>
      <c r="Y1124" s="13"/>
      <c r="Z1124" s="13">
        <v>0.9582</v>
      </c>
      <c r="AA1124" s="8" t="s">
        <v>2611</v>
      </c>
      <c r="AB1124" s="14">
        <f>IFERROR(__xludf.DUMMYFUNCTION("IFERROR(GOOGLEFINANCE(B1124,""price""),"""")"),160.45)</f>
        <v>160.45</v>
      </c>
    </row>
    <row r="1125">
      <c r="A1125" s="15">
        <v>46072.87010846348</v>
      </c>
      <c r="B1125" s="16" t="s">
        <v>2775</v>
      </c>
      <c r="C1125" s="16" t="s">
        <v>2776</v>
      </c>
      <c r="D1125" s="17">
        <v>46075.0</v>
      </c>
      <c r="E1125" s="18">
        <v>57.89</v>
      </c>
      <c r="F1125" s="16" t="s">
        <v>93</v>
      </c>
      <c r="G1125" s="21">
        <v>12.5363</v>
      </c>
      <c r="H1125" s="21">
        <v>4.6178</v>
      </c>
      <c r="I1125" s="17">
        <v>46073.0</v>
      </c>
      <c r="J1125" s="18">
        <v>57.5</v>
      </c>
      <c r="K1125" s="16">
        <v>3097.0</v>
      </c>
      <c r="L1125" s="16" t="s">
        <v>2608</v>
      </c>
      <c r="M1125" s="19">
        <v>0.67</v>
      </c>
      <c r="N1125" s="16" t="s">
        <v>3702</v>
      </c>
      <c r="O1125" s="16">
        <v>4360.0</v>
      </c>
      <c r="P1125" s="19">
        <v>26.883</v>
      </c>
      <c r="Q1125" s="16" t="s">
        <v>2778</v>
      </c>
      <c r="R1125" s="19">
        <v>-1.4806</v>
      </c>
      <c r="S1125" s="20">
        <v>6914960.0</v>
      </c>
      <c r="T1125" s="20">
        <v>8.9986186438E10</v>
      </c>
      <c r="U1125" s="21">
        <v>1.3266</v>
      </c>
      <c r="V1125" s="21">
        <v>12.1773</v>
      </c>
      <c r="W1125" s="21">
        <v>23.9548</v>
      </c>
      <c r="X1125" s="21">
        <v>2.1447</v>
      </c>
      <c r="Y1125" s="21">
        <v>1.1953</v>
      </c>
      <c r="Z1125" s="21">
        <v>0.4632</v>
      </c>
      <c r="AA1125" s="16" t="s">
        <v>2611</v>
      </c>
      <c r="AB1125" s="22">
        <f>IFERROR(__xludf.DUMMYFUNCTION("IFERROR(GOOGLEFINANCE(B1125,""price""),"""")"),55.66)</f>
        <v>55.66</v>
      </c>
    </row>
    <row r="1126">
      <c r="A1126" s="7">
        <v>46072.87010846348</v>
      </c>
      <c r="B1126" s="8" t="s">
        <v>3237</v>
      </c>
      <c r="C1126" s="8" t="s">
        <v>3238</v>
      </c>
      <c r="D1126" s="9">
        <v>46075.0</v>
      </c>
      <c r="E1126" s="10">
        <v>327.11</v>
      </c>
      <c r="F1126" s="8" t="s">
        <v>149</v>
      </c>
      <c r="G1126" s="13">
        <v>27.3675</v>
      </c>
      <c r="H1126" s="13">
        <v>11.9525</v>
      </c>
      <c r="I1126" s="9">
        <v>46073.0</v>
      </c>
      <c r="J1126" s="10">
        <v>325.0</v>
      </c>
      <c r="K1126" s="8">
        <v>2128.0</v>
      </c>
      <c r="L1126" s="8" t="s">
        <v>2608</v>
      </c>
      <c r="M1126" s="11">
        <v>0.65</v>
      </c>
      <c r="N1126" s="8" t="s">
        <v>3703</v>
      </c>
      <c r="O1126" s="8">
        <v>4200.0</v>
      </c>
      <c r="P1126" s="11">
        <v>33.6782</v>
      </c>
      <c r="Q1126" s="8" t="s">
        <v>3240</v>
      </c>
      <c r="R1126" s="11">
        <v>-0.2379</v>
      </c>
      <c r="S1126" s="12">
        <v>4032263.0</v>
      </c>
      <c r="T1126" s="12">
        <v>2.32952822423E11</v>
      </c>
      <c r="U1126" s="13">
        <v>5.7755</v>
      </c>
      <c r="V1126" s="13"/>
      <c r="W1126" s="13">
        <v>46.1038</v>
      </c>
      <c r="X1126" s="13">
        <v>3.723</v>
      </c>
      <c r="Y1126" s="13"/>
      <c r="Z1126" s="13">
        <v>0.9546</v>
      </c>
      <c r="AA1126" s="8" t="s">
        <v>2611</v>
      </c>
      <c r="AB1126" s="14">
        <f>IFERROR(__xludf.DUMMYFUNCTION("IFERROR(GOOGLEFINANCE(B1126,""price""),"""")"),305.68)</f>
        <v>305.68</v>
      </c>
    </row>
    <row r="1127">
      <c r="A1127" s="15">
        <v>46072.87010846348</v>
      </c>
      <c r="B1127" s="16" t="s">
        <v>3542</v>
      </c>
      <c r="C1127" s="16" t="s">
        <v>3543</v>
      </c>
      <c r="D1127" s="17">
        <v>46075.0</v>
      </c>
      <c r="E1127" s="18">
        <v>151.3</v>
      </c>
      <c r="F1127" s="16" t="s">
        <v>308</v>
      </c>
      <c r="G1127" s="21">
        <v>36.952</v>
      </c>
      <c r="H1127" s="21">
        <v>4.0945</v>
      </c>
      <c r="I1127" s="17">
        <v>46073.0</v>
      </c>
      <c r="J1127" s="18">
        <v>152.5</v>
      </c>
      <c r="K1127" s="16">
        <v>2302.0</v>
      </c>
      <c r="L1127" s="16" t="s">
        <v>2608</v>
      </c>
      <c r="M1127" s="19">
        <v>0.79</v>
      </c>
      <c r="N1127" s="16" t="s">
        <v>3640</v>
      </c>
      <c r="O1127" s="16">
        <v>3975.0</v>
      </c>
      <c r="P1127" s="19">
        <v>21.8375</v>
      </c>
      <c r="Q1127" s="16" t="s">
        <v>3545</v>
      </c>
      <c r="R1127" s="19">
        <v>0.1059</v>
      </c>
      <c r="S1127" s="20">
        <v>2253974.0</v>
      </c>
      <c r="T1127" s="20">
        <v>8.5076301787E10</v>
      </c>
      <c r="U1127" s="21">
        <v>4.9042</v>
      </c>
      <c r="V1127" s="21">
        <v>11.3131</v>
      </c>
      <c r="W1127" s="21">
        <v>19.8768</v>
      </c>
      <c r="X1127" s="21">
        <v>3.607</v>
      </c>
      <c r="Y1127" s="21">
        <v>0.6933</v>
      </c>
      <c r="Z1127" s="21">
        <v>0.8406</v>
      </c>
      <c r="AA1127" s="16" t="s">
        <v>2620</v>
      </c>
      <c r="AB1127" s="22">
        <f>IFERROR(__xludf.DUMMYFUNCTION("IFERROR(GOOGLEFINANCE(B1127,""price""),"""")"),143.77)</f>
        <v>143.77</v>
      </c>
    </row>
    <row r="1128">
      <c r="A1128" s="7">
        <v>46072.87010846348</v>
      </c>
      <c r="B1128" s="8" t="s">
        <v>3022</v>
      </c>
      <c r="C1128" s="8" t="s">
        <v>3023</v>
      </c>
      <c r="D1128" s="9">
        <v>46075.0</v>
      </c>
      <c r="E1128" s="10">
        <v>760.53</v>
      </c>
      <c r="F1128" s="8" t="s">
        <v>102</v>
      </c>
      <c r="G1128" s="13">
        <v>40.3968</v>
      </c>
      <c r="H1128" s="13">
        <v>18.8265</v>
      </c>
      <c r="I1128" s="9">
        <v>46073.0</v>
      </c>
      <c r="J1128" s="10">
        <v>750.0</v>
      </c>
      <c r="K1128" s="8">
        <v>1593.0</v>
      </c>
      <c r="L1128" s="8" t="s">
        <v>2608</v>
      </c>
      <c r="M1128" s="11">
        <v>1.38</v>
      </c>
      <c r="N1128" s="8" t="s">
        <v>3704</v>
      </c>
      <c r="O1128" s="8">
        <v>2990.0</v>
      </c>
      <c r="P1128" s="11">
        <v>35.9586</v>
      </c>
      <c r="Q1128" s="8" t="s">
        <v>3025</v>
      </c>
      <c r="R1128" s="11">
        <v>1.1383</v>
      </c>
      <c r="S1128" s="12">
        <v>2908015.0</v>
      </c>
      <c r="T1128" s="12">
        <v>3.53864977183E11</v>
      </c>
      <c r="U1128" s="13">
        <v>24.745</v>
      </c>
      <c r="V1128" s="13">
        <v>43.5394</v>
      </c>
      <c r="W1128" s="13">
        <v>17.1611</v>
      </c>
      <c r="X1128" s="13">
        <v>4.2895</v>
      </c>
      <c r="Y1128" s="13">
        <v>2.0667</v>
      </c>
      <c r="Z1128" s="13">
        <v>1.4357</v>
      </c>
      <c r="AA1128" s="8" t="s">
        <v>2611</v>
      </c>
      <c r="AB1128" s="14">
        <f>IFERROR(__xludf.DUMMYFUNCTION("IFERROR(GOOGLEFINANCE(B1128,""price""),"""")"),790.66)</f>
        <v>790.66</v>
      </c>
    </row>
    <row r="1129">
      <c r="A1129" s="15">
        <v>46072.87010846348</v>
      </c>
      <c r="B1129" s="16" t="s">
        <v>3355</v>
      </c>
      <c r="C1129" s="16" t="s">
        <v>3356</v>
      </c>
      <c r="D1129" s="17">
        <v>46075.0</v>
      </c>
      <c r="E1129" s="18">
        <v>212.98</v>
      </c>
      <c r="F1129" s="16" t="s">
        <v>149</v>
      </c>
      <c r="G1129" s="21">
        <v>22.3198</v>
      </c>
      <c r="H1129" s="21">
        <v>9.5422</v>
      </c>
      <c r="I1129" s="17">
        <v>46073.0</v>
      </c>
      <c r="J1129" s="18">
        <v>210.0</v>
      </c>
      <c r="K1129" s="16">
        <v>2839.0</v>
      </c>
      <c r="L1129" s="16" t="s">
        <v>2608</v>
      </c>
      <c r="M1129" s="19">
        <v>1.4</v>
      </c>
      <c r="N1129" s="16" t="s">
        <v>3736</v>
      </c>
      <c r="O1129" s="16">
        <v>2839.0</v>
      </c>
      <c r="P1129" s="19">
        <v>30.036</v>
      </c>
      <c r="Q1129" s="16" t="s">
        <v>3358</v>
      </c>
      <c r="R1129" s="19">
        <v>-1.585</v>
      </c>
      <c r="S1129" s="20">
        <v>1321647.0</v>
      </c>
      <c r="T1129" s="20">
        <v>2.4522358244E10</v>
      </c>
      <c r="U1129" s="21">
        <v>5.601</v>
      </c>
      <c r="V1129" s="21">
        <v>54.1035</v>
      </c>
      <c r="W1129" s="21">
        <v>11.9278</v>
      </c>
      <c r="X1129" s="21">
        <v>8.6138</v>
      </c>
      <c r="Y1129" s="21">
        <v>3.9974</v>
      </c>
      <c r="Z1129" s="21">
        <v>0.3937</v>
      </c>
      <c r="AA1129" s="16" t="s">
        <v>2611</v>
      </c>
      <c r="AB1129" s="22">
        <f>IFERROR(__xludf.DUMMYFUNCTION("IFERROR(GOOGLEFINANCE(B1129,""price""),"""")"),192.39)</f>
        <v>192.39</v>
      </c>
    </row>
    <row r="1130">
      <c r="A1130" s="7">
        <v>46072.87010846348</v>
      </c>
      <c r="B1130" s="8" t="s">
        <v>2646</v>
      </c>
      <c r="C1130" s="8" t="s">
        <v>2647</v>
      </c>
      <c r="D1130" s="9">
        <v>46075.0</v>
      </c>
      <c r="E1130" s="10">
        <v>36.18</v>
      </c>
      <c r="F1130" s="8" t="s">
        <v>270</v>
      </c>
      <c r="G1130" s="13">
        <v>13.6246</v>
      </c>
      <c r="H1130" s="13">
        <v>2.6555</v>
      </c>
      <c r="I1130" s="9">
        <v>46073.0</v>
      </c>
      <c r="J1130" s="10">
        <v>36.0</v>
      </c>
      <c r="K1130" s="8">
        <v>2768.0</v>
      </c>
      <c r="L1130" s="8" t="s">
        <v>2627</v>
      </c>
      <c r="M1130" s="11">
        <v>0.5</v>
      </c>
      <c r="N1130" s="8" t="s">
        <v>3705</v>
      </c>
      <c r="O1130" s="8">
        <v>2768.0</v>
      </c>
      <c r="P1130" s="11">
        <v>42.5024</v>
      </c>
      <c r="Q1130" s="8" t="s">
        <v>2649</v>
      </c>
      <c r="R1130" s="11">
        <v>0.1939</v>
      </c>
      <c r="S1130" s="12">
        <v>3944617.0</v>
      </c>
      <c r="T1130" s="12">
        <v>7.8268956729E10</v>
      </c>
      <c r="U1130" s="13">
        <v>0.7121</v>
      </c>
      <c r="V1130" s="13"/>
      <c r="W1130" s="13">
        <v>13.037</v>
      </c>
      <c r="X1130" s="13">
        <v>-5.779</v>
      </c>
      <c r="Y1130" s="13"/>
      <c r="Z1130" s="13"/>
      <c r="AA1130" s="8" t="s">
        <v>2611</v>
      </c>
      <c r="AB1130" s="14">
        <f>IFERROR(__xludf.DUMMYFUNCTION("IFERROR(GOOGLEFINANCE(B1130,""price""),"""")"),37.35)</f>
        <v>37.35</v>
      </c>
    </row>
    <row r="1131">
      <c r="A1131" s="15">
        <v>46072.87010846348</v>
      </c>
      <c r="B1131" s="16" t="s">
        <v>2768</v>
      </c>
      <c r="C1131" s="16" t="s">
        <v>2769</v>
      </c>
      <c r="D1131" s="17">
        <v>46075.0</v>
      </c>
      <c r="E1131" s="18">
        <v>284.67</v>
      </c>
      <c r="F1131" s="16" t="s">
        <v>308</v>
      </c>
      <c r="G1131" s="21">
        <v>28.5793</v>
      </c>
      <c r="H1131" s="21">
        <v>9.9607</v>
      </c>
      <c r="I1131" s="17">
        <v>46073.0</v>
      </c>
      <c r="J1131" s="18">
        <v>290.0</v>
      </c>
      <c r="K1131" s="16">
        <v>1344.0</v>
      </c>
      <c r="L1131" s="16" t="s">
        <v>2608</v>
      </c>
      <c r="M1131" s="19">
        <v>1.87</v>
      </c>
      <c r="N1131" s="16" t="s">
        <v>3706</v>
      </c>
      <c r="O1131" s="16">
        <v>2668.0</v>
      </c>
      <c r="P1131" s="19">
        <v>37.0135</v>
      </c>
      <c r="Q1131" s="16" t="s">
        <v>2771</v>
      </c>
      <c r="R1131" s="19">
        <v>-4.0093</v>
      </c>
      <c r="S1131" s="20">
        <v>1.039975E7</v>
      </c>
      <c r="T1131" s="20">
        <v>9.6513927692E10</v>
      </c>
      <c r="U1131" s="21">
        <v>21.5755</v>
      </c>
      <c r="V1131" s="21">
        <v>41.2731</v>
      </c>
      <c r="W1131" s="21">
        <v>27.8834</v>
      </c>
      <c r="X1131" s="21">
        <v>-31.1967</v>
      </c>
      <c r="Y1131" s="21">
        <v>0.7076</v>
      </c>
      <c r="Z1131" s="21">
        <v>1.455</v>
      </c>
      <c r="AA1131" s="16" t="s">
        <v>2620</v>
      </c>
      <c r="AB1131" s="22">
        <f>IFERROR(__xludf.DUMMYFUNCTION("IFERROR(GOOGLEFINANCE(B1131,""price""),"""")"),343.43)</f>
        <v>343.43</v>
      </c>
    </row>
    <row r="1132">
      <c r="A1132" s="7">
        <v>46072.87010846348</v>
      </c>
      <c r="B1132" s="8" t="s">
        <v>3416</v>
      </c>
      <c r="C1132" s="8" t="s">
        <v>3417</v>
      </c>
      <c r="D1132" s="9">
        <v>46075.0</v>
      </c>
      <c r="E1132" s="10">
        <v>67.99</v>
      </c>
      <c r="F1132" s="8" t="s">
        <v>286</v>
      </c>
      <c r="G1132" s="13">
        <v>16.5157</v>
      </c>
      <c r="H1132" s="13">
        <v>4.1167</v>
      </c>
      <c r="I1132" s="9">
        <v>46073.0</v>
      </c>
      <c r="J1132" s="10">
        <v>68.0</v>
      </c>
      <c r="K1132" s="8">
        <v>1576.0</v>
      </c>
      <c r="L1132" s="8" t="s">
        <v>2608</v>
      </c>
      <c r="M1132" s="11">
        <v>0.01</v>
      </c>
      <c r="N1132" s="8" t="s">
        <v>3707</v>
      </c>
      <c r="O1132" s="8">
        <v>2586.0</v>
      </c>
      <c r="P1132" s="11">
        <v>27.9172</v>
      </c>
      <c r="Q1132" s="8" t="s">
        <v>3419</v>
      </c>
      <c r="R1132" s="11">
        <v>1.8272</v>
      </c>
      <c r="S1132" s="12">
        <v>7836672.0</v>
      </c>
      <c r="T1132" s="12">
        <v>1.14132870145E11</v>
      </c>
      <c r="U1132" s="13">
        <v>1.4118</v>
      </c>
      <c r="V1132" s="13"/>
      <c r="W1132" s="13">
        <v>63.7221</v>
      </c>
      <c r="X1132" s="13">
        <v>-1.4919</v>
      </c>
      <c r="Y1132" s="13"/>
      <c r="Z1132" s="13">
        <v>0.648</v>
      </c>
      <c r="AA1132" s="8" t="s">
        <v>2620</v>
      </c>
      <c r="AB1132" s="14">
        <f>IFERROR(__xludf.DUMMYFUNCTION("IFERROR(GOOGLEFINANCE(B1132,""price""),"""")"),67.38)</f>
        <v>67.38</v>
      </c>
    </row>
    <row r="1133">
      <c r="A1133" s="15">
        <v>46072.87010846348</v>
      </c>
      <c r="B1133" s="16" t="s">
        <v>2973</v>
      </c>
      <c r="C1133" s="16" t="s">
        <v>2974</v>
      </c>
      <c r="D1133" s="17">
        <v>46075.0</v>
      </c>
      <c r="E1133" s="18">
        <v>51.78</v>
      </c>
      <c r="F1133" s="16" t="s">
        <v>93</v>
      </c>
      <c r="G1133" s="21">
        <v>13.5642</v>
      </c>
      <c r="H1133" s="21">
        <v>3.8174</v>
      </c>
      <c r="I1133" s="17">
        <v>46073.0</v>
      </c>
      <c r="J1133" s="18">
        <v>52.5</v>
      </c>
      <c r="K1133" s="16">
        <v>2561.0</v>
      </c>
      <c r="L1133" s="16" t="s">
        <v>2608</v>
      </c>
      <c r="M1133" s="19">
        <v>1.39</v>
      </c>
      <c r="N1133" s="16" t="s">
        <v>3594</v>
      </c>
      <c r="O1133" s="16">
        <v>2561.0</v>
      </c>
      <c r="P1133" s="19">
        <v>19.7302</v>
      </c>
      <c r="Q1133" s="16" t="s">
        <v>2976</v>
      </c>
      <c r="R1133" s="19">
        <v>-1.7271</v>
      </c>
      <c r="S1133" s="20">
        <v>9333719.0</v>
      </c>
      <c r="T1133" s="20">
        <v>6.6239367329E10</v>
      </c>
      <c r="U1133" s="21">
        <v>1.2598</v>
      </c>
      <c r="V1133" s="21">
        <v>8.2363</v>
      </c>
      <c r="W1133" s="21">
        <v>21.1616</v>
      </c>
      <c r="X1133" s="21">
        <v>24.2886</v>
      </c>
      <c r="Y1133" s="21">
        <v>1.0708</v>
      </c>
      <c r="Z1133" s="21">
        <v>0.3413</v>
      </c>
      <c r="AA1133" s="16" t="s">
        <v>2620</v>
      </c>
      <c r="AB1133" s="22">
        <f>IFERROR(__xludf.DUMMYFUNCTION("IFERROR(GOOGLEFINANCE(B1133,""price""),"""")"),49.6)</f>
        <v>49.6</v>
      </c>
    </row>
    <row r="1134">
      <c r="A1134" s="7">
        <v>46072.87010846348</v>
      </c>
      <c r="B1134" s="8" t="s">
        <v>2505</v>
      </c>
      <c r="C1134" s="8" t="s">
        <v>2506</v>
      </c>
      <c r="D1134" s="9">
        <v>46075.0</v>
      </c>
      <c r="E1134" s="10">
        <v>180.04</v>
      </c>
      <c r="F1134" s="8" t="s">
        <v>335</v>
      </c>
      <c r="G1134" s="13">
        <v>23.8856</v>
      </c>
      <c r="H1134" s="13">
        <v>7.5376</v>
      </c>
      <c r="I1134" s="9">
        <v>46073.0</v>
      </c>
      <c r="J1134" s="10">
        <v>180.0</v>
      </c>
      <c r="K1134" s="8">
        <v>1546.0</v>
      </c>
      <c r="L1134" s="8" t="s">
        <v>2627</v>
      </c>
      <c r="M1134" s="11">
        <v>0.02</v>
      </c>
      <c r="N1134" s="8" t="s">
        <v>3708</v>
      </c>
      <c r="O1134" s="8">
        <v>2553.0</v>
      </c>
      <c r="P1134" s="11">
        <v>20.3538</v>
      </c>
      <c r="Q1134" s="8" t="s">
        <v>2507</v>
      </c>
      <c r="R1134" s="11">
        <v>-2.4385</v>
      </c>
      <c r="S1134" s="12">
        <v>1987140.0</v>
      </c>
      <c r="T1134" s="12">
        <v>4.1203711258E10</v>
      </c>
      <c r="U1134" s="13">
        <v>5.69</v>
      </c>
      <c r="V1134" s="13">
        <v>8.4356</v>
      </c>
      <c r="W1134" s="13">
        <v>8.2261</v>
      </c>
      <c r="X1134" s="13">
        <v>5.7251</v>
      </c>
      <c r="Y1134" s="13">
        <v>0.3401</v>
      </c>
      <c r="Z1134" s="13">
        <v>2.9383</v>
      </c>
      <c r="AA1134" s="8" t="s">
        <v>2611</v>
      </c>
      <c r="AB1134" s="14">
        <f>IFERROR(__xludf.DUMMYFUNCTION("IFERROR(GOOGLEFINANCE(B1134,""price""),"""")"),186.12)</f>
        <v>186.12</v>
      </c>
    </row>
    <row r="1135">
      <c r="A1135" s="15">
        <v>46072.87010846348</v>
      </c>
      <c r="B1135" s="16" t="s">
        <v>2344</v>
      </c>
      <c r="C1135" s="16" t="s">
        <v>2345</v>
      </c>
      <c r="D1135" s="17">
        <v>46075.0</v>
      </c>
      <c r="E1135" s="18">
        <v>72.17</v>
      </c>
      <c r="F1135" s="16" t="s">
        <v>270</v>
      </c>
      <c r="G1135" s="21"/>
      <c r="H1135" s="21"/>
      <c r="I1135" s="17">
        <v>46073.0</v>
      </c>
      <c r="J1135" s="18">
        <v>73.0</v>
      </c>
      <c r="K1135" s="16">
        <v>1518.0</v>
      </c>
      <c r="L1135" s="16" t="s">
        <v>2608</v>
      </c>
      <c r="M1135" s="19">
        <v>1.15</v>
      </c>
      <c r="N1135" s="16" t="s">
        <v>3709</v>
      </c>
      <c r="O1135" s="16">
        <v>2552.0</v>
      </c>
      <c r="P1135" s="19">
        <v>44.9426</v>
      </c>
      <c r="Q1135" s="16" t="s">
        <v>2346</v>
      </c>
      <c r="R1135" s="19">
        <v>0.0416</v>
      </c>
      <c r="S1135" s="20">
        <v>6657595.0</v>
      </c>
      <c r="T1135" s="20">
        <v>8.8135365252E10</v>
      </c>
      <c r="U1135" s="21">
        <v>1.778</v>
      </c>
      <c r="V1135" s="21">
        <v>20.7424</v>
      </c>
      <c r="W1135" s="21">
        <v>36.7664</v>
      </c>
      <c r="X1135" s="21">
        <v>10.611</v>
      </c>
      <c r="Y1135" s="21">
        <v>2.2926</v>
      </c>
      <c r="Z1135" s="21">
        <v>0.5313</v>
      </c>
      <c r="AA1135" s="16" t="s">
        <v>2620</v>
      </c>
      <c r="AB1135" s="22">
        <f>IFERROR(__xludf.DUMMYFUNCTION("IFERROR(GOOGLEFINANCE(B1135,""price""),"""")"),72.74)</f>
        <v>72.74</v>
      </c>
    </row>
    <row r="1136">
      <c r="A1136" s="7">
        <v>46072.87010846348</v>
      </c>
      <c r="B1136" s="8" t="s">
        <v>2680</v>
      </c>
      <c r="C1136" s="8" t="s">
        <v>2681</v>
      </c>
      <c r="D1136" s="9">
        <v>46075.0</v>
      </c>
      <c r="E1136" s="10">
        <v>199.24</v>
      </c>
      <c r="F1136" s="8" t="s">
        <v>245</v>
      </c>
      <c r="G1136" s="13">
        <v>26.0516</v>
      </c>
      <c r="H1136" s="13">
        <v>7.6479</v>
      </c>
      <c r="I1136" s="9">
        <v>46073.0</v>
      </c>
      <c r="J1136" s="10">
        <v>200.0</v>
      </c>
      <c r="K1136" s="8">
        <v>1409.0</v>
      </c>
      <c r="L1136" s="8" t="s">
        <v>2608</v>
      </c>
      <c r="M1136" s="11">
        <v>0.38</v>
      </c>
      <c r="N1136" s="8" t="s">
        <v>3710</v>
      </c>
      <c r="O1136" s="8">
        <v>2456.0</v>
      </c>
      <c r="P1136" s="11">
        <v>38.0021</v>
      </c>
      <c r="Q1136" s="8" t="s">
        <v>2683</v>
      </c>
      <c r="R1136" s="11">
        <v>-0.1103</v>
      </c>
      <c r="S1136" s="12">
        <v>2187636.0</v>
      </c>
      <c r="T1136" s="12">
        <v>6.0770099106E10</v>
      </c>
      <c r="U1136" s="13">
        <v>6.361</v>
      </c>
      <c r="V1136" s="13">
        <v>9.7104</v>
      </c>
      <c r="W1136" s="13">
        <v>3.6059</v>
      </c>
      <c r="X1136" s="13">
        <v>-5.4437</v>
      </c>
      <c r="Y1136" s="13">
        <v>0.4476</v>
      </c>
      <c r="Z1136" s="13">
        <v>1.645</v>
      </c>
      <c r="AA1136" s="8" t="s">
        <v>2620</v>
      </c>
      <c r="AB1136" s="14">
        <f>IFERROR(__xludf.DUMMYFUNCTION("IFERROR(GOOGLEFINANCE(B1136,""price""),"""")"),238.82)</f>
        <v>238.82</v>
      </c>
    </row>
    <row r="1137">
      <c r="A1137" s="15">
        <v>46072.87010846348</v>
      </c>
      <c r="B1137" s="16" t="s">
        <v>2696</v>
      </c>
      <c r="C1137" s="16" t="s">
        <v>2697</v>
      </c>
      <c r="D1137" s="17">
        <v>46075.0</v>
      </c>
      <c r="E1137" s="18">
        <v>185.19</v>
      </c>
      <c r="F1137" s="16" t="s">
        <v>162</v>
      </c>
      <c r="G1137" s="21">
        <v>38.317</v>
      </c>
      <c r="H1137" s="21">
        <v>4.8331</v>
      </c>
      <c r="I1137" s="17">
        <v>46073.0</v>
      </c>
      <c r="J1137" s="18">
        <v>185.0</v>
      </c>
      <c r="K1137" s="16">
        <v>2428.0</v>
      </c>
      <c r="L1137" s="16" t="s">
        <v>2608</v>
      </c>
      <c r="M1137" s="19">
        <v>0.1</v>
      </c>
      <c r="N1137" s="16" t="s">
        <v>3711</v>
      </c>
      <c r="O1137" s="16">
        <v>2428.0</v>
      </c>
      <c r="P1137" s="19">
        <v>45.6021</v>
      </c>
      <c r="Q1137" s="16" t="s">
        <v>2699</v>
      </c>
      <c r="R1137" s="19">
        <v>-0.3605</v>
      </c>
      <c r="S1137" s="20">
        <v>2469954.0</v>
      </c>
      <c r="T1137" s="20">
        <v>2.1967392386E10</v>
      </c>
      <c r="U1137" s="21">
        <v>7.995</v>
      </c>
      <c r="V1137" s="21">
        <v>32.9109</v>
      </c>
      <c r="W1137" s="21">
        <v>4.9029</v>
      </c>
      <c r="X1137" s="21">
        <v>-8.4186</v>
      </c>
      <c r="Y1137" s="21">
        <v>0.756</v>
      </c>
      <c r="Z1137" s="21">
        <v>1.5278</v>
      </c>
      <c r="AA1137" s="16" t="s">
        <v>2611</v>
      </c>
      <c r="AB1137" s="22">
        <f>IFERROR(__xludf.DUMMYFUNCTION("IFERROR(GOOGLEFINANCE(B1137,""price""),"""")"),163.49)</f>
        <v>163.49</v>
      </c>
    </row>
    <row r="1138">
      <c r="A1138" s="7">
        <v>46072.87010846348</v>
      </c>
      <c r="B1138" s="8" t="s">
        <v>2843</v>
      </c>
      <c r="C1138" s="8" t="s">
        <v>2844</v>
      </c>
      <c r="D1138" s="9">
        <v>46075.0</v>
      </c>
      <c r="E1138" s="10">
        <v>205.41</v>
      </c>
      <c r="F1138" s="8" t="s">
        <v>308</v>
      </c>
      <c r="G1138" s="13">
        <v>41.3933</v>
      </c>
      <c r="H1138" s="13">
        <v>4.9624</v>
      </c>
      <c r="I1138" s="9">
        <v>46073.0</v>
      </c>
      <c r="J1138" s="10">
        <v>205.0</v>
      </c>
      <c r="K1138" s="8">
        <v>2062.0</v>
      </c>
      <c r="L1138" s="8" t="s">
        <v>2608</v>
      </c>
      <c r="M1138" s="11">
        <v>0.2</v>
      </c>
      <c r="N1138" s="8" t="s">
        <v>3737</v>
      </c>
      <c r="O1138" s="8">
        <v>2062.0</v>
      </c>
      <c r="P1138" s="11">
        <v>35.0979</v>
      </c>
      <c r="Q1138" s="8" t="s">
        <v>2846</v>
      </c>
      <c r="R1138" s="11">
        <v>0.293</v>
      </c>
      <c r="S1138" s="12">
        <v>6128377.0</v>
      </c>
      <c r="T1138" s="12">
        <v>2.75719292148E11</v>
      </c>
      <c r="U1138" s="13">
        <v>4.8585</v>
      </c>
      <c r="V1138" s="13">
        <v>10.7368</v>
      </c>
      <c r="W1138" s="13">
        <v>10.0301</v>
      </c>
      <c r="X1138" s="13">
        <v>9.7414</v>
      </c>
      <c r="Y1138" s="13">
        <v>0.6124</v>
      </c>
      <c r="Z1138" s="13">
        <v>0.9804</v>
      </c>
      <c r="AA1138" s="8" t="s">
        <v>2611</v>
      </c>
      <c r="AB1138" s="14">
        <f>IFERROR(__xludf.DUMMYFUNCTION("IFERROR(GOOGLEFINANCE(B1138,""price""),"""")"),201.56)</f>
        <v>201.56</v>
      </c>
    </row>
    <row r="1139">
      <c r="A1139" s="15">
        <v>46072.87010846348</v>
      </c>
      <c r="B1139" s="16" t="s">
        <v>3713</v>
      </c>
      <c r="C1139" s="16" t="s">
        <v>3714</v>
      </c>
      <c r="D1139" s="17">
        <v>46075.0</v>
      </c>
      <c r="E1139" s="18">
        <v>157.46</v>
      </c>
      <c r="F1139" s="16" t="s">
        <v>149</v>
      </c>
      <c r="G1139" s="21">
        <v>114.9343</v>
      </c>
      <c r="H1139" s="21">
        <v>1.37</v>
      </c>
      <c r="I1139" s="17">
        <v>46073.0</v>
      </c>
      <c r="J1139" s="18">
        <v>155.0</v>
      </c>
      <c r="K1139" s="16">
        <v>2056.0</v>
      </c>
      <c r="L1139" s="16" t="s">
        <v>2608</v>
      </c>
      <c r="M1139" s="19">
        <v>1.56</v>
      </c>
      <c r="N1139" s="16" t="s">
        <v>3715</v>
      </c>
      <c r="O1139" s="16">
        <v>2056.0</v>
      </c>
      <c r="P1139" s="19">
        <v>21.2051</v>
      </c>
      <c r="Q1139" s="16" t="s">
        <v>3716</v>
      </c>
      <c r="R1139" s="19">
        <v>1.0784</v>
      </c>
      <c r="S1139" s="20">
        <v>3758128.0</v>
      </c>
      <c r="T1139" s="20">
        <v>3.6563667238E10</v>
      </c>
      <c r="U1139" s="21">
        <v>5.0357</v>
      </c>
      <c r="V1139" s="21">
        <v>79.6258</v>
      </c>
      <c r="W1139" s="21">
        <v>6.0286</v>
      </c>
      <c r="X1139" s="21">
        <v>5.3898</v>
      </c>
      <c r="Y1139" s="21">
        <v>18.0088</v>
      </c>
      <c r="Z1139" s="21">
        <v>0.9212</v>
      </c>
      <c r="AA1139" s="16" t="s">
        <v>2611</v>
      </c>
      <c r="AB1139" s="22">
        <f>IFERROR(__xludf.DUMMYFUNCTION("IFERROR(GOOGLEFINANCE(B1139,""price""),"""")"),160.59)</f>
        <v>160.59</v>
      </c>
    </row>
    <row r="1140">
      <c r="A1140" s="7">
        <v>46072.87010846348</v>
      </c>
      <c r="B1140" s="8" t="s">
        <v>2366</v>
      </c>
      <c r="C1140" s="8" t="s">
        <v>2367</v>
      </c>
      <c r="D1140" s="9">
        <v>46075.0</v>
      </c>
      <c r="E1140" s="10">
        <v>261.88</v>
      </c>
      <c r="F1140" s="8" t="s">
        <v>102</v>
      </c>
      <c r="G1140" s="13">
        <v>38.3449</v>
      </c>
      <c r="H1140" s="13">
        <v>6.8296</v>
      </c>
      <c r="I1140" s="9">
        <v>46073.0</v>
      </c>
      <c r="J1140" s="10">
        <v>260.0</v>
      </c>
      <c r="K1140" s="8">
        <v>2016.0</v>
      </c>
      <c r="L1140" s="8" t="s">
        <v>2608</v>
      </c>
      <c r="M1140" s="11">
        <v>0.72</v>
      </c>
      <c r="N1140" s="8" t="s">
        <v>3738</v>
      </c>
      <c r="O1140" s="8">
        <v>2016.0</v>
      </c>
      <c r="P1140" s="11">
        <v>45.641</v>
      </c>
      <c r="Q1140" s="8" t="s">
        <v>2368</v>
      </c>
      <c r="R1140" s="11">
        <v>0.9833</v>
      </c>
      <c r="S1140" s="12">
        <v>1213433.0</v>
      </c>
      <c r="T1140" s="12">
        <v>4.4655037152E10</v>
      </c>
      <c r="U1140" s="13">
        <v>5.7633</v>
      </c>
      <c r="V1140" s="13">
        <v>11.0112</v>
      </c>
      <c r="W1140" s="13">
        <v>16.3428</v>
      </c>
      <c r="X1140" s="13">
        <v>7.5094</v>
      </c>
      <c r="Y1140" s="13">
        <v>0.5325</v>
      </c>
      <c r="Z1140" s="13">
        <v>1.1056</v>
      </c>
      <c r="AA1140" s="8" t="s">
        <v>2611</v>
      </c>
      <c r="AB1140" s="14">
        <f>IFERROR(__xludf.DUMMYFUNCTION("IFERROR(GOOGLEFINANCE(B1140,""price""),"""")"),267.28)</f>
        <v>267.28</v>
      </c>
    </row>
    <row r="1141">
      <c r="A1141" s="15">
        <v>46072.87010846348</v>
      </c>
      <c r="B1141" s="16" t="s">
        <v>3516</v>
      </c>
      <c r="C1141" s="16" t="s">
        <v>3517</v>
      </c>
      <c r="D1141" s="17">
        <v>46075.0</v>
      </c>
      <c r="E1141" s="18">
        <v>278.18</v>
      </c>
      <c r="F1141" s="16" t="s">
        <v>137</v>
      </c>
      <c r="G1141" s="21">
        <v>23.0616</v>
      </c>
      <c r="H1141" s="21">
        <v>12.0625</v>
      </c>
      <c r="I1141" s="17">
        <v>46073.0</v>
      </c>
      <c r="J1141" s="18">
        <v>280.0</v>
      </c>
      <c r="K1141" s="16">
        <v>1934.0</v>
      </c>
      <c r="L1141" s="16" t="s">
        <v>2608</v>
      </c>
      <c r="M1141" s="19">
        <v>0.65</v>
      </c>
      <c r="N1141" s="16" t="s">
        <v>3717</v>
      </c>
      <c r="O1141" s="16">
        <v>1934.0</v>
      </c>
      <c r="P1141" s="19">
        <v>27.0763</v>
      </c>
      <c r="Q1141" s="16" t="s">
        <v>3519</v>
      </c>
      <c r="R1141" s="19">
        <v>-1.4001</v>
      </c>
      <c r="S1141" s="20">
        <v>1997055.0</v>
      </c>
      <c r="T1141" s="20">
        <v>1.56045467608E11</v>
      </c>
      <c r="U1141" s="21">
        <v>6.7868</v>
      </c>
      <c r="V1141" s="21"/>
      <c r="W1141" s="21">
        <v>12.099</v>
      </c>
      <c r="X1141" s="21">
        <v>0.6366</v>
      </c>
      <c r="Y1141" s="21"/>
      <c r="Z1141" s="21">
        <v>1.0395</v>
      </c>
      <c r="AA1141" s="16" t="s">
        <v>2620</v>
      </c>
      <c r="AB1141" s="22">
        <f>IFERROR(__xludf.DUMMYFUNCTION("IFERROR(GOOGLEFINANCE(B1141,""price""),"""")"),244.22)</f>
        <v>244.22</v>
      </c>
    </row>
    <row r="1142">
      <c r="A1142" s="7">
        <v>46072.87010846348</v>
      </c>
      <c r="B1142" s="8" t="s">
        <v>2663</v>
      </c>
      <c r="C1142" s="8" t="s">
        <v>2664</v>
      </c>
      <c r="D1142" s="9">
        <v>46075.0</v>
      </c>
      <c r="E1142" s="10">
        <v>125.4</v>
      </c>
      <c r="F1142" s="8" t="s">
        <v>335</v>
      </c>
      <c r="G1142" s="13">
        <v>19.4935</v>
      </c>
      <c r="H1142" s="13">
        <v>6.4329</v>
      </c>
      <c r="I1142" s="9">
        <v>46073.0</v>
      </c>
      <c r="J1142" s="10">
        <v>125.0</v>
      </c>
      <c r="K1142" s="8">
        <v>1882.0</v>
      </c>
      <c r="L1142" s="8" t="s">
        <v>2608</v>
      </c>
      <c r="M1142" s="11">
        <v>0.32</v>
      </c>
      <c r="N1142" s="8" t="s">
        <v>3718</v>
      </c>
      <c r="O1142" s="8">
        <v>1882.0</v>
      </c>
      <c r="P1142" s="11">
        <v>19.6414</v>
      </c>
      <c r="Q1142" s="8" t="s">
        <v>2666</v>
      </c>
      <c r="R1142" s="11">
        <v>0.5694</v>
      </c>
      <c r="S1142" s="12">
        <v>7854158.0</v>
      </c>
      <c r="T1142" s="12">
        <v>1.36844375287E11</v>
      </c>
      <c r="U1142" s="13">
        <v>5.7529</v>
      </c>
      <c r="V1142" s="13">
        <v>22.8383</v>
      </c>
      <c r="W1142" s="13">
        <v>42.3718</v>
      </c>
      <c r="X1142" s="13">
        <v>26.2476</v>
      </c>
      <c r="Y1142" s="13">
        <v>0.1701</v>
      </c>
      <c r="Z1142" s="13">
        <v>2.0393</v>
      </c>
      <c r="AA1142" s="8" t="s">
        <v>2611</v>
      </c>
      <c r="AB1142" s="14">
        <f>IFERROR(__xludf.DUMMYFUNCTION("IFERROR(GOOGLEFINANCE(B1142,""price""),"""")"),120.9)</f>
        <v>120.9</v>
      </c>
    </row>
    <row r="1143">
      <c r="A1143" s="15">
        <v>46072.87010846348</v>
      </c>
      <c r="B1143" s="16" t="s">
        <v>3538</v>
      </c>
      <c r="C1143" s="16" t="s">
        <v>3539</v>
      </c>
      <c r="D1143" s="17">
        <v>46075.0</v>
      </c>
      <c r="E1143" s="18">
        <v>194.07</v>
      </c>
      <c r="F1143" s="16" t="s">
        <v>335</v>
      </c>
      <c r="G1143" s="21">
        <v>42.0848</v>
      </c>
      <c r="H1143" s="21">
        <v>4.6114</v>
      </c>
      <c r="I1143" s="17">
        <v>46073.0</v>
      </c>
      <c r="J1143" s="18">
        <v>197.5</v>
      </c>
      <c r="K1143" s="16">
        <v>1721.0</v>
      </c>
      <c r="L1143" s="16" t="s">
        <v>2627</v>
      </c>
      <c r="M1143" s="19">
        <v>1.77</v>
      </c>
      <c r="N1143" s="16" t="s">
        <v>3739</v>
      </c>
      <c r="O1143" s="16">
        <v>1721.0</v>
      </c>
      <c r="P1143" s="19">
        <v>34.1907</v>
      </c>
      <c r="Q1143" s="16" t="s">
        <v>3541</v>
      </c>
      <c r="R1143" s="19">
        <v>0.7319</v>
      </c>
      <c r="S1143" s="20">
        <v>1285470.0</v>
      </c>
      <c r="T1143" s="20">
        <v>1.60313928732E11</v>
      </c>
      <c r="U1143" s="21">
        <v>10.7398</v>
      </c>
      <c r="V1143" s="21">
        <v>39.4499</v>
      </c>
      <c r="W1143" s="21">
        <v>50.2534</v>
      </c>
      <c r="X1143" s="21">
        <v>12.6994</v>
      </c>
      <c r="Y1143" s="21">
        <v>0.7113</v>
      </c>
      <c r="Z1143" s="21">
        <v>4.5168</v>
      </c>
      <c r="AA1143" s="16" t="s">
        <v>2620</v>
      </c>
      <c r="AB1143" s="22">
        <f>IFERROR(__xludf.DUMMYFUNCTION("IFERROR(GOOGLEFINANCE(B1143,""price""),"""")"),192.56)</f>
        <v>192.56</v>
      </c>
    </row>
    <row r="1144">
      <c r="A1144" s="7">
        <v>46072.87010846348</v>
      </c>
      <c r="B1144" s="8" t="s">
        <v>2133</v>
      </c>
      <c r="C1144" s="8" t="s">
        <v>2134</v>
      </c>
      <c r="D1144" s="9">
        <v>46075.0</v>
      </c>
      <c r="E1144" s="10">
        <v>383.14</v>
      </c>
      <c r="F1144" s="8" t="s">
        <v>162</v>
      </c>
      <c r="G1144" s="13">
        <v>21.1348</v>
      </c>
      <c r="H1144" s="13">
        <v>18.1284</v>
      </c>
      <c r="I1144" s="9">
        <v>46073.0</v>
      </c>
      <c r="J1144" s="10">
        <v>390.0</v>
      </c>
      <c r="K1144" s="8">
        <v>1714.0</v>
      </c>
      <c r="L1144" s="8" t="s">
        <v>2608</v>
      </c>
      <c r="M1144" s="11">
        <v>1.79</v>
      </c>
      <c r="N1144" s="8" t="s">
        <v>3740</v>
      </c>
      <c r="O1144" s="8">
        <v>1714.0</v>
      </c>
      <c r="P1144" s="11">
        <v>51.7701</v>
      </c>
      <c r="Q1144" s="8" t="s">
        <v>2135</v>
      </c>
      <c r="R1144" s="11">
        <v>0.0157</v>
      </c>
      <c r="S1144" s="12">
        <v>1198953.0</v>
      </c>
      <c r="T1144" s="12">
        <v>9.0084953329E10</v>
      </c>
      <c r="U1144" s="13">
        <v>8.8364</v>
      </c>
      <c r="V1144" s="13">
        <v>15.8681</v>
      </c>
      <c r="W1144" s="13">
        <v>7.0782</v>
      </c>
      <c r="X1144" s="13">
        <v>3.0895</v>
      </c>
      <c r="Y1144" s="13">
        <v>1.3421</v>
      </c>
      <c r="Z1144" s="13">
        <v>1.2738</v>
      </c>
      <c r="AA1144" s="8" t="s">
        <v>2620</v>
      </c>
      <c r="AB1144" s="14">
        <f>IFERROR(__xludf.DUMMYFUNCTION("IFERROR(GOOGLEFINANCE(B1144,""price""),"""")"),374.08)</f>
        <v>374.08</v>
      </c>
    </row>
    <row r="1145">
      <c r="A1145" s="15">
        <v>46072.87010846348</v>
      </c>
      <c r="B1145" s="16" t="s">
        <v>2726</v>
      </c>
      <c r="C1145" s="16" t="s">
        <v>2727</v>
      </c>
      <c r="D1145" s="17">
        <v>46075.0</v>
      </c>
      <c r="E1145" s="18">
        <v>81.99</v>
      </c>
      <c r="F1145" s="16" t="s">
        <v>286</v>
      </c>
      <c r="G1145" s="21">
        <v>46.6754</v>
      </c>
      <c r="H1145" s="21">
        <v>1.7566</v>
      </c>
      <c r="I1145" s="17">
        <v>46073.0</v>
      </c>
      <c r="J1145" s="18">
        <v>82.5</v>
      </c>
      <c r="K1145" s="16">
        <v>1674.0</v>
      </c>
      <c r="L1145" s="16" t="s">
        <v>2608</v>
      </c>
      <c r="M1145" s="19">
        <v>0.62</v>
      </c>
      <c r="N1145" s="16" t="s">
        <v>3720</v>
      </c>
      <c r="O1145" s="16">
        <v>1674.0</v>
      </c>
      <c r="P1145" s="19">
        <v>34.2402</v>
      </c>
      <c r="Q1145" s="16" t="s">
        <v>2729</v>
      </c>
      <c r="R1145" s="19">
        <v>-1.4306</v>
      </c>
      <c r="S1145" s="20">
        <v>5740033.0</v>
      </c>
      <c r="T1145" s="20">
        <v>8.0105966776E10</v>
      </c>
      <c r="U1145" s="21">
        <v>1.5242</v>
      </c>
      <c r="V1145" s="21">
        <v>25.538</v>
      </c>
      <c r="W1145" s="21">
        <v>29.9505</v>
      </c>
      <c r="X1145" s="21">
        <v>7.618</v>
      </c>
      <c r="Y1145" s="21">
        <v>0.0</v>
      </c>
      <c r="Z1145" s="21">
        <v>3.1855</v>
      </c>
      <c r="AA1145" s="16" t="s">
        <v>2620</v>
      </c>
      <c r="AB1145" s="22">
        <f>IFERROR(__xludf.DUMMYFUNCTION("IFERROR(GOOGLEFINANCE(B1145,""price""),"""")"),75.72)</f>
        <v>75.72</v>
      </c>
    </row>
    <row r="1146">
      <c r="A1146" s="7">
        <v>46072.87010846348</v>
      </c>
      <c r="B1146" s="8" t="s">
        <v>3291</v>
      </c>
      <c r="C1146" s="8" t="s">
        <v>3292</v>
      </c>
      <c r="D1146" s="9">
        <v>46075.0</v>
      </c>
      <c r="E1146" s="10">
        <v>233.42</v>
      </c>
      <c r="F1146" s="8" t="s">
        <v>270</v>
      </c>
      <c r="G1146" s="13">
        <v>34.8461</v>
      </c>
      <c r="H1146" s="13">
        <v>6.6986</v>
      </c>
      <c r="I1146" s="9">
        <v>46073.0</v>
      </c>
      <c r="J1146" s="10">
        <v>230.0</v>
      </c>
      <c r="K1146" s="8">
        <v>1630.0</v>
      </c>
      <c r="L1146" s="8" t="s">
        <v>2608</v>
      </c>
      <c r="M1146" s="11">
        <v>1.47</v>
      </c>
      <c r="N1146" s="8" t="s">
        <v>3721</v>
      </c>
      <c r="O1146" s="8">
        <v>1630.0</v>
      </c>
      <c r="P1146" s="11">
        <v>22.0938</v>
      </c>
      <c r="Q1146" s="8" t="s">
        <v>3294</v>
      </c>
      <c r="R1146" s="11">
        <v>-0.2734</v>
      </c>
      <c r="S1146" s="12">
        <v>2343414.0</v>
      </c>
      <c r="T1146" s="12">
        <v>9.4146637932E10</v>
      </c>
      <c r="U1146" s="13">
        <v>4.7448</v>
      </c>
      <c r="V1146" s="13">
        <v>29.6897</v>
      </c>
      <c r="W1146" s="13">
        <v>18.2788</v>
      </c>
      <c r="X1146" s="13">
        <v>14.2365</v>
      </c>
      <c r="Y1146" s="13">
        <v>2.3941</v>
      </c>
      <c r="Z1146" s="13">
        <v>0.8888</v>
      </c>
      <c r="AA1146" s="8" t="s">
        <v>2611</v>
      </c>
      <c r="AB1146" s="14">
        <f>IFERROR(__xludf.DUMMYFUNCTION("IFERROR(GOOGLEFINANCE(B1146,""price""),"""")"),229.45)</f>
        <v>229.45</v>
      </c>
    </row>
    <row r="1147">
      <c r="A1147" s="15">
        <v>46072.87010846348</v>
      </c>
      <c r="B1147" s="16" t="s">
        <v>2722</v>
      </c>
      <c r="C1147" s="16" t="s">
        <v>2723</v>
      </c>
      <c r="D1147" s="17">
        <v>46075.0</v>
      </c>
      <c r="E1147" s="18">
        <v>95.1</v>
      </c>
      <c r="F1147" s="16" t="s">
        <v>308</v>
      </c>
      <c r="G1147" s="21">
        <v>4362.3853</v>
      </c>
      <c r="H1147" s="21">
        <v>0.0218</v>
      </c>
      <c r="I1147" s="17">
        <v>46073.0</v>
      </c>
      <c r="J1147" s="18">
        <v>95.0</v>
      </c>
      <c r="K1147" s="16">
        <v>1564.0</v>
      </c>
      <c r="L1147" s="16" t="s">
        <v>2608</v>
      </c>
      <c r="M1147" s="19">
        <v>0.11</v>
      </c>
      <c r="N1147" s="16" t="s">
        <v>3722</v>
      </c>
      <c r="O1147" s="16">
        <v>1564.0</v>
      </c>
      <c r="P1147" s="19">
        <v>34.76</v>
      </c>
      <c r="Q1147" s="16" t="s">
        <v>2725</v>
      </c>
      <c r="R1147" s="19">
        <v>-2.1907</v>
      </c>
      <c r="S1147" s="20">
        <v>1594854.0</v>
      </c>
      <c r="T1147" s="20">
        <v>1.3008368936E10</v>
      </c>
      <c r="U1147" s="21">
        <v>5.1167</v>
      </c>
      <c r="V1147" s="21">
        <v>0.4328</v>
      </c>
      <c r="W1147" s="21">
        <v>2.9194</v>
      </c>
      <c r="X1147" s="21">
        <v>2.721</v>
      </c>
      <c r="Y1147" s="21">
        <v>0.059</v>
      </c>
      <c r="Z1147" s="21">
        <v>3.0922</v>
      </c>
      <c r="AA1147" s="16" t="s">
        <v>2611</v>
      </c>
      <c r="AB1147" s="22">
        <f>IFERROR(__xludf.DUMMYFUNCTION("IFERROR(GOOGLEFINANCE(B1147,""price""),"""")"),106.1)</f>
        <v>106.1</v>
      </c>
    </row>
    <row r="1148">
      <c r="A1148" s="7">
        <v>46072.87010846348</v>
      </c>
      <c r="B1148" s="8" t="s">
        <v>3134</v>
      </c>
      <c r="C1148" s="8" t="s">
        <v>3135</v>
      </c>
      <c r="D1148" s="9">
        <v>46075.0</v>
      </c>
      <c r="E1148" s="10">
        <v>140.31</v>
      </c>
      <c r="F1148" s="8" t="s">
        <v>93</v>
      </c>
      <c r="G1148" s="13">
        <v>10.5155</v>
      </c>
      <c r="H1148" s="13">
        <v>13.3432</v>
      </c>
      <c r="I1148" s="9">
        <v>46073.0</v>
      </c>
      <c r="J1148" s="10">
        <v>140.0</v>
      </c>
      <c r="K1148" s="8">
        <v>1544.0</v>
      </c>
      <c r="L1148" s="8" t="s">
        <v>2608</v>
      </c>
      <c r="M1148" s="11">
        <v>0.22</v>
      </c>
      <c r="N1148" s="8" t="s">
        <v>3741</v>
      </c>
      <c r="O1148" s="8">
        <v>1544.0</v>
      </c>
      <c r="P1148" s="11">
        <v>27.6578</v>
      </c>
      <c r="Q1148" s="8" t="s">
        <v>3137</v>
      </c>
      <c r="R1148" s="11">
        <v>-0.6725</v>
      </c>
      <c r="S1148" s="12">
        <v>1147772.0</v>
      </c>
      <c r="T1148" s="12">
        <v>3.909741766E10</v>
      </c>
      <c r="U1148" s="13">
        <v>2.6951</v>
      </c>
      <c r="V1148" s="13">
        <v>21.6564</v>
      </c>
      <c r="W1148" s="13">
        <v>17.4023</v>
      </c>
      <c r="X1148" s="13">
        <v>6.8061</v>
      </c>
      <c r="Y1148" s="13">
        <v>0.2303</v>
      </c>
      <c r="Z1148" s="13">
        <v>0.2897</v>
      </c>
      <c r="AA1148" s="8" t="s">
        <v>2611</v>
      </c>
      <c r="AB1148" s="14">
        <f>IFERROR(__xludf.DUMMYFUNCTION("IFERROR(GOOGLEFINANCE(B1148,""price""),"""")"),137.23)</f>
        <v>137.23</v>
      </c>
    </row>
    <row r="1149">
      <c r="A1149" s="15">
        <v>46072.87010846348</v>
      </c>
      <c r="B1149" s="16" t="s">
        <v>3531</v>
      </c>
      <c r="C1149" s="16" t="s">
        <v>3532</v>
      </c>
      <c r="D1149" s="17">
        <v>46075.0</v>
      </c>
      <c r="E1149" s="18">
        <v>262.97</v>
      </c>
      <c r="F1149" s="16" t="s">
        <v>162</v>
      </c>
      <c r="G1149" s="21">
        <v>21.9447</v>
      </c>
      <c r="H1149" s="21">
        <v>11.9833</v>
      </c>
      <c r="I1149" s="17">
        <v>46073.0</v>
      </c>
      <c r="J1149" s="18">
        <v>260.0</v>
      </c>
      <c r="K1149" s="16">
        <v>1447.0</v>
      </c>
      <c r="L1149" s="16" t="s">
        <v>2608</v>
      </c>
      <c r="M1149" s="19">
        <v>1.13</v>
      </c>
      <c r="N1149" s="16" t="s">
        <v>3723</v>
      </c>
      <c r="O1149" s="16">
        <v>1447.0</v>
      </c>
      <c r="P1149" s="19">
        <v>40.0836</v>
      </c>
      <c r="Q1149" s="16" t="s">
        <v>3534</v>
      </c>
      <c r="R1149" s="19">
        <v>-0.766</v>
      </c>
      <c r="S1149" s="20">
        <v>3243252.0</v>
      </c>
      <c r="T1149" s="20">
        <v>1.56044141312E11</v>
      </c>
      <c r="U1149" s="21">
        <v>4.9775</v>
      </c>
      <c r="V1149" s="21">
        <v>40.3767</v>
      </c>
      <c r="W1149" s="21">
        <v>40.0408</v>
      </c>
      <c r="X1149" s="21">
        <v>1.0722</v>
      </c>
      <c r="Y1149" s="21">
        <v>1.7773</v>
      </c>
      <c r="Z1149" s="21">
        <v>0.9085</v>
      </c>
      <c r="AA1149" s="16" t="s">
        <v>2611</v>
      </c>
      <c r="AB1149" s="22">
        <f>IFERROR(__xludf.DUMMYFUNCTION("IFERROR(GOOGLEFINANCE(B1149,""price""),"""")"),250.51)</f>
        <v>250.51</v>
      </c>
    </row>
    <row r="1150">
      <c r="A1150" s="7">
        <v>46072.87010846348</v>
      </c>
      <c r="B1150" s="8" t="s">
        <v>3208</v>
      </c>
      <c r="C1150" s="8" t="s">
        <v>3209</v>
      </c>
      <c r="D1150" s="9">
        <v>46075.0</v>
      </c>
      <c r="E1150" s="10">
        <v>200.38</v>
      </c>
      <c r="F1150" s="8" t="s">
        <v>137</v>
      </c>
      <c r="G1150" s="13">
        <v>31.3133</v>
      </c>
      <c r="H1150" s="13">
        <v>6.3992</v>
      </c>
      <c r="I1150" s="9">
        <v>46073.0</v>
      </c>
      <c r="J1150" s="10">
        <v>200.0</v>
      </c>
      <c r="K1150" s="8">
        <v>1423.0</v>
      </c>
      <c r="L1150" s="8" t="s">
        <v>2608</v>
      </c>
      <c r="M1150" s="11">
        <v>0.19</v>
      </c>
      <c r="N1150" s="8" t="s">
        <v>3742</v>
      </c>
      <c r="O1150" s="8">
        <v>1423.0</v>
      </c>
      <c r="P1150" s="11">
        <v>35.5296</v>
      </c>
      <c r="Q1150" s="8" t="s">
        <v>3211</v>
      </c>
      <c r="R1150" s="11">
        <v>0.0</v>
      </c>
      <c r="S1150" s="12">
        <v>1574624.0</v>
      </c>
      <c r="T1150" s="12">
        <v>6.4811899917E10</v>
      </c>
      <c r="U1150" s="13">
        <v>3.4126</v>
      </c>
      <c r="V1150" s="13">
        <v>37.4252</v>
      </c>
      <c r="W1150" s="13">
        <v>11.9137</v>
      </c>
      <c r="X1150" s="13">
        <v>3.7096</v>
      </c>
      <c r="Y1150" s="13">
        <v>0.8818</v>
      </c>
      <c r="Z1150" s="13">
        <v>1.5199</v>
      </c>
      <c r="AA1150" s="8" t="s">
        <v>2611</v>
      </c>
      <c r="AB1150" s="14">
        <f>IFERROR(__xludf.DUMMYFUNCTION("IFERROR(GOOGLEFINANCE(B1150,""price""),"""")"),221.16)</f>
        <v>221.16</v>
      </c>
    </row>
    <row r="1151">
      <c r="A1151" s="15">
        <v>46072.87010846348</v>
      </c>
      <c r="B1151" s="16" t="s">
        <v>3511</v>
      </c>
      <c r="C1151" s="16" t="s">
        <v>3512</v>
      </c>
      <c r="D1151" s="17">
        <v>46075.0</v>
      </c>
      <c r="E1151" s="18">
        <v>112.76</v>
      </c>
      <c r="F1151" s="16" t="s">
        <v>93</v>
      </c>
      <c r="G1151" s="21">
        <v>16.3745</v>
      </c>
      <c r="H1151" s="21">
        <v>6.8863</v>
      </c>
      <c r="I1151" s="17">
        <v>46073.0</v>
      </c>
      <c r="J1151" s="18">
        <v>115.0</v>
      </c>
      <c r="K1151" s="16">
        <v>1367.0</v>
      </c>
      <c r="L1151" s="16" t="s">
        <v>2608</v>
      </c>
      <c r="M1151" s="19">
        <v>1.99</v>
      </c>
      <c r="N1151" s="16" t="s">
        <v>3743</v>
      </c>
      <c r="O1151" s="16">
        <v>1367.0</v>
      </c>
      <c r="P1151" s="19">
        <v>18.8038</v>
      </c>
      <c r="Q1151" s="16" t="s">
        <v>3514</v>
      </c>
      <c r="R1151" s="19">
        <v>-0.7569</v>
      </c>
      <c r="S1151" s="20">
        <v>2336778.0</v>
      </c>
      <c r="T1151" s="20">
        <v>5.9099083845E10</v>
      </c>
      <c r="U1151" s="21">
        <v>2.475</v>
      </c>
      <c r="V1151" s="21">
        <v>15.3345</v>
      </c>
      <c r="W1151" s="21">
        <v>27.5608</v>
      </c>
      <c r="X1151" s="21">
        <v>-9.4737</v>
      </c>
      <c r="Y1151" s="21">
        <v>0.3919</v>
      </c>
      <c r="Z1151" s="21">
        <v>0.1099</v>
      </c>
      <c r="AA1151" s="16" t="s">
        <v>2620</v>
      </c>
      <c r="AB1151" s="22">
        <f>IFERROR(__xludf.DUMMYFUNCTION("IFERROR(GOOGLEFINANCE(B1151,""price""),"""")"),110.7)</f>
        <v>110.7</v>
      </c>
    </row>
    <row r="1152">
      <c r="A1152" s="7">
        <v>46072.87010846348</v>
      </c>
      <c r="B1152" s="8" t="s">
        <v>2521</v>
      </c>
      <c r="C1152" s="8" t="s">
        <v>2522</v>
      </c>
      <c r="D1152" s="9">
        <v>46075.0</v>
      </c>
      <c r="E1152" s="10">
        <v>345.3</v>
      </c>
      <c r="F1152" s="8" t="s">
        <v>308</v>
      </c>
      <c r="G1152" s="13">
        <v>63.0754</v>
      </c>
      <c r="H1152" s="13">
        <v>5.4744</v>
      </c>
      <c r="I1152" s="9">
        <v>46073.0</v>
      </c>
      <c r="J1152" s="10">
        <v>340.0</v>
      </c>
      <c r="K1152" s="8">
        <v>1261.0</v>
      </c>
      <c r="L1152" s="8" t="s">
        <v>2608</v>
      </c>
      <c r="M1152" s="11">
        <v>1.53</v>
      </c>
      <c r="N1152" s="8" t="s">
        <v>3724</v>
      </c>
      <c r="O1152" s="8">
        <v>1261.0</v>
      </c>
      <c r="P1152" s="11">
        <v>49.1959</v>
      </c>
      <c r="Q1152" s="8" t="s">
        <v>2523</v>
      </c>
      <c r="R1152" s="11">
        <v>-0.3089</v>
      </c>
      <c r="S1152" s="12">
        <v>5101152.0</v>
      </c>
      <c r="T1152" s="12">
        <v>1.68723453572E11</v>
      </c>
      <c r="U1152" s="13">
        <v>10.3865</v>
      </c>
      <c r="V1152" s="13">
        <v>7.8622</v>
      </c>
      <c r="W1152" s="13">
        <v>29.7854</v>
      </c>
      <c r="X1152" s="13">
        <v>25.9077</v>
      </c>
      <c r="Y1152" s="13">
        <v>0.257</v>
      </c>
      <c r="Z1152" s="13">
        <v>1.7555</v>
      </c>
      <c r="AA1152" s="8" t="s">
        <v>2611</v>
      </c>
      <c r="AB1152" s="14">
        <f>IFERROR(__xludf.DUMMYFUNCTION("IFERROR(GOOGLEFINANCE(B1152,""price""),"""")"),350.14)</f>
        <v>350.14</v>
      </c>
    </row>
    <row r="1153">
      <c r="A1153" s="15">
        <v>46072.87010846348</v>
      </c>
      <c r="B1153" s="16" t="s">
        <v>3141</v>
      </c>
      <c r="C1153" s="16" t="s">
        <v>3142</v>
      </c>
      <c r="D1153" s="17">
        <v>46075.0</v>
      </c>
      <c r="E1153" s="18">
        <v>329.16</v>
      </c>
      <c r="F1153" s="16" t="s">
        <v>93</v>
      </c>
      <c r="G1153" s="21">
        <v>12.7971</v>
      </c>
      <c r="H1153" s="21">
        <v>25.7215</v>
      </c>
      <c r="I1153" s="17">
        <v>46073.0</v>
      </c>
      <c r="J1153" s="18">
        <v>325.0</v>
      </c>
      <c r="K1153" s="16">
        <v>1232.0</v>
      </c>
      <c r="L1153" s="16" t="s">
        <v>2608</v>
      </c>
      <c r="M1153" s="19">
        <v>1.26</v>
      </c>
      <c r="N1153" s="16" t="s">
        <v>3665</v>
      </c>
      <c r="O1153" s="16">
        <v>1232.0</v>
      </c>
      <c r="P1153" s="19">
        <v>28.8679</v>
      </c>
      <c r="Q1153" s="16" t="s">
        <v>3144</v>
      </c>
      <c r="R1153" s="19">
        <v>-0.0395</v>
      </c>
      <c r="S1153" s="20">
        <v>1339253.0</v>
      </c>
      <c r="T1153" s="20">
        <v>1.29541198608E11</v>
      </c>
      <c r="U1153" s="21">
        <v>6.8055</v>
      </c>
      <c r="V1153" s="21">
        <v>14.9661</v>
      </c>
      <c r="W1153" s="21">
        <v>21.2322</v>
      </c>
      <c r="X1153" s="21">
        <v>6.9142</v>
      </c>
      <c r="Y1153" s="21"/>
      <c r="Z1153" s="21">
        <v>0.2721</v>
      </c>
      <c r="AA1153" s="16" t="s">
        <v>2611</v>
      </c>
      <c r="AB1153" s="22">
        <f>IFERROR(__xludf.DUMMYFUNCTION("IFERROR(GOOGLEFINANCE(B1153,""price""),"""")"),327.91)</f>
        <v>327.91</v>
      </c>
    </row>
    <row r="1154">
      <c r="A1154" s="7">
        <v>46072.87010846348</v>
      </c>
      <c r="B1154" s="8" t="s">
        <v>3049</v>
      </c>
      <c r="C1154" s="8" t="s">
        <v>3050</v>
      </c>
      <c r="D1154" s="9">
        <v>46075.0</v>
      </c>
      <c r="E1154" s="10">
        <v>73.99</v>
      </c>
      <c r="F1154" s="8" t="s">
        <v>93</v>
      </c>
      <c r="G1154" s="13">
        <v>33.463</v>
      </c>
      <c r="H1154" s="13">
        <v>2.2111</v>
      </c>
      <c r="I1154" s="9">
        <v>46073.0</v>
      </c>
      <c r="J1154" s="10">
        <v>75.0</v>
      </c>
      <c r="K1154" s="8">
        <v>1226.0</v>
      </c>
      <c r="L1154" s="8" t="s">
        <v>2627</v>
      </c>
      <c r="M1154" s="11">
        <v>1.37</v>
      </c>
      <c r="N1154" s="8" t="s">
        <v>3725</v>
      </c>
      <c r="O1154" s="8">
        <v>1226.0</v>
      </c>
      <c r="P1154" s="11">
        <v>19.955</v>
      </c>
      <c r="Q1154" s="8" t="s">
        <v>3052</v>
      </c>
      <c r="R1154" s="11">
        <v>-1.215</v>
      </c>
      <c r="S1154" s="12">
        <v>2459499.0</v>
      </c>
      <c r="T1154" s="12">
        <v>1.25492117934E11</v>
      </c>
      <c r="U1154" s="13">
        <v>3.0803</v>
      </c>
      <c r="V1154" s="13">
        <v>20.4086</v>
      </c>
      <c r="W1154" s="13">
        <v>86.2403</v>
      </c>
      <c r="X1154" s="13">
        <v>11.0531</v>
      </c>
      <c r="Y1154" s="13">
        <v>4.6187</v>
      </c>
      <c r="Z1154" s="13">
        <v>1.2729</v>
      </c>
      <c r="AA1154" s="8" t="s">
        <v>2620</v>
      </c>
      <c r="AB1154" s="14">
        <f>IFERROR(__xludf.DUMMYFUNCTION("IFERROR(GOOGLEFINANCE(B1154,""price""),"""")"),71.21)</f>
        <v>71.21</v>
      </c>
    </row>
    <row r="1155">
      <c r="A1155" s="15">
        <v>46072.87010846348</v>
      </c>
      <c r="B1155" s="16" t="s">
        <v>3744</v>
      </c>
      <c r="C1155" s="16" t="s">
        <v>3745</v>
      </c>
      <c r="D1155" s="17">
        <v>46075.0</v>
      </c>
      <c r="E1155" s="18">
        <v>37.68</v>
      </c>
      <c r="F1155" s="16" t="s">
        <v>112</v>
      </c>
      <c r="G1155" s="21">
        <v>52.6919</v>
      </c>
      <c r="H1155" s="21">
        <v>0.7151</v>
      </c>
      <c r="I1155" s="17">
        <v>46073.0</v>
      </c>
      <c r="J1155" s="18">
        <v>38.0</v>
      </c>
      <c r="K1155" s="16">
        <v>1220.0</v>
      </c>
      <c r="L1155" s="16" t="s">
        <v>2608</v>
      </c>
      <c r="M1155" s="19">
        <v>0.85</v>
      </c>
      <c r="N1155" s="16" t="s">
        <v>3746</v>
      </c>
      <c r="O1155" s="16">
        <v>1220.0</v>
      </c>
      <c r="P1155" s="19">
        <v>16.1067</v>
      </c>
      <c r="Q1155" s="16" t="s">
        <v>3747</v>
      </c>
      <c r="R1155" s="19">
        <v>-0.3175</v>
      </c>
      <c r="S1155" s="20">
        <v>1032656.0</v>
      </c>
      <c r="T1155" s="20">
        <v>2.027143828E9</v>
      </c>
      <c r="U1155" s="21">
        <v>1.2522</v>
      </c>
      <c r="V1155" s="21">
        <v>12.3777</v>
      </c>
      <c r="W1155" s="21">
        <v>20.7609</v>
      </c>
      <c r="X1155" s="21">
        <v>9.2961</v>
      </c>
      <c r="Y1155" s="21">
        <v>0.7359</v>
      </c>
      <c r="Z1155" s="21">
        <v>1.8374</v>
      </c>
      <c r="AA1155" s="16" t="s">
        <v>2620</v>
      </c>
      <c r="AB1155" s="22">
        <f>IFERROR(__xludf.DUMMYFUNCTION("IFERROR(GOOGLEFINANCE(B1155,""price""),"""")"),37.84)</f>
        <v>37.84</v>
      </c>
    </row>
    <row r="1156">
      <c r="A1156" s="7">
        <v>46072.87010846348</v>
      </c>
      <c r="B1156" s="8" t="s">
        <v>2710</v>
      </c>
      <c r="C1156" s="8" t="s">
        <v>2711</v>
      </c>
      <c r="D1156" s="9">
        <v>46075.0</v>
      </c>
      <c r="E1156" s="10">
        <v>128.42</v>
      </c>
      <c r="F1156" s="8" t="s">
        <v>917</v>
      </c>
      <c r="G1156" s="13">
        <v>19.2826</v>
      </c>
      <c r="H1156" s="13">
        <v>6.6599</v>
      </c>
      <c r="I1156" s="9">
        <v>46073.0</v>
      </c>
      <c r="J1156" s="10">
        <v>130.0</v>
      </c>
      <c r="K1156" s="8">
        <v>1212.0</v>
      </c>
      <c r="L1156" s="8" t="s">
        <v>2627</v>
      </c>
      <c r="M1156" s="11">
        <v>1.23</v>
      </c>
      <c r="N1156" s="8" t="s">
        <v>3726</v>
      </c>
      <c r="O1156" s="8">
        <v>1212.0</v>
      </c>
      <c r="P1156" s="11">
        <v>36.7957</v>
      </c>
      <c r="Q1156" s="8" t="s">
        <v>2713</v>
      </c>
      <c r="R1156" s="11">
        <v>0.9036</v>
      </c>
      <c r="S1156" s="12">
        <v>2556314.0</v>
      </c>
      <c r="T1156" s="12">
        <v>6.9457433441E10</v>
      </c>
      <c r="U1156" s="13">
        <v>2.5615</v>
      </c>
      <c r="V1156" s="13">
        <v>12.3274</v>
      </c>
      <c r="W1156" s="13">
        <v>25.0742</v>
      </c>
      <c r="X1156" s="13">
        <v>10.4587</v>
      </c>
      <c r="Y1156" s="13">
        <v>1.5949</v>
      </c>
      <c r="Z1156" s="13">
        <v>0.4546</v>
      </c>
      <c r="AA1156" s="8" t="s">
        <v>2620</v>
      </c>
      <c r="AB1156" s="14">
        <f>IFERROR(__xludf.DUMMYFUNCTION("IFERROR(GOOGLEFINANCE(B1156,""price""),"""")"),136.3)</f>
        <v>136.3</v>
      </c>
    </row>
    <row r="1157">
      <c r="A1157" s="15">
        <v>46072.87010846348</v>
      </c>
      <c r="B1157" s="16" t="s">
        <v>1626</v>
      </c>
      <c r="C1157" s="16" t="s">
        <v>1627</v>
      </c>
      <c r="D1157" s="17">
        <v>46075.0</v>
      </c>
      <c r="E1157" s="18">
        <v>45.82</v>
      </c>
      <c r="F1157" s="16" t="s">
        <v>917</v>
      </c>
      <c r="G1157" s="21">
        <v>23.4589</v>
      </c>
      <c r="H1157" s="21">
        <v>1.9532</v>
      </c>
      <c r="I1157" s="17">
        <v>46073.0</v>
      </c>
      <c r="J1157" s="18">
        <v>45.0</v>
      </c>
      <c r="K1157" s="16">
        <v>1128.0</v>
      </c>
      <c r="L1157" s="16" t="s">
        <v>2608</v>
      </c>
      <c r="M1157" s="19">
        <v>1.79</v>
      </c>
      <c r="N1157" s="16" t="s">
        <v>3727</v>
      </c>
      <c r="O1157" s="16">
        <v>1128.0</v>
      </c>
      <c r="P1157" s="19">
        <v>29.5935</v>
      </c>
      <c r="Q1157" s="16" t="s">
        <v>1628</v>
      </c>
      <c r="R1157" s="19">
        <v>1.1479</v>
      </c>
      <c r="S1157" s="20">
        <v>2873082.0</v>
      </c>
      <c r="T1157" s="20">
        <v>2.1926388202E10</v>
      </c>
      <c r="U1157" s="21">
        <v>0.8583</v>
      </c>
      <c r="V1157" s="21">
        <v>10.2226</v>
      </c>
      <c r="W1157" s="21">
        <v>27.6399</v>
      </c>
      <c r="X1157" s="21">
        <v>21.7613</v>
      </c>
      <c r="Y1157" s="21">
        <v>1.7185</v>
      </c>
      <c r="Z1157" s="21">
        <v>0.6876</v>
      </c>
      <c r="AA1157" s="16" t="s">
        <v>2611</v>
      </c>
      <c r="AB1157" s="22">
        <f>IFERROR(__xludf.DUMMYFUNCTION("IFERROR(GOOGLEFINANCE(B1157,""price""),"""")"),48.05)</f>
        <v>48.05</v>
      </c>
    </row>
    <row r="1158">
      <c r="A1158" s="7">
        <v>46072.87010846348</v>
      </c>
      <c r="B1158" s="8" t="s">
        <v>3558</v>
      </c>
      <c r="C1158" s="8" t="s">
        <v>3559</v>
      </c>
      <c r="D1158" s="9">
        <v>46075.0</v>
      </c>
      <c r="E1158" s="10">
        <v>240.77</v>
      </c>
      <c r="F1158" s="8" t="s">
        <v>308</v>
      </c>
      <c r="G1158" s="13">
        <v>30.1264</v>
      </c>
      <c r="H1158" s="13">
        <v>7.992</v>
      </c>
      <c r="I1158" s="9">
        <v>46073.0</v>
      </c>
      <c r="J1158" s="10">
        <v>237.5</v>
      </c>
      <c r="K1158" s="8">
        <v>1086.0</v>
      </c>
      <c r="L1158" s="8" t="s">
        <v>2627</v>
      </c>
      <c r="M1158" s="11">
        <v>1.36</v>
      </c>
      <c r="N1158" s="8" t="s">
        <v>3671</v>
      </c>
      <c r="O1158" s="8">
        <v>1086.0</v>
      </c>
      <c r="P1158" s="11">
        <v>53.3502</v>
      </c>
      <c r="Q1158" s="8" t="s">
        <v>3561</v>
      </c>
      <c r="R1158" s="11">
        <v>-0.1534</v>
      </c>
      <c r="S1158" s="12">
        <v>2360052.0</v>
      </c>
      <c r="T1158" s="12">
        <v>1.53051628074E11</v>
      </c>
      <c r="U1158" s="13">
        <v>4.6065</v>
      </c>
      <c r="V1158" s="13">
        <v>31.7068</v>
      </c>
      <c r="W1158" s="13">
        <v>19.7843</v>
      </c>
      <c r="X1158" s="13">
        <v>4.7901</v>
      </c>
      <c r="Y1158" s="13">
        <v>2.5578</v>
      </c>
      <c r="Z1158" s="13">
        <v>1.2978</v>
      </c>
      <c r="AA1158" s="8" t="s">
        <v>2611</v>
      </c>
      <c r="AB1158" s="14">
        <f>IFERROR(__xludf.DUMMYFUNCTION("IFERROR(GOOGLEFINANCE(B1158,""price""),"""")"),235.06)</f>
        <v>235.06</v>
      </c>
    </row>
    <row r="1159">
      <c r="A1159" s="15">
        <v>46072.87010846348</v>
      </c>
      <c r="B1159" s="16" t="s">
        <v>3728</v>
      </c>
      <c r="C1159" s="16" t="s">
        <v>3729</v>
      </c>
      <c r="D1159" s="17">
        <v>46075.0</v>
      </c>
      <c r="E1159" s="18">
        <v>310.35</v>
      </c>
      <c r="F1159" s="16" t="s">
        <v>149</v>
      </c>
      <c r="G1159" s="21">
        <v>19.9518</v>
      </c>
      <c r="H1159" s="21">
        <v>15.555</v>
      </c>
      <c r="I1159" s="17">
        <v>46073.0</v>
      </c>
      <c r="J1159" s="18">
        <v>310.0</v>
      </c>
      <c r="K1159" s="16">
        <v>1086.0</v>
      </c>
      <c r="L1159" s="16" t="s">
        <v>2627</v>
      </c>
      <c r="M1159" s="19">
        <v>0.11</v>
      </c>
      <c r="N1159" s="16" t="s">
        <v>3730</v>
      </c>
      <c r="O1159" s="16">
        <v>1086.0</v>
      </c>
      <c r="P1159" s="19">
        <v>28.5594</v>
      </c>
      <c r="Q1159" s="16" t="s">
        <v>3731</v>
      </c>
      <c r="R1159" s="19">
        <v>-2.6567</v>
      </c>
      <c r="S1159" s="20">
        <v>1766022.0</v>
      </c>
      <c r="T1159" s="20">
        <v>8.3958466137E10</v>
      </c>
      <c r="U1159" s="21">
        <v>13.9159</v>
      </c>
      <c r="V1159" s="21">
        <v>48.5</v>
      </c>
      <c r="W1159" s="21">
        <v>27.5551</v>
      </c>
      <c r="X1159" s="21">
        <v>8.7959</v>
      </c>
      <c r="Y1159" s="21">
        <v>2.1954</v>
      </c>
      <c r="Z1159" s="21">
        <v>0.1834</v>
      </c>
      <c r="AA1159" s="16" t="s">
        <v>2611</v>
      </c>
      <c r="AB1159" s="22">
        <f>IFERROR(__xludf.DUMMYFUNCTION("IFERROR(GOOGLEFINANCE(B1159,""price""),"""")"),276.94)</f>
        <v>276.94</v>
      </c>
    </row>
    <row r="1160">
      <c r="A1160" s="7">
        <v>46072.87010846348</v>
      </c>
      <c r="B1160" s="8" t="s">
        <v>2528</v>
      </c>
      <c r="C1160" s="8" t="s">
        <v>2529</v>
      </c>
      <c r="D1160" s="9">
        <v>46075.0</v>
      </c>
      <c r="E1160" s="10">
        <v>61.48</v>
      </c>
      <c r="F1160" s="8" t="s">
        <v>93</v>
      </c>
      <c r="G1160" s="13">
        <v>10.2349</v>
      </c>
      <c r="H1160" s="13">
        <v>6.0069</v>
      </c>
      <c r="I1160" s="9">
        <v>46073.0</v>
      </c>
      <c r="J1160" s="10">
        <v>62.5</v>
      </c>
      <c r="K1160" s="8">
        <v>1046.0</v>
      </c>
      <c r="L1160" s="8" t="s">
        <v>2608</v>
      </c>
      <c r="M1160" s="11">
        <v>1.66</v>
      </c>
      <c r="N1160" s="8" t="s">
        <v>3748</v>
      </c>
      <c r="O1160" s="8">
        <v>1046.0</v>
      </c>
      <c r="P1160" s="11">
        <v>19.8375</v>
      </c>
      <c r="Q1160" s="8" t="s">
        <v>2530</v>
      </c>
      <c r="R1160" s="11">
        <v>-0.9026</v>
      </c>
      <c r="S1160" s="12">
        <v>1849954.0</v>
      </c>
      <c r="T1160" s="12">
        <v>9.076971088E9</v>
      </c>
      <c r="U1160" s="13">
        <v>1.8174</v>
      </c>
      <c r="V1160" s="13">
        <v>13.3945</v>
      </c>
      <c r="W1160" s="13">
        <v>23.7662</v>
      </c>
      <c r="X1160" s="13">
        <v>-1.0012</v>
      </c>
      <c r="Y1160" s="13">
        <v>0.6373</v>
      </c>
      <c r="Z1160" s="13">
        <v>0.1512</v>
      </c>
      <c r="AA1160" s="8" t="s">
        <v>2620</v>
      </c>
      <c r="AB1160" s="14">
        <f>IFERROR(__xludf.DUMMYFUNCTION("IFERROR(GOOGLEFINANCE(B1160,""price""),"""")"),61.05)</f>
        <v>61.05</v>
      </c>
    </row>
    <row r="1161">
      <c r="A1161" s="7">
        <v>46072.872179246784</v>
      </c>
      <c r="B1161" s="8" t="s">
        <v>2630</v>
      </c>
      <c r="C1161" s="8" t="s">
        <v>2631</v>
      </c>
      <c r="D1161" s="9">
        <v>46075.0</v>
      </c>
      <c r="E1161" s="10">
        <v>417.35</v>
      </c>
      <c r="F1161" s="8" t="s">
        <v>308</v>
      </c>
      <c r="G1161" s="13">
        <v>39.6721</v>
      </c>
      <c r="H1161" s="13">
        <v>10.52</v>
      </c>
      <c r="I1161" s="9">
        <v>46073.0</v>
      </c>
      <c r="J1161" s="10">
        <v>410.0</v>
      </c>
      <c r="K1161" s="8">
        <v>15754.0</v>
      </c>
      <c r="L1161" s="8" t="s">
        <v>2608</v>
      </c>
      <c r="M1161" s="11">
        <v>1.76</v>
      </c>
      <c r="N1161" s="8" t="s">
        <v>3732</v>
      </c>
      <c r="O1161" s="8">
        <v>48318.0</v>
      </c>
      <c r="P1161" s="11">
        <v>36.5471</v>
      </c>
      <c r="Q1161" s="8" t="s">
        <v>2633</v>
      </c>
      <c r="R1161" s="11">
        <v>-0.8552</v>
      </c>
      <c r="S1161" s="12">
        <v>2.1650779E7</v>
      </c>
      <c r="T1161" s="12">
        <v>4.69731310521E11</v>
      </c>
      <c r="U1161" s="13">
        <v>25.3854</v>
      </c>
      <c r="V1161" s="13">
        <v>22.5543</v>
      </c>
      <c r="W1161" s="13">
        <v>32.9221</v>
      </c>
      <c r="X1161" s="13">
        <v>45.432</v>
      </c>
      <c r="Y1161" s="13">
        <v>0.2124</v>
      </c>
      <c r="Z1161" s="13">
        <v>2.4598</v>
      </c>
      <c r="AA1161" s="8" t="s">
        <v>2611</v>
      </c>
      <c r="AB1161" s="14">
        <f>IFERROR(__xludf.DUMMYFUNCTION("IFERROR(GOOGLEFINANCE(B1161,""price""),"""")"),420.59)</f>
        <v>420.59</v>
      </c>
    </row>
    <row r="1162">
      <c r="A1162" s="15">
        <v>46072.872179246784</v>
      </c>
      <c r="B1162" s="16" t="s">
        <v>2625</v>
      </c>
      <c r="C1162" s="16" t="s">
        <v>2626</v>
      </c>
      <c r="D1162" s="17">
        <v>46075.0</v>
      </c>
      <c r="E1162" s="18">
        <v>124.87</v>
      </c>
      <c r="F1162" s="16" t="s">
        <v>137</v>
      </c>
      <c r="G1162" s="21">
        <v>43.7987</v>
      </c>
      <c r="H1162" s="21">
        <v>2.851</v>
      </c>
      <c r="I1162" s="17">
        <v>46073.0</v>
      </c>
      <c r="J1162" s="18">
        <v>127.0</v>
      </c>
      <c r="K1162" s="16">
        <v>8841.0</v>
      </c>
      <c r="L1162" s="16" t="s">
        <v>2627</v>
      </c>
      <c r="M1162" s="19">
        <v>1.71</v>
      </c>
      <c r="N1162" s="16" t="s">
        <v>3674</v>
      </c>
      <c r="O1162" s="16">
        <v>44541.0</v>
      </c>
      <c r="P1162" s="19">
        <v>33.4544</v>
      </c>
      <c r="Q1162" s="16" t="s">
        <v>2629</v>
      </c>
      <c r="R1162" s="19">
        <v>-1.3821</v>
      </c>
      <c r="S1162" s="20">
        <v>4.2993096E7</v>
      </c>
      <c r="T1162" s="20">
        <v>9.95234773902E11</v>
      </c>
      <c r="U1162" s="21">
        <v>3.4673</v>
      </c>
      <c r="V1162" s="21">
        <v>22.9691</v>
      </c>
      <c r="W1162" s="21">
        <v>4.1214</v>
      </c>
      <c r="X1162" s="21">
        <v>4.3397</v>
      </c>
      <c r="Y1162" s="21">
        <v>0.6735</v>
      </c>
      <c r="Z1162" s="21">
        <v>0.7898</v>
      </c>
      <c r="AA1162" s="16" t="s">
        <v>2620</v>
      </c>
      <c r="AB1162" s="22">
        <f>IFERROR(__xludf.DUMMYFUNCTION("IFERROR(GOOGLEFINANCE(B1162,""price""),"""")"),126.79)</f>
        <v>126.79</v>
      </c>
    </row>
    <row r="1163">
      <c r="A1163" s="7">
        <v>46072.872179246784</v>
      </c>
      <c r="B1163" s="8" t="s">
        <v>2638</v>
      </c>
      <c r="C1163" s="8" t="s">
        <v>2639</v>
      </c>
      <c r="D1163" s="9">
        <v>46075.0</v>
      </c>
      <c r="E1163" s="10">
        <v>150.97</v>
      </c>
      <c r="F1163" s="8" t="s">
        <v>245</v>
      </c>
      <c r="G1163" s="13">
        <v>22.5503</v>
      </c>
      <c r="H1163" s="13">
        <v>6.6948</v>
      </c>
      <c r="I1163" s="9">
        <v>46073.0</v>
      </c>
      <c r="J1163" s="10">
        <v>150.0</v>
      </c>
      <c r="K1163" s="8">
        <v>8366.0</v>
      </c>
      <c r="L1163" s="8" t="s">
        <v>2608</v>
      </c>
      <c r="M1163" s="11">
        <v>0.64</v>
      </c>
      <c r="N1163" s="8" t="s">
        <v>3677</v>
      </c>
      <c r="O1163" s="8">
        <v>23953.0</v>
      </c>
      <c r="P1163" s="11">
        <v>53.3951</v>
      </c>
      <c r="Q1163" s="8" t="s">
        <v>2641</v>
      </c>
      <c r="R1163" s="11">
        <v>0.1925</v>
      </c>
      <c r="S1163" s="12">
        <v>2.0304925E7</v>
      </c>
      <c r="T1163" s="12">
        <v>6.36665448716E11</v>
      </c>
      <c r="U1163" s="13">
        <v>3.5144</v>
      </c>
      <c r="V1163" s="13">
        <v>11.0283</v>
      </c>
      <c r="W1163" s="13">
        <v>10.3419</v>
      </c>
      <c r="X1163" s="13">
        <v>-4.856</v>
      </c>
      <c r="Y1163" s="13">
        <v>0.1871</v>
      </c>
      <c r="Z1163" s="13">
        <v>1.1528</v>
      </c>
      <c r="AA1163" s="8" t="s">
        <v>2611</v>
      </c>
      <c r="AB1163" s="14">
        <f>IFERROR(__xludf.DUMMYFUNCTION("IFERROR(GOOGLEFINANCE(B1163,""price""),"""")"),152.51)</f>
        <v>152.51</v>
      </c>
    </row>
    <row r="1164">
      <c r="A1164" s="15">
        <v>46072.872179246784</v>
      </c>
      <c r="B1164" s="16" t="s">
        <v>2616</v>
      </c>
      <c r="C1164" s="16" t="s">
        <v>2617</v>
      </c>
      <c r="D1164" s="17">
        <v>46075.0</v>
      </c>
      <c r="E1164" s="18">
        <v>78.91</v>
      </c>
      <c r="F1164" s="16" t="s">
        <v>286</v>
      </c>
      <c r="G1164" s="21">
        <v>25.9701</v>
      </c>
      <c r="H1164" s="21">
        <v>3.0385</v>
      </c>
      <c r="I1164" s="17">
        <v>46073.0</v>
      </c>
      <c r="J1164" s="18">
        <v>80.0</v>
      </c>
      <c r="K1164" s="16">
        <v>7632.0</v>
      </c>
      <c r="L1164" s="16" t="s">
        <v>2608</v>
      </c>
      <c r="M1164" s="19">
        <v>1.38</v>
      </c>
      <c r="N1164" s="16" t="s">
        <v>3678</v>
      </c>
      <c r="O1164" s="16">
        <v>22603.0</v>
      </c>
      <c r="P1164" s="19">
        <v>39.4311</v>
      </c>
      <c r="Q1164" s="16" t="s">
        <v>2619</v>
      </c>
      <c r="R1164" s="19">
        <v>-0.7297</v>
      </c>
      <c r="S1164" s="20">
        <v>1.492465E7</v>
      </c>
      <c r="T1164" s="20">
        <v>3.39439948129E11</v>
      </c>
      <c r="U1164" s="21">
        <v>1.2936</v>
      </c>
      <c r="V1164" s="21">
        <v>45.9693</v>
      </c>
      <c r="W1164" s="21">
        <v>29.0951</v>
      </c>
      <c r="X1164" s="21">
        <v>3.1925</v>
      </c>
      <c r="Y1164" s="21">
        <v>1.4142</v>
      </c>
      <c r="Z1164" s="21">
        <v>1.4588</v>
      </c>
      <c r="AA1164" s="16" t="s">
        <v>2620</v>
      </c>
      <c r="AB1164" s="22">
        <f>IFERROR(__xludf.DUMMYFUNCTION("IFERROR(GOOGLEFINANCE(B1164,""price""),"""")"),77.47)</f>
        <v>77.47</v>
      </c>
    </row>
    <row r="1165">
      <c r="A1165" s="7">
        <v>46072.872179246784</v>
      </c>
      <c r="B1165" s="8" t="s">
        <v>3523</v>
      </c>
      <c r="C1165" s="8" t="s">
        <v>3524</v>
      </c>
      <c r="D1165" s="9">
        <v>46075.0</v>
      </c>
      <c r="E1165" s="10">
        <v>41.68</v>
      </c>
      <c r="F1165" s="8" t="s">
        <v>162</v>
      </c>
      <c r="G1165" s="13">
        <v>27.0123</v>
      </c>
      <c r="H1165" s="13">
        <v>1.543</v>
      </c>
      <c r="I1165" s="9">
        <v>46073.0</v>
      </c>
      <c r="J1165" s="10">
        <v>42.0</v>
      </c>
      <c r="K1165" s="8">
        <v>7631.0</v>
      </c>
      <c r="L1165" s="8" t="s">
        <v>2608</v>
      </c>
      <c r="M1165" s="11">
        <v>0.77</v>
      </c>
      <c r="N1165" s="8" t="s">
        <v>3679</v>
      </c>
      <c r="O1165" s="8">
        <v>16736.0</v>
      </c>
      <c r="P1165" s="11">
        <v>41.9162</v>
      </c>
      <c r="Q1165" s="8" t="s">
        <v>3526</v>
      </c>
      <c r="R1165" s="11">
        <v>0.7737</v>
      </c>
      <c r="S1165" s="12">
        <v>1.0273962E7</v>
      </c>
      <c r="T1165" s="12">
        <v>7.7506327013E10</v>
      </c>
      <c r="U1165" s="13">
        <v>0.818</v>
      </c>
      <c r="V1165" s="13">
        <v>22.5202</v>
      </c>
      <c r="W1165" s="13">
        <v>33.2458</v>
      </c>
      <c r="X1165" s="13">
        <v>-3.0812</v>
      </c>
      <c r="Y1165" s="13">
        <v>1.4762</v>
      </c>
      <c r="Z1165" s="13">
        <v>0.8139</v>
      </c>
      <c r="AA1165" s="8" t="s">
        <v>2620</v>
      </c>
      <c r="AB1165" s="14">
        <f>IFERROR(__xludf.DUMMYFUNCTION("IFERROR(GOOGLEFINANCE(B1165,""price""),"""")"),42.24)</f>
        <v>42.24</v>
      </c>
    </row>
    <row r="1166">
      <c r="A1166" s="15">
        <v>46072.872179246784</v>
      </c>
      <c r="B1166" s="16" t="s">
        <v>2438</v>
      </c>
      <c r="C1166" s="16" t="s">
        <v>2439</v>
      </c>
      <c r="D1166" s="17">
        <v>46075.0</v>
      </c>
      <c r="E1166" s="18">
        <v>218.05</v>
      </c>
      <c r="F1166" s="16" t="s">
        <v>308</v>
      </c>
      <c r="G1166" s="21">
        <v>40.043</v>
      </c>
      <c r="H1166" s="21">
        <v>5.4454</v>
      </c>
      <c r="I1166" s="17">
        <v>46073.0</v>
      </c>
      <c r="J1166" s="18">
        <v>220.0</v>
      </c>
      <c r="K1166" s="16">
        <v>6708.0</v>
      </c>
      <c r="L1166" s="16" t="s">
        <v>2608</v>
      </c>
      <c r="M1166" s="19">
        <v>0.89</v>
      </c>
      <c r="N1166" s="16" t="s">
        <v>3680</v>
      </c>
      <c r="O1166" s="16">
        <v>15518.0</v>
      </c>
      <c r="P1166" s="19">
        <v>50.798</v>
      </c>
      <c r="Q1166" s="16" t="s">
        <v>2440</v>
      </c>
      <c r="R1166" s="19">
        <v>-2.3598</v>
      </c>
      <c r="S1166" s="20">
        <v>5002233.0</v>
      </c>
      <c r="T1166" s="20">
        <v>1.97891441033E11</v>
      </c>
      <c r="U1166" s="21">
        <v>6.7226</v>
      </c>
      <c r="V1166" s="21">
        <v>29.9795</v>
      </c>
      <c r="W1166" s="21">
        <v>34.7246</v>
      </c>
      <c r="X1166" s="21">
        <v>13.049</v>
      </c>
      <c r="Y1166" s="21">
        <v>0.9082</v>
      </c>
      <c r="Z1166" s="21">
        <v>4.3526</v>
      </c>
      <c r="AA1166" s="16" t="s">
        <v>2620</v>
      </c>
      <c r="AB1166" s="22">
        <f>IFERROR(__xludf.DUMMYFUNCTION("IFERROR(GOOGLEFINANCE(B1166,""price""),"""")"),214.73)</f>
        <v>214.73</v>
      </c>
    </row>
    <row r="1167">
      <c r="A1167" s="7">
        <v>46072.872179246784</v>
      </c>
      <c r="B1167" s="8" t="s">
        <v>3086</v>
      </c>
      <c r="C1167" s="8" t="s">
        <v>3087</v>
      </c>
      <c r="D1167" s="9">
        <v>46075.0</v>
      </c>
      <c r="E1167" s="10">
        <v>67.44</v>
      </c>
      <c r="F1167" s="8" t="s">
        <v>162</v>
      </c>
      <c r="G1167" s="13">
        <v>8.8043</v>
      </c>
      <c r="H1167" s="13">
        <v>7.6599</v>
      </c>
      <c r="I1167" s="9">
        <v>46073.0</v>
      </c>
      <c r="J1167" s="10">
        <v>67.5</v>
      </c>
      <c r="K1167" s="8">
        <v>5968.0</v>
      </c>
      <c r="L1167" s="8" t="s">
        <v>2627</v>
      </c>
      <c r="M1167" s="11">
        <v>0.09</v>
      </c>
      <c r="N1167" s="8" t="s">
        <v>3733</v>
      </c>
      <c r="O1167" s="8">
        <v>12283.0</v>
      </c>
      <c r="P1167" s="11">
        <v>17.2043</v>
      </c>
      <c r="Q1167" s="8" t="s">
        <v>3089</v>
      </c>
      <c r="R1167" s="11">
        <v>-5.161</v>
      </c>
      <c r="S1167" s="12">
        <v>8626270.0</v>
      </c>
      <c r="T1167" s="12">
        <v>4.4047133186E10</v>
      </c>
      <c r="U1167" s="13">
        <v>2.8196</v>
      </c>
      <c r="V1167" s="13">
        <v>27.6988</v>
      </c>
      <c r="W1167" s="13">
        <v>9.1882</v>
      </c>
      <c r="X1167" s="13">
        <v>2.7935</v>
      </c>
      <c r="Y1167" s="13">
        <v>0.9722</v>
      </c>
      <c r="Z1167" s="13">
        <v>0.397</v>
      </c>
      <c r="AA1167" s="8" t="s">
        <v>2620</v>
      </c>
      <c r="AB1167" s="14">
        <f>IFERROR(__xludf.DUMMYFUNCTION("IFERROR(GOOGLEFINANCE(B1167,""price""),"""")"),67.82)</f>
        <v>67.82</v>
      </c>
    </row>
    <row r="1168">
      <c r="A1168" s="15">
        <v>46072.872179246784</v>
      </c>
      <c r="B1168" s="16" t="s">
        <v>2634</v>
      </c>
      <c r="C1168" s="16" t="s">
        <v>2635</v>
      </c>
      <c r="D1168" s="17">
        <v>46075.0</v>
      </c>
      <c r="E1168" s="18">
        <v>184.78</v>
      </c>
      <c r="F1168" s="16" t="s">
        <v>245</v>
      </c>
      <c r="G1168" s="21">
        <v>27.7827</v>
      </c>
      <c r="H1168" s="21">
        <v>6.6509</v>
      </c>
      <c r="I1168" s="17">
        <v>46073.0</v>
      </c>
      <c r="J1168" s="18">
        <v>185.0</v>
      </c>
      <c r="K1168" s="16">
        <v>4630.0</v>
      </c>
      <c r="L1168" s="16" t="s">
        <v>2608</v>
      </c>
      <c r="M1168" s="19">
        <v>0.12</v>
      </c>
      <c r="N1168" s="16" t="s">
        <v>3734</v>
      </c>
      <c r="O1168" s="16">
        <v>10787.0</v>
      </c>
      <c r="P1168" s="19">
        <v>55.1692</v>
      </c>
      <c r="Q1168" s="16" t="s">
        <v>2637</v>
      </c>
      <c r="R1168" s="19">
        <v>0.4949</v>
      </c>
      <c r="S1168" s="20">
        <v>1.0773338E7</v>
      </c>
      <c r="T1168" s="20">
        <v>3.72058512558E11</v>
      </c>
      <c r="U1168" s="21">
        <v>3.5636</v>
      </c>
      <c r="V1168" s="21">
        <v>7.261</v>
      </c>
      <c r="W1168" s="21">
        <v>8.9022</v>
      </c>
      <c r="X1168" s="21">
        <v>-4.6053</v>
      </c>
      <c r="Y1168" s="21">
        <v>0.2186</v>
      </c>
      <c r="Z1168" s="21"/>
      <c r="AA1168" s="16" t="s">
        <v>2620</v>
      </c>
      <c r="AB1168" s="22">
        <f>IFERROR(__xludf.DUMMYFUNCTION("IFERROR(GOOGLEFINANCE(B1168,""price""),"""")"),188.55)</f>
        <v>188.55</v>
      </c>
    </row>
    <row r="1169">
      <c r="A1169" s="7">
        <v>46072.872179246784</v>
      </c>
      <c r="B1169" s="8" t="s">
        <v>2621</v>
      </c>
      <c r="C1169" s="8" t="s">
        <v>2622</v>
      </c>
      <c r="D1169" s="9">
        <v>46075.0</v>
      </c>
      <c r="E1169" s="10">
        <v>62.57</v>
      </c>
      <c r="F1169" s="8" t="s">
        <v>335</v>
      </c>
      <c r="G1169" s="13">
        <v>41.3276</v>
      </c>
      <c r="H1169" s="13">
        <v>1.514</v>
      </c>
      <c r="I1169" s="9">
        <v>46073.0</v>
      </c>
      <c r="J1169" s="10">
        <v>63.0</v>
      </c>
      <c r="K1169" s="8">
        <v>4224.0</v>
      </c>
      <c r="L1169" s="8" t="s">
        <v>2608</v>
      </c>
      <c r="M1169" s="11">
        <v>0.69</v>
      </c>
      <c r="N1169" s="8" t="s">
        <v>3683</v>
      </c>
      <c r="O1169" s="8">
        <v>10784.0</v>
      </c>
      <c r="P1169" s="11">
        <v>31.6307</v>
      </c>
      <c r="Q1169" s="8" t="s">
        <v>2624</v>
      </c>
      <c r="R1169" s="11">
        <v>0.032</v>
      </c>
      <c r="S1169" s="12">
        <v>1.3357868E7</v>
      </c>
      <c r="T1169" s="12">
        <v>8.9925706779E10</v>
      </c>
      <c r="U1169" s="13">
        <v>2.8918</v>
      </c>
      <c r="V1169" s="13">
        <v>11.9792</v>
      </c>
      <c r="W1169" s="13">
        <v>22.7913</v>
      </c>
      <c r="X1169" s="13">
        <v>-0.0477</v>
      </c>
      <c r="Y1169" s="13">
        <v>0.5552</v>
      </c>
      <c r="Z1169" s="13">
        <v>2.2911</v>
      </c>
      <c r="AA1169" s="8" t="s">
        <v>2620</v>
      </c>
      <c r="AB1169" s="14">
        <f>IFERROR(__xludf.DUMMYFUNCTION("IFERROR(GOOGLEFINANCE(B1169,""price""),"""")"),67.8)</f>
        <v>67.8</v>
      </c>
    </row>
    <row r="1170">
      <c r="A1170" s="15">
        <v>46072.872179246784</v>
      </c>
      <c r="B1170" s="16" t="s">
        <v>3684</v>
      </c>
      <c r="C1170" s="16" t="s">
        <v>3685</v>
      </c>
      <c r="D1170" s="17">
        <v>46075.0</v>
      </c>
      <c r="E1170" s="18">
        <v>36.97</v>
      </c>
      <c r="F1170" s="16" t="s">
        <v>917</v>
      </c>
      <c r="G1170" s="21">
        <v>25.1565</v>
      </c>
      <c r="H1170" s="21">
        <v>1.4696</v>
      </c>
      <c r="I1170" s="17">
        <v>46073.0</v>
      </c>
      <c r="J1170" s="18">
        <v>37.0</v>
      </c>
      <c r="K1170" s="16">
        <v>9702.0</v>
      </c>
      <c r="L1170" s="16" t="s">
        <v>2608</v>
      </c>
      <c r="M1170" s="19">
        <v>0.08</v>
      </c>
      <c r="N1170" s="16" t="s">
        <v>3686</v>
      </c>
      <c r="O1170" s="16">
        <v>9702.0</v>
      </c>
      <c r="P1170" s="19">
        <v>18.7317</v>
      </c>
      <c r="Q1170" s="16" t="s">
        <v>3687</v>
      </c>
      <c r="R1170" s="19">
        <v>0.4347</v>
      </c>
      <c r="S1170" s="20">
        <v>1.1997392E7</v>
      </c>
      <c r="T1170" s="20">
        <v>2.7348159125E10</v>
      </c>
      <c r="U1170" s="21">
        <v>0.7111</v>
      </c>
      <c r="V1170" s="21">
        <v>7.6548</v>
      </c>
      <c r="W1170" s="21">
        <v>22.7865</v>
      </c>
      <c r="X1170" s="21">
        <v>8.4158</v>
      </c>
      <c r="Y1170" s="21">
        <v>1.3173</v>
      </c>
      <c r="Z1170" s="21">
        <v>0.7742</v>
      </c>
      <c r="AA1170" s="16" t="s">
        <v>2620</v>
      </c>
      <c r="AB1170" s="22">
        <f>IFERROR(__xludf.DUMMYFUNCTION("IFERROR(GOOGLEFINANCE(B1170,""price""),"""")"),39.65)</f>
        <v>39.65</v>
      </c>
    </row>
    <row r="1171">
      <c r="A1171" s="7">
        <v>46072.872179246784</v>
      </c>
      <c r="B1171" s="8" t="s">
        <v>2700</v>
      </c>
      <c r="C1171" s="8" t="s">
        <v>2701</v>
      </c>
      <c r="D1171" s="9">
        <v>46075.0</v>
      </c>
      <c r="E1171" s="10">
        <v>237.39</v>
      </c>
      <c r="F1171" s="8" t="s">
        <v>102</v>
      </c>
      <c r="G1171" s="13">
        <v>48.6525</v>
      </c>
      <c r="H1171" s="13">
        <v>4.8793</v>
      </c>
      <c r="I1171" s="9">
        <v>46073.0</v>
      </c>
      <c r="J1171" s="10">
        <v>240.0</v>
      </c>
      <c r="K1171" s="8">
        <v>5273.0</v>
      </c>
      <c r="L1171" s="8" t="s">
        <v>2608</v>
      </c>
      <c r="M1171" s="11">
        <v>1.1</v>
      </c>
      <c r="N1171" s="8" t="s">
        <v>3688</v>
      </c>
      <c r="O1171" s="8">
        <v>9640.0</v>
      </c>
      <c r="P1171" s="11">
        <v>31.8174</v>
      </c>
      <c r="Q1171" s="8" t="s">
        <v>2703</v>
      </c>
      <c r="R1171" s="11">
        <v>-1.1246</v>
      </c>
      <c r="S1171" s="12">
        <v>6384095.0</v>
      </c>
      <c r="T1171" s="12">
        <v>2.96445742241E11</v>
      </c>
      <c r="U1171" s="13">
        <v>11.6983</v>
      </c>
      <c r="V1171" s="13">
        <v>65.5649</v>
      </c>
      <c r="W1171" s="13">
        <v>33.7646</v>
      </c>
      <c r="X1171" s="13">
        <v>26.8457</v>
      </c>
      <c r="Y1171" s="13">
        <v>0.4419</v>
      </c>
      <c r="Z1171" s="13">
        <v>2.2562</v>
      </c>
      <c r="AA1171" s="8" t="s">
        <v>2620</v>
      </c>
      <c r="AB1171" s="14">
        <f>IFERROR(__xludf.DUMMYFUNCTION("IFERROR(GOOGLEFINANCE(B1171,""price""),"""")"),263.66)</f>
        <v>263.66</v>
      </c>
    </row>
    <row r="1172">
      <c r="A1172" s="15">
        <v>46072.872179246784</v>
      </c>
      <c r="B1172" s="16" t="s">
        <v>2804</v>
      </c>
      <c r="C1172" s="16" t="s">
        <v>2805</v>
      </c>
      <c r="D1172" s="17">
        <v>46075.0</v>
      </c>
      <c r="E1172" s="18">
        <v>129.99</v>
      </c>
      <c r="F1172" s="16" t="s">
        <v>308</v>
      </c>
      <c r="G1172" s="21">
        <v>70.689</v>
      </c>
      <c r="H1172" s="21">
        <v>1.8389</v>
      </c>
      <c r="I1172" s="17">
        <v>46073.0</v>
      </c>
      <c r="J1172" s="18">
        <v>132.0</v>
      </c>
      <c r="K1172" s="16">
        <v>7819.0</v>
      </c>
      <c r="L1172" s="16" t="s">
        <v>2608</v>
      </c>
      <c r="M1172" s="19">
        <v>1.55</v>
      </c>
      <c r="N1172" s="16" t="s">
        <v>3689</v>
      </c>
      <c r="O1172" s="16">
        <v>9034.0</v>
      </c>
      <c r="P1172" s="19">
        <v>45.4644</v>
      </c>
      <c r="Q1172" s="16" t="s">
        <v>2807</v>
      </c>
      <c r="R1172" s="19">
        <v>-1.5302</v>
      </c>
      <c r="S1172" s="20">
        <v>9169365.0</v>
      </c>
      <c r="T1172" s="20">
        <v>1.11524671493E11</v>
      </c>
      <c r="U1172" s="21">
        <v>6.1147</v>
      </c>
      <c r="V1172" s="21">
        <v>14.1911</v>
      </c>
      <c r="W1172" s="21">
        <v>15.3241</v>
      </c>
      <c r="X1172" s="21">
        <v>19.1416</v>
      </c>
      <c r="Y1172" s="21">
        <v>0.7942</v>
      </c>
      <c r="Z1172" s="21">
        <v>1.5878</v>
      </c>
      <c r="AA1172" s="16" t="s">
        <v>2620</v>
      </c>
      <c r="AB1172" s="22">
        <f>IFERROR(__xludf.DUMMYFUNCTION("IFERROR(GOOGLEFINANCE(B1172,""price""),"""")"),171.24)</f>
        <v>171.24</v>
      </c>
    </row>
    <row r="1173">
      <c r="A1173" s="7">
        <v>46072.872179246784</v>
      </c>
      <c r="B1173" s="8" t="s">
        <v>3347</v>
      </c>
      <c r="C1173" s="8" t="s">
        <v>3348</v>
      </c>
      <c r="D1173" s="9">
        <v>46075.0</v>
      </c>
      <c r="E1173" s="10">
        <v>334.74</v>
      </c>
      <c r="F1173" s="8" t="s">
        <v>308</v>
      </c>
      <c r="G1173" s="13">
        <v>41.1289</v>
      </c>
      <c r="H1173" s="13">
        <v>8.1388</v>
      </c>
      <c r="I1173" s="9">
        <v>46073.0</v>
      </c>
      <c r="J1173" s="10">
        <v>340.0</v>
      </c>
      <c r="K1173" s="8">
        <v>4169.0</v>
      </c>
      <c r="L1173" s="8" t="s">
        <v>2608</v>
      </c>
      <c r="M1173" s="11">
        <v>1.57</v>
      </c>
      <c r="N1173" s="8" t="s">
        <v>3690</v>
      </c>
      <c r="O1173" s="8">
        <v>8177.0</v>
      </c>
      <c r="P1173" s="11">
        <v>19.759</v>
      </c>
      <c r="Q1173" s="8" t="s">
        <v>3350</v>
      </c>
      <c r="R1173" s="11">
        <v>1.5656</v>
      </c>
      <c r="S1173" s="12">
        <v>4456653.0</v>
      </c>
      <c r="T1173" s="12">
        <v>3.51079849702E11</v>
      </c>
      <c r="U1173" s="13">
        <v>9.7635</v>
      </c>
      <c r="V1173" s="13">
        <v>45.2353</v>
      </c>
      <c r="W1173" s="13">
        <v>18.207</v>
      </c>
      <c r="X1173" s="13">
        <v>0.1223</v>
      </c>
      <c r="Y1173" s="13">
        <v>1.1542</v>
      </c>
      <c r="Z1173" s="13">
        <v>1.0415</v>
      </c>
      <c r="AA1173" s="8" t="s">
        <v>2620</v>
      </c>
      <c r="AB1173" s="14">
        <f>IFERROR(__xludf.DUMMYFUNCTION("IFERROR(GOOGLEFINANCE(B1173,""price""),"""")"),308.35)</f>
        <v>308.35</v>
      </c>
    </row>
    <row r="1174">
      <c r="A1174" s="15">
        <v>46072.872179246784</v>
      </c>
      <c r="B1174" s="16" t="s">
        <v>3463</v>
      </c>
      <c r="C1174" s="16" t="s">
        <v>3464</v>
      </c>
      <c r="D1174" s="17">
        <v>46075.0</v>
      </c>
      <c r="E1174" s="18">
        <v>59.77</v>
      </c>
      <c r="F1174" s="16" t="s">
        <v>245</v>
      </c>
      <c r="G1174" s="21">
        <v>18.0372</v>
      </c>
      <c r="H1174" s="21">
        <v>3.3137</v>
      </c>
      <c r="I1174" s="17">
        <v>46073.0</v>
      </c>
      <c r="J1174" s="18">
        <v>60.0</v>
      </c>
      <c r="K1174" s="16">
        <v>6184.0</v>
      </c>
      <c r="L1174" s="16" t="s">
        <v>2608</v>
      </c>
      <c r="M1174" s="19">
        <v>0.38</v>
      </c>
      <c r="N1174" s="16" t="s">
        <v>3691</v>
      </c>
      <c r="O1174" s="16">
        <v>7982.0</v>
      </c>
      <c r="P1174" s="19">
        <v>21.7077</v>
      </c>
      <c r="Q1174" s="16" t="s">
        <v>3466</v>
      </c>
      <c r="R1174" s="19">
        <v>1.9444</v>
      </c>
      <c r="S1174" s="20">
        <v>1.4132695E7</v>
      </c>
      <c r="T1174" s="20">
        <v>3.7300712442E10</v>
      </c>
      <c r="U1174" s="21">
        <v>2.1042</v>
      </c>
      <c r="V1174" s="21">
        <v>9.1961</v>
      </c>
      <c r="W1174" s="21">
        <v>35.6577</v>
      </c>
      <c r="X1174" s="21">
        <v>59.9561</v>
      </c>
      <c r="Y1174" s="21">
        <v>0.3357</v>
      </c>
      <c r="Z1174" s="21">
        <v>0.7627</v>
      </c>
      <c r="AA1174" s="16" t="s">
        <v>2620</v>
      </c>
      <c r="AB1174" s="22">
        <f>IFERROR(__xludf.DUMMYFUNCTION("IFERROR(GOOGLEFINANCE(B1174,""price""),"""")"),58.68)</f>
        <v>58.68</v>
      </c>
    </row>
    <row r="1175">
      <c r="A1175" s="7">
        <v>46072.872179246784</v>
      </c>
      <c r="B1175" s="8" t="s">
        <v>1492</v>
      </c>
      <c r="C1175" s="8" t="s">
        <v>1493</v>
      </c>
      <c r="D1175" s="9">
        <v>46075.0</v>
      </c>
      <c r="E1175" s="10">
        <v>25.02</v>
      </c>
      <c r="F1175" s="8" t="s">
        <v>93</v>
      </c>
      <c r="G1175" s="13">
        <v>13.334</v>
      </c>
      <c r="H1175" s="13">
        <v>1.8764</v>
      </c>
      <c r="I1175" s="9">
        <v>46073.0</v>
      </c>
      <c r="J1175" s="10">
        <v>25.0</v>
      </c>
      <c r="K1175" s="8">
        <v>5402.0</v>
      </c>
      <c r="L1175" s="8" t="s">
        <v>2608</v>
      </c>
      <c r="M1175" s="11">
        <v>0.08</v>
      </c>
      <c r="N1175" s="8" t="s">
        <v>3735</v>
      </c>
      <c r="O1175" s="8">
        <v>7198.0</v>
      </c>
      <c r="P1175" s="11">
        <v>20.2216</v>
      </c>
      <c r="Q1175" s="8" t="s">
        <v>1494</v>
      </c>
      <c r="R1175" s="11">
        <v>-0.3187</v>
      </c>
      <c r="S1175" s="12">
        <v>4880481.0</v>
      </c>
      <c r="T1175" s="12">
        <v>1.2134700184E10</v>
      </c>
      <c r="U1175" s="13">
        <v>0.643</v>
      </c>
      <c r="V1175" s="13">
        <v>11.1193</v>
      </c>
      <c r="W1175" s="13">
        <v>25.6333</v>
      </c>
      <c r="X1175" s="13">
        <v>-0.5598</v>
      </c>
      <c r="Y1175" s="13">
        <v>0.517</v>
      </c>
      <c r="Z1175" s="13">
        <v>0.2349</v>
      </c>
      <c r="AA1175" s="8" t="s">
        <v>2611</v>
      </c>
      <c r="AB1175" s="14">
        <f>IFERROR(__xludf.DUMMYFUNCTION("IFERROR(GOOGLEFINANCE(B1175,""price""),"""")"),24.05)</f>
        <v>24.05</v>
      </c>
    </row>
    <row r="1176">
      <c r="A1176" s="15">
        <v>46072.872179246784</v>
      </c>
      <c r="B1176" s="16" t="s">
        <v>2658</v>
      </c>
      <c r="C1176" s="16" t="s">
        <v>2659</v>
      </c>
      <c r="D1176" s="17">
        <v>46075.0</v>
      </c>
      <c r="E1176" s="18">
        <v>91.64</v>
      </c>
      <c r="F1176" s="16" t="s">
        <v>917</v>
      </c>
      <c r="G1176" s="21">
        <v>27.7672</v>
      </c>
      <c r="H1176" s="21">
        <v>3.3003</v>
      </c>
      <c r="I1176" s="17">
        <v>46073.0</v>
      </c>
      <c r="J1176" s="18">
        <v>90.0</v>
      </c>
      <c r="K1176" s="16">
        <v>4179.0</v>
      </c>
      <c r="L1176" s="16" t="s">
        <v>2608</v>
      </c>
      <c r="M1176" s="19">
        <v>1.79</v>
      </c>
      <c r="N1176" s="16" t="s">
        <v>3693</v>
      </c>
      <c r="O1176" s="16">
        <v>7194.0</v>
      </c>
      <c r="P1176" s="19">
        <v>40.8055</v>
      </c>
      <c r="Q1176" s="16" t="s">
        <v>2661</v>
      </c>
      <c r="R1176" s="19">
        <v>0.4604</v>
      </c>
      <c r="S1176" s="20">
        <v>8483548.0</v>
      </c>
      <c r="T1176" s="20">
        <v>1.90933956129E11</v>
      </c>
      <c r="U1176" s="21">
        <v>2.0824</v>
      </c>
      <c r="V1176" s="21">
        <v>13.0533</v>
      </c>
      <c r="W1176" s="21">
        <v>26.8934</v>
      </c>
      <c r="X1176" s="21">
        <v>8.6905</v>
      </c>
      <c r="Y1176" s="21">
        <v>1.7594</v>
      </c>
      <c r="Z1176" s="21">
        <v>0.5953</v>
      </c>
      <c r="AA1176" s="16" t="s">
        <v>2611</v>
      </c>
      <c r="AB1176" s="22">
        <f>IFERROR(__xludf.DUMMYFUNCTION("IFERROR(GOOGLEFINANCE(B1176,""price""),"""")"),94.08)</f>
        <v>94.08</v>
      </c>
    </row>
    <row r="1177">
      <c r="A1177" s="7">
        <v>46072.872179246784</v>
      </c>
      <c r="B1177" s="8" t="s">
        <v>2676</v>
      </c>
      <c r="C1177" s="8" t="s">
        <v>2677</v>
      </c>
      <c r="D1177" s="9">
        <v>46075.0</v>
      </c>
      <c r="E1177" s="10">
        <v>29.72</v>
      </c>
      <c r="F1177" s="8" t="s">
        <v>93</v>
      </c>
      <c r="G1177" s="13">
        <v>12.9369</v>
      </c>
      <c r="H1177" s="13">
        <v>2.2973</v>
      </c>
      <c r="I1177" s="9">
        <v>46073.0</v>
      </c>
      <c r="J1177" s="10">
        <v>30.0</v>
      </c>
      <c r="K1177" s="8">
        <v>4262.0</v>
      </c>
      <c r="L1177" s="8" t="s">
        <v>2608</v>
      </c>
      <c r="M1177" s="11">
        <v>0.94</v>
      </c>
      <c r="N1177" s="8" t="s">
        <v>3694</v>
      </c>
      <c r="O1177" s="8">
        <v>6611.0</v>
      </c>
      <c r="P1177" s="11">
        <v>24.9061</v>
      </c>
      <c r="Q1177" s="8" t="s">
        <v>2679</v>
      </c>
      <c r="R1177" s="11">
        <v>-1.1311</v>
      </c>
      <c r="S1177" s="12">
        <v>1.201744E7</v>
      </c>
      <c r="T1177" s="12">
        <v>2.6060769886E10</v>
      </c>
      <c r="U1177" s="13">
        <v>0.7402</v>
      </c>
      <c r="V1177" s="13">
        <v>11.6787</v>
      </c>
      <c r="W1177" s="13">
        <v>28.7373</v>
      </c>
      <c r="X1177" s="13">
        <v>2.137</v>
      </c>
      <c r="Y1177" s="13">
        <v>0.2565</v>
      </c>
      <c r="Z1177" s="13">
        <v>0.1084</v>
      </c>
      <c r="AA1177" s="8" t="s">
        <v>2620</v>
      </c>
      <c r="AB1177" s="14">
        <f>IFERROR(__xludf.DUMMYFUNCTION("IFERROR(GOOGLEFINANCE(B1177,""price""),"""")"),27.5)</f>
        <v>27.5</v>
      </c>
    </row>
    <row r="1178">
      <c r="A1178" s="15">
        <v>46072.872179246784</v>
      </c>
      <c r="B1178" s="16" t="s">
        <v>2692</v>
      </c>
      <c r="C1178" s="16" t="s">
        <v>2693</v>
      </c>
      <c r="D1178" s="17">
        <v>46075.0</v>
      </c>
      <c r="E1178" s="18">
        <v>246.91</v>
      </c>
      <c r="F1178" s="16" t="s">
        <v>117</v>
      </c>
      <c r="G1178" s="21">
        <v>22.3533</v>
      </c>
      <c r="H1178" s="21">
        <v>11.0458</v>
      </c>
      <c r="I1178" s="17">
        <v>46073.0</v>
      </c>
      <c r="J1178" s="18">
        <v>245.0</v>
      </c>
      <c r="K1178" s="16">
        <v>3776.0</v>
      </c>
      <c r="L1178" s="16" t="s">
        <v>2608</v>
      </c>
      <c r="M1178" s="19">
        <v>0.77</v>
      </c>
      <c r="N1178" s="16" t="s">
        <v>3695</v>
      </c>
      <c r="O1178" s="16">
        <v>6600.0</v>
      </c>
      <c r="P1178" s="19">
        <v>43.4955</v>
      </c>
      <c r="Q1178" s="16" t="s">
        <v>2695</v>
      </c>
      <c r="R1178" s="19">
        <v>0.7837</v>
      </c>
      <c r="S1178" s="20">
        <v>7553934.0</v>
      </c>
      <c r="T1178" s="20">
        <v>5.95028157106E11</v>
      </c>
      <c r="U1178" s="21">
        <v>3.5734</v>
      </c>
      <c r="V1178" s="21">
        <v>35.0301</v>
      </c>
      <c r="W1178" s="21">
        <v>27.2081</v>
      </c>
      <c r="X1178" s="21">
        <v>6.046</v>
      </c>
      <c r="Y1178" s="21">
        <v>0.605</v>
      </c>
      <c r="Z1178" s="21">
        <v>1.0277</v>
      </c>
      <c r="AA1178" s="16" t="s">
        <v>2611</v>
      </c>
      <c r="AB1178" s="22">
        <f>IFERROR(__xludf.DUMMYFUNCTION("IFERROR(GOOGLEFINANCE(B1178,""price""),"""")"),238.46)</f>
        <v>238.46</v>
      </c>
    </row>
    <row r="1179">
      <c r="A1179" s="7">
        <v>46072.872179246784</v>
      </c>
      <c r="B1179" s="8" t="s">
        <v>3443</v>
      </c>
      <c r="C1179" s="8" t="s">
        <v>3444</v>
      </c>
      <c r="D1179" s="9">
        <v>46075.0</v>
      </c>
      <c r="E1179" s="10">
        <v>110.05</v>
      </c>
      <c r="F1179" s="8" t="s">
        <v>162</v>
      </c>
      <c r="G1179" s="13">
        <v>10.7559</v>
      </c>
      <c r="H1179" s="13">
        <v>10.2316</v>
      </c>
      <c r="I1179" s="9">
        <v>46073.0</v>
      </c>
      <c r="J1179" s="10">
        <v>110.0</v>
      </c>
      <c r="K1179" s="8">
        <v>4276.0</v>
      </c>
      <c r="L1179" s="8" t="s">
        <v>2608</v>
      </c>
      <c r="M1179" s="11">
        <v>0.05</v>
      </c>
      <c r="N1179" s="8" t="s">
        <v>3696</v>
      </c>
      <c r="O1179" s="8">
        <v>6286.0</v>
      </c>
      <c r="P1179" s="11">
        <v>16.3716</v>
      </c>
      <c r="Q1179" s="8" t="s">
        <v>3446</v>
      </c>
      <c r="R1179" s="11">
        <v>-5.8839</v>
      </c>
      <c r="S1179" s="12">
        <v>5147935.0</v>
      </c>
      <c r="T1179" s="12">
        <v>3.5593517805E10</v>
      </c>
      <c r="U1179" s="13">
        <v>5.4305</v>
      </c>
      <c r="V1179" s="13">
        <v>23.9868</v>
      </c>
      <c r="W1179" s="13">
        <v>8.4204</v>
      </c>
      <c r="X1179" s="13">
        <v>3.5189</v>
      </c>
      <c r="Y1179" s="13">
        <v>2.0309</v>
      </c>
      <c r="Z1179" s="13">
        <v>0.645</v>
      </c>
      <c r="AA1179" s="8" t="s">
        <v>2611</v>
      </c>
      <c r="AB1179" s="14">
        <f>IFERROR(__xludf.DUMMYFUNCTION("IFERROR(GOOGLEFINANCE(B1179,""price""),"""")"),96.4)</f>
        <v>96.4</v>
      </c>
    </row>
    <row r="1180">
      <c r="A1180" s="15">
        <v>46072.872179246784</v>
      </c>
      <c r="B1180" s="16" t="s">
        <v>3697</v>
      </c>
      <c r="C1180" s="16" t="s">
        <v>3698</v>
      </c>
      <c r="D1180" s="17">
        <v>46075.0</v>
      </c>
      <c r="E1180" s="18">
        <v>47.36</v>
      </c>
      <c r="F1180" s="16" t="s">
        <v>917</v>
      </c>
      <c r="G1180" s="21">
        <v>17.3169</v>
      </c>
      <c r="H1180" s="21">
        <v>2.7349</v>
      </c>
      <c r="I1180" s="17">
        <v>46073.0</v>
      </c>
      <c r="J1180" s="18">
        <v>47.0</v>
      </c>
      <c r="K1180" s="16">
        <v>4784.0</v>
      </c>
      <c r="L1180" s="16" t="s">
        <v>2608</v>
      </c>
      <c r="M1180" s="19">
        <v>0.76</v>
      </c>
      <c r="N1180" s="16" t="s">
        <v>3699</v>
      </c>
      <c r="O1180" s="16">
        <v>5935.0</v>
      </c>
      <c r="P1180" s="19">
        <v>26.2694</v>
      </c>
      <c r="Q1180" s="16" t="s">
        <v>3700</v>
      </c>
      <c r="R1180" s="19">
        <v>0.254</v>
      </c>
      <c r="S1180" s="20">
        <v>8858471.0</v>
      </c>
      <c r="T1180" s="20">
        <v>4.8444194222E10</v>
      </c>
      <c r="U1180" s="21">
        <v>1.0806</v>
      </c>
      <c r="V1180" s="21">
        <v>9.9356</v>
      </c>
      <c r="W1180" s="21">
        <v>21.2054</v>
      </c>
      <c r="X1180" s="21">
        <v>5.3367</v>
      </c>
      <c r="Y1180" s="21">
        <v>1.7554</v>
      </c>
      <c r="Z1180" s="21">
        <v>0.924</v>
      </c>
      <c r="AA1180" s="16" t="s">
        <v>2611</v>
      </c>
      <c r="AB1180" s="22">
        <f>IFERROR(__xludf.DUMMYFUNCTION("IFERROR(GOOGLEFINANCE(B1180,""price""),"""")"),48.57)</f>
        <v>48.57</v>
      </c>
    </row>
    <row r="1181">
      <c r="A1181" s="7">
        <v>46072.872179246784</v>
      </c>
      <c r="B1181" s="8" t="s">
        <v>2787</v>
      </c>
      <c r="C1181" s="8" t="s">
        <v>2788</v>
      </c>
      <c r="D1181" s="9">
        <v>46075.0</v>
      </c>
      <c r="E1181" s="10">
        <v>183.5</v>
      </c>
      <c r="F1181" s="8" t="s">
        <v>286</v>
      </c>
      <c r="G1181" s="13">
        <v>25.2605</v>
      </c>
      <c r="H1181" s="13">
        <v>7.2643</v>
      </c>
      <c r="I1181" s="9">
        <v>46073.0</v>
      </c>
      <c r="J1181" s="10">
        <v>180.0</v>
      </c>
      <c r="K1181" s="8">
        <v>3448.0</v>
      </c>
      <c r="L1181" s="8" t="s">
        <v>2608</v>
      </c>
      <c r="M1181" s="11">
        <v>1.91</v>
      </c>
      <c r="N1181" s="8" t="s">
        <v>3701</v>
      </c>
      <c r="O1181" s="8">
        <v>5169.0</v>
      </c>
      <c r="P1181" s="11">
        <v>30.1578</v>
      </c>
      <c r="Q1181" s="8" t="s">
        <v>2790</v>
      </c>
      <c r="R1181" s="11">
        <v>0.4544</v>
      </c>
      <c r="S1181" s="12">
        <v>3336733.0</v>
      </c>
      <c r="T1181" s="12">
        <v>2.85650697393E11</v>
      </c>
      <c r="U1181" s="13">
        <v>4.2265</v>
      </c>
      <c r="V1181" s="13"/>
      <c r="W1181" s="13">
        <v>35.6093</v>
      </c>
      <c r="X1181" s="13">
        <v>7.556</v>
      </c>
      <c r="Y1181" s="13"/>
      <c r="Z1181" s="13">
        <v>0.9582</v>
      </c>
      <c r="AA1181" s="8" t="s">
        <v>2611</v>
      </c>
      <c r="AB1181" s="14">
        <f>IFERROR(__xludf.DUMMYFUNCTION("IFERROR(GOOGLEFINANCE(B1181,""price""),"""")"),160.45)</f>
        <v>160.45</v>
      </c>
    </row>
    <row r="1182">
      <c r="A1182" s="15">
        <v>46072.872179246784</v>
      </c>
      <c r="B1182" s="16" t="s">
        <v>2775</v>
      </c>
      <c r="C1182" s="16" t="s">
        <v>2776</v>
      </c>
      <c r="D1182" s="17">
        <v>46075.0</v>
      </c>
      <c r="E1182" s="18">
        <v>57.89</v>
      </c>
      <c r="F1182" s="16" t="s">
        <v>93</v>
      </c>
      <c r="G1182" s="21">
        <v>12.5363</v>
      </c>
      <c r="H1182" s="21">
        <v>4.6178</v>
      </c>
      <c r="I1182" s="17">
        <v>46073.0</v>
      </c>
      <c r="J1182" s="18">
        <v>57.5</v>
      </c>
      <c r="K1182" s="16">
        <v>3097.0</v>
      </c>
      <c r="L1182" s="16" t="s">
        <v>2608</v>
      </c>
      <c r="M1182" s="19">
        <v>0.67</v>
      </c>
      <c r="N1182" s="16" t="s">
        <v>3702</v>
      </c>
      <c r="O1182" s="16">
        <v>4360.0</v>
      </c>
      <c r="P1182" s="19">
        <v>26.883</v>
      </c>
      <c r="Q1182" s="16" t="s">
        <v>2778</v>
      </c>
      <c r="R1182" s="19">
        <v>-1.4806</v>
      </c>
      <c r="S1182" s="20">
        <v>6914960.0</v>
      </c>
      <c r="T1182" s="20">
        <v>8.9986186438E10</v>
      </c>
      <c r="U1182" s="21">
        <v>1.3266</v>
      </c>
      <c r="V1182" s="21">
        <v>12.1773</v>
      </c>
      <c r="W1182" s="21">
        <v>23.9548</v>
      </c>
      <c r="X1182" s="21">
        <v>2.1447</v>
      </c>
      <c r="Y1182" s="21">
        <v>1.1953</v>
      </c>
      <c r="Z1182" s="21">
        <v>0.4632</v>
      </c>
      <c r="AA1182" s="16" t="s">
        <v>2611</v>
      </c>
      <c r="AB1182" s="22">
        <f>IFERROR(__xludf.DUMMYFUNCTION("IFERROR(GOOGLEFINANCE(B1182,""price""),"""")"),55.66)</f>
        <v>55.66</v>
      </c>
    </row>
    <row r="1183">
      <c r="A1183" s="7">
        <v>46072.872179246784</v>
      </c>
      <c r="B1183" s="8" t="s">
        <v>3237</v>
      </c>
      <c r="C1183" s="8" t="s">
        <v>3238</v>
      </c>
      <c r="D1183" s="9">
        <v>46075.0</v>
      </c>
      <c r="E1183" s="10">
        <v>327.11</v>
      </c>
      <c r="F1183" s="8" t="s">
        <v>149</v>
      </c>
      <c r="G1183" s="13">
        <v>27.3675</v>
      </c>
      <c r="H1183" s="13">
        <v>11.9525</v>
      </c>
      <c r="I1183" s="9">
        <v>46073.0</v>
      </c>
      <c r="J1183" s="10">
        <v>325.0</v>
      </c>
      <c r="K1183" s="8">
        <v>2128.0</v>
      </c>
      <c r="L1183" s="8" t="s">
        <v>2608</v>
      </c>
      <c r="M1183" s="11">
        <v>0.65</v>
      </c>
      <c r="N1183" s="8" t="s">
        <v>3703</v>
      </c>
      <c r="O1183" s="8">
        <v>4200.0</v>
      </c>
      <c r="P1183" s="11">
        <v>33.6782</v>
      </c>
      <c r="Q1183" s="8" t="s">
        <v>3240</v>
      </c>
      <c r="R1183" s="11">
        <v>-0.2379</v>
      </c>
      <c r="S1183" s="12">
        <v>4032263.0</v>
      </c>
      <c r="T1183" s="12">
        <v>2.32952822423E11</v>
      </c>
      <c r="U1183" s="13">
        <v>5.7755</v>
      </c>
      <c r="V1183" s="13"/>
      <c r="W1183" s="13">
        <v>46.1038</v>
      </c>
      <c r="X1183" s="13">
        <v>3.723</v>
      </c>
      <c r="Y1183" s="13"/>
      <c r="Z1183" s="13">
        <v>0.9546</v>
      </c>
      <c r="AA1183" s="8" t="s">
        <v>2611</v>
      </c>
      <c r="AB1183" s="14">
        <f>IFERROR(__xludf.DUMMYFUNCTION("IFERROR(GOOGLEFINANCE(B1183,""price""),"""")"),305.68)</f>
        <v>305.68</v>
      </c>
    </row>
    <row r="1184">
      <c r="A1184" s="15">
        <v>46072.872179246784</v>
      </c>
      <c r="B1184" s="16" t="s">
        <v>3542</v>
      </c>
      <c r="C1184" s="16" t="s">
        <v>3543</v>
      </c>
      <c r="D1184" s="17">
        <v>46075.0</v>
      </c>
      <c r="E1184" s="18">
        <v>151.3</v>
      </c>
      <c r="F1184" s="16" t="s">
        <v>308</v>
      </c>
      <c r="G1184" s="21">
        <v>36.952</v>
      </c>
      <c r="H1184" s="21">
        <v>4.0945</v>
      </c>
      <c r="I1184" s="17">
        <v>46073.0</v>
      </c>
      <c r="J1184" s="18">
        <v>152.5</v>
      </c>
      <c r="K1184" s="16">
        <v>2302.0</v>
      </c>
      <c r="L1184" s="16" t="s">
        <v>2608</v>
      </c>
      <c r="M1184" s="19">
        <v>0.79</v>
      </c>
      <c r="N1184" s="16" t="s">
        <v>3640</v>
      </c>
      <c r="O1184" s="16">
        <v>3975.0</v>
      </c>
      <c r="P1184" s="19">
        <v>21.8375</v>
      </c>
      <c r="Q1184" s="16" t="s">
        <v>3545</v>
      </c>
      <c r="R1184" s="19">
        <v>0.1059</v>
      </c>
      <c r="S1184" s="20">
        <v>2253974.0</v>
      </c>
      <c r="T1184" s="20">
        <v>8.5076301787E10</v>
      </c>
      <c r="U1184" s="21">
        <v>4.9042</v>
      </c>
      <c r="V1184" s="21">
        <v>11.3131</v>
      </c>
      <c r="W1184" s="21">
        <v>19.8768</v>
      </c>
      <c r="X1184" s="21">
        <v>3.607</v>
      </c>
      <c r="Y1184" s="21">
        <v>0.6933</v>
      </c>
      <c r="Z1184" s="21">
        <v>0.8406</v>
      </c>
      <c r="AA1184" s="16" t="s">
        <v>2620</v>
      </c>
      <c r="AB1184" s="22">
        <f>IFERROR(__xludf.DUMMYFUNCTION("IFERROR(GOOGLEFINANCE(B1184,""price""),"""")"),143.77)</f>
        <v>143.77</v>
      </c>
    </row>
    <row r="1185">
      <c r="A1185" s="7">
        <v>46072.872179246784</v>
      </c>
      <c r="B1185" s="8" t="s">
        <v>3022</v>
      </c>
      <c r="C1185" s="8" t="s">
        <v>3023</v>
      </c>
      <c r="D1185" s="9">
        <v>46075.0</v>
      </c>
      <c r="E1185" s="10">
        <v>760.53</v>
      </c>
      <c r="F1185" s="8" t="s">
        <v>102</v>
      </c>
      <c r="G1185" s="13">
        <v>40.3968</v>
      </c>
      <c r="H1185" s="13">
        <v>18.8265</v>
      </c>
      <c r="I1185" s="9">
        <v>46073.0</v>
      </c>
      <c r="J1185" s="10">
        <v>750.0</v>
      </c>
      <c r="K1185" s="8">
        <v>1593.0</v>
      </c>
      <c r="L1185" s="8" t="s">
        <v>2608</v>
      </c>
      <c r="M1185" s="11">
        <v>1.38</v>
      </c>
      <c r="N1185" s="8" t="s">
        <v>3704</v>
      </c>
      <c r="O1185" s="8">
        <v>2990.0</v>
      </c>
      <c r="P1185" s="11">
        <v>35.9586</v>
      </c>
      <c r="Q1185" s="8" t="s">
        <v>3025</v>
      </c>
      <c r="R1185" s="11">
        <v>1.1383</v>
      </c>
      <c r="S1185" s="12">
        <v>2908015.0</v>
      </c>
      <c r="T1185" s="12">
        <v>3.53864977183E11</v>
      </c>
      <c r="U1185" s="13">
        <v>24.745</v>
      </c>
      <c r="V1185" s="13">
        <v>43.5394</v>
      </c>
      <c r="W1185" s="13">
        <v>17.1611</v>
      </c>
      <c r="X1185" s="13">
        <v>4.2895</v>
      </c>
      <c r="Y1185" s="13">
        <v>2.0667</v>
      </c>
      <c r="Z1185" s="13">
        <v>1.4357</v>
      </c>
      <c r="AA1185" s="8" t="s">
        <v>2611</v>
      </c>
      <c r="AB1185" s="14">
        <f>IFERROR(__xludf.DUMMYFUNCTION("IFERROR(GOOGLEFINANCE(B1185,""price""),"""")"),790.66)</f>
        <v>790.66</v>
      </c>
    </row>
    <row r="1186">
      <c r="A1186" s="15">
        <v>46072.872179246784</v>
      </c>
      <c r="B1186" s="16" t="s">
        <v>3355</v>
      </c>
      <c r="C1186" s="16" t="s">
        <v>3356</v>
      </c>
      <c r="D1186" s="17">
        <v>46075.0</v>
      </c>
      <c r="E1186" s="18">
        <v>212.98</v>
      </c>
      <c r="F1186" s="16" t="s">
        <v>149</v>
      </c>
      <c r="G1186" s="21">
        <v>22.3198</v>
      </c>
      <c r="H1186" s="21">
        <v>9.5422</v>
      </c>
      <c r="I1186" s="17">
        <v>46073.0</v>
      </c>
      <c r="J1186" s="18">
        <v>210.0</v>
      </c>
      <c r="K1186" s="16">
        <v>2839.0</v>
      </c>
      <c r="L1186" s="16" t="s">
        <v>2608</v>
      </c>
      <c r="M1186" s="19">
        <v>1.4</v>
      </c>
      <c r="N1186" s="16" t="s">
        <v>3736</v>
      </c>
      <c r="O1186" s="16">
        <v>2839.0</v>
      </c>
      <c r="P1186" s="19">
        <v>30.036</v>
      </c>
      <c r="Q1186" s="16" t="s">
        <v>3358</v>
      </c>
      <c r="R1186" s="19">
        <v>-1.585</v>
      </c>
      <c r="S1186" s="20">
        <v>1321647.0</v>
      </c>
      <c r="T1186" s="20">
        <v>2.4522358244E10</v>
      </c>
      <c r="U1186" s="21">
        <v>5.601</v>
      </c>
      <c r="V1186" s="21">
        <v>54.1035</v>
      </c>
      <c r="W1186" s="21">
        <v>11.9278</v>
      </c>
      <c r="X1186" s="21">
        <v>8.6138</v>
      </c>
      <c r="Y1186" s="21">
        <v>3.9974</v>
      </c>
      <c r="Z1186" s="21">
        <v>0.3937</v>
      </c>
      <c r="AA1186" s="16" t="s">
        <v>2611</v>
      </c>
      <c r="AB1186" s="22">
        <f>IFERROR(__xludf.DUMMYFUNCTION("IFERROR(GOOGLEFINANCE(B1186,""price""),"""")"),192.39)</f>
        <v>192.39</v>
      </c>
    </row>
    <row r="1187">
      <c r="A1187" s="7">
        <v>46072.872179246784</v>
      </c>
      <c r="B1187" s="8" t="s">
        <v>2646</v>
      </c>
      <c r="C1187" s="8" t="s">
        <v>2647</v>
      </c>
      <c r="D1187" s="9">
        <v>46075.0</v>
      </c>
      <c r="E1187" s="10">
        <v>36.18</v>
      </c>
      <c r="F1187" s="8" t="s">
        <v>270</v>
      </c>
      <c r="G1187" s="13">
        <v>13.6246</v>
      </c>
      <c r="H1187" s="13">
        <v>2.6555</v>
      </c>
      <c r="I1187" s="9">
        <v>46073.0</v>
      </c>
      <c r="J1187" s="10">
        <v>36.0</v>
      </c>
      <c r="K1187" s="8">
        <v>2768.0</v>
      </c>
      <c r="L1187" s="8" t="s">
        <v>2627</v>
      </c>
      <c r="M1187" s="11">
        <v>0.5</v>
      </c>
      <c r="N1187" s="8" t="s">
        <v>3705</v>
      </c>
      <c r="O1187" s="8">
        <v>2768.0</v>
      </c>
      <c r="P1187" s="11">
        <v>42.5024</v>
      </c>
      <c r="Q1187" s="8" t="s">
        <v>2649</v>
      </c>
      <c r="R1187" s="11">
        <v>0.1939</v>
      </c>
      <c r="S1187" s="12">
        <v>3944617.0</v>
      </c>
      <c r="T1187" s="12">
        <v>7.8268956729E10</v>
      </c>
      <c r="U1187" s="13">
        <v>0.7121</v>
      </c>
      <c r="V1187" s="13"/>
      <c r="W1187" s="13">
        <v>13.037</v>
      </c>
      <c r="X1187" s="13">
        <v>-5.779</v>
      </c>
      <c r="Y1187" s="13"/>
      <c r="Z1187" s="13"/>
      <c r="AA1187" s="8" t="s">
        <v>2611</v>
      </c>
      <c r="AB1187" s="14">
        <f>IFERROR(__xludf.DUMMYFUNCTION("IFERROR(GOOGLEFINANCE(B1187,""price""),"""")"),37.35)</f>
        <v>37.35</v>
      </c>
    </row>
    <row r="1188">
      <c r="A1188" s="15">
        <v>46072.872179246784</v>
      </c>
      <c r="B1188" s="16" t="s">
        <v>2768</v>
      </c>
      <c r="C1188" s="16" t="s">
        <v>2769</v>
      </c>
      <c r="D1188" s="17">
        <v>46075.0</v>
      </c>
      <c r="E1188" s="18">
        <v>284.67</v>
      </c>
      <c r="F1188" s="16" t="s">
        <v>308</v>
      </c>
      <c r="G1188" s="21">
        <v>28.5793</v>
      </c>
      <c r="H1188" s="21">
        <v>9.9607</v>
      </c>
      <c r="I1188" s="17">
        <v>46073.0</v>
      </c>
      <c r="J1188" s="18">
        <v>290.0</v>
      </c>
      <c r="K1188" s="16">
        <v>1344.0</v>
      </c>
      <c r="L1188" s="16" t="s">
        <v>2608</v>
      </c>
      <c r="M1188" s="19">
        <v>1.87</v>
      </c>
      <c r="N1188" s="16" t="s">
        <v>3706</v>
      </c>
      <c r="O1188" s="16">
        <v>2668.0</v>
      </c>
      <c r="P1188" s="19">
        <v>37.0135</v>
      </c>
      <c r="Q1188" s="16" t="s">
        <v>2771</v>
      </c>
      <c r="R1188" s="19">
        <v>-4.0093</v>
      </c>
      <c r="S1188" s="20">
        <v>1.039975E7</v>
      </c>
      <c r="T1188" s="20">
        <v>9.6513927692E10</v>
      </c>
      <c r="U1188" s="21">
        <v>21.5755</v>
      </c>
      <c r="V1188" s="21">
        <v>41.2731</v>
      </c>
      <c r="W1188" s="21">
        <v>27.8834</v>
      </c>
      <c r="X1188" s="21">
        <v>-31.1967</v>
      </c>
      <c r="Y1188" s="21">
        <v>0.7076</v>
      </c>
      <c r="Z1188" s="21">
        <v>1.455</v>
      </c>
      <c r="AA1188" s="16" t="s">
        <v>2620</v>
      </c>
      <c r="AB1188" s="22">
        <f>IFERROR(__xludf.DUMMYFUNCTION("IFERROR(GOOGLEFINANCE(B1188,""price""),"""")"),343.43)</f>
        <v>343.43</v>
      </c>
    </row>
    <row r="1189">
      <c r="A1189" s="7">
        <v>46072.872179246784</v>
      </c>
      <c r="B1189" s="8" t="s">
        <v>3416</v>
      </c>
      <c r="C1189" s="8" t="s">
        <v>3417</v>
      </c>
      <c r="D1189" s="9">
        <v>46075.0</v>
      </c>
      <c r="E1189" s="10">
        <v>67.99</v>
      </c>
      <c r="F1189" s="8" t="s">
        <v>286</v>
      </c>
      <c r="G1189" s="13">
        <v>16.5157</v>
      </c>
      <c r="H1189" s="13">
        <v>4.1167</v>
      </c>
      <c r="I1189" s="9">
        <v>46073.0</v>
      </c>
      <c r="J1189" s="10">
        <v>68.0</v>
      </c>
      <c r="K1189" s="8">
        <v>1576.0</v>
      </c>
      <c r="L1189" s="8" t="s">
        <v>2608</v>
      </c>
      <c r="M1189" s="11">
        <v>0.01</v>
      </c>
      <c r="N1189" s="8" t="s">
        <v>3707</v>
      </c>
      <c r="O1189" s="8">
        <v>2586.0</v>
      </c>
      <c r="P1189" s="11">
        <v>27.9172</v>
      </c>
      <c r="Q1189" s="8" t="s">
        <v>3419</v>
      </c>
      <c r="R1189" s="11">
        <v>1.8272</v>
      </c>
      <c r="S1189" s="12">
        <v>7836672.0</v>
      </c>
      <c r="T1189" s="12">
        <v>1.14132870145E11</v>
      </c>
      <c r="U1189" s="13">
        <v>1.4118</v>
      </c>
      <c r="V1189" s="13"/>
      <c r="W1189" s="13">
        <v>63.7221</v>
      </c>
      <c r="X1189" s="13">
        <v>-1.4919</v>
      </c>
      <c r="Y1189" s="13"/>
      <c r="Z1189" s="13">
        <v>0.648</v>
      </c>
      <c r="AA1189" s="8" t="s">
        <v>2620</v>
      </c>
      <c r="AB1189" s="14">
        <f>IFERROR(__xludf.DUMMYFUNCTION("IFERROR(GOOGLEFINANCE(B1189,""price""),"""")"),67.38)</f>
        <v>67.38</v>
      </c>
    </row>
    <row r="1190">
      <c r="A1190" s="15">
        <v>46072.872179246784</v>
      </c>
      <c r="B1190" s="16" t="s">
        <v>2973</v>
      </c>
      <c r="C1190" s="16" t="s">
        <v>2974</v>
      </c>
      <c r="D1190" s="17">
        <v>46075.0</v>
      </c>
      <c r="E1190" s="18">
        <v>51.78</v>
      </c>
      <c r="F1190" s="16" t="s">
        <v>93</v>
      </c>
      <c r="G1190" s="21">
        <v>13.5642</v>
      </c>
      <c r="H1190" s="21">
        <v>3.8174</v>
      </c>
      <c r="I1190" s="17">
        <v>46073.0</v>
      </c>
      <c r="J1190" s="18">
        <v>52.5</v>
      </c>
      <c r="K1190" s="16">
        <v>2561.0</v>
      </c>
      <c r="L1190" s="16" t="s">
        <v>2608</v>
      </c>
      <c r="M1190" s="19">
        <v>1.39</v>
      </c>
      <c r="N1190" s="16" t="s">
        <v>3594</v>
      </c>
      <c r="O1190" s="16">
        <v>2561.0</v>
      </c>
      <c r="P1190" s="19">
        <v>19.7302</v>
      </c>
      <c r="Q1190" s="16" t="s">
        <v>2976</v>
      </c>
      <c r="R1190" s="19">
        <v>-1.7271</v>
      </c>
      <c r="S1190" s="20">
        <v>9333719.0</v>
      </c>
      <c r="T1190" s="20">
        <v>6.6239367329E10</v>
      </c>
      <c r="U1190" s="21">
        <v>1.2598</v>
      </c>
      <c r="V1190" s="21">
        <v>8.2363</v>
      </c>
      <c r="W1190" s="21">
        <v>21.1616</v>
      </c>
      <c r="X1190" s="21">
        <v>24.2886</v>
      </c>
      <c r="Y1190" s="21">
        <v>1.0708</v>
      </c>
      <c r="Z1190" s="21">
        <v>0.3413</v>
      </c>
      <c r="AA1190" s="16" t="s">
        <v>2620</v>
      </c>
      <c r="AB1190" s="22">
        <f>IFERROR(__xludf.DUMMYFUNCTION("IFERROR(GOOGLEFINANCE(B1190,""price""),"""")"),49.6)</f>
        <v>49.6</v>
      </c>
    </row>
    <row r="1191">
      <c r="A1191" s="7">
        <v>46072.872179246784</v>
      </c>
      <c r="B1191" s="8" t="s">
        <v>2505</v>
      </c>
      <c r="C1191" s="8" t="s">
        <v>2506</v>
      </c>
      <c r="D1191" s="9">
        <v>46075.0</v>
      </c>
      <c r="E1191" s="10">
        <v>180.04</v>
      </c>
      <c r="F1191" s="8" t="s">
        <v>335</v>
      </c>
      <c r="G1191" s="13">
        <v>23.8856</v>
      </c>
      <c r="H1191" s="13">
        <v>7.5376</v>
      </c>
      <c r="I1191" s="9">
        <v>46073.0</v>
      </c>
      <c r="J1191" s="10">
        <v>180.0</v>
      </c>
      <c r="K1191" s="8">
        <v>1546.0</v>
      </c>
      <c r="L1191" s="8" t="s">
        <v>2627</v>
      </c>
      <c r="M1191" s="11">
        <v>0.02</v>
      </c>
      <c r="N1191" s="8" t="s">
        <v>3708</v>
      </c>
      <c r="O1191" s="8">
        <v>2553.0</v>
      </c>
      <c r="P1191" s="11">
        <v>20.3538</v>
      </c>
      <c r="Q1191" s="8" t="s">
        <v>2507</v>
      </c>
      <c r="R1191" s="11">
        <v>-2.4385</v>
      </c>
      <c r="S1191" s="12">
        <v>1987140.0</v>
      </c>
      <c r="T1191" s="12">
        <v>4.1203711258E10</v>
      </c>
      <c r="U1191" s="13">
        <v>5.69</v>
      </c>
      <c r="V1191" s="13">
        <v>8.4356</v>
      </c>
      <c r="W1191" s="13">
        <v>8.2261</v>
      </c>
      <c r="X1191" s="13">
        <v>5.7251</v>
      </c>
      <c r="Y1191" s="13">
        <v>0.3401</v>
      </c>
      <c r="Z1191" s="13">
        <v>2.9383</v>
      </c>
      <c r="AA1191" s="8" t="s">
        <v>2611</v>
      </c>
      <c r="AB1191" s="14">
        <f>IFERROR(__xludf.DUMMYFUNCTION("IFERROR(GOOGLEFINANCE(B1191,""price""),"""")"),186.12)</f>
        <v>186.12</v>
      </c>
    </row>
    <row r="1192">
      <c r="A1192" s="15">
        <v>46072.872179246784</v>
      </c>
      <c r="B1192" s="16" t="s">
        <v>2344</v>
      </c>
      <c r="C1192" s="16" t="s">
        <v>2345</v>
      </c>
      <c r="D1192" s="17">
        <v>46075.0</v>
      </c>
      <c r="E1192" s="18">
        <v>72.17</v>
      </c>
      <c r="F1192" s="16" t="s">
        <v>270</v>
      </c>
      <c r="G1192" s="21"/>
      <c r="H1192" s="21"/>
      <c r="I1192" s="17">
        <v>46073.0</v>
      </c>
      <c r="J1192" s="18">
        <v>73.0</v>
      </c>
      <c r="K1192" s="16">
        <v>1518.0</v>
      </c>
      <c r="L1192" s="16" t="s">
        <v>2608</v>
      </c>
      <c r="M1192" s="19">
        <v>1.15</v>
      </c>
      <c r="N1192" s="16" t="s">
        <v>3709</v>
      </c>
      <c r="O1192" s="16">
        <v>2552.0</v>
      </c>
      <c r="P1192" s="19">
        <v>44.9426</v>
      </c>
      <c r="Q1192" s="16" t="s">
        <v>2346</v>
      </c>
      <c r="R1192" s="19">
        <v>0.0416</v>
      </c>
      <c r="S1192" s="20">
        <v>6657595.0</v>
      </c>
      <c r="T1192" s="20">
        <v>8.8135365252E10</v>
      </c>
      <c r="U1192" s="21">
        <v>1.778</v>
      </c>
      <c r="V1192" s="21">
        <v>20.7424</v>
      </c>
      <c r="W1192" s="21">
        <v>36.7664</v>
      </c>
      <c r="X1192" s="21">
        <v>10.611</v>
      </c>
      <c r="Y1192" s="21">
        <v>2.2926</v>
      </c>
      <c r="Z1192" s="21">
        <v>0.5313</v>
      </c>
      <c r="AA1192" s="16" t="s">
        <v>2620</v>
      </c>
      <c r="AB1192" s="22">
        <f>IFERROR(__xludf.DUMMYFUNCTION("IFERROR(GOOGLEFINANCE(B1192,""price""),"""")"),72.74)</f>
        <v>72.74</v>
      </c>
    </row>
    <row r="1193">
      <c r="A1193" s="7">
        <v>46072.872179246784</v>
      </c>
      <c r="B1193" s="8" t="s">
        <v>2680</v>
      </c>
      <c r="C1193" s="8" t="s">
        <v>2681</v>
      </c>
      <c r="D1193" s="9">
        <v>46075.0</v>
      </c>
      <c r="E1193" s="10">
        <v>199.24</v>
      </c>
      <c r="F1193" s="8" t="s">
        <v>245</v>
      </c>
      <c r="G1193" s="13">
        <v>26.0516</v>
      </c>
      <c r="H1193" s="13">
        <v>7.6479</v>
      </c>
      <c r="I1193" s="9">
        <v>46073.0</v>
      </c>
      <c r="J1193" s="10">
        <v>200.0</v>
      </c>
      <c r="K1193" s="8">
        <v>1409.0</v>
      </c>
      <c r="L1193" s="8" t="s">
        <v>2608</v>
      </c>
      <c r="M1193" s="11">
        <v>0.38</v>
      </c>
      <c r="N1193" s="8" t="s">
        <v>3710</v>
      </c>
      <c r="O1193" s="8">
        <v>2456.0</v>
      </c>
      <c r="P1193" s="11">
        <v>38.0021</v>
      </c>
      <c r="Q1193" s="8" t="s">
        <v>2683</v>
      </c>
      <c r="R1193" s="11">
        <v>-0.1103</v>
      </c>
      <c r="S1193" s="12">
        <v>2187636.0</v>
      </c>
      <c r="T1193" s="12">
        <v>6.0770099106E10</v>
      </c>
      <c r="U1193" s="13">
        <v>6.361</v>
      </c>
      <c r="V1193" s="13">
        <v>9.7104</v>
      </c>
      <c r="W1193" s="13">
        <v>3.6059</v>
      </c>
      <c r="X1193" s="13">
        <v>-5.4437</v>
      </c>
      <c r="Y1193" s="13">
        <v>0.4476</v>
      </c>
      <c r="Z1193" s="13">
        <v>1.645</v>
      </c>
      <c r="AA1193" s="8" t="s">
        <v>2620</v>
      </c>
      <c r="AB1193" s="14">
        <f>IFERROR(__xludf.DUMMYFUNCTION("IFERROR(GOOGLEFINANCE(B1193,""price""),"""")"),238.82)</f>
        <v>238.82</v>
      </c>
    </row>
    <row r="1194">
      <c r="A1194" s="15">
        <v>46072.872179246784</v>
      </c>
      <c r="B1194" s="16" t="s">
        <v>2696</v>
      </c>
      <c r="C1194" s="16" t="s">
        <v>2697</v>
      </c>
      <c r="D1194" s="17">
        <v>46075.0</v>
      </c>
      <c r="E1194" s="18">
        <v>185.19</v>
      </c>
      <c r="F1194" s="16" t="s">
        <v>162</v>
      </c>
      <c r="G1194" s="21">
        <v>38.317</v>
      </c>
      <c r="H1194" s="21">
        <v>4.8331</v>
      </c>
      <c r="I1194" s="17">
        <v>46073.0</v>
      </c>
      <c r="J1194" s="18">
        <v>185.0</v>
      </c>
      <c r="K1194" s="16">
        <v>2428.0</v>
      </c>
      <c r="L1194" s="16" t="s">
        <v>2608</v>
      </c>
      <c r="M1194" s="19">
        <v>0.1</v>
      </c>
      <c r="N1194" s="16" t="s">
        <v>3711</v>
      </c>
      <c r="O1194" s="16">
        <v>2428.0</v>
      </c>
      <c r="P1194" s="19">
        <v>45.6021</v>
      </c>
      <c r="Q1194" s="16" t="s">
        <v>2699</v>
      </c>
      <c r="R1194" s="19">
        <v>-0.3605</v>
      </c>
      <c r="S1194" s="20">
        <v>2469954.0</v>
      </c>
      <c r="T1194" s="20">
        <v>2.1967392386E10</v>
      </c>
      <c r="U1194" s="21">
        <v>7.995</v>
      </c>
      <c r="V1194" s="21">
        <v>32.9109</v>
      </c>
      <c r="W1194" s="21">
        <v>4.9029</v>
      </c>
      <c r="X1194" s="21">
        <v>-8.4186</v>
      </c>
      <c r="Y1194" s="21">
        <v>0.756</v>
      </c>
      <c r="Z1194" s="21">
        <v>1.5278</v>
      </c>
      <c r="AA1194" s="16" t="s">
        <v>2611</v>
      </c>
      <c r="AB1194" s="22">
        <f>IFERROR(__xludf.DUMMYFUNCTION("IFERROR(GOOGLEFINANCE(B1194,""price""),"""")"),163.49)</f>
        <v>163.49</v>
      </c>
    </row>
    <row r="1195">
      <c r="A1195" s="7">
        <v>46072.872179246784</v>
      </c>
      <c r="B1195" s="8" t="s">
        <v>2843</v>
      </c>
      <c r="C1195" s="8" t="s">
        <v>2844</v>
      </c>
      <c r="D1195" s="9">
        <v>46075.0</v>
      </c>
      <c r="E1195" s="10">
        <v>205.41</v>
      </c>
      <c r="F1195" s="8" t="s">
        <v>308</v>
      </c>
      <c r="G1195" s="13">
        <v>41.3933</v>
      </c>
      <c r="H1195" s="13">
        <v>4.9624</v>
      </c>
      <c r="I1195" s="9">
        <v>46073.0</v>
      </c>
      <c r="J1195" s="10">
        <v>205.0</v>
      </c>
      <c r="K1195" s="8">
        <v>2062.0</v>
      </c>
      <c r="L1195" s="8" t="s">
        <v>2608</v>
      </c>
      <c r="M1195" s="11">
        <v>0.2</v>
      </c>
      <c r="N1195" s="8" t="s">
        <v>3737</v>
      </c>
      <c r="O1195" s="8">
        <v>2062.0</v>
      </c>
      <c r="P1195" s="11">
        <v>35.0979</v>
      </c>
      <c r="Q1195" s="8" t="s">
        <v>2846</v>
      </c>
      <c r="R1195" s="11">
        <v>0.293</v>
      </c>
      <c r="S1195" s="12">
        <v>6128377.0</v>
      </c>
      <c r="T1195" s="12">
        <v>2.75719292148E11</v>
      </c>
      <c r="U1195" s="13">
        <v>4.8585</v>
      </c>
      <c r="V1195" s="13">
        <v>10.7368</v>
      </c>
      <c r="W1195" s="13">
        <v>10.0301</v>
      </c>
      <c r="X1195" s="13">
        <v>9.7414</v>
      </c>
      <c r="Y1195" s="13">
        <v>0.6124</v>
      </c>
      <c r="Z1195" s="13">
        <v>0.9804</v>
      </c>
      <c r="AA1195" s="8" t="s">
        <v>2611</v>
      </c>
      <c r="AB1195" s="14">
        <f>IFERROR(__xludf.DUMMYFUNCTION("IFERROR(GOOGLEFINANCE(B1195,""price""),"""")"),201.56)</f>
        <v>201.56</v>
      </c>
    </row>
    <row r="1196">
      <c r="A1196" s="15">
        <v>46072.872179246784</v>
      </c>
      <c r="B1196" s="16" t="s">
        <v>3713</v>
      </c>
      <c r="C1196" s="16" t="s">
        <v>3714</v>
      </c>
      <c r="D1196" s="17">
        <v>46075.0</v>
      </c>
      <c r="E1196" s="18">
        <v>157.46</v>
      </c>
      <c r="F1196" s="16" t="s">
        <v>149</v>
      </c>
      <c r="G1196" s="21">
        <v>114.9343</v>
      </c>
      <c r="H1196" s="21">
        <v>1.37</v>
      </c>
      <c r="I1196" s="17">
        <v>46073.0</v>
      </c>
      <c r="J1196" s="18">
        <v>155.0</v>
      </c>
      <c r="K1196" s="16">
        <v>2056.0</v>
      </c>
      <c r="L1196" s="16" t="s">
        <v>2608</v>
      </c>
      <c r="M1196" s="19">
        <v>1.56</v>
      </c>
      <c r="N1196" s="16" t="s">
        <v>3715</v>
      </c>
      <c r="O1196" s="16">
        <v>2056.0</v>
      </c>
      <c r="P1196" s="19">
        <v>21.2051</v>
      </c>
      <c r="Q1196" s="16" t="s">
        <v>3716</v>
      </c>
      <c r="R1196" s="19">
        <v>1.0784</v>
      </c>
      <c r="S1196" s="20">
        <v>3758128.0</v>
      </c>
      <c r="T1196" s="20">
        <v>3.6563667238E10</v>
      </c>
      <c r="U1196" s="21">
        <v>5.0357</v>
      </c>
      <c r="V1196" s="21">
        <v>79.6258</v>
      </c>
      <c r="W1196" s="21">
        <v>6.0286</v>
      </c>
      <c r="X1196" s="21">
        <v>5.3898</v>
      </c>
      <c r="Y1196" s="21">
        <v>18.0088</v>
      </c>
      <c r="Z1196" s="21">
        <v>0.9212</v>
      </c>
      <c r="AA1196" s="16" t="s">
        <v>2611</v>
      </c>
      <c r="AB1196" s="22">
        <f>IFERROR(__xludf.DUMMYFUNCTION("IFERROR(GOOGLEFINANCE(B1196,""price""),"""")"),160.59)</f>
        <v>160.59</v>
      </c>
    </row>
    <row r="1197">
      <c r="A1197" s="7">
        <v>46072.872179246784</v>
      </c>
      <c r="B1197" s="8" t="s">
        <v>2366</v>
      </c>
      <c r="C1197" s="8" t="s">
        <v>2367</v>
      </c>
      <c r="D1197" s="9">
        <v>46075.0</v>
      </c>
      <c r="E1197" s="10">
        <v>261.88</v>
      </c>
      <c r="F1197" s="8" t="s">
        <v>102</v>
      </c>
      <c r="G1197" s="13">
        <v>38.3449</v>
      </c>
      <c r="H1197" s="13">
        <v>6.8296</v>
      </c>
      <c r="I1197" s="9">
        <v>46073.0</v>
      </c>
      <c r="J1197" s="10">
        <v>260.0</v>
      </c>
      <c r="K1197" s="8">
        <v>2016.0</v>
      </c>
      <c r="L1197" s="8" t="s">
        <v>2608</v>
      </c>
      <c r="M1197" s="11">
        <v>0.72</v>
      </c>
      <c r="N1197" s="8" t="s">
        <v>3738</v>
      </c>
      <c r="O1197" s="8">
        <v>2016.0</v>
      </c>
      <c r="P1197" s="11">
        <v>45.641</v>
      </c>
      <c r="Q1197" s="8" t="s">
        <v>2368</v>
      </c>
      <c r="R1197" s="11">
        <v>0.9833</v>
      </c>
      <c r="S1197" s="12">
        <v>1213433.0</v>
      </c>
      <c r="T1197" s="12">
        <v>4.4655037152E10</v>
      </c>
      <c r="U1197" s="13">
        <v>5.7633</v>
      </c>
      <c r="V1197" s="13">
        <v>11.0112</v>
      </c>
      <c r="W1197" s="13">
        <v>16.3428</v>
      </c>
      <c r="X1197" s="13">
        <v>7.5094</v>
      </c>
      <c r="Y1197" s="13">
        <v>0.5325</v>
      </c>
      <c r="Z1197" s="13">
        <v>1.1056</v>
      </c>
      <c r="AA1197" s="8" t="s">
        <v>2611</v>
      </c>
      <c r="AB1197" s="14">
        <f>IFERROR(__xludf.DUMMYFUNCTION("IFERROR(GOOGLEFINANCE(B1197,""price""),"""")"),267.28)</f>
        <v>267.28</v>
      </c>
    </row>
    <row r="1198">
      <c r="A1198" s="15">
        <v>46072.872179246784</v>
      </c>
      <c r="B1198" s="16" t="s">
        <v>3516</v>
      </c>
      <c r="C1198" s="16" t="s">
        <v>3517</v>
      </c>
      <c r="D1198" s="17">
        <v>46075.0</v>
      </c>
      <c r="E1198" s="18">
        <v>278.18</v>
      </c>
      <c r="F1198" s="16" t="s">
        <v>137</v>
      </c>
      <c r="G1198" s="21">
        <v>23.0616</v>
      </c>
      <c r="H1198" s="21">
        <v>12.0625</v>
      </c>
      <c r="I1198" s="17">
        <v>46073.0</v>
      </c>
      <c r="J1198" s="18">
        <v>280.0</v>
      </c>
      <c r="K1198" s="16">
        <v>1934.0</v>
      </c>
      <c r="L1198" s="16" t="s">
        <v>2608</v>
      </c>
      <c r="M1198" s="19">
        <v>0.65</v>
      </c>
      <c r="N1198" s="16" t="s">
        <v>3717</v>
      </c>
      <c r="O1198" s="16">
        <v>1934.0</v>
      </c>
      <c r="P1198" s="19">
        <v>27.0763</v>
      </c>
      <c r="Q1198" s="16" t="s">
        <v>3519</v>
      </c>
      <c r="R1198" s="19">
        <v>-1.4001</v>
      </c>
      <c r="S1198" s="20">
        <v>1997055.0</v>
      </c>
      <c r="T1198" s="20">
        <v>1.56045467608E11</v>
      </c>
      <c r="U1198" s="21">
        <v>6.7868</v>
      </c>
      <c r="V1198" s="21"/>
      <c r="W1198" s="21">
        <v>12.099</v>
      </c>
      <c r="X1198" s="21">
        <v>0.6366</v>
      </c>
      <c r="Y1198" s="21"/>
      <c r="Z1198" s="21">
        <v>1.0395</v>
      </c>
      <c r="AA1198" s="16" t="s">
        <v>2620</v>
      </c>
      <c r="AB1198" s="22">
        <f>IFERROR(__xludf.DUMMYFUNCTION("IFERROR(GOOGLEFINANCE(B1198,""price""),"""")"),244.22)</f>
        <v>244.22</v>
      </c>
    </row>
    <row r="1199">
      <c r="A1199" s="7">
        <v>46072.872179246784</v>
      </c>
      <c r="B1199" s="8" t="s">
        <v>2663</v>
      </c>
      <c r="C1199" s="8" t="s">
        <v>2664</v>
      </c>
      <c r="D1199" s="9">
        <v>46075.0</v>
      </c>
      <c r="E1199" s="10">
        <v>125.4</v>
      </c>
      <c r="F1199" s="8" t="s">
        <v>335</v>
      </c>
      <c r="G1199" s="13">
        <v>19.4935</v>
      </c>
      <c r="H1199" s="13">
        <v>6.4329</v>
      </c>
      <c r="I1199" s="9">
        <v>46073.0</v>
      </c>
      <c r="J1199" s="10">
        <v>125.0</v>
      </c>
      <c r="K1199" s="8">
        <v>1882.0</v>
      </c>
      <c r="L1199" s="8" t="s">
        <v>2608</v>
      </c>
      <c r="M1199" s="11">
        <v>0.32</v>
      </c>
      <c r="N1199" s="8" t="s">
        <v>3718</v>
      </c>
      <c r="O1199" s="8">
        <v>1882.0</v>
      </c>
      <c r="P1199" s="11">
        <v>19.6414</v>
      </c>
      <c r="Q1199" s="8" t="s">
        <v>2666</v>
      </c>
      <c r="R1199" s="11">
        <v>0.5694</v>
      </c>
      <c r="S1199" s="12">
        <v>7854158.0</v>
      </c>
      <c r="T1199" s="12">
        <v>1.36844375287E11</v>
      </c>
      <c r="U1199" s="13">
        <v>5.7529</v>
      </c>
      <c r="V1199" s="13">
        <v>22.8383</v>
      </c>
      <c r="W1199" s="13">
        <v>42.3718</v>
      </c>
      <c r="X1199" s="13">
        <v>26.2476</v>
      </c>
      <c r="Y1199" s="13">
        <v>0.1701</v>
      </c>
      <c r="Z1199" s="13">
        <v>2.0393</v>
      </c>
      <c r="AA1199" s="8" t="s">
        <v>2611</v>
      </c>
      <c r="AB1199" s="14">
        <f>IFERROR(__xludf.DUMMYFUNCTION("IFERROR(GOOGLEFINANCE(B1199,""price""),"""")"),120.9)</f>
        <v>120.9</v>
      </c>
    </row>
    <row r="1200">
      <c r="A1200" s="15">
        <v>46072.872179246784</v>
      </c>
      <c r="B1200" s="16" t="s">
        <v>3538</v>
      </c>
      <c r="C1200" s="16" t="s">
        <v>3539</v>
      </c>
      <c r="D1200" s="17">
        <v>46075.0</v>
      </c>
      <c r="E1200" s="18">
        <v>194.07</v>
      </c>
      <c r="F1200" s="16" t="s">
        <v>335</v>
      </c>
      <c r="G1200" s="21">
        <v>42.0848</v>
      </c>
      <c r="H1200" s="21">
        <v>4.6114</v>
      </c>
      <c r="I1200" s="17">
        <v>46073.0</v>
      </c>
      <c r="J1200" s="18">
        <v>197.5</v>
      </c>
      <c r="K1200" s="16">
        <v>1721.0</v>
      </c>
      <c r="L1200" s="16" t="s">
        <v>2627</v>
      </c>
      <c r="M1200" s="19">
        <v>1.77</v>
      </c>
      <c r="N1200" s="16" t="s">
        <v>3739</v>
      </c>
      <c r="O1200" s="16">
        <v>1721.0</v>
      </c>
      <c r="P1200" s="19">
        <v>34.1907</v>
      </c>
      <c r="Q1200" s="16" t="s">
        <v>3541</v>
      </c>
      <c r="R1200" s="19">
        <v>0.7319</v>
      </c>
      <c r="S1200" s="20">
        <v>1285470.0</v>
      </c>
      <c r="T1200" s="20">
        <v>1.60313928732E11</v>
      </c>
      <c r="U1200" s="21">
        <v>10.7398</v>
      </c>
      <c r="V1200" s="21">
        <v>39.4499</v>
      </c>
      <c r="W1200" s="21">
        <v>50.2534</v>
      </c>
      <c r="X1200" s="21">
        <v>12.6994</v>
      </c>
      <c r="Y1200" s="21">
        <v>0.7113</v>
      </c>
      <c r="Z1200" s="21">
        <v>4.5168</v>
      </c>
      <c r="AA1200" s="16" t="s">
        <v>2620</v>
      </c>
      <c r="AB1200" s="22">
        <f>IFERROR(__xludf.DUMMYFUNCTION("IFERROR(GOOGLEFINANCE(B1200,""price""),"""")"),192.56)</f>
        <v>192.56</v>
      </c>
    </row>
    <row r="1201">
      <c r="A1201" s="7">
        <v>46072.872179246784</v>
      </c>
      <c r="B1201" s="8" t="s">
        <v>2133</v>
      </c>
      <c r="C1201" s="8" t="s">
        <v>2134</v>
      </c>
      <c r="D1201" s="9">
        <v>46075.0</v>
      </c>
      <c r="E1201" s="10">
        <v>383.14</v>
      </c>
      <c r="F1201" s="8" t="s">
        <v>162</v>
      </c>
      <c r="G1201" s="13">
        <v>21.1348</v>
      </c>
      <c r="H1201" s="13">
        <v>18.1284</v>
      </c>
      <c r="I1201" s="9">
        <v>46073.0</v>
      </c>
      <c r="J1201" s="10">
        <v>390.0</v>
      </c>
      <c r="K1201" s="8">
        <v>1714.0</v>
      </c>
      <c r="L1201" s="8" t="s">
        <v>2608</v>
      </c>
      <c r="M1201" s="11">
        <v>1.79</v>
      </c>
      <c r="N1201" s="8" t="s">
        <v>3740</v>
      </c>
      <c r="O1201" s="8">
        <v>1714.0</v>
      </c>
      <c r="P1201" s="11">
        <v>51.7701</v>
      </c>
      <c r="Q1201" s="8" t="s">
        <v>2135</v>
      </c>
      <c r="R1201" s="11">
        <v>0.0157</v>
      </c>
      <c r="S1201" s="12">
        <v>1198953.0</v>
      </c>
      <c r="T1201" s="12">
        <v>9.0084953329E10</v>
      </c>
      <c r="U1201" s="13">
        <v>8.8364</v>
      </c>
      <c r="V1201" s="13">
        <v>15.8681</v>
      </c>
      <c r="W1201" s="13">
        <v>7.0782</v>
      </c>
      <c r="X1201" s="13">
        <v>3.0895</v>
      </c>
      <c r="Y1201" s="13">
        <v>1.3421</v>
      </c>
      <c r="Z1201" s="13">
        <v>1.2738</v>
      </c>
      <c r="AA1201" s="8" t="s">
        <v>2620</v>
      </c>
      <c r="AB1201" s="14">
        <f>IFERROR(__xludf.DUMMYFUNCTION("IFERROR(GOOGLEFINANCE(B1201,""price""),"""")"),374.08)</f>
        <v>374.08</v>
      </c>
    </row>
    <row r="1202">
      <c r="A1202" s="15">
        <v>46072.872179246784</v>
      </c>
      <c r="B1202" s="16" t="s">
        <v>2726</v>
      </c>
      <c r="C1202" s="16" t="s">
        <v>2727</v>
      </c>
      <c r="D1202" s="17">
        <v>46075.0</v>
      </c>
      <c r="E1202" s="18">
        <v>81.99</v>
      </c>
      <c r="F1202" s="16" t="s">
        <v>286</v>
      </c>
      <c r="G1202" s="21">
        <v>46.6754</v>
      </c>
      <c r="H1202" s="21">
        <v>1.7566</v>
      </c>
      <c r="I1202" s="17">
        <v>46073.0</v>
      </c>
      <c r="J1202" s="18">
        <v>82.5</v>
      </c>
      <c r="K1202" s="16">
        <v>1674.0</v>
      </c>
      <c r="L1202" s="16" t="s">
        <v>2608</v>
      </c>
      <c r="M1202" s="19">
        <v>0.62</v>
      </c>
      <c r="N1202" s="16" t="s">
        <v>3720</v>
      </c>
      <c r="O1202" s="16">
        <v>1674.0</v>
      </c>
      <c r="P1202" s="19">
        <v>34.2402</v>
      </c>
      <c r="Q1202" s="16" t="s">
        <v>2729</v>
      </c>
      <c r="R1202" s="19">
        <v>-1.4306</v>
      </c>
      <c r="S1202" s="20">
        <v>5740033.0</v>
      </c>
      <c r="T1202" s="20">
        <v>8.0105966776E10</v>
      </c>
      <c r="U1202" s="21">
        <v>1.5242</v>
      </c>
      <c r="V1202" s="21">
        <v>25.538</v>
      </c>
      <c r="W1202" s="21">
        <v>29.9505</v>
      </c>
      <c r="X1202" s="21">
        <v>7.618</v>
      </c>
      <c r="Y1202" s="21">
        <v>0.0</v>
      </c>
      <c r="Z1202" s="21">
        <v>3.1855</v>
      </c>
      <c r="AA1202" s="16" t="s">
        <v>2620</v>
      </c>
      <c r="AB1202" s="22">
        <f>IFERROR(__xludf.DUMMYFUNCTION("IFERROR(GOOGLEFINANCE(B1202,""price""),"""")"),75.72)</f>
        <v>75.72</v>
      </c>
    </row>
    <row r="1203">
      <c r="A1203" s="7">
        <v>46072.872179246784</v>
      </c>
      <c r="B1203" s="8" t="s">
        <v>3291</v>
      </c>
      <c r="C1203" s="8" t="s">
        <v>3292</v>
      </c>
      <c r="D1203" s="9">
        <v>46075.0</v>
      </c>
      <c r="E1203" s="10">
        <v>233.42</v>
      </c>
      <c r="F1203" s="8" t="s">
        <v>270</v>
      </c>
      <c r="G1203" s="13">
        <v>34.8461</v>
      </c>
      <c r="H1203" s="13">
        <v>6.6986</v>
      </c>
      <c r="I1203" s="9">
        <v>46073.0</v>
      </c>
      <c r="J1203" s="10">
        <v>230.0</v>
      </c>
      <c r="K1203" s="8">
        <v>1630.0</v>
      </c>
      <c r="L1203" s="8" t="s">
        <v>2608</v>
      </c>
      <c r="M1203" s="11">
        <v>1.47</v>
      </c>
      <c r="N1203" s="8" t="s">
        <v>3721</v>
      </c>
      <c r="O1203" s="8">
        <v>1630.0</v>
      </c>
      <c r="P1203" s="11">
        <v>22.0938</v>
      </c>
      <c r="Q1203" s="8" t="s">
        <v>3294</v>
      </c>
      <c r="R1203" s="11">
        <v>-0.2734</v>
      </c>
      <c r="S1203" s="12">
        <v>2343414.0</v>
      </c>
      <c r="T1203" s="12">
        <v>9.4146637932E10</v>
      </c>
      <c r="U1203" s="13">
        <v>4.7448</v>
      </c>
      <c r="V1203" s="13">
        <v>29.6897</v>
      </c>
      <c r="W1203" s="13">
        <v>18.2788</v>
      </c>
      <c r="X1203" s="13">
        <v>14.2365</v>
      </c>
      <c r="Y1203" s="13">
        <v>2.3941</v>
      </c>
      <c r="Z1203" s="13">
        <v>0.8888</v>
      </c>
      <c r="AA1203" s="8" t="s">
        <v>2611</v>
      </c>
      <c r="AB1203" s="14">
        <f>IFERROR(__xludf.DUMMYFUNCTION("IFERROR(GOOGLEFINANCE(B1203,""price""),"""")"),229.45)</f>
        <v>229.45</v>
      </c>
    </row>
    <row r="1204">
      <c r="A1204" s="15">
        <v>46072.872179246784</v>
      </c>
      <c r="B1204" s="16" t="s">
        <v>2722</v>
      </c>
      <c r="C1204" s="16" t="s">
        <v>2723</v>
      </c>
      <c r="D1204" s="17">
        <v>46075.0</v>
      </c>
      <c r="E1204" s="18">
        <v>95.1</v>
      </c>
      <c r="F1204" s="16" t="s">
        <v>308</v>
      </c>
      <c r="G1204" s="21">
        <v>4362.3853</v>
      </c>
      <c r="H1204" s="21">
        <v>0.0218</v>
      </c>
      <c r="I1204" s="17">
        <v>46073.0</v>
      </c>
      <c r="J1204" s="18">
        <v>95.0</v>
      </c>
      <c r="K1204" s="16">
        <v>1564.0</v>
      </c>
      <c r="L1204" s="16" t="s">
        <v>2608</v>
      </c>
      <c r="M1204" s="19">
        <v>0.11</v>
      </c>
      <c r="N1204" s="16" t="s">
        <v>3722</v>
      </c>
      <c r="O1204" s="16">
        <v>1564.0</v>
      </c>
      <c r="P1204" s="19">
        <v>34.76</v>
      </c>
      <c r="Q1204" s="16" t="s">
        <v>2725</v>
      </c>
      <c r="R1204" s="19">
        <v>-2.1907</v>
      </c>
      <c r="S1204" s="20">
        <v>1594854.0</v>
      </c>
      <c r="T1204" s="20">
        <v>1.3008368936E10</v>
      </c>
      <c r="U1204" s="21">
        <v>5.1167</v>
      </c>
      <c r="V1204" s="21">
        <v>0.4328</v>
      </c>
      <c r="W1204" s="21">
        <v>2.9194</v>
      </c>
      <c r="X1204" s="21">
        <v>2.721</v>
      </c>
      <c r="Y1204" s="21">
        <v>0.059</v>
      </c>
      <c r="Z1204" s="21">
        <v>3.0922</v>
      </c>
      <c r="AA1204" s="16" t="s">
        <v>2611</v>
      </c>
      <c r="AB1204" s="22">
        <f>IFERROR(__xludf.DUMMYFUNCTION("IFERROR(GOOGLEFINANCE(B1204,""price""),"""")"),106.1)</f>
        <v>106.1</v>
      </c>
    </row>
    <row r="1205">
      <c r="A1205" s="7">
        <v>46072.872179246784</v>
      </c>
      <c r="B1205" s="8" t="s">
        <v>3134</v>
      </c>
      <c r="C1205" s="8" t="s">
        <v>3135</v>
      </c>
      <c r="D1205" s="9">
        <v>46075.0</v>
      </c>
      <c r="E1205" s="10">
        <v>140.31</v>
      </c>
      <c r="F1205" s="8" t="s">
        <v>93</v>
      </c>
      <c r="G1205" s="13">
        <v>10.5155</v>
      </c>
      <c r="H1205" s="13">
        <v>13.3432</v>
      </c>
      <c r="I1205" s="9">
        <v>46073.0</v>
      </c>
      <c r="J1205" s="10">
        <v>140.0</v>
      </c>
      <c r="K1205" s="8">
        <v>1544.0</v>
      </c>
      <c r="L1205" s="8" t="s">
        <v>2608</v>
      </c>
      <c r="M1205" s="11">
        <v>0.22</v>
      </c>
      <c r="N1205" s="8" t="s">
        <v>3741</v>
      </c>
      <c r="O1205" s="8">
        <v>1544.0</v>
      </c>
      <c r="P1205" s="11">
        <v>27.6578</v>
      </c>
      <c r="Q1205" s="8" t="s">
        <v>3137</v>
      </c>
      <c r="R1205" s="11">
        <v>-0.6725</v>
      </c>
      <c r="S1205" s="12">
        <v>1147772.0</v>
      </c>
      <c r="T1205" s="12">
        <v>3.909741766E10</v>
      </c>
      <c r="U1205" s="13">
        <v>2.6951</v>
      </c>
      <c r="V1205" s="13">
        <v>21.6564</v>
      </c>
      <c r="W1205" s="13">
        <v>17.4023</v>
      </c>
      <c r="X1205" s="13">
        <v>6.8061</v>
      </c>
      <c r="Y1205" s="13">
        <v>0.2303</v>
      </c>
      <c r="Z1205" s="13">
        <v>0.2897</v>
      </c>
      <c r="AA1205" s="8" t="s">
        <v>2611</v>
      </c>
      <c r="AB1205" s="14">
        <f>IFERROR(__xludf.DUMMYFUNCTION("IFERROR(GOOGLEFINANCE(B1205,""price""),"""")"),137.23)</f>
        <v>137.23</v>
      </c>
    </row>
    <row r="1206">
      <c r="A1206" s="15">
        <v>46072.872179246784</v>
      </c>
      <c r="B1206" s="16" t="s">
        <v>3531</v>
      </c>
      <c r="C1206" s="16" t="s">
        <v>3532</v>
      </c>
      <c r="D1206" s="17">
        <v>46075.0</v>
      </c>
      <c r="E1206" s="18">
        <v>262.97</v>
      </c>
      <c r="F1206" s="16" t="s">
        <v>162</v>
      </c>
      <c r="G1206" s="21">
        <v>21.9447</v>
      </c>
      <c r="H1206" s="21">
        <v>11.9833</v>
      </c>
      <c r="I1206" s="17">
        <v>46073.0</v>
      </c>
      <c r="J1206" s="18">
        <v>260.0</v>
      </c>
      <c r="K1206" s="16">
        <v>1447.0</v>
      </c>
      <c r="L1206" s="16" t="s">
        <v>2608</v>
      </c>
      <c r="M1206" s="19">
        <v>1.13</v>
      </c>
      <c r="N1206" s="16" t="s">
        <v>3723</v>
      </c>
      <c r="O1206" s="16">
        <v>1447.0</v>
      </c>
      <c r="P1206" s="19">
        <v>40.0836</v>
      </c>
      <c r="Q1206" s="16" t="s">
        <v>3534</v>
      </c>
      <c r="R1206" s="19">
        <v>-0.766</v>
      </c>
      <c r="S1206" s="20">
        <v>3243252.0</v>
      </c>
      <c r="T1206" s="20">
        <v>1.56044141312E11</v>
      </c>
      <c r="U1206" s="21">
        <v>4.9775</v>
      </c>
      <c r="V1206" s="21">
        <v>40.3767</v>
      </c>
      <c r="W1206" s="21">
        <v>40.0408</v>
      </c>
      <c r="X1206" s="21">
        <v>1.0722</v>
      </c>
      <c r="Y1206" s="21">
        <v>1.7773</v>
      </c>
      <c r="Z1206" s="21">
        <v>0.9085</v>
      </c>
      <c r="AA1206" s="16" t="s">
        <v>2611</v>
      </c>
      <c r="AB1206" s="22">
        <f>IFERROR(__xludf.DUMMYFUNCTION("IFERROR(GOOGLEFINANCE(B1206,""price""),"""")"),250.51)</f>
        <v>250.51</v>
      </c>
    </row>
    <row r="1207">
      <c r="A1207" s="7">
        <v>46072.872179246784</v>
      </c>
      <c r="B1207" s="8" t="s">
        <v>3208</v>
      </c>
      <c r="C1207" s="8" t="s">
        <v>3209</v>
      </c>
      <c r="D1207" s="9">
        <v>46075.0</v>
      </c>
      <c r="E1207" s="10">
        <v>200.38</v>
      </c>
      <c r="F1207" s="8" t="s">
        <v>137</v>
      </c>
      <c r="G1207" s="13">
        <v>31.3133</v>
      </c>
      <c r="H1207" s="13">
        <v>6.3992</v>
      </c>
      <c r="I1207" s="9">
        <v>46073.0</v>
      </c>
      <c r="J1207" s="10">
        <v>200.0</v>
      </c>
      <c r="K1207" s="8">
        <v>1423.0</v>
      </c>
      <c r="L1207" s="8" t="s">
        <v>2608</v>
      </c>
      <c r="M1207" s="11">
        <v>0.19</v>
      </c>
      <c r="N1207" s="8" t="s">
        <v>3742</v>
      </c>
      <c r="O1207" s="8">
        <v>1423.0</v>
      </c>
      <c r="P1207" s="11">
        <v>35.5296</v>
      </c>
      <c r="Q1207" s="8" t="s">
        <v>3211</v>
      </c>
      <c r="R1207" s="11">
        <v>0.0</v>
      </c>
      <c r="S1207" s="12">
        <v>1574624.0</v>
      </c>
      <c r="T1207" s="12">
        <v>6.4811899917E10</v>
      </c>
      <c r="U1207" s="13">
        <v>3.4126</v>
      </c>
      <c r="V1207" s="13">
        <v>37.4252</v>
      </c>
      <c r="W1207" s="13">
        <v>11.9137</v>
      </c>
      <c r="X1207" s="13">
        <v>3.7096</v>
      </c>
      <c r="Y1207" s="13">
        <v>0.8818</v>
      </c>
      <c r="Z1207" s="13">
        <v>1.5199</v>
      </c>
      <c r="AA1207" s="8" t="s">
        <v>2611</v>
      </c>
      <c r="AB1207" s="14">
        <f>IFERROR(__xludf.DUMMYFUNCTION("IFERROR(GOOGLEFINANCE(B1207,""price""),"""")"),221.16)</f>
        <v>221.16</v>
      </c>
    </row>
    <row r="1208">
      <c r="A1208" s="15">
        <v>46072.872179246784</v>
      </c>
      <c r="B1208" s="16" t="s">
        <v>3511</v>
      </c>
      <c r="C1208" s="16" t="s">
        <v>3512</v>
      </c>
      <c r="D1208" s="17">
        <v>46075.0</v>
      </c>
      <c r="E1208" s="18">
        <v>112.76</v>
      </c>
      <c r="F1208" s="16" t="s">
        <v>93</v>
      </c>
      <c r="G1208" s="21">
        <v>16.3745</v>
      </c>
      <c r="H1208" s="21">
        <v>6.8863</v>
      </c>
      <c r="I1208" s="17">
        <v>46073.0</v>
      </c>
      <c r="J1208" s="18">
        <v>115.0</v>
      </c>
      <c r="K1208" s="16">
        <v>1367.0</v>
      </c>
      <c r="L1208" s="16" t="s">
        <v>2608</v>
      </c>
      <c r="M1208" s="19">
        <v>1.99</v>
      </c>
      <c r="N1208" s="16" t="s">
        <v>3743</v>
      </c>
      <c r="O1208" s="16">
        <v>1367.0</v>
      </c>
      <c r="P1208" s="19">
        <v>18.8038</v>
      </c>
      <c r="Q1208" s="16" t="s">
        <v>3514</v>
      </c>
      <c r="R1208" s="19">
        <v>-0.7569</v>
      </c>
      <c r="S1208" s="20">
        <v>2336778.0</v>
      </c>
      <c r="T1208" s="20">
        <v>5.9099083845E10</v>
      </c>
      <c r="U1208" s="21">
        <v>2.475</v>
      </c>
      <c r="V1208" s="21">
        <v>15.3345</v>
      </c>
      <c r="W1208" s="21">
        <v>27.5608</v>
      </c>
      <c r="X1208" s="21">
        <v>-9.4737</v>
      </c>
      <c r="Y1208" s="21">
        <v>0.3919</v>
      </c>
      <c r="Z1208" s="21">
        <v>0.1099</v>
      </c>
      <c r="AA1208" s="16" t="s">
        <v>2620</v>
      </c>
      <c r="AB1208" s="22">
        <f>IFERROR(__xludf.DUMMYFUNCTION("IFERROR(GOOGLEFINANCE(B1208,""price""),"""")"),110.7)</f>
        <v>110.7</v>
      </c>
    </row>
    <row r="1209">
      <c r="A1209" s="7">
        <v>46072.872179246784</v>
      </c>
      <c r="B1209" s="8" t="s">
        <v>2521</v>
      </c>
      <c r="C1209" s="8" t="s">
        <v>2522</v>
      </c>
      <c r="D1209" s="9">
        <v>46075.0</v>
      </c>
      <c r="E1209" s="10">
        <v>345.3</v>
      </c>
      <c r="F1209" s="8" t="s">
        <v>308</v>
      </c>
      <c r="G1209" s="13">
        <v>63.0754</v>
      </c>
      <c r="H1209" s="13">
        <v>5.4744</v>
      </c>
      <c r="I1209" s="9">
        <v>46073.0</v>
      </c>
      <c r="J1209" s="10">
        <v>340.0</v>
      </c>
      <c r="K1209" s="8">
        <v>1261.0</v>
      </c>
      <c r="L1209" s="8" t="s">
        <v>2608</v>
      </c>
      <c r="M1209" s="11">
        <v>1.53</v>
      </c>
      <c r="N1209" s="8" t="s">
        <v>3724</v>
      </c>
      <c r="O1209" s="8">
        <v>1261.0</v>
      </c>
      <c r="P1209" s="11">
        <v>49.1959</v>
      </c>
      <c r="Q1209" s="8" t="s">
        <v>2523</v>
      </c>
      <c r="R1209" s="11">
        <v>-0.3089</v>
      </c>
      <c r="S1209" s="12">
        <v>5101152.0</v>
      </c>
      <c r="T1209" s="12">
        <v>1.68723453572E11</v>
      </c>
      <c r="U1209" s="13">
        <v>10.3865</v>
      </c>
      <c r="V1209" s="13">
        <v>7.8622</v>
      </c>
      <c r="W1209" s="13">
        <v>29.7854</v>
      </c>
      <c r="X1209" s="13">
        <v>25.9077</v>
      </c>
      <c r="Y1209" s="13">
        <v>0.257</v>
      </c>
      <c r="Z1209" s="13">
        <v>1.7555</v>
      </c>
      <c r="AA1209" s="8" t="s">
        <v>2611</v>
      </c>
      <c r="AB1209" s="14">
        <f>IFERROR(__xludf.DUMMYFUNCTION("IFERROR(GOOGLEFINANCE(B1209,""price""),"""")"),350.14)</f>
        <v>350.14</v>
      </c>
    </row>
    <row r="1210">
      <c r="A1210" s="15">
        <v>46072.872179246784</v>
      </c>
      <c r="B1210" s="16" t="s">
        <v>3141</v>
      </c>
      <c r="C1210" s="16" t="s">
        <v>3142</v>
      </c>
      <c r="D1210" s="17">
        <v>46075.0</v>
      </c>
      <c r="E1210" s="18">
        <v>329.16</v>
      </c>
      <c r="F1210" s="16" t="s">
        <v>93</v>
      </c>
      <c r="G1210" s="21">
        <v>12.7971</v>
      </c>
      <c r="H1210" s="21">
        <v>25.7215</v>
      </c>
      <c r="I1210" s="17">
        <v>46073.0</v>
      </c>
      <c r="J1210" s="18">
        <v>325.0</v>
      </c>
      <c r="K1210" s="16">
        <v>1232.0</v>
      </c>
      <c r="L1210" s="16" t="s">
        <v>2608</v>
      </c>
      <c r="M1210" s="19">
        <v>1.26</v>
      </c>
      <c r="N1210" s="16" t="s">
        <v>3665</v>
      </c>
      <c r="O1210" s="16">
        <v>1232.0</v>
      </c>
      <c r="P1210" s="19">
        <v>28.8679</v>
      </c>
      <c r="Q1210" s="16" t="s">
        <v>3144</v>
      </c>
      <c r="R1210" s="19">
        <v>-0.0395</v>
      </c>
      <c r="S1210" s="20">
        <v>1339253.0</v>
      </c>
      <c r="T1210" s="20">
        <v>1.29541198608E11</v>
      </c>
      <c r="U1210" s="21">
        <v>6.8055</v>
      </c>
      <c r="V1210" s="21">
        <v>14.9661</v>
      </c>
      <c r="W1210" s="21">
        <v>21.2322</v>
      </c>
      <c r="X1210" s="21">
        <v>6.9142</v>
      </c>
      <c r="Y1210" s="21"/>
      <c r="Z1210" s="21">
        <v>0.2721</v>
      </c>
      <c r="AA1210" s="16" t="s">
        <v>2611</v>
      </c>
      <c r="AB1210" s="22">
        <f>IFERROR(__xludf.DUMMYFUNCTION("IFERROR(GOOGLEFINANCE(B1210,""price""),"""")"),327.91)</f>
        <v>327.91</v>
      </c>
    </row>
    <row r="1211">
      <c r="A1211" s="7">
        <v>46072.872179246784</v>
      </c>
      <c r="B1211" s="8" t="s">
        <v>3049</v>
      </c>
      <c r="C1211" s="8" t="s">
        <v>3050</v>
      </c>
      <c r="D1211" s="9">
        <v>46075.0</v>
      </c>
      <c r="E1211" s="10">
        <v>73.99</v>
      </c>
      <c r="F1211" s="8" t="s">
        <v>93</v>
      </c>
      <c r="G1211" s="13">
        <v>33.463</v>
      </c>
      <c r="H1211" s="13">
        <v>2.2111</v>
      </c>
      <c r="I1211" s="9">
        <v>46073.0</v>
      </c>
      <c r="J1211" s="10">
        <v>75.0</v>
      </c>
      <c r="K1211" s="8">
        <v>1226.0</v>
      </c>
      <c r="L1211" s="8" t="s">
        <v>2627</v>
      </c>
      <c r="M1211" s="11">
        <v>1.37</v>
      </c>
      <c r="N1211" s="8" t="s">
        <v>3725</v>
      </c>
      <c r="O1211" s="8">
        <v>1226.0</v>
      </c>
      <c r="P1211" s="11">
        <v>19.955</v>
      </c>
      <c r="Q1211" s="8" t="s">
        <v>3052</v>
      </c>
      <c r="R1211" s="11">
        <v>-1.215</v>
      </c>
      <c r="S1211" s="12">
        <v>2459499.0</v>
      </c>
      <c r="T1211" s="12">
        <v>1.25492117934E11</v>
      </c>
      <c r="U1211" s="13">
        <v>3.0803</v>
      </c>
      <c r="V1211" s="13">
        <v>20.4086</v>
      </c>
      <c r="W1211" s="13">
        <v>86.2403</v>
      </c>
      <c r="X1211" s="13">
        <v>11.0531</v>
      </c>
      <c r="Y1211" s="13">
        <v>4.6187</v>
      </c>
      <c r="Z1211" s="13">
        <v>1.2729</v>
      </c>
      <c r="AA1211" s="8" t="s">
        <v>2620</v>
      </c>
      <c r="AB1211" s="14">
        <f>IFERROR(__xludf.DUMMYFUNCTION("IFERROR(GOOGLEFINANCE(B1211,""price""),"""")"),71.21)</f>
        <v>71.21</v>
      </c>
    </row>
    <row r="1212">
      <c r="A1212" s="15">
        <v>46072.872179246784</v>
      </c>
      <c r="B1212" s="16" t="s">
        <v>3744</v>
      </c>
      <c r="C1212" s="16" t="s">
        <v>3745</v>
      </c>
      <c r="D1212" s="17">
        <v>46075.0</v>
      </c>
      <c r="E1212" s="18">
        <v>37.68</v>
      </c>
      <c r="F1212" s="16" t="s">
        <v>112</v>
      </c>
      <c r="G1212" s="21">
        <v>52.6919</v>
      </c>
      <c r="H1212" s="21">
        <v>0.7151</v>
      </c>
      <c r="I1212" s="17">
        <v>46073.0</v>
      </c>
      <c r="J1212" s="18">
        <v>38.0</v>
      </c>
      <c r="K1212" s="16">
        <v>1220.0</v>
      </c>
      <c r="L1212" s="16" t="s">
        <v>2608</v>
      </c>
      <c r="M1212" s="19">
        <v>0.85</v>
      </c>
      <c r="N1212" s="16" t="s">
        <v>3746</v>
      </c>
      <c r="O1212" s="16">
        <v>1220.0</v>
      </c>
      <c r="P1212" s="19">
        <v>16.1067</v>
      </c>
      <c r="Q1212" s="16" t="s">
        <v>3747</v>
      </c>
      <c r="R1212" s="19">
        <v>-0.3175</v>
      </c>
      <c r="S1212" s="20">
        <v>1032656.0</v>
      </c>
      <c r="T1212" s="20">
        <v>2.027143828E9</v>
      </c>
      <c r="U1212" s="21">
        <v>1.2522</v>
      </c>
      <c r="V1212" s="21">
        <v>12.3777</v>
      </c>
      <c r="W1212" s="21">
        <v>20.7609</v>
      </c>
      <c r="X1212" s="21">
        <v>9.2961</v>
      </c>
      <c r="Y1212" s="21">
        <v>0.7359</v>
      </c>
      <c r="Z1212" s="21">
        <v>1.8374</v>
      </c>
      <c r="AA1212" s="16" t="s">
        <v>2620</v>
      </c>
      <c r="AB1212" s="22">
        <f>IFERROR(__xludf.DUMMYFUNCTION("IFERROR(GOOGLEFINANCE(B1212,""price""),"""")"),37.84)</f>
        <v>37.84</v>
      </c>
    </row>
    <row r="1213">
      <c r="A1213" s="7">
        <v>46072.872179246784</v>
      </c>
      <c r="B1213" s="8" t="s">
        <v>2710</v>
      </c>
      <c r="C1213" s="8" t="s">
        <v>2711</v>
      </c>
      <c r="D1213" s="9">
        <v>46075.0</v>
      </c>
      <c r="E1213" s="10">
        <v>128.42</v>
      </c>
      <c r="F1213" s="8" t="s">
        <v>917</v>
      </c>
      <c r="G1213" s="13">
        <v>19.2826</v>
      </c>
      <c r="H1213" s="13">
        <v>6.6599</v>
      </c>
      <c r="I1213" s="9">
        <v>46073.0</v>
      </c>
      <c r="J1213" s="10">
        <v>130.0</v>
      </c>
      <c r="K1213" s="8">
        <v>1212.0</v>
      </c>
      <c r="L1213" s="8" t="s">
        <v>2627</v>
      </c>
      <c r="M1213" s="11">
        <v>1.23</v>
      </c>
      <c r="N1213" s="8" t="s">
        <v>3726</v>
      </c>
      <c r="O1213" s="8">
        <v>1212.0</v>
      </c>
      <c r="P1213" s="11">
        <v>36.7957</v>
      </c>
      <c r="Q1213" s="8" t="s">
        <v>2713</v>
      </c>
      <c r="R1213" s="11">
        <v>0.9036</v>
      </c>
      <c r="S1213" s="12">
        <v>2556314.0</v>
      </c>
      <c r="T1213" s="12">
        <v>6.9457433441E10</v>
      </c>
      <c r="U1213" s="13">
        <v>2.5615</v>
      </c>
      <c r="V1213" s="13">
        <v>12.3274</v>
      </c>
      <c r="W1213" s="13">
        <v>25.0742</v>
      </c>
      <c r="X1213" s="13">
        <v>10.4587</v>
      </c>
      <c r="Y1213" s="13">
        <v>1.5949</v>
      </c>
      <c r="Z1213" s="13">
        <v>0.4546</v>
      </c>
      <c r="AA1213" s="8" t="s">
        <v>2620</v>
      </c>
      <c r="AB1213" s="14">
        <f>IFERROR(__xludf.DUMMYFUNCTION("IFERROR(GOOGLEFINANCE(B1213,""price""),"""")"),136.3)</f>
        <v>136.3</v>
      </c>
    </row>
    <row r="1214">
      <c r="A1214" s="15">
        <v>46072.872179246784</v>
      </c>
      <c r="B1214" s="16" t="s">
        <v>1626</v>
      </c>
      <c r="C1214" s="16" t="s">
        <v>1627</v>
      </c>
      <c r="D1214" s="17">
        <v>46075.0</v>
      </c>
      <c r="E1214" s="18">
        <v>45.82</v>
      </c>
      <c r="F1214" s="16" t="s">
        <v>917</v>
      </c>
      <c r="G1214" s="21">
        <v>23.4589</v>
      </c>
      <c r="H1214" s="21">
        <v>1.9532</v>
      </c>
      <c r="I1214" s="17">
        <v>46073.0</v>
      </c>
      <c r="J1214" s="18">
        <v>45.0</v>
      </c>
      <c r="K1214" s="16">
        <v>1128.0</v>
      </c>
      <c r="L1214" s="16" t="s">
        <v>2608</v>
      </c>
      <c r="M1214" s="19">
        <v>1.79</v>
      </c>
      <c r="N1214" s="16" t="s">
        <v>3727</v>
      </c>
      <c r="O1214" s="16">
        <v>1128.0</v>
      </c>
      <c r="P1214" s="19">
        <v>29.5935</v>
      </c>
      <c r="Q1214" s="16" t="s">
        <v>1628</v>
      </c>
      <c r="R1214" s="19">
        <v>1.1479</v>
      </c>
      <c r="S1214" s="20">
        <v>2873082.0</v>
      </c>
      <c r="T1214" s="20">
        <v>2.1926388202E10</v>
      </c>
      <c r="U1214" s="21">
        <v>0.8583</v>
      </c>
      <c r="V1214" s="21">
        <v>10.2226</v>
      </c>
      <c r="W1214" s="21">
        <v>27.6399</v>
      </c>
      <c r="X1214" s="21">
        <v>21.7613</v>
      </c>
      <c r="Y1214" s="21">
        <v>1.7185</v>
      </c>
      <c r="Z1214" s="21">
        <v>0.6876</v>
      </c>
      <c r="AA1214" s="16" t="s">
        <v>2611</v>
      </c>
      <c r="AB1214" s="22">
        <f>IFERROR(__xludf.DUMMYFUNCTION("IFERROR(GOOGLEFINANCE(B1214,""price""),"""")"),48.05)</f>
        <v>48.05</v>
      </c>
    </row>
    <row r="1215">
      <c r="A1215" s="7">
        <v>46072.872179246784</v>
      </c>
      <c r="B1215" s="8" t="s">
        <v>3558</v>
      </c>
      <c r="C1215" s="8" t="s">
        <v>3559</v>
      </c>
      <c r="D1215" s="9">
        <v>46075.0</v>
      </c>
      <c r="E1215" s="10">
        <v>240.77</v>
      </c>
      <c r="F1215" s="8" t="s">
        <v>308</v>
      </c>
      <c r="G1215" s="13">
        <v>30.1264</v>
      </c>
      <c r="H1215" s="13">
        <v>7.992</v>
      </c>
      <c r="I1215" s="9">
        <v>46073.0</v>
      </c>
      <c r="J1215" s="10">
        <v>237.5</v>
      </c>
      <c r="K1215" s="8">
        <v>1086.0</v>
      </c>
      <c r="L1215" s="8" t="s">
        <v>2627</v>
      </c>
      <c r="M1215" s="11">
        <v>1.36</v>
      </c>
      <c r="N1215" s="8" t="s">
        <v>3671</v>
      </c>
      <c r="O1215" s="8">
        <v>1086.0</v>
      </c>
      <c r="P1215" s="11">
        <v>53.3502</v>
      </c>
      <c r="Q1215" s="8" t="s">
        <v>3561</v>
      </c>
      <c r="R1215" s="11">
        <v>-0.1534</v>
      </c>
      <c r="S1215" s="12">
        <v>2360052.0</v>
      </c>
      <c r="T1215" s="12">
        <v>1.53051628074E11</v>
      </c>
      <c r="U1215" s="13">
        <v>4.6065</v>
      </c>
      <c r="V1215" s="13">
        <v>31.7068</v>
      </c>
      <c r="W1215" s="13">
        <v>19.7843</v>
      </c>
      <c r="X1215" s="13">
        <v>4.7901</v>
      </c>
      <c r="Y1215" s="13">
        <v>2.5578</v>
      </c>
      <c r="Z1215" s="13">
        <v>1.2978</v>
      </c>
      <c r="AA1215" s="8" t="s">
        <v>2611</v>
      </c>
      <c r="AB1215" s="14">
        <f>IFERROR(__xludf.DUMMYFUNCTION("IFERROR(GOOGLEFINANCE(B1215,""price""),"""")"),235.06)</f>
        <v>235.06</v>
      </c>
    </row>
    <row r="1216">
      <c r="A1216" s="15">
        <v>46072.872179246784</v>
      </c>
      <c r="B1216" s="16" t="s">
        <v>3728</v>
      </c>
      <c r="C1216" s="16" t="s">
        <v>3729</v>
      </c>
      <c r="D1216" s="17">
        <v>46075.0</v>
      </c>
      <c r="E1216" s="18">
        <v>310.35</v>
      </c>
      <c r="F1216" s="16" t="s">
        <v>149</v>
      </c>
      <c r="G1216" s="21">
        <v>19.9518</v>
      </c>
      <c r="H1216" s="21">
        <v>15.555</v>
      </c>
      <c r="I1216" s="17">
        <v>46073.0</v>
      </c>
      <c r="J1216" s="18">
        <v>310.0</v>
      </c>
      <c r="K1216" s="16">
        <v>1086.0</v>
      </c>
      <c r="L1216" s="16" t="s">
        <v>2627</v>
      </c>
      <c r="M1216" s="19">
        <v>0.11</v>
      </c>
      <c r="N1216" s="16" t="s">
        <v>3730</v>
      </c>
      <c r="O1216" s="16">
        <v>1086.0</v>
      </c>
      <c r="P1216" s="19">
        <v>28.5594</v>
      </c>
      <c r="Q1216" s="16" t="s">
        <v>3731</v>
      </c>
      <c r="R1216" s="19">
        <v>-2.6567</v>
      </c>
      <c r="S1216" s="20">
        <v>1766022.0</v>
      </c>
      <c r="T1216" s="20">
        <v>8.3958466137E10</v>
      </c>
      <c r="U1216" s="21">
        <v>13.9159</v>
      </c>
      <c r="V1216" s="21">
        <v>48.5</v>
      </c>
      <c r="W1216" s="21">
        <v>27.5551</v>
      </c>
      <c r="X1216" s="21">
        <v>8.7959</v>
      </c>
      <c r="Y1216" s="21">
        <v>2.1954</v>
      </c>
      <c r="Z1216" s="21">
        <v>0.1834</v>
      </c>
      <c r="AA1216" s="16" t="s">
        <v>2611</v>
      </c>
      <c r="AB1216" s="22">
        <f>IFERROR(__xludf.DUMMYFUNCTION("IFERROR(GOOGLEFINANCE(B1216,""price""),"""")"),276.94)</f>
        <v>276.94</v>
      </c>
    </row>
    <row r="1217">
      <c r="A1217" s="7">
        <v>46072.872179246784</v>
      </c>
      <c r="B1217" s="8" t="s">
        <v>2528</v>
      </c>
      <c r="C1217" s="8" t="s">
        <v>2529</v>
      </c>
      <c r="D1217" s="9">
        <v>46075.0</v>
      </c>
      <c r="E1217" s="10">
        <v>61.48</v>
      </c>
      <c r="F1217" s="8" t="s">
        <v>93</v>
      </c>
      <c r="G1217" s="13">
        <v>10.2349</v>
      </c>
      <c r="H1217" s="13">
        <v>6.0069</v>
      </c>
      <c r="I1217" s="9">
        <v>46073.0</v>
      </c>
      <c r="J1217" s="10">
        <v>62.5</v>
      </c>
      <c r="K1217" s="8">
        <v>1046.0</v>
      </c>
      <c r="L1217" s="8" t="s">
        <v>2608</v>
      </c>
      <c r="M1217" s="11">
        <v>1.66</v>
      </c>
      <c r="N1217" s="8" t="s">
        <v>3748</v>
      </c>
      <c r="O1217" s="8">
        <v>1046.0</v>
      </c>
      <c r="P1217" s="11">
        <v>19.8375</v>
      </c>
      <c r="Q1217" s="8" t="s">
        <v>2530</v>
      </c>
      <c r="R1217" s="11">
        <v>-0.9026</v>
      </c>
      <c r="S1217" s="12">
        <v>1849954.0</v>
      </c>
      <c r="T1217" s="12">
        <v>9.076971088E9</v>
      </c>
      <c r="U1217" s="13">
        <v>1.8174</v>
      </c>
      <c r="V1217" s="13">
        <v>13.3945</v>
      </c>
      <c r="W1217" s="13">
        <v>23.7662</v>
      </c>
      <c r="X1217" s="13">
        <v>-1.0012</v>
      </c>
      <c r="Y1217" s="13">
        <v>0.6373</v>
      </c>
      <c r="Z1217" s="13">
        <v>0.1512</v>
      </c>
      <c r="AA1217" s="8" t="s">
        <v>2620</v>
      </c>
      <c r="AB1217" s="14">
        <f>IFERROR(__xludf.DUMMYFUNCTION("IFERROR(GOOGLEFINANCE(B1217,""price""),"""")"),61.05)</f>
        <v>61.05</v>
      </c>
    </row>
    <row r="1218">
      <c r="A1218" s="7">
        <v>46073.62897066742</v>
      </c>
      <c r="B1218" s="8" t="s">
        <v>2630</v>
      </c>
      <c r="C1218" s="8" t="s">
        <v>2631</v>
      </c>
      <c r="D1218" s="9">
        <v>46075.0</v>
      </c>
      <c r="E1218" s="10">
        <v>427.555</v>
      </c>
      <c r="F1218" s="8" t="s">
        <v>308</v>
      </c>
      <c r="G1218" s="13">
        <v>40.6421</v>
      </c>
      <c r="H1218" s="13">
        <v>10.52</v>
      </c>
      <c r="I1218" s="9">
        <v>46073.0</v>
      </c>
      <c r="J1218" s="10">
        <v>430.0</v>
      </c>
      <c r="K1218" s="8">
        <v>12114.0</v>
      </c>
      <c r="L1218" s="8" t="s">
        <v>2608</v>
      </c>
      <c r="M1218" s="11">
        <v>0.57</v>
      </c>
      <c r="N1218" s="8" t="s">
        <v>3749</v>
      </c>
      <c r="O1218" s="8">
        <v>47222.0</v>
      </c>
      <c r="P1218" s="11">
        <v>36.7204</v>
      </c>
      <c r="Q1218" s="8" t="s">
        <v>2633</v>
      </c>
      <c r="R1218" s="11">
        <v>2.4452</v>
      </c>
      <c r="S1218" s="12">
        <v>2.6752168E7</v>
      </c>
      <c r="T1218" s="12">
        <v>4.81217126112E11</v>
      </c>
      <c r="U1218" s="13">
        <v>24.6736</v>
      </c>
      <c r="V1218" s="13">
        <v>22.5543</v>
      </c>
      <c r="W1218" s="13">
        <v>32.9221</v>
      </c>
      <c r="X1218" s="13">
        <v>45.432</v>
      </c>
      <c r="Y1218" s="13">
        <v>0.2124</v>
      </c>
      <c r="Z1218" s="13">
        <v>2.4598</v>
      </c>
      <c r="AA1218" s="8" t="s">
        <v>2620</v>
      </c>
      <c r="AB1218" s="14">
        <f>IFERROR(__xludf.DUMMYFUNCTION("IFERROR(GOOGLEFINANCE(B1218,""price""),"""")"),420.59)</f>
        <v>420.59</v>
      </c>
    </row>
    <row r="1219">
      <c r="A1219" s="15">
        <v>46073.62897066742</v>
      </c>
      <c r="B1219" s="16" t="s">
        <v>2625</v>
      </c>
      <c r="C1219" s="16" t="s">
        <v>2626</v>
      </c>
      <c r="D1219" s="17">
        <v>46075.0</v>
      </c>
      <c r="E1219" s="18">
        <v>122.95</v>
      </c>
      <c r="F1219" s="16" t="s">
        <v>137</v>
      </c>
      <c r="G1219" s="21">
        <v>45.0267</v>
      </c>
      <c r="H1219" s="21">
        <v>2.7306</v>
      </c>
      <c r="I1219" s="17">
        <v>46073.0</v>
      </c>
      <c r="J1219" s="18">
        <v>125.0</v>
      </c>
      <c r="K1219" s="16">
        <v>11863.0</v>
      </c>
      <c r="L1219" s="16" t="s">
        <v>2627</v>
      </c>
      <c r="M1219" s="19">
        <v>1.67</v>
      </c>
      <c r="N1219" s="16" t="s">
        <v>3750</v>
      </c>
      <c r="O1219" s="16">
        <v>37288.0</v>
      </c>
      <c r="P1219" s="19">
        <v>31.4005</v>
      </c>
      <c r="Q1219" s="16" t="s">
        <v>2629</v>
      </c>
      <c r="R1219" s="19">
        <v>-1.5376</v>
      </c>
      <c r="S1219" s="20">
        <v>2.9508608E7</v>
      </c>
      <c r="T1219" s="20">
        <v>9.79932053243E11</v>
      </c>
      <c r="U1219" s="21">
        <v>3.4925</v>
      </c>
      <c r="V1219" s="21">
        <v>22.9691</v>
      </c>
      <c r="W1219" s="21">
        <v>4.1821</v>
      </c>
      <c r="X1219" s="21">
        <v>4.7252</v>
      </c>
      <c r="Y1219" s="21">
        <v>0.6735</v>
      </c>
      <c r="Z1219" s="21">
        <v>0.7898</v>
      </c>
      <c r="AA1219" s="16" t="s">
        <v>2620</v>
      </c>
      <c r="AB1219" s="22">
        <f>IFERROR(__xludf.DUMMYFUNCTION("IFERROR(GOOGLEFINANCE(B1219,""price""),"""")"),126.79)</f>
        <v>126.79</v>
      </c>
    </row>
    <row r="1220">
      <c r="A1220" s="7">
        <v>46073.62897066742</v>
      </c>
      <c r="B1220" s="8" t="s">
        <v>2621</v>
      </c>
      <c r="C1220" s="8" t="s">
        <v>2622</v>
      </c>
      <c r="D1220" s="9">
        <v>46075.0</v>
      </c>
      <c r="E1220" s="10">
        <v>64.14</v>
      </c>
      <c r="F1220" s="8" t="s">
        <v>335</v>
      </c>
      <c r="G1220" s="13">
        <v>42.3646</v>
      </c>
      <c r="H1220" s="13">
        <v>1.514</v>
      </c>
      <c r="I1220" s="9">
        <v>46073.0</v>
      </c>
      <c r="J1220" s="10">
        <v>65.0</v>
      </c>
      <c r="K1220" s="8">
        <v>14648.0</v>
      </c>
      <c r="L1220" s="8" t="s">
        <v>2608</v>
      </c>
      <c r="M1220" s="11">
        <v>1.34</v>
      </c>
      <c r="N1220" s="8" t="s">
        <v>3751</v>
      </c>
      <c r="O1220" s="8">
        <v>24842.0</v>
      </c>
      <c r="P1220" s="11">
        <v>30.7576</v>
      </c>
      <c r="Q1220" s="8" t="s">
        <v>2624</v>
      </c>
      <c r="R1220" s="11">
        <v>2.5092</v>
      </c>
      <c r="S1220" s="12">
        <v>1.1634536E7</v>
      </c>
      <c r="T1220" s="12">
        <v>9.2182114032E10</v>
      </c>
      <c r="U1220" s="13">
        <v>2.8631</v>
      </c>
      <c r="V1220" s="13">
        <v>11.9792</v>
      </c>
      <c r="W1220" s="13">
        <v>22.7913</v>
      </c>
      <c r="X1220" s="13">
        <v>-0.0477</v>
      </c>
      <c r="Y1220" s="13">
        <v>0.5552</v>
      </c>
      <c r="Z1220" s="13">
        <v>2.2911</v>
      </c>
      <c r="AA1220" s="8" t="s">
        <v>2620</v>
      </c>
      <c r="AB1220" s="14">
        <f>IFERROR(__xludf.DUMMYFUNCTION("IFERROR(GOOGLEFINANCE(B1220,""price""),"""")"),67.8)</f>
        <v>67.8</v>
      </c>
    </row>
    <row r="1221">
      <c r="A1221" s="15">
        <v>46073.62897066742</v>
      </c>
      <c r="B1221" s="16" t="s">
        <v>2638</v>
      </c>
      <c r="C1221" s="16" t="s">
        <v>2639</v>
      </c>
      <c r="D1221" s="17">
        <v>46075.0</v>
      </c>
      <c r="E1221" s="18">
        <v>147.07</v>
      </c>
      <c r="F1221" s="16" t="s">
        <v>245</v>
      </c>
      <c r="G1221" s="21">
        <v>21.9678</v>
      </c>
      <c r="H1221" s="21">
        <v>6.6948</v>
      </c>
      <c r="I1221" s="17">
        <v>46073.0</v>
      </c>
      <c r="J1221" s="18">
        <v>150.0</v>
      </c>
      <c r="K1221" s="16">
        <v>7759.0</v>
      </c>
      <c r="L1221" s="16" t="s">
        <v>2608</v>
      </c>
      <c r="M1221" s="19">
        <v>1.99</v>
      </c>
      <c r="N1221" s="16" t="s">
        <v>3752</v>
      </c>
      <c r="O1221" s="16">
        <v>23915.0</v>
      </c>
      <c r="P1221" s="19">
        <v>51.1571</v>
      </c>
      <c r="Q1221" s="16" t="s">
        <v>2641</v>
      </c>
      <c r="R1221" s="19">
        <v>-2.5833</v>
      </c>
      <c r="S1221" s="20">
        <v>1.6048083E7</v>
      </c>
      <c r="T1221" s="20">
        <v>6.12805938177E11</v>
      </c>
      <c r="U1221" s="21">
        <v>3.5856</v>
      </c>
      <c r="V1221" s="21">
        <v>11.0283</v>
      </c>
      <c r="W1221" s="21">
        <v>10.3419</v>
      </c>
      <c r="X1221" s="21">
        <v>-4.856</v>
      </c>
      <c r="Y1221" s="21">
        <v>0.1871</v>
      </c>
      <c r="Z1221" s="21">
        <v>1.1528</v>
      </c>
      <c r="AA1221" s="16" t="s">
        <v>2620</v>
      </c>
      <c r="AB1221" s="22">
        <f>IFERROR(__xludf.DUMMYFUNCTION("IFERROR(GOOGLEFINANCE(B1221,""price""),"""")"),152.51)</f>
        <v>152.51</v>
      </c>
    </row>
    <row r="1222">
      <c r="A1222" s="7">
        <v>46073.62897066742</v>
      </c>
      <c r="B1222" s="8" t="s">
        <v>2616</v>
      </c>
      <c r="C1222" s="8" t="s">
        <v>2617</v>
      </c>
      <c r="D1222" s="9">
        <v>46075.0</v>
      </c>
      <c r="E1222" s="10">
        <v>79.71</v>
      </c>
      <c r="F1222" s="8" t="s">
        <v>286</v>
      </c>
      <c r="G1222" s="13">
        <v>26.2333</v>
      </c>
      <c r="H1222" s="13">
        <v>3.0385</v>
      </c>
      <c r="I1222" s="9">
        <v>46073.0</v>
      </c>
      <c r="J1222" s="10">
        <v>80.0</v>
      </c>
      <c r="K1222" s="8">
        <v>7446.0</v>
      </c>
      <c r="L1222" s="8" t="s">
        <v>2608</v>
      </c>
      <c r="M1222" s="11">
        <v>0.36</v>
      </c>
      <c r="N1222" s="8" t="s">
        <v>3753</v>
      </c>
      <c r="O1222" s="8">
        <v>16540.0</v>
      </c>
      <c r="P1222" s="11">
        <v>39.2547</v>
      </c>
      <c r="Q1222" s="8" t="s">
        <v>2619</v>
      </c>
      <c r="R1222" s="11">
        <v>1.0138</v>
      </c>
      <c r="S1222" s="12">
        <v>9968247.0</v>
      </c>
      <c r="T1222" s="12">
        <v>3.42881260273E11</v>
      </c>
      <c r="U1222" s="13">
        <v>1.2662</v>
      </c>
      <c r="V1222" s="13">
        <v>45.9693</v>
      </c>
      <c r="W1222" s="13">
        <v>29.0951</v>
      </c>
      <c r="X1222" s="13">
        <v>3.1925</v>
      </c>
      <c r="Y1222" s="13">
        <v>1.4142</v>
      </c>
      <c r="Z1222" s="13">
        <v>1.4588</v>
      </c>
      <c r="AA1222" s="8" t="s">
        <v>2620</v>
      </c>
      <c r="AB1222" s="14">
        <f>IFERROR(__xludf.DUMMYFUNCTION("IFERROR(GOOGLEFINANCE(B1222,""price""),"""")"),77.47)</f>
        <v>77.47</v>
      </c>
    </row>
    <row r="1223">
      <c r="A1223" s="15">
        <v>46073.62897066742</v>
      </c>
      <c r="B1223" s="16" t="s">
        <v>3523</v>
      </c>
      <c r="C1223" s="16" t="s">
        <v>3524</v>
      </c>
      <c r="D1223" s="17">
        <v>46075.0</v>
      </c>
      <c r="E1223" s="18">
        <v>42.135</v>
      </c>
      <c r="F1223" s="16" t="s">
        <v>162</v>
      </c>
      <c r="G1223" s="21">
        <v>27.3072</v>
      </c>
      <c r="H1223" s="21">
        <v>1.543</v>
      </c>
      <c r="I1223" s="17">
        <v>46073.0</v>
      </c>
      <c r="J1223" s="18">
        <v>42.0</v>
      </c>
      <c r="K1223" s="16">
        <v>7630.0</v>
      </c>
      <c r="L1223" s="16" t="s">
        <v>2608</v>
      </c>
      <c r="M1223" s="19">
        <v>0.32</v>
      </c>
      <c r="N1223" s="16" t="s">
        <v>3754</v>
      </c>
      <c r="O1223" s="16">
        <v>14665.0</v>
      </c>
      <c r="P1223" s="19">
        <v>42.8437</v>
      </c>
      <c r="Q1223" s="16" t="s">
        <v>3526</v>
      </c>
      <c r="R1223" s="19">
        <v>1.0917</v>
      </c>
      <c r="S1223" s="20">
        <v>7386261.0</v>
      </c>
      <c r="T1223" s="20">
        <v>7.835242477E10</v>
      </c>
      <c r="U1223" s="21">
        <v>0.8249</v>
      </c>
      <c r="V1223" s="21">
        <v>22.5202</v>
      </c>
      <c r="W1223" s="21">
        <v>33.2458</v>
      </c>
      <c r="X1223" s="21">
        <v>-3.0812</v>
      </c>
      <c r="Y1223" s="21">
        <v>1.4762</v>
      </c>
      <c r="Z1223" s="21">
        <v>0.8139</v>
      </c>
      <c r="AA1223" s="16" t="s">
        <v>2611</v>
      </c>
      <c r="AB1223" s="22">
        <f>IFERROR(__xludf.DUMMYFUNCTION("IFERROR(GOOGLEFINANCE(B1223,""price""),"""")"),42.24)</f>
        <v>42.24</v>
      </c>
    </row>
    <row r="1224">
      <c r="A1224" s="7">
        <v>46073.62897066742</v>
      </c>
      <c r="B1224" s="8" t="s">
        <v>2700</v>
      </c>
      <c r="C1224" s="8" t="s">
        <v>2701</v>
      </c>
      <c r="D1224" s="9">
        <v>46075.0</v>
      </c>
      <c r="E1224" s="10">
        <v>244.185</v>
      </c>
      <c r="F1224" s="8" t="s">
        <v>102</v>
      </c>
      <c r="G1224" s="13">
        <v>50.0451</v>
      </c>
      <c r="H1224" s="13">
        <v>4.8793</v>
      </c>
      <c r="I1224" s="9">
        <v>46073.0</v>
      </c>
      <c r="J1224" s="10">
        <v>240.0</v>
      </c>
      <c r="K1224" s="8">
        <v>5293.0</v>
      </c>
      <c r="L1224" s="8" t="s">
        <v>2608</v>
      </c>
      <c r="M1224" s="11">
        <v>1.71</v>
      </c>
      <c r="N1224" s="8" t="s">
        <v>3755</v>
      </c>
      <c r="O1224" s="8">
        <v>14506.0</v>
      </c>
      <c r="P1224" s="11">
        <v>31.8883</v>
      </c>
      <c r="Q1224" s="8" t="s">
        <v>2703</v>
      </c>
      <c r="R1224" s="11">
        <v>2.8624</v>
      </c>
      <c r="S1224" s="12">
        <v>5761052.0</v>
      </c>
      <c r="T1224" s="12">
        <v>3.04931144898E11</v>
      </c>
      <c r="U1224" s="13">
        <v>11.4909</v>
      </c>
      <c r="V1224" s="13">
        <v>65.5649</v>
      </c>
      <c r="W1224" s="13">
        <v>33.7646</v>
      </c>
      <c r="X1224" s="13">
        <v>26.8457</v>
      </c>
      <c r="Y1224" s="13">
        <v>0.4419</v>
      </c>
      <c r="Z1224" s="13">
        <v>2.2562</v>
      </c>
      <c r="AA1224" s="8" t="s">
        <v>2611</v>
      </c>
      <c r="AB1224" s="14">
        <f>IFERROR(__xludf.DUMMYFUNCTION("IFERROR(GOOGLEFINANCE(B1224,""price""),"""")"),263.66)</f>
        <v>263.66</v>
      </c>
    </row>
    <row r="1225">
      <c r="A1225" s="15">
        <v>46073.62897066742</v>
      </c>
      <c r="B1225" s="16" t="s">
        <v>2634</v>
      </c>
      <c r="C1225" s="16" t="s">
        <v>2635</v>
      </c>
      <c r="D1225" s="17">
        <v>46075.0</v>
      </c>
      <c r="E1225" s="18">
        <v>183.65</v>
      </c>
      <c r="F1225" s="16" t="s">
        <v>245</v>
      </c>
      <c r="G1225" s="21">
        <v>27.6128</v>
      </c>
      <c r="H1225" s="21">
        <v>6.6509</v>
      </c>
      <c r="I1225" s="17">
        <v>46073.0</v>
      </c>
      <c r="J1225" s="18">
        <v>185.0</v>
      </c>
      <c r="K1225" s="16">
        <v>4395.0</v>
      </c>
      <c r="L1225" s="16" t="s">
        <v>2608</v>
      </c>
      <c r="M1225" s="19">
        <v>0.74</v>
      </c>
      <c r="N1225" s="16" t="s">
        <v>3756</v>
      </c>
      <c r="O1225" s="16">
        <v>12555.0</v>
      </c>
      <c r="P1225" s="19">
        <v>53.7865</v>
      </c>
      <c r="Q1225" s="16" t="s">
        <v>2637</v>
      </c>
      <c r="R1225" s="19">
        <v>-0.6115</v>
      </c>
      <c r="S1225" s="20">
        <v>6512203.0</v>
      </c>
      <c r="T1225" s="20">
        <v>3.69783240581E11</v>
      </c>
      <c r="U1225" s="21">
        <v>3.4926</v>
      </c>
      <c r="V1225" s="21">
        <v>7.261</v>
      </c>
      <c r="W1225" s="21">
        <v>8.9022</v>
      </c>
      <c r="X1225" s="21">
        <v>-4.6053</v>
      </c>
      <c r="Y1225" s="21">
        <v>0.2186</v>
      </c>
      <c r="Z1225" s="21"/>
      <c r="AA1225" s="16" t="s">
        <v>2620</v>
      </c>
      <c r="AB1225" s="22">
        <f>IFERROR(__xludf.DUMMYFUNCTION("IFERROR(GOOGLEFINANCE(B1225,""price""),"""")"),188.55)</f>
        <v>188.55</v>
      </c>
    </row>
    <row r="1226">
      <c r="A1226" s="7">
        <v>46073.62897066742</v>
      </c>
      <c r="B1226" s="8" t="s">
        <v>3684</v>
      </c>
      <c r="C1226" s="8" t="s">
        <v>3685</v>
      </c>
      <c r="D1226" s="9">
        <v>46075.0</v>
      </c>
      <c r="E1226" s="10">
        <v>37.365</v>
      </c>
      <c r="F1226" s="8" t="s">
        <v>917</v>
      </c>
      <c r="G1226" s="13">
        <v>25.4253</v>
      </c>
      <c r="H1226" s="13">
        <v>1.4696</v>
      </c>
      <c r="I1226" s="9">
        <v>46073.0</v>
      </c>
      <c r="J1226" s="10">
        <v>37.0</v>
      </c>
      <c r="K1226" s="8">
        <v>9735.0</v>
      </c>
      <c r="L1226" s="8" t="s">
        <v>2608</v>
      </c>
      <c r="M1226" s="11">
        <v>0.98</v>
      </c>
      <c r="N1226" s="8" t="s">
        <v>3757</v>
      </c>
      <c r="O1226" s="8">
        <v>12544.0</v>
      </c>
      <c r="P1226" s="11">
        <v>19.4077</v>
      </c>
      <c r="Q1226" s="8" t="s">
        <v>3687</v>
      </c>
      <c r="R1226" s="11">
        <v>1.0684</v>
      </c>
      <c r="S1226" s="12">
        <v>9145647.0</v>
      </c>
      <c r="T1226" s="12">
        <v>2.7640356E10</v>
      </c>
      <c r="U1226" s="13">
        <v>0.731</v>
      </c>
      <c r="V1226" s="13">
        <v>7.6548</v>
      </c>
      <c r="W1226" s="13">
        <v>22.7865</v>
      </c>
      <c r="X1226" s="13">
        <v>8.4158</v>
      </c>
      <c r="Y1226" s="13">
        <v>1.3173</v>
      </c>
      <c r="Z1226" s="13">
        <v>0.7742</v>
      </c>
      <c r="AA1226" s="8" t="s">
        <v>2611</v>
      </c>
      <c r="AB1226" s="14">
        <f>IFERROR(__xludf.DUMMYFUNCTION("IFERROR(GOOGLEFINANCE(B1226,""price""),"""")"),39.65)</f>
        <v>39.65</v>
      </c>
    </row>
    <row r="1227">
      <c r="A1227" s="15">
        <v>46073.62897066742</v>
      </c>
      <c r="B1227" s="16" t="s">
        <v>2646</v>
      </c>
      <c r="C1227" s="16" t="s">
        <v>2647</v>
      </c>
      <c r="D1227" s="17">
        <v>46075.0</v>
      </c>
      <c r="E1227" s="18">
        <v>36.385</v>
      </c>
      <c r="F1227" s="16" t="s">
        <v>270</v>
      </c>
      <c r="G1227" s="21">
        <v>13.7018</v>
      </c>
      <c r="H1227" s="21">
        <v>2.6555</v>
      </c>
      <c r="I1227" s="17">
        <v>46073.0</v>
      </c>
      <c r="J1227" s="18">
        <v>37.0</v>
      </c>
      <c r="K1227" s="16">
        <v>3883.0</v>
      </c>
      <c r="L1227" s="16" t="s">
        <v>2608</v>
      </c>
      <c r="M1227" s="19">
        <v>1.69</v>
      </c>
      <c r="N1227" s="16" t="s">
        <v>3758</v>
      </c>
      <c r="O1227" s="16">
        <v>8352.0</v>
      </c>
      <c r="P1227" s="19">
        <v>42.736</v>
      </c>
      <c r="Q1227" s="16" t="s">
        <v>2649</v>
      </c>
      <c r="R1227" s="19">
        <v>0.5666</v>
      </c>
      <c r="S1227" s="20">
        <v>2733810.0</v>
      </c>
      <c r="T1227" s="20">
        <v>7.8712436883E10</v>
      </c>
      <c r="U1227" s="21">
        <v>0.7038</v>
      </c>
      <c r="V1227" s="21"/>
      <c r="W1227" s="21">
        <v>13.037</v>
      </c>
      <c r="X1227" s="21">
        <v>-5.779</v>
      </c>
      <c r="Y1227" s="21"/>
      <c r="Z1227" s="21"/>
      <c r="AA1227" s="16" t="s">
        <v>2620</v>
      </c>
      <c r="AB1227" s="22">
        <f>IFERROR(__xludf.DUMMYFUNCTION("IFERROR(GOOGLEFINANCE(B1227,""price""),"""")"),37.35)</f>
        <v>37.35</v>
      </c>
    </row>
    <row r="1228">
      <c r="A1228" s="7">
        <v>46073.62897066742</v>
      </c>
      <c r="B1228" s="8" t="s">
        <v>2438</v>
      </c>
      <c r="C1228" s="8" t="s">
        <v>2439</v>
      </c>
      <c r="D1228" s="9">
        <v>46075.0</v>
      </c>
      <c r="E1228" s="10">
        <v>219.49</v>
      </c>
      <c r="F1228" s="8" t="s">
        <v>308</v>
      </c>
      <c r="G1228" s="13">
        <v>40.3074</v>
      </c>
      <c r="H1228" s="13">
        <v>5.4454</v>
      </c>
      <c r="I1228" s="9">
        <v>46073.0</v>
      </c>
      <c r="J1228" s="10">
        <v>220.0</v>
      </c>
      <c r="K1228" s="8">
        <v>6482.0</v>
      </c>
      <c r="L1228" s="8" t="s">
        <v>2608</v>
      </c>
      <c r="M1228" s="11">
        <v>0.23</v>
      </c>
      <c r="N1228" s="8" t="s">
        <v>3759</v>
      </c>
      <c r="O1228" s="8">
        <v>8174.0</v>
      </c>
      <c r="P1228" s="11">
        <v>49.9801</v>
      </c>
      <c r="Q1228" s="8" t="s">
        <v>2440</v>
      </c>
      <c r="R1228" s="11">
        <v>0.6604</v>
      </c>
      <c r="S1228" s="12">
        <v>3853133.0</v>
      </c>
      <c r="T1228" s="12">
        <v>1.99198310367E11</v>
      </c>
      <c r="U1228" s="13">
        <v>6.5046</v>
      </c>
      <c r="V1228" s="13">
        <v>29.9795</v>
      </c>
      <c r="W1228" s="13">
        <v>34.7246</v>
      </c>
      <c r="X1228" s="13">
        <v>13.049</v>
      </c>
      <c r="Y1228" s="13">
        <v>0.9082</v>
      </c>
      <c r="Z1228" s="13">
        <v>4.3526</v>
      </c>
      <c r="AA1228" s="8" t="s">
        <v>2620</v>
      </c>
      <c r="AB1228" s="14">
        <f>IFERROR(__xludf.DUMMYFUNCTION("IFERROR(GOOGLEFINANCE(B1228,""price""),"""")"),214.73)</f>
        <v>214.73</v>
      </c>
    </row>
    <row r="1229">
      <c r="A1229" s="15">
        <v>46073.62897066742</v>
      </c>
      <c r="B1229" s="16" t="s">
        <v>3463</v>
      </c>
      <c r="C1229" s="16" t="s">
        <v>3464</v>
      </c>
      <c r="D1229" s="17">
        <v>46075.0</v>
      </c>
      <c r="E1229" s="18">
        <v>60.33</v>
      </c>
      <c r="F1229" s="16" t="s">
        <v>245</v>
      </c>
      <c r="G1229" s="21">
        <v>18.2062</v>
      </c>
      <c r="H1229" s="21">
        <v>3.3137</v>
      </c>
      <c r="I1229" s="17">
        <v>46073.0</v>
      </c>
      <c r="J1229" s="18">
        <v>60.0</v>
      </c>
      <c r="K1229" s="16">
        <v>5923.0</v>
      </c>
      <c r="L1229" s="16" t="s">
        <v>2608</v>
      </c>
      <c r="M1229" s="19">
        <v>0.55</v>
      </c>
      <c r="N1229" s="16" t="s">
        <v>3760</v>
      </c>
      <c r="O1229" s="16">
        <v>7241.0</v>
      </c>
      <c r="P1229" s="19">
        <v>23.3223</v>
      </c>
      <c r="Q1229" s="16" t="s">
        <v>3466</v>
      </c>
      <c r="R1229" s="19">
        <v>0.9369</v>
      </c>
      <c r="S1229" s="20">
        <v>9878789.0</v>
      </c>
      <c r="T1229" s="20">
        <v>3.7662449913E10</v>
      </c>
      <c r="U1229" s="21">
        <v>2.0454</v>
      </c>
      <c r="V1229" s="21">
        <v>9.1961</v>
      </c>
      <c r="W1229" s="21">
        <v>35.6577</v>
      </c>
      <c r="X1229" s="21">
        <v>59.9561</v>
      </c>
      <c r="Y1229" s="21">
        <v>0.3357</v>
      </c>
      <c r="Z1229" s="21">
        <v>0.7627</v>
      </c>
      <c r="AA1229" s="16" t="s">
        <v>2611</v>
      </c>
      <c r="AB1229" s="22">
        <f>IFERROR(__xludf.DUMMYFUNCTION("IFERROR(GOOGLEFINANCE(B1229,""price""),"""")"),58.68)</f>
        <v>58.68</v>
      </c>
    </row>
    <row r="1230">
      <c r="A1230" s="7">
        <v>46073.62897066742</v>
      </c>
      <c r="B1230" s="8" t="s">
        <v>2399</v>
      </c>
      <c r="C1230" s="8" t="s">
        <v>2400</v>
      </c>
      <c r="D1230" s="9">
        <v>46075.0</v>
      </c>
      <c r="E1230" s="10">
        <v>18.925</v>
      </c>
      <c r="F1230" s="8" t="s">
        <v>270</v>
      </c>
      <c r="G1230" s="13">
        <v>15.682</v>
      </c>
      <c r="H1230" s="13">
        <v>1.2068</v>
      </c>
      <c r="I1230" s="9">
        <v>46073.0</v>
      </c>
      <c r="J1230" s="10">
        <v>19.0</v>
      </c>
      <c r="K1230" s="8">
        <v>7219.0</v>
      </c>
      <c r="L1230" s="8" t="s">
        <v>2608</v>
      </c>
      <c r="M1230" s="11">
        <v>0.4</v>
      </c>
      <c r="N1230" s="8" t="s">
        <v>3761</v>
      </c>
      <c r="O1230" s="8">
        <v>7219.0</v>
      </c>
      <c r="P1230" s="11">
        <v>41.8027</v>
      </c>
      <c r="Q1230" s="8" t="s">
        <v>2401</v>
      </c>
      <c r="R1230" s="11">
        <v>0.1323</v>
      </c>
      <c r="S1230" s="12">
        <v>9511821.0</v>
      </c>
      <c r="T1230" s="12">
        <v>6.4976842341E10</v>
      </c>
      <c r="U1230" s="13">
        <v>0.3658</v>
      </c>
      <c r="V1230" s="13">
        <v>12.5777</v>
      </c>
      <c r="W1230" s="13">
        <v>11.0199</v>
      </c>
      <c r="X1230" s="13">
        <v>3.4655</v>
      </c>
      <c r="Y1230" s="13">
        <v>2.0316</v>
      </c>
      <c r="Z1230" s="13">
        <v>1.2192</v>
      </c>
      <c r="AA1230" s="8" t="s">
        <v>2620</v>
      </c>
      <c r="AB1230" s="14">
        <f>IFERROR(__xludf.DUMMYFUNCTION("IFERROR(GOOGLEFINANCE(B1230,""price""),"""")"),19.19)</f>
        <v>19.19</v>
      </c>
    </row>
    <row r="1231">
      <c r="A1231" s="15">
        <v>46073.62897066742</v>
      </c>
      <c r="B1231" s="16" t="s">
        <v>1492</v>
      </c>
      <c r="C1231" s="16" t="s">
        <v>1493</v>
      </c>
      <c r="D1231" s="17">
        <v>46075.0</v>
      </c>
      <c r="E1231" s="18">
        <v>25.195</v>
      </c>
      <c r="F1231" s="16" t="s">
        <v>93</v>
      </c>
      <c r="G1231" s="21">
        <v>13.4273</v>
      </c>
      <c r="H1231" s="21">
        <v>1.8764</v>
      </c>
      <c r="I1231" s="17">
        <v>46073.0</v>
      </c>
      <c r="J1231" s="18">
        <v>25.0</v>
      </c>
      <c r="K1231" s="16">
        <v>5400.0</v>
      </c>
      <c r="L1231" s="16" t="s">
        <v>2608</v>
      </c>
      <c r="M1231" s="19">
        <v>0.77</v>
      </c>
      <c r="N1231" s="16" t="s">
        <v>3762</v>
      </c>
      <c r="O1231" s="16">
        <v>7197.0</v>
      </c>
      <c r="P1231" s="19">
        <v>19.0899</v>
      </c>
      <c r="Q1231" s="16" t="s">
        <v>1494</v>
      </c>
      <c r="R1231" s="19">
        <v>0.6994</v>
      </c>
      <c r="S1231" s="20">
        <v>4140854.0</v>
      </c>
      <c r="T1231" s="20">
        <v>1.2219575224E10</v>
      </c>
      <c r="U1231" s="21">
        <v>0.6392</v>
      </c>
      <c r="V1231" s="21">
        <v>11.1193</v>
      </c>
      <c r="W1231" s="21">
        <v>25.6333</v>
      </c>
      <c r="X1231" s="21">
        <v>-0.5598</v>
      </c>
      <c r="Y1231" s="21">
        <v>0.517</v>
      </c>
      <c r="Z1231" s="21">
        <v>0.2349</v>
      </c>
      <c r="AA1231" s="16" t="s">
        <v>2611</v>
      </c>
      <c r="AB1231" s="22">
        <f>IFERROR(__xludf.DUMMYFUNCTION("IFERROR(GOOGLEFINANCE(B1231,""price""),"""")"),24.05)</f>
        <v>24.05</v>
      </c>
    </row>
    <row r="1232">
      <c r="A1232" s="7">
        <v>46073.62897066742</v>
      </c>
      <c r="B1232" s="8" t="s">
        <v>3237</v>
      </c>
      <c r="C1232" s="8" t="s">
        <v>3238</v>
      </c>
      <c r="D1232" s="9">
        <v>46075.0</v>
      </c>
      <c r="E1232" s="10">
        <v>329.21</v>
      </c>
      <c r="F1232" s="8" t="s">
        <v>149</v>
      </c>
      <c r="G1232" s="13">
        <v>27.5432</v>
      </c>
      <c r="H1232" s="13">
        <v>11.9525</v>
      </c>
      <c r="I1232" s="9">
        <v>46073.0</v>
      </c>
      <c r="J1232" s="10">
        <v>335.0</v>
      </c>
      <c r="K1232" s="8">
        <v>2523.0</v>
      </c>
      <c r="L1232" s="8" t="s">
        <v>2608</v>
      </c>
      <c r="M1232" s="11">
        <v>1.76</v>
      </c>
      <c r="N1232" s="8" t="s">
        <v>3763</v>
      </c>
      <c r="O1232" s="8">
        <v>6450.0</v>
      </c>
      <c r="P1232" s="11">
        <v>34.2958</v>
      </c>
      <c r="Q1232" s="8" t="s">
        <v>3240</v>
      </c>
      <c r="R1232" s="11">
        <v>0.642</v>
      </c>
      <c r="S1232" s="12">
        <v>1756025.0</v>
      </c>
      <c r="T1232" s="12">
        <v>2.34448325669E11</v>
      </c>
      <c r="U1232" s="13">
        <v>5.6717</v>
      </c>
      <c r="V1232" s="13"/>
      <c r="W1232" s="13">
        <v>46.1038</v>
      </c>
      <c r="X1232" s="13">
        <v>3.723</v>
      </c>
      <c r="Y1232" s="13"/>
      <c r="Z1232" s="13">
        <v>0.9546</v>
      </c>
      <c r="AA1232" s="8" t="s">
        <v>2620</v>
      </c>
      <c r="AB1232" s="14">
        <f>IFERROR(__xludf.DUMMYFUNCTION("IFERROR(GOOGLEFINANCE(B1232,""price""),"""")"),305.68)</f>
        <v>305.68</v>
      </c>
    </row>
    <row r="1233">
      <c r="A1233" s="15">
        <v>46073.62897066742</v>
      </c>
      <c r="B1233" s="16" t="s">
        <v>2676</v>
      </c>
      <c r="C1233" s="16" t="s">
        <v>2677</v>
      </c>
      <c r="D1233" s="17">
        <v>46075.0</v>
      </c>
      <c r="E1233" s="18">
        <v>30.0</v>
      </c>
      <c r="F1233" s="16" t="s">
        <v>93</v>
      </c>
      <c r="G1233" s="21">
        <v>13.0588</v>
      </c>
      <c r="H1233" s="21">
        <v>2.2973</v>
      </c>
      <c r="I1233" s="17">
        <v>46073.0</v>
      </c>
      <c r="J1233" s="18">
        <v>30.0</v>
      </c>
      <c r="K1233" s="16">
        <v>4238.0</v>
      </c>
      <c r="L1233" s="16" t="s">
        <v>2608</v>
      </c>
      <c r="M1233" s="19">
        <v>0.0</v>
      </c>
      <c r="N1233" s="16" t="s">
        <v>3764</v>
      </c>
      <c r="O1233" s="16">
        <v>6073.0</v>
      </c>
      <c r="P1233" s="19">
        <v>23.8628</v>
      </c>
      <c r="Q1233" s="16" t="s">
        <v>2679</v>
      </c>
      <c r="R1233" s="19">
        <v>0.9421</v>
      </c>
      <c r="S1233" s="20">
        <v>1.2276036E7</v>
      </c>
      <c r="T1233" s="20">
        <v>2.6306295169E10</v>
      </c>
      <c r="U1233" s="21">
        <v>0.737</v>
      </c>
      <c r="V1233" s="21">
        <v>11.6787</v>
      </c>
      <c r="W1233" s="21">
        <v>28.7373</v>
      </c>
      <c r="X1233" s="21">
        <v>2.137</v>
      </c>
      <c r="Y1233" s="21">
        <v>0.2565</v>
      </c>
      <c r="Z1233" s="21">
        <v>0.1084</v>
      </c>
      <c r="AA1233" s="16" t="s">
        <v>2611</v>
      </c>
      <c r="AB1233" s="22">
        <f>IFERROR(__xludf.DUMMYFUNCTION("IFERROR(GOOGLEFINANCE(B1233,""price""),"""")"),27.5)</f>
        <v>27.5</v>
      </c>
    </row>
    <row r="1234">
      <c r="A1234" s="7">
        <v>46073.62897066742</v>
      </c>
      <c r="B1234" s="8" t="s">
        <v>3697</v>
      </c>
      <c r="C1234" s="8" t="s">
        <v>3698</v>
      </c>
      <c r="D1234" s="9">
        <v>46075.0</v>
      </c>
      <c r="E1234" s="10">
        <v>47.615</v>
      </c>
      <c r="F1234" s="8" t="s">
        <v>917</v>
      </c>
      <c r="G1234" s="13">
        <v>17.4101</v>
      </c>
      <c r="H1234" s="13">
        <v>2.7349</v>
      </c>
      <c r="I1234" s="9">
        <v>46073.0</v>
      </c>
      <c r="J1234" s="10">
        <v>47.0</v>
      </c>
      <c r="K1234" s="8">
        <v>4786.0</v>
      </c>
      <c r="L1234" s="8" t="s">
        <v>2608</v>
      </c>
      <c r="M1234" s="11">
        <v>1.29</v>
      </c>
      <c r="N1234" s="8" t="s">
        <v>3765</v>
      </c>
      <c r="O1234" s="8">
        <v>5938.0</v>
      </c>
      <c r="P1234" s="11">
        <v>27.2434</v>
      </c>
      <c r="Q1234" s="8" t="s">
        <v>3700</v>
      </c>
      <c r="R1234" s="11">
        <v>0.5384</v>
      </c>
      <c r="S1234" s="12">
        <v>5080959.0</v>
      </c>
      <c r="T1234" s="12">
        <v>4.8705030735E10</v>
      </c>
      <c r="U1234" s="13">
        <v>1.0637</v>
      </c>
      <c r="V1234" s="13">
        <v>9.9356</v>
      </c>
      <c r="W1234" s="13">
        <v>21.2054</v>
      </c>
      <c r="X1234" s="13">
        <v>5.3367</v>
      </c>
      <c r="Y1234" s="13">
        <v>1.7554</v>
      </c>
      <c r="Z1234" s="13">
        <v>0.924</v>
      </c>
      <c r="AA1234" s="8" t="s">
        <v>2611</v>
      </c>
      <c r="AB1234" s="14">
        <f>IFERROR(__xludf.DUMMYFUNCTION("IFERROR(GOOGLEFINANCE(B1234,""price""),"""")"),48.57)</f>
        <v>48.57</v>
      </c>
    </row>
    <row r="1235">
      <c r="A1235" s="15">
        <v>46073.62897066742</v>
      </c>
      <c r="B1235" s="16" t="s">
        <v>3022</v>
      </c>
      <c r="C1235" s="16" t="s">
        <v>3023</v>
      </c>
      <c r="D1235" s="17">
        <v>46075.0</v>
      </c>
      <c r="E1235" s="18">
        <v>758.18</v>
      </c>
      <c r="F1235" s="16" t="s">
        <v>102</v>
      </c>
      <c r="G1235" s="21">
        <v>40.272</v>
      </c>
      <c r="H1235" s="21">
        <v>18.8265</v>
      </c>
      <c r="I1235" s="17">
        <v>46073.0</v>
      </c>
      <c r="J1235" s="18">
        <v>770.0</v>
      </c>
      <c r="K1235" s="16">
        <v>1587.0</v>
      </c>
      <c r="L1235" s="16" t="s">
        <v>2608</v>
      </c>
      <c r="M1235" s="19">
        <v>1.56</v>
      </c>
      <c r="N1235" s="16" t="s">
        <v>3766</v>
      </c>
      <c r="O1235" s="16">
        <v>5510.0</v>
      </c>
      <c r="P1235" s="19">
        <v>36.7495</v>
      </c>
      <c r="Q1235" s="16" t="s">
        <v>3025</v>
      </c>
      <c r="R1235" s="19">
        <v>-0.309</v>
      </c>
      <c r="S1235" s="20">
        <v>1604666.0</v>
      </c>
      <c r="T1235" s="20">
        <v>3.52771579278E11</v>
      </c>
      <c r="U1235" s="21">
        <v>24.3961</v>
      </c>
      <c r="V1235" s="21">
        <v>43.5394</v>
      </c>
      <c r="W1235" s="21">
        <v>17.1611</v>
      </c>
      <c r="X1235" s="21">
        <v>4.2895</v>
      </c>
      <c r="Y1235" s="21">
        <v>2.0667</v>
      </c>
      <c r="Z1235" s="21">
        <v>1.4357</v>
      </c>
      <c r="AA1235" s="16" t="s">
        <v>2620</v>
      </c>
      <c r="AB1235" s="22">
        <f>IFERROR(__xludf.DUMMYFUNCTION("IFERROR(GOOGLEFINANCE(B1235,""price""),"""")"),790.66)</f>
        <v>790.66</v>
      </c>
    </row>
    <row r="1236">
      <c r="A1236" s="7">
        <v>46073.62897066742</v>
      </c>
      <c r="B1236" s="8" t="s">
        <v>1766</v>
      </c>
      <c r="C1236" s="8" t="s">
        <v>1767</v>
      </c>
      <c r="D1236" s="9">
        <v>46075.0</v>
      </c>
      <c r="E1236" s="10">
        <v>93.23</v>
      </c>
      <c r="F1236" s="8" t="s">
        <v>917</v>
      </c>
      <c r="G1236" s="13">
        <v>28.7065</v>
      </c>
      <c r="H1236" s="13">
        <v>3.2477</v>
      </c>
      <c r="I1236" s="9">
        <v>46073.0</v>
      </c>
      <c r="J1236" s="10">
        <v>95.0</v>
      </c>
      <c r="K1236" s="8">
        <v>5021.0</v>
      </c>
      <c r="L1236" s="8" t="s">
        <v>2608</v>
      </c>
      <c r="M1236" s="11">
        <v>1.9</v>
      </c>
      <c r="N1236" s="8" t="s">
        <v>3767</v>
      </c>
      <c r="O1236" s="8">
        <v>5021.0</v>
      </c>
      <c r="P1236" s="11">
        <v>28.7253</v>
      </c>
      <c r="Q1236" s="8" t="s">
        <v>1768</v>
      </c>
      <c r="R1236" s="11">
        <v>0.2797</v>
      </c>
      <c r="S1236" s="12">
        <v>2056990.0</v>
      </c>
      <c r="T1236" s="12">
        <v>6.0849498774E10</v>
      </c>
      <c r="U1236" s="13">
        <v>1.9522</v>
      </c>
      <c r="V1236" s="13">
        <v>7.0975</v>
      </c>
      <c r="W1236" s="13">
        <v>23.4727</v>
      </c>
      <c r="X1236" s="13">
        <v>9.067</v>
      </c>
      <c r="Y1236" s="13">
        <v>1.0777</v>
      </c>
      <c r="Z1236" s="13">
        <v>1.5873</v>
      </c>
      <c r="AA1236" s="8" t="s">
        <v>2620</v>
      </c>
      <c r="AB1236" s="14">
        <f>IFERROR(__xludf.DUMMYFUNCTION("IFERROR(GOOGLEFINANCE(B1236,""price""),"""")"),98.82)</f>
        <v>98.82</v>
      </c>
    </row>
    <row r="1237">
      <c r="A1237" s="15">
        <v>46073.62897066742</v>
      </c>
      <c r="B1237" s="16" t="s">
        <v>2787</v>
      </c>
      <c r="C1237" s="16" t="s">
        <v>2788</v>
      </c>
      <c r="D1237" s="17">
        <v>46075.0</v>
      </c>
      <c r="E1237" s="18">
        <v>183.65</v>
      </c>
      <c r="F1237" s="16" t="s">
        <v>286</v>
      </c>
      <c r="G1237" s="21">
        <v>25.2812</v>
      </c>
      <c r="H1237" s="21">
        <v>7.2643</v>
      </c>
      <c r="I1237" s="17">
        <v>46073.0</v>
      </c>
      <c r="J1237" s="18">
        <v>180.0</v>
      </c>
      <c r="K1237" s="16">
        <v>3102.0</v>
      </c>
      <c r="L1237" s="16" t="s">
        <v>2608</v>
      </c>
      <c r="M1237" s="19">
        <v>1.99</v>
      </c>
      <c r="N1237" s="16" t="s">
        <v>3768</v>
      </c>
      <c r="O1237" s="16">
        <v>4819.0</v>
      </c>
      <c r="P1237" s="19">
        <v>29.3345</v>
      </c>
      <c r="Q1237" s="16" t="s">
        <v>2790</v>
      </c>
      <c r="R1237" s="19">
        <v>0.0817</v>
      </c>
      <c r="S1237" s="20">
        <v>2304146.0</v>
      </c>
      <c r="T1237" s="20">
        <v>2.85884202191E11</v>
      </c>
      <c r="U1237" s="21">
        <v>4.1303</v>
      </c>
      <c r="V1237" s="21"/>
      <c r="W1237" s="21">
        <v>35.6093</v>
      </c>
      <c r="X1237" s="21">
        <v>7.556</v>
      </c>
      <c r="Y1237" s="21"/>
      <c r="Z1237" s="21">
        <v>0.9582</v>
      </c>
      <c r="AA1237" s="16" t="s">
        <v>2611</v>
      </c>
      <c r="AB1237" s="22">
        <f>IFERROR(__xludf.DUMMYFUNCTION("IFERROR(GOOGLEFINANCE(B1237,""price""),"""")"),160.45)</f>
        <v>160.45</v>
      </c>
    </row>
    <row r="1238">
      <c r="A1238" s="7">
        <v>46073.62897066742</v>
      </c>
      <c r="B1238" s="8" t="s">
        <v>2775</v>
      </c>
      <c r="C1238" s="8" t="s">
        <v>2776</v>
      </c>
      <c r="D1238" s="9">
        <v>46075.0</v>
      </c>
      <c r="E1238" s="10">
        <v>58.56</v>
      </c>
      <c r="F1238" s="8" t="s">
        <v>93</v>
      </c>
      <c r="G1238" s="13">
        <v>12.6814</v>
      </c>
      <c r="H1238" s="13">
        <v>4.6178</v>
      </c>
      <c r="I1238" s="9">
        <v>46073.0</v>
      </c>
      <c r="J1238" s="10">
        <v>57.5</v>
      </c>
      <c r="K1238" s="8">
        <v>3089.0</v>
      </c>
      <c r="L1238" s="8" t="s">
        <v>2608</v>
      </c>
      <c r="M1238" s="11">
        <v>1.81</v>
      </c>
      <c r="N1238" s="8" t="s">
        <v>3769</v>
      </c>
      <c r="O1238" s="8">
        <v>4361.0</v>
      </c>
      <c r="P1238" s="11">
        <v>25.138</v>
      </c>
      <c r="Q1238" s="8" t="s">
        <v>2778</v>
      </c>
      <c r="R1238" s="11">
        <v>1.1574</v>
      </c>
      <c r="S1238" s="12">
        <v>5869946.0</v>
      </c>
      <c r="T1238" s="12">
        <v>9.1027658884E10</v>
      </c>
      <c r="U1238" s="13">
        <v>1.3269</v>
      </c>
      <c r="V1238" s="13">
        <v>12.1773</v>
      </c>
      <c r="W1238" s="13">
        <v>23.9548</v>
      </c>
      <c r="X1238" s="13">
        <v>2.1447</v>
      </c>
      <c r="Y1238" s="13">
        <v>1.1953</v>
      </c>
      <c r="Z1238" s="13">
        <v>0.4632</v>
      </c>
      <c r="AA1238" s="8" t="s">
        <v>2611</v>
      </c>
      <c r="AB1238" s="14">
        <f>IFERROR(__xludf.DUMMYFUNCTION("IFERROR(GOOGLEFINANCE(B1238,""price""),"""")"),55.66)</f>
        <v>55.66</v>
      </c>
    </row>
    <row r="1239">
      <c r="A1239" s="15">
        <v>46073.62897066742</v>
      </c>
      <c r="B1239" s="16" t="s">
        <v>3347</v>
      </c>
      <c r="C1239" s="16" t="s">
        <v>3348</v>
      </c>
      <c r="D1239" s="17">
        <v>46075.0</v>
      </c>
      <c r="E1239" s="18">
        <v>341.21</v>
      </c>
      <c r="F1239" s="16" t="s">
        <v>308</v>
      </c>
      <c r="G1239" s="21">
        <v>41.9239</v>
      </c>
      <c r="H1239" s="21">
        <v>8.1388</v>
      </c>
      <c r="I1239" s="17">
        <v>46073.0</v>
      </c>
      <c r="J1239" s="18">
        <v>340.0</v>
      </c>
      <c r="K1239" s="16">
        <v>4290.0</v>
      </c>
      <c r="L1239" s="16" t="s">
        <v>2608</v>
      </c>
      <c r="M1239" s="19">
        <v>0.35</v>
      </c>
      <c r="N1239" s="16" t="s">
        <v>3770</v>
      </c>
      <c r="O1239" s="16">
        <v>4290.0</v>
      </c>
      <c r="P1239" s="19">
        <v>21.3564</v>
      </c>
      <c r="Q1239" s="16" t="s">
        <v>3350</v>
      </c>
      <c r="R1239" s="19">
        <v>1.9328</v>
      </c>
      <c r="S1239" s="20">
        <v>3486075.0</v>
      </c>
      <c r="T1239" s="20">
        <v>3.57865677549E11</v>
      </c>
      <c r="U1239" s="21">
        <v>9.749</v>
      </c>
      <c r="V1239" s="21">
        <v>45.2353</v>
      </c>
      <c r="W1239" s="21">
        <v>18.207</v>
      </c>
      <c r="X1239" s="21">
        <v>0.1223</v>
      </c>
      <c r="Y1239" s="21">
        <v>1.1542</v>
      </c>
      <c r="Z1239" s="21">
        <v>1.0415</v>
      </c>
      <c r="AA1239" s="16" t="s">
        <v>2611</v>
      </c>
      <c r="AB1239" s="22">
        <f>IFERROR(__xludf.DUMMYFUNCTION("IFERROR(GOOGLEFINANCE(B1239,""price""),"""")"),308.35)</f>
        <v>308.35</v>
      </c>
    </row>
    <row r="1240">
      <c r="A1240" s="7">
        <v>46073.62897066742</v>
      </c>
      <c r="B1240" s="8" t="s">
        <v>2692</v>
      </c>
      <c r="C1240" s="8" t="s">
        <v>2693</v>
      </c>
      <c r="D1240" s="9">
        <v>46075.0</v>
      </c>
      <c r="E1240" s="10">
        <v>242.665</v>
      </c>
      <c r="F1240" s="8" t="s">
        <v>117</v>
      </c>
      <c r="G1240" s="13">
        <v>21.969</v>
      </c>
      <c r="H1240" s="13">
        <v>11.0458</v>
      </c>
      <c r="I1240" s="9">
        <v>46073.0</v>
      </c>
      <c r="J1240" s="10">
        <v>245.0</v>
      </c>
      <c r="K1240" s="8">
        <v>3743.0</v>
      </c>
      <c r="L1240" s="8" t="s">
        <v>2608</v>
      </c>
      <c r="M1240" s="11">
        <v>0.96</v>
      </c>
      <c r="N1240" s="8" t="s">
        <v>3771</v>
      </c>
      <c r="O1240" s="8">
        <v>3743.0</v>
      </c>
      <c r="P1240" s="11">
        <v>42.9845</v>
      </c>
      <c r="Q1240" s="8" t="s">
        <v>2695</v>
      </c>
      <c r="R1240" s="11">
        <v>-1.7192</v>
      </c>
      <c r="S1240" s="12">
        <v>1.0349681E7</v>
      </c>
      <c r="T1240" s="12">
        <v>5.84798131498E11</v>
      </c>
      <c r="U1240" s="13">
        <v>3.7918</v>
      </c>
      <c r="V1240" s="13">
        <v>35.0301</v>
      </c>
      <c r="W1240" s="13">
        <v>27.2081</v>
      </c>
      <c r="X1240" s="13">
        <v>6.046</v>
      </c>
      <c r="Y1240" s="13">
        <v>0.605</v>
      </c>
      <c r="Z1240" s="13">
        <v>1.0277</v>
      </c>
      <c r="AA1240" s="8" t="s">
        <v>2620</v>
      </c>
      <c r="AB1240" s="14">
        <f>IFERROR(__xludf.DUMMYFUNCTION("IFERROR(GOOGLEFINANCE(B1240,""price""),"""")"),238.46)</f>
        <v>238.46</v>
      </c>
    </row>
    <row r="1241">
      <c r="A1241" s="15">
        <v>46073.62897066742</v>
      </c>
      <c r="B1241" s="16" t="s">
        <v>3208</v>
      </c>
      <c r="C1241" s="16" t="s">
        <v>3209</v>
      </c>
      <c r="D1241" s="17">
        <v>46075.0</v>
      </c>
      <c r="E1241" s="18">
        <v>201.24</v>
      </c>
      <c r="F1241" s="16" t="s">
        <v>137</v>
      </c>
      <c r="G1241" s="21">
        <v>31.4477</v>
      </c>
      <c r="H1241" s="21">
        <v>6.3992</v>
      </c>
      <c r="I1241" s="17">
        <v>46073.0</v>
      </c>
      <c r="J1241" s="18">
        <v>205.0</v>
      </c>
      <c r="K1241" s="16">
        <v>2205.0</v>
      </c>
      <c r="L1241" s="16" t="s">
        <v>2608</v>
      </c>
      <c r="M1241" s="19">
        <v>1.87</v>
      </c>
      <c r="N1241" s="16" t="s">
        <v>3772</v>
      </c>
      <c r="O1241" s="16">
        <v>3619.0</v>
      </c>
      <c r="P1241" s="19">
        <v>37.2621</v>
      </c>
      <c r="Q1241" s="16" t="s">
        <v>3211</v>
      </c>
      <c r="R1241" s="19">
        <v>0.4292</v>
      </c>
      <c r="S1241" s="20">
        <v>1150913.0</v>
      </c>
      <c r="T1241" s="20">
        <v>6.5090062578E10</v>
      </c>
      <c r="U1241" s="21">
        <v>3.4846</v>
      </c>
      <c r="V1241" s="21">
        <v>37.4252</v>
      </c>
      <c r="W1241" s="21">
        <v>11.9137</v>
      </c>
      <c r="X1241" s="21">
        <v>3.7096</v>
      </c>
      <c r="Y1241" s="21">
        <v>0.8818</v>
      </c>
      <c r="Z1241" s="21">
        <v>1.5199</v>
      </c>
      <c r="AA1241" s="16" t="s">
        <v>2620</v>
      </c>
      <c r="AB1241" s="22">
        <f>IFERROR(__xludf.DUMMYFUNCTION("IFERROR(GOOGLEFINANCE(B1241,""price""),"""")"),221.16)</f>
        <v>221.16</v>
      </c>
    </row>
    <row r="1242">
      <c r="A1242" s="7">
        <v>46073.62897066742</v>
      </c>
      <c r="B1242" s="8" t="s">
        <v>2768</v>
      </c>
      <c r="C1242" s="8" t="s">
        <v>2769</v>
      </c>
      <c r="D1242" s="9">
        <v>46075.0</v>
      </c>
      <c r="E1242" s="10">
        <v>286.54</v>
      </c>
      <c r="F1242" s="8" t="s">
        <v>308</v>
      </c>
      <c r="G1242" s="13">
        <v>28.7671</v>
      </c>
      <c r="H1242" s="13">
        <v>9.9607</v>
      </c>
      <c r="I1242" s="9">
        <v>46073.0</v>
      </c>
      <c r="J1242" s="10">
        <v>290.0</v>
      </c>
      <c r="K1242" s="8">
        <v>1897.0</v>
      </c>
      <c r="L1242" s="8" t="s">
        <v>2608</v>
      </c>
      <c r="M1242" s="11">
        <v>1.21</v>
      </c>
      <c r="N1242" s="8" t="s">
        <v>3773</v>
      </c>
      <c r="O1242" s="8">
        <v>2964.0</v>
      </c>
      <c r="P1242" s="11">
        <v>36.4457</v>
      </c>
      <c r="Q1242" s="8" t="s">
        <v>2771</v>
      </c>
      <c r="R1242" s="11">
        <v>0.6569</v>
      </c>
      <c r="S1242" s="12">
        <v>8634611.0</v>
      </c>
      <c r="T1242" s="12">
        <v>9.7147934004E10</v>
      </c>
      <c r="U1242" s="13">
        <v>21.4244</v>
      </c>
      <c r="V1242" s="13">
        <v>41.2731</v>
      </c>
      <c r="W1242" s="13">
        <v>27.8834</v>
      </c>
      <c r="X1242" s="13">
        <v>-31.1967</v>
      </c>
      <c r="Y1242" s="13">
        <v>0.7076</v>
      </c>
      <c r="Z1242" s="13">
        <v>1.455</v>
      </c>
      <c r="AA1242" s="8" t="s">
        <v>2620</v>
      </c>
      <c r="AB1242" s="14">
        <f>IFERROR(__xludf.DUMMYFUNCTION("IFERROR(GOOGLEFINANCE(B1242,""price""),"""")"),343.43)</f>
        <v>343.43</v>
      </c>
    </row>
    <row r="1243">
      <c r="A1243" s="15">
        <v>46073.62897066742</v>
      </c>
      <c r="B1243" s="16" t="s">
        <v>2973</v>
      </c>
      <c r="C1243" s="16" t="s">
        <v>2974</v>
      </c>
      <c r="D1243" s="17">
        <v>46075.0</v>
      </c>
      <c r="E1243" s="18">
        <v>52.365</v>
      </c>
      <c r="F1243" s="16" t="s">
        <v>93</v>
      </c>
      <c r="G1243" s="21">
        <v>13.7175</v>
      </c>
      <c r="H1243" s="21">
        <v>3.8174</v>
      </c>
      <c r="I1243" s="17">
        <v>46073.0</v>
      </c>
      <c r="J1243" s="18">
        <v>52.5</v>
      </c>
      <c r="K1243" s="16">
        <v>2547.0</v>
      </c>
      <c r="L1243" s="16" t="s">
        <v>2608</v>
      </c>
      <c r="M1243" s="19">
        <v>0.26</v>
      </c>
      <c r="N1243" s="16" t="s">
        <v>3774</v>
      </c>
      <c r="O1243" s="16">
        <v>2547.0</v>
      </c>
      <c r="P1243" s="19">
        <v>18.7785</v>
      </c>
      <c r="Q1243" s="16" t="s">
        <v>2976</v>
      </c>
      <c r="R1243" s="19">
        <v>1.1298</v>
      </c>
      <c r="S1243" s="20">
        <v>4906874.0</v>
      </c>
      <c r="T1243" s="20">
        <v>6.6987726513E10</v>
      </c>
      <c r="U1243" s="21">
        <v>1.2505</v>
      </c>
      <c r="V1243" s="21">
        <v>8.2363</v>
      </c>
      <c r="W1243" s="21">
        <v>21.1616</v>
      </c>
      <c r="X1243" s="21">
        <v>24.2886</v>
      </c>
      <c r="Y1243" s="21">
        <v>1.0708</v>
      </c>
      <c r="Z1243" s="21">
        <v>0.3413</v>
      </c>
      <c r="AA1243" s="16" t="s">
        <v>2620</v>
      </c>
      <c r="AB1243" s="22">
        <f>IFERROR(__xludf.DUMMYFUNCTION("IFERROR(GOOGLEFINANCE(B1243,""price""),"""")"),49.6)</f>
        <v>49.6</v>
      </c>
    </row>
    <row r="1244">
      <c r="A1244" s="7">
        <v>46073.62897066742</v>
      </c>
      <c r="B1244" s="8" t="s">
        <v>2680</v>
      </c>
      <c r="C1244" s="8" t="s">
        <v>2681</v>
      </c>
      <c r="D1244" s="9">
        <v>46075.0</v>
      </c>
      <c r="E1244" s="10">
        <v>201.19</v>
      </c>
      <c r="F1244" s="8" t="s">
        <v>245</v>
      </c>
      <c r="G1244" s="13">
        <v>26.3066</v>
      </c>
      <c r="H1244" s="13">
        <v>7.6479</v>
      </c>
      <c r="I1244" s="9">
        <v>46073.0</v>
      </c>
      <c r="J1244" s="10">
        <v>200.0</v>
      </c>
      <c r="K1244" s="8">
        <v>1413.0</v>
      </c>
      <c r="L1244" s="8" t="s">
        <v>2608</v>
      </c>
      <c r="M1244" s="11">
        <v>0.59</v>
      </c>
      <c r="N1244" s="8" t="s">
        <v>3775</v>
      </c>
      <c r="O1244" s="8">
        <v>2457.0</v>
      </c>
      <c r="P1244" s="11">
        <v>38.1028</v>
      </c>
      <c r="Q1244" s="8" t="s">
        <v>2683</v>
      </c>
      <c r="R1244" s="11">
        <v>0.9787</v>
      </c>
      <c r="S1244" s="12">
        <v>1248978.0</v>
      </c>
      <c r="T1244" s="12">
        <v>6.1364867319E10</v>
      </c>
      <c r="U1244" s="13">
        <v>6.1772</v>
      </c>
      <c r="V1244" s="13">
        <v>9.7104</v>
      </c>
      <c r="W1244" s="13">
        <v>3.6059</v>
      </c>
      <c r="X1244" s="13">
        <v>-5.4437</v>
      </c>
      <c r="Y1244" s="13">
        <v>0.4476</v>
      </c>
      <c r="Z1244" s="13">
        <v>1.645</v>
      </c>
      <c r="AA1244" s="8" t="s">
        <v>2611</v>
      </c>
      <c r="AB1244" s="14">
        <f>IFERROR(__xludf.DUMMYFUNCTION("IFERROR(GOOGLEFINANCE(B1244,""price""),"""")"),238.82)</f>
        <v>238.82</v>
      </c>
    </row>
    <row r="1245">
      <c r="A1245" s="15">
        <v>46073.62897066742</v>
      </c>
      <c r="B1245" s="16" t="s">
        <v>2804</v>
      </c>
      <c r="C1245" s="16" t="s">
        <v>2805</v>
      </c>
      <c r="D1245" s="17">
        <v>46075.0</v>
      </c>
      <c r="E1245" s="18">
        <v>139.055</v>
      </c>
      <c r="F1245" s="16" t="s">
        <v>308</v>
      </c>
      <c r="G1245" s="21">
        <v>75.6186</v>
      </c>
      <c r="H1245" s="21">
        <v>1.8389</v>
      </c>
      <c r="I1245" s="17">
        <v>46073.0</v>
      </c>
      <c r="J1245" s="18">
        <v>140.0</v>
      </c>
      <c r="K1245" s="16">
        <v>2115.0</v>
      </c>
      <c r="L1245" s="16" t="s">
        <v>2608</v>
      </c>
      <c r="M1245" s="19">
        <v>0.68</v>
      </c>
      <c r="N1245" s="16" t="s">
        <v>3776</v>
      </c>
      <c r="O1245" s="16">
        <v>2115.0</v>
      </c>
      <c r="P1245" s="19">
        <v>45.6553</v>
      </c>
      <c r="Q1245" s="16" t="s">
        <v>2807</v>
      </c>
      <c r="R1245" s="19">
        <v>6.9736</v>
      </c>
      <c r="S1245" s="20">
        <v>9086690.0</v>
      </c>
      <c r="T1245" s="20">
        <v>1.19301980885E11</v>
      </c>
      <c r="U1245" s="21">
        <v>6.4265</v>
      </c>
      <c r="V1245" s="21">
        <v>14.1911</v>
      </c>
      <c r="W1245" s="21">
        <v>15.3241</v>
      </c>
      <c r="X1245" s="21">
        <v>19.1416</v>
      </c>
      <c r="Y1245" s="21">
        <v>0.7942</v>
      </c>
      <c r="Z1245" s="21">
        <v>1.5878</v>
      </c>
      <c r="AA1245" s="16" t="s">
        <v>2620</v>
      </c>
      <c r="AB1245" s="22">
        <f>IFERROR(__xludf.DUMMYFUNCTION("IFERROR(GOOGLEFINANCE(B1245,""price""),"""")"),171.24)</f>
        <v>171.24</v>
      </c>
    </row>
    <row r="1246">
      <c r="A1246" s="7">
        <v>46073.62897066742</v>
      </c>
      <c r="B1246" s="8" t="s">
        <v>3416</v>
      </c>
      <c r="C1246" s="8" t="s">
        <v>3417</v>
      </c>
      <c r="D1246" s="9">
        <v>46075.0</v>
      </c>
      <c r="E1246" s="10">
        <v>67.63</v>
      </c>
      <c r="F1246" s="8" t="s">
        <v>286</v>
      </c>
      <c r="G1246" s="13">
        <v>16.4282</v>
      </c>
      <c r="H1246" s="13">
        <v>4.1167</v>
      </c>
      <c r="I1246" s="9">
        <v>46073.0</v>
      </c>
      <c r="J1246" s="10">
        <v>68.0</v>
      </c>
      <c r="K1246" s="8">
        <v>2087.0</v>
      </c>
      <c r="L1246" s="8" t="s">
        <v>2608</v>
      </c>
      <c r="M1246" s="11">
        <v>0.55</v>
      </c>
      <c r="N1246" s="8" t="s">
        <v>3777</v>
      </c>
      <c r="O1246" s="8">
        <v>2087.0</v>
      </c>
      <c r="P1246" s="11">
        <v>28.8205</v>
      </c>
      <c r="Q1246" s="8" t="s">
        <v>3419</v>
      </c>
      <c r="R1246" s="11">
        <v>-0.5295</v>
      </c>
      <c r="S1246" s="12">
        <v>4396425.0</v>
      </c>
      <c r="T1246" s="12">
        <v>1.13528550573E11</v>
      </c>
      <c r="U1246" s="13">
        <v>1.42</v>
      </c>
      <c r="V1246" s="13"/>
      <c r="W1246" s="13">
        <v>63.7221</v>
      </c>
      <c r="X1246" s="13">
        <v>-1.4919</v>
      </c>
      <c r="Y1246" s="13"/>
      <c r="Z1246" s="13">
        <v>0.648</v>
      </c>
      <c r="AA1246" s="8" t="s">
        <v>2620</v>
      </c>
      <c r="AB1246" s="14">
        <f>IFERROR(__xludf.DUMMYFUNCTION("IFERROR(GOOGLEFINANCE(B1246,""price""),"""")"),67.38)</f>
        <v>67.38</v>
      </c>
    </row>
    <row r="1247">
      <c r="A1247" s="15">
        <v>46073.62897066742</v>
      </c>
      <c r="B1247" s="16" t="s">
        <v>2658</v>
      </c>
      <c r="C1247" s="16" t="s">
        <v>2659</v>
      </c>
      <c r="D1247" s="17">
        <v>46075.0</v>
      </c>
      <c r="E1247" s="18">
        <v>91.88</v>
      </c>
      <c r="F1247" s="16" t="s">
        <v>917</v>
      </c>
      <c r="G1247" s="21">
        <v>27.8399</v>
      </c>
      <c r="H1247" s="21">
        <v>3.3003</v>
      </c>
      <c r="I1247" s="17">
        <v>46073.0</v>
      </c>
      <c r="J1247" s="18">
        <v>92.0</v>
      </c>
      <c r="K1247" s="16">
        <v>2043.0</v>
      </c>
      <c r="L1247" s="16" t="s">
        <v>2608</v>
      </c>
      <c r="M1247" s="19">
        <v>0.13</v>
      </c>
      <c r="N1247" s="16" t="s">
        <v>3778</v>
      </c>
      <c r="O1247" s="16">
        <v>2043.0</v>
      </c>
      <c r="P1247" s="19">
        <v>41.0927</v>
      </c>
      <c r="Q1247" s="16" t="s">
        <v>2661</v>
      </c>
      <c r="R1247" s="19">
        <v>0.2619</v>
      </c>
      <c r="S1247" s="20">
        <v>4694745.0</v>
      </c>
      <c r="T1247" s="20">
        <v>1.91433997573E11</v>
      </c>
      <c r="U1247" s="21">
        <v>2.0151</v>
      </c>
      <c r="V1247" s="21">
        <v>13.0533</v>
      </c>
      <c r="W1247" s="21">
        <v>26.8934</v>
      </c>
      <c r="X1247" s="21">
        <v>8.6905</v>
      </c>
      <c r="Y1247" s="21">
        <v>1.7594</v>
      </c>
      <c r="Z1247" s="21">
        <v>0.5953</v>
      </c>
      <c r="AA1247" s="16" t="s">
        <v>2620</v>
      </c>
      <c r="AB1247" s="22">
        <f>IFERROR(__xludf.DUMMYFUNCTION("IFERROR(GOOGLEFINANCE(B1247,""price""),"""")"),94.08)</f>
        <v>94.08</v>
      </c>
    </row>
    <row r="1248">
      <c r="A1248" s="7">
        <v>46073.62897066742</v>
      </c>
      <c r="B1248" s="8" t="s">
        <v>3516</v>
      </c>
      <c r="C1248" s="8" t="s">
        <v>3517</v>
      </c>
      <c r="D1248" s="9">
        <v>46075.0</v>
      </c>
      <c r="E1248" s="10">
        <v>280.165</v>
      </c>
      <c r="F1248" s="8" t="s">
        <v>137</v>
      </c>
      <c r="G1248" s="13">
        <v>23.2261</v>
      </c>
      <c r="H1248" s="13">
        <v>12.0625</v>
      </c>
      <c r="I1248" s="9">
        <v>46073.0</v>
      </c>
      <c r="J1248" s="10">
        <v>280.0</v>
      </c>
      <c r="K1248" s="8">
        <v>1939.0</v>
      </c>
      <c r="L1248" s="8" t="s">
        <v>2608</v>
      </c>
      <c r="M1248" s="11">
        <v>0.06</v>
      </c>
      <c r="N1248" s="8" t="s">
        <v>3779</v>
      </c>
      <c r="O1248" s="8">
        <v>1939.0</v>
      </c>
      <c r="P1248" s="11">
        <v>26.8838</v>
      </c>
      <c r="Q1248" s="8" t="s">
        <v>3519</v>
      </c>
      <c r="R1248" s="11">
        <v>0.7136</v>
      </c>
      <c r="S1248" s="12">
        <v>1592955.0</v>
      </c>
      <c r="T1248" s="12">
        <v>1.5715894933E11</v>
      </c>
      <c r="U1248" s="13">
        <v>6.7977</v>
      </c>
      <c r="V1248" s="13"/>
      <c r="W1248" s="13">
        <v>12.099</v>
      </c>
      <c r="X1248" s="13">
        <v>0.6366</v>
      </c>
      <c r="Y1248" s="13"/>
      <c r="Z1248" s="13">
        <v>1.0395</v>
      </c>
      <c r="AA1248" s="8" t="s">
        <v>2611</v>
      </c>
      <c r="AB1248" s="14">
        <f>IFERROR(__xludf.DUMMYFUNCTION("IFERROR(GOOGLEFINANCE(B1248,""price""),"""")"),244.22)</f>
        <v>244.22</v>
      </c>
    </row>
    <row r="1249">
      <c r="A1249" s="15">
        <v>46073.62897066742</v>
      </c>
      <c r="B1249" s="16" t="s">
        <v>2663</v>
      </c>
      <c r="C1249" s="16" t="s">
        <v>2664</v>
      </c>
      <c r="D1249" s="17">
        <v>46075.0</v>
      </c>
      <c r="E1249" s="18">
        <v>122.84</v>
      </c>
      <c r="F1249" s="16" t="s">
        <v>335</v>
      </c>
      <c r="G1249" s="21">
        <v>19.2358</v>
      </c>
      <c r="H1249" s="21">
        <v>6.386</v>
      </c>
      <c r="I1249" s="17">
        <v>46073.0</v>
      </c>
      <c r="J1249" s="18">
        <v>125.0</v>
      </c>
      <c r="K1249" s="16">
        <v>1916.0</v>
      </c>
      <c r="L1249" s="16" t="s">
        <v>2608</v>
      </c>
      <c r="M1249" s="19">
        <v>1.76</v>
      </c>
      <c r="N1249" s="16" t="s">
        <v>3780</v>
      </c>
      <c r="O1249" s="16">
        <v>1916.0</v>
      </c>
      <c r="P1249" s="19">
        <v>18.3072</v>
      </c>
      <c r="Q1249" s="16" t="s">
        <v>2666</v>
      </c>
      <c r="R1249" s="19">
        <v>-2.0415</v>
      </c>
      <c r="S1249" s="20">
        <v>8686494.0</v>
      </c>
      <c r="T1249" s="20">
        <v>1.34050741114E11</v>
      </c>
      <c r="U1249" s="21">
        <v>5.8395</v>
      </c>
      <c r="V1249" s="21">
        <v>22.2118</v>
      </c>
      <c r="W1249" s="21">
        <v>47.082</v>
      </c>
      <c r="X1249" s="21">
        <v>19.897</v>
      </c>
      <c r="Y1249" s="21">
        <v>0.165</v>
      </c>
      <c r="Z1249" s="21">
        <v>2.2875</v>
      </c>
      <c r="AA1249" s="16" t="s">
        <v>2620</v>
      </c>
      <c r="AB1249" s="22">
        <f>IFERROR(__xludf.DUMMYFUNCTION("IFERROR(GOOGLEFINANCE(B1249,""price""),"""")"),120.9)</f>
        <v>120.9</v>
      </c>
    </row>
    <row r="1250">
      <c r="A1250" s="7">
        <v>46073.62897066742</v>
      </c>
      <c r="B1250" s="8" t="s">
        <v>2843</v>
      </c>
      <c r="C1250" s="8" t="s">
        <v>2844</v>
      </c>
      <c r="D1250" s="9">
        <v>46075.0</v>
      </c>
      <c r="E1250" s="10">
        <v>205.35</v>
      </c>
      <c r="F1250" s="8" t="s">
        <v>308</v>
      </c>
      <c r="G1250" s="13">
        <v>41.3812</v>
      </c>
      <c r="H1250" s="13">
        <v>4.9624</v>
      </c>
      <c r="I1250" s="9">
        <v>46073.0</v>
      </c>
      <c r="J1250" s="10">
        <v>205.0</v>
      </c>
      <c r="K1250" s="8">
        <v>1888.0</v>
      </c>
      <c r="L1250" s="8" t="s">
        <v>2608</v>
      </c>
      <c r="M1250" s="11">
        <v>0.17</v>
      </c>
      <c r="N1250" s="8" t="s">
        <v>3781</v>
      </c>
      <c r="O1250" s="8">
        <v>1888.0</v>
      </c>
      <c r="P1250" s="11">
        <v>34.6331</v>
      </c>
      <c r="Q1250" s="8" t="s">
        <v>2846</v>
      </c>
      <c r="R1250" s="11">
        <v>-0.0292</v>
      </c>
      <c r="S1250" s="12">
        <v>6330473.0</v>
      </c>
      <c r="T1250" s="12">
        <v>2.75638763093E11</v>
      </c>
      <c r="U1250" s="13">
        <v>4.75</v>
      </c>
      <c r="V1250" s="13">
        <v>10.7368</v>
      </c>
      <c r="W1250" s="13">
        <v>10.0301</v>
      </c>
      <c r="X1250" s="13">
        <v>9.7414</v>
      </c>
      <c r="Y1250" s="13">
        <v>0.6124</v>
      </c>
      <c r="Z1250" s="13">
        <v>0.9804</v>
      </c>
      <c r="AA1250" s="8" t="s">
        <v>2611</v>
      </c>
      <c r="AB1250" s="14">
        <f>IFERROR(__xludf.DUMMYFUNCTION("IFERROR(GOOGLEFINANCE(B1250,""price""),"""")"),201.56)</f>
        <v>201.56</v>
      </c>
    </row>
    <row r="1251">
      <c r="A1251" s="15">
        <v>46073.62897066742</v>
      </c>
      <c r="B1251" s="16" t="s">
        <v>2521</v>
      </c>
      <c r="C1251" s="16" t="s">
        <v>2522</v>
      </c>
      <c r="D1251" s="17">
        <v>46075.0</v>
      </c>
      <c r="E1251" s="18">
        <v>353.52</v>
      </c>
      <c r="F1251" s="16" t="s">
        <v>308</v>
      </c>
      <c r="G1251" s="21">
        <v>64.5769</v>
      </c>
      <c r="H1251" s="21">
        <v>5.4744</v>
      </c>
      <c r="I1251" s="17">
        <v>46073.0</v>
      </c>
      <c r="J1251" s="18">
        <v>355.0</v>
      </c>
      <c r="K1251" s="16">
        <v>1664.0</v>
      </c>
      <c r="L1251" s="16" t="s">
        <v>2608</v>
      </c>
      <c r="M1251" s="19">
        <v>0.42</v>
      </c>
      <c r="N1251" s="16" t="s">
        <v>3782</v>
      </c>
      <c r="O1251" s="16">
        <v>1664.0</v>
      </c>
      <c r="P1251" s="19">
        <v>50.7224</v>
      </c>
      <c r="Q1251" s="16" t="s">
        <v>2523</v>
      </c>
      <c r="R1251" s="19">
        <v>2.3805</v>
      </c>
      <c r="S1251" s="20">
        <v>2791809.0</v>
      </c>
      <c r="T1251" s="20">
        <v>1.7258992946E11</v>
      </c>
      <c r="U1251" s="21">
        <v>10.3535</v>
      </c>
      <c r="V1251" s="21">
        <v>7.8622</v>
      </c>
      <c r="W1251" s="21">
        <v>29.7854</v>
      </c>
      <c r="X1251" s="21">
        <v>25.9077</v>
      </c>
      <c r="Y1251" s="21">
        <v>0.257</v>
      </c>
      <c r="Z1251" s="21">
        <v>1.7555</v>
      </c>
      <c r="AA1251" s="16" t="s">
        <v>2620</v>
      </c>
      <c r="AB1251" s="22">
        <f>IFERROR(__xludf.DUMMYFUNCTION("IFERROR(GOOGLEFINANCE(B1251,""price""),"""")"),350.14)</f>
        <v>350.14</v>
      </c>
    </row>
    <row r="1252">
      <c r="A1252" s="7">
        <v>46073.62897066742</v>
      </c>
      <c r="B1252" s="8" t="s">
        <v>3542</v>
      </c>
      <c r="C1252" s="8" t="s">
        <v>3543</v>
      </c>
      <c r="D1252" s="9">
        <v>46075.0</v>
      </c>
      <c r="E1252" s="10">
        <v>148.6</v>
      </c>
      <c r="F1252" s="8" t="s">
        <v>308</v>
      </c>
      <c r="G1252" s="13">
        <v>36.2926</v>
      </c>
      <c r="H1252" s="13">
        <v>4.0945</v>
      </c>
      <c r="I1252" s="9">
        <v>46073.0</v>
      </c>
      <c r="J1252" s="10">
        <v>150.0</v>
      </c>
      <c r="K1252" s="8">
        <v>1656.0</v>
      </c>
      <c r="L1252" s="8" t="s">
        <v>2608</v>
      </c>
      <c r="M1252" s="11">
        <v>0.94</v>
      </c>
      <c r="N1252" s="8" t="s">
        <v>3783</v>
      </c>
      <c r="O1252" s="8">
        <v>1656.0</v>
      </c>
      <c r="P1252" s="11">
        <v>20.8118</v>
      </c>
      <c r="Q1252" s="8" t="s">
        <v>3545</v>
      </c>
      <c r="R1252" s="11">
        <v>-1.7845</v>
      </c>
      <c r="S1252" s="12">
        <v>2071630.0</v>
      </c>
      <c r="T1252" s="12">
        <v>8.3558088245E10</v>
      </c>
      <c r="U1252" s="13">
        <v>4.9729</v>
      </c>
      <c r="V1252" s="13">
        <v>11.3131</v>
      </c>
      <c r="W1252" s="13">
        <v>19.8768</v>
      </c>
      <c r="X1252" s="13">
        <v>3.607</v>
      </c>
      <c r="Y1252" s="13">
        <v>0.6933</v>
      </c>
      <c r="Z1252" s="13">
        <v>0.8406</v>
      </c>
      <c r="AA1252" s="8" t="s">
        <v>2620</v>
      </c>
      <c r="AB1252" s="14">
        <f>IFERROR(__xludf.DUMMYFUNCTION("IFERROR(GOOGLEFINANCE(B1252,""price""),"""")"),143.77)</f>
        <v>143.77</v>
      </c>
    </row>
    <row r="1253">
      <c r="A1253" s="15">
        <v>46073.62897066742</v>
      </c>
      <c r="B1253" s="16" t="s">
        <v>2726</v>
      </c>
      <c r="C1253" s="16" t="s">
        <v>2727</v>
      </c>
      <c r="D1253" s="17">
        <v>46075.0</v>
      </c>
      <c r="E1253" s="18">
        <v>83.58</v>
      </c>
      <c r="F1253" s="16" t="s">
        <v>286</v>
      </c>
      <c r="G1253" s="21">
        <v>47.5806</v>
      </c>
      <c r="H1253" s="21">
        <v>1.7566</v>
      </c>
      <c r="I1253" s="17">
        <v>46073.0</v>
      </c>
      <c r="J1253" s="18">
        <v>82.5</v>
      </c>
      <c r="K1253" s="16">
        <v>1629.0</v>
      </c>
      <c r="L1253" s="16" t="s">
        <v>2608</v>
      </c>
      <c r="M1253" s="19">
        <v>1.29</v>
      </c>
      <c r="N1253" s="16" t="s">
        <v>3784</v>
      </c>
      <c r="O1253" s="16">
        <v>1629.0</v>
      </c>
      <c r="P1253" s="19">
        <v>34.2582</v>
      </c>
      <c r="Q1253" s="16" t="s">
        <v>2729</v>
      </c>
      <c r="R1253" s="19">
        <v>1.9393</v>
      </c>
      <c r="S1253" s="20">
        <v>4177333.0</v>
      </c>
      <c r="T1253" s="20">
        <v>8.1659428029E10</v>
      </c>
      <c r="U1253" s="21">
        <v>1.5671</v>
      </c>
      <c r="V1253" s="21">
        <v>25.538</v>
      </c>
      <c r="W1253" s="21">
        <v>29.9505</v>
      </c>
      <c r="X1253" s="21">
        <v>7.618</v>
      </c>
      <c r="Y1253" s="21">
        <v>0.0</v>
      </c>
      <c r="Z1253" s="21">
        <v>3.1855</v>
      </c>
      <c r="AA1253" s="16" t="s">
        <v>2611</v>
      </c>
      <c r="AB1253" s="22">
        <f>IFERROR(__xludf.DUMMYFUNCTION("IFERROR(GOOGLEFINANCE(B1253,""price""),"""")"),75.72)</f>
        <v>75.72</v>
      </c>
    </row>
    <row r="1254">
      <c r="A1254" s="7">
        <v>46073.62897066742</v>
      </c>
      <c r="B1254" s="8" t="s">
        <v>3291</v>
      </c>
      <c r="C1254" s="8" t="s">
        <v>3292</v>
      </c>
      <c r="D1254" s="9">
        <v>46075.0</v>
      </c>
      <c r="E1254" s="10">
        <v>230.34</v>
      </c>
      <c r="F1254" s="8" t="s">
        <v>270</v>
      </c>
      <c r="G1254" s="13">
        <v>34.3863</v>
      </c>
      <c r="H1254" s="13">
        <v>6.6986</v>
      </c>
      <c r="I1254" s="9">
        <v>46073.0</v>
      </c>
      <c r="J1254" s="10">
        <v>230.0</v>
      </c>
      <c r="K1254" s="8">
        <v>1602.0</v>
      </c>
      <c r="L1254" s="8" t="s">
        <v>2608</v>
      </c>
      <c r="M1254" s="11">
        <v>0.15</v>
      </c>
      <c r="N1254" s="8" t="s">
        <v>3785</v>
      </c>
      <c r="O1254" s="8">
        <v>1602.0</v>
      </c>
      <c r="P1254" s="11">
        <v>21.8806</v>
      </c>
      <c r="Q1254" s="8" t="s">
        <v>3294</v>
      </c>
      <c r="R1254" s="11">
        <v>-1.3195</v>
      </c>
      <c r="S1254" s="12">
        <v>1376084.0</v>
      </c>
      <c r="T1254" s="12">
        <v>9.2904363968E10</v>
      </c>
      <c r="U1254" s="13">
        <v>4.6952</v>
      </c>
      <c r="V1254" s="13">
        <v>29.6897</v>
      </c>
      <c r="W1254" s="13">
        <v>18.2788</v>
      </c>
      <c r="X1254" s="13">
        <v>14.2365</v>
      </c>
      <c r="Y1254" s="13">
        <v>2.3941</v>
      </c>
      <c r="Z1254" s="13">
        <v>0.8888</v>
      </c>
      <c r="AA1254" s="8" t="s">
        <v>2611</v>
      </c>
      <c r="AB1254" s="14">
        <f>IFERROR(__xludf.DUMMYFUNCTION("IFERROR(GOOGLEFINANCE(B1254,""price""),"""")"),229.45)</f>
        <v>229.45</v>
      </c>
    </row>
    <row r="1255">
      <c r="A1255" s="15">
        <v>46073.62897066742</v>
      </c>
      <c r="B1255" s="16" t="s">
        <v>1663</v>
      </c>
      <c r="C1255" s="16" t="s">
        <v>1664</v>
      </c>
      <c r="D1255" s="17">
        <v>46075.0</v>
      </c>
      <c r="E1255" s="18">
        <v>166.73</v>
      </c>
      <c r="F1255" s="16" t="s">
        <v>102</v>
      </c>
      <c r="G1255" s="21">
        <v>27.8097</v>
      </c>
      <c r="H1255" s="21">
        <v>5.9954</v>
      </c>
      <c r="I1255" s="17">
        <v>46073.0</v>
      </c>
      <c r="J1255" s="18">
        <v>170.0</v>
      </c>
      <c r="K1255" s="16">
        <v>1571.0</v>
      </c>
      <c r="L1255" s="16" t="s">
        <v>2608</v>
      </c>
      <c r="M1255" s="19">
        <v>1.96</v>
      </c>
      <c r="N1255" s="16" t="s">
        <v>3786</v>
      </c>
      <c r="O1255" s="16">
        <v>1571.0</v>
      </c>
      <c r="P1255" s="19">
        <v>18.9808</v>
      </c>
      <c r="Q1255" s="16" t="s">
        <v>1665</v>
      </c>
      <c r="R1255" s="19">
        <v>1.0179</v>
      </c>
      <c r="S1255" s="20">
        <v>1487831.0</v>
      </c>
      <c r="T1255" s="20">
        <v>8.7816694659E10</v>
      </c>
      <c r="U1255" s="21">
        <v>4.4647</v>
      </c>
      <c r="V1255" s="21">
        <v>76.0768</v>
      </c>
      <c r="W1255" s="21">
        <v>18.9594</v>
      </c>
      <c r="X1255" s="21">
        <v>-6.0763</v>
      </c>
      <c r="Y1255" s="21">
        <v>2.7929</v>
      </c>
      <c r="Z1255" s="21">
        <v>1.7079</v>
      </c>
      <c r="AA1255" s="16" t="s">
        <v>2620</v>
      </c>
      <c r="AB1255" s="22">
        <f>IFERROR(__xludf.DUMMYFUNCTION("IFERROR(GOOGLEFINANCE(B1255,""price""),"""")"),150.32)</f>
        <v>150.32</v>
      </c>
    </row>
    <row r="1256">
      <c r="A1256" s="7">
        <v>46073.62897066742</v>
      </c>
      <c r="B1256" s="8" t="s">
        <v>2722</v>
      </c>
      <c r="C1256" s="8" t="s">
        <v>2723</v>
      </c>
      <c r="D1256" s="9">
        <v>46075.0</v>
      </c>
      <c r="E1256" s="10">
        <v>96.6</v>
      </c>
      <c r="F1256" s="8" t="s">
        <v>308</v>
      </c>
      <c r="G1256" s="13">
        <v>4431.1927</v>
      </c>
      <c r="H1256" s="13">
        <v>0.0218</v>
      </c>
      <c r="I1256" s="9">
        <v>46073.0</v>
      </c>
      <c r="J1256" s="10">
        <v>95.0</v>
      </c>
      <c r="K1256" s="8">
        <v>1563.0</v>
      </c>
      <c r="L1256" s="8" t="s">
        <v>2608</v>
      </c>
      <c r="M1256" s="11">
        <v>1.66</v>
      </c>
      <c r="N1256" s="8" t="s">
        <v>3787</v>
      </c>
      <c r="O1256" s="8">
        <v>1563.0</v>
      </c>
      <c r="P1256" s="11">
        <v>34.6891</v>
      </c>
      <c r="Q1256" s="8" t="s">
        <v>2725</v>
      </c>
      <c r="R1256" s="11">
        <v>1.5773</v>
      </c>
      <c r="S1256" s="12">
        <v>1155238.0</v>
      </c>
      <c r="T1256" s="12">
        <v>1.3213547587E10</v>
      </c>
      <c r="U1256" s="13">
        <v>5.027</v>
      </c>
      <c r="V1256" s="13">
        <v>0.4328</v>
      </c>
      <c r="W1256" s="13">
        <v>2.9194</v>
      </c>
      <c r="X1256" s="13">
        <v>2.721</v>
      </c>
      <c r="Y1256" s="13">
        <v>0.059</v>
      </c>
      <c r="Z1256" s="13">
        <v>3.0922</v>
      </c>
      <c r="AA1256" s="8" t="s">
        <v>2611</v>
      </c>
      <c r="AB1256" s="14">
        <f>IFERROR(__xludf.DUMMYFUNCTION("IFERROR(GOOGLEFINANCE(B1256,""price""),"""")"),106.1)</f>
        <v>106.1</v>
      </c>
    </row>
    <row r="1257">
      <c r="A1257" s="15">
        <v>46073.62897066742</v>
      </c>
      <c r="B1257" s="16" t="s">
        <v>2505</v>
      </c>
      <c r="C1257" s="16" t="s">
        <v>2506</v>
      </c>
      <c r="D1257" s="17">
        <v>46075.0</v>
      </c>
      <c r="E1257" s="18">
        <v>179.52</v>
      </c>
      <c r="F1257" s="16" t="s">
        <v>335</v>
      </c>
      <c r="G1257" s="21">
        <v>23.8166</v>
      </c>
      <c r="H1257" s="21">
        <v>7.5376</v>
      </c>
      <c r="I1257" s="17">
        <v>46073.0</v>
      </c>
      <c r="J1257" s="18">
        <v>180.0</v>
      </c>
      <c r="K1257" s="16">
        <v>1553.0</v>
      </c>
      <c r="L1257" s="16" t="s">
        <v>2627</v>
      </c>
      <c r="M1257" s="19">
        <v>0.27</v>
      </c>
      <c r="N1257" s="16" t="s">
        <v>3788</v>
      </c>
      <c r="O1257" s="16">
        <v>1553.0</v>
      </c>
      <c r="P1257" s="19">
        <v>20.2034</v>
      </c>
      <c r="Q1257" s="16" t="s">
        <v>2507</v>
      </c>
      <c r="R1257" s="19">
        <v>-0.2888</v>
      </c>
      <c r="S1257" s="20">
        <v>1293751.0</v>
      </c>
      <c r="T1257" s="20">
        <v>4.1084704722E10</v>
      </c>
      <c r="U1257" s="21">
        <v>5.5997</v>
      </c>
      <c r="V1257" s="21">
        <v>8.4356</v>
      </c>
      <c r="W1257" s="21">
        <v>8.2261</v>
      </c>
      <c r="X1257" s="21">
        <v>5.7251</v>
      </c>
      <c r="Y1257" s="21">
        <v>0.3401</v>
      </c>
      <c r="Z1257" s="21">
        <v>2.9383</v>
      </c>
      <c r="AA1257" s="16" t="s">
        <v>2620</v>
      </c>
      <c r="AB1257" s="22">
        <f>IFERROR(__xludf.DUMMYFUNCTION("IFERROR(GOOGLEFINANCE(B1257,""price""),"""")"),186.12)</f>
        <v>186.12</v>
      </c>
    </row>
    <row r="1258">
      <c r="A1258" s="7">
        <v>46073.62897066742</v>
      </c>
      <c r="B1258" s="8" t="s">
        <v>2344</v>
      </c>
      <c r="C1258" s="8" t="s">
        <v>2345</v>
      </c>
      <c r="D1258" s="9">
        <v>46075.0</v>
      </c>
      <c r="E1258" s="10">
        <v>72.83</v>
      </c>
      <c r="F1258" s="8" t="s">
        <v>270</v>
      </c>
      <c r="G1258" s="13"/>
      <c r="H1258" s="13"/>
      <c r="I1258" s="9">
        <v>46073.0</v>
      </c>
      <c r="J1258" s="10">
        <v>73.0</v>
      </c>
      <c r="K1258" s="8">
        <v>1520.0</v>
      </c>
      <c r="L1258" s="8" t="s">
        <v>2608</v>
      </c>
      <c r="M1258" s="11">
        <v>0.23</v>
      </c>
      <c r="N1258" s="8" t="s">
        <v>3789</v>
      </c>
      <c r="O1258" s="8">
        <v>1520.0</v>
      </c>
      <c r="P1258" s="11">
        <v>46.13</v>
      </c>
      <c r="Q1258" s="8" t="s">
        <v>2346</v>
      </c>
      <c r="R1258" s="11">
        <v>0.9145</v>
      </c>
      <c r="S1258" s="12">
        <v>3832745.0</v>
      </c>
      <c r="T1258" s="12">
        <v>8.8941368196E10</v>
      </c>
      <c r="U1258" s="13">
        <v>1.7199</v>
      </c>
      <c r="V1258" s="13">
        <v>20.7424</v>
      </c>
      <c r="W1258" s="13">
        <v>36.7664</v>
      </c>
      <c r="X1258" s="13">
        <v>10.611</v>
      </c>
      <c r="Y1258" s="13">
        <v>2.2926</v>
      </c>
      <c r="Z1258" s="13">
        <v>0.5313</v>
      </c>
      <c r="AA1258" s="8" t="s">
        <v>2620</v>
      </c>
      <c r="AB1258" s="14">
        <f>IFERROR(__xludf.DUMMYFUNCTION("IFERROR(GOOGLEFINANCE(B1258,""price""),"""")"),72.74)</f>
        <v>72.74</v>
      </c>
    </row>
    <row r="1259">
      <c r="A1259" s="15">
        <v>46073.62897066742</v>
      </c>
      <c r="B1259" s="16" t="s">
        <v>2428</v>
      </c>
      <c r="C1259" s="16" t="s">
        <v>2429</v>
      </c>
      <c r="D1259" s="17">
        <v>46075.0</v>
      </c>
      <c r="E1259" s="18">
        <v>127.9</v>
      </c>
      <c r="F1259" s="16" t="s">
        <v>102</v>
      </c>
      <c r="G1259" s="21">
        <v>28.3579</v>
      </c>
      <c r="H1259" s="21">
        <v>4.5102</v>
      </c>
      <c r="I1259" s="17">
        <v>46073.0</v>
      </c>
      <c r="J1259" s="18">
        <v>130.0</v>
      </c>
      <c r="K1259" s="16">
        <v>1375.0</v>
      </c>
      <c r="L1259" s="16" t="s">
        <v>2608</v>
      </c>
      <c r="M1259" s="19">
        <v>1.64</v>
      </c>
      <c r="N1259" s="16" t="s">
        <v>3790</v>
      </c>
      <c r="O1259" s="16">
        <v>1375.0</v>
      </c>
      <c r="P1259" s="19">
        <v>33.0418</v>
      </c>
      <c r="Q1259" s="16" t="s">
        <v>2430</v>
      </c>
      <c r="R1259" s="19">
        <v>2.4019</v>
      </c>
      <c r="S1259" s="20">
        <v>2255291.0</v>
      </c>
      <c r="T1259" s="20">
        <v>6.7261895756E10</v>
      </c>
      <c r="U1259" s="21">
        <v>2.9123</v>
      </c>
      <c r="V1259" s="21">
        <v>12.9222</v>
      </c>
      <c r="W1259" s="21">
        <v>11.0749</v>
      </c>
      <c r="X1259" s="21">
        <v>-15.5032</v>
      </c>
      <c r="Y1259" s="21">
        <v>0.815</v>
      </c>
      <c r="Z1259" s="21">
        <v>1.0282</v>
      </c>
      <c r="AA1259" s="16" t="s">
        <v>2620</v>
      </c>
      <c r="AB1259" s="22">
        <f>IFERROR(__xludf.DUMMYFUNCTION("IFERROR(GOOGLEFINANCE(B1259,""price""),"""")"),127.19)</f>
        <v>127.19</v>
      </c>
    </row>
    <row r="1260">
      <c r="A1260" s="7">
        <v>46073.62897066742</v>
      </c>
      <c r="B1260" s="8" t="s">
        <v>2696</v>
      </c>
      <c r="C1260" s="8" t="s">
        <v>2697</v>
      </c>
      <c r="D1260" s="9">
        <v>46075.0</v>
      </c>
      <c r="E1260" s="10">
        <v>189.91</v>
      </c>
      <c r="F1260" s="8" t="s">
        <v>162</v>
      </c>
      <c r="G1260" s="13">
        <v>39.2936</v>
      </c>
      <c r="H1260" s="13">
        <v>4.8331</v>
      </c>
      <c r="I1260" s="9">
        <v>46073.0</v>
      </c>
      <c r="J1260" s="10">
        <v>190.0</v>
      </c>
      <c r="K1260" s="8">
        <v>1367.0</v>
      </c>
      <c r="L1260" s="8" t="s">
        <v>2608</v>
      </c>
      <c r="M1260" s="11">
        <v>0.05</v>
      </c>
      <c r="N1260" s="8" t="s">
        <v>3791</v>
      </c>
      <c r="O1260" s="8">
        <v>1367.0</v>
      </c>
      <c r="P1260" s="11">
        <v>43.8973</v>
      </c>
      <c r="Q1260" s="8" t="s">
        <v>2699</v>
      </c>
      <c r="R1260" s="11">
        <v>2.5487</v>
      </c>
      <c r="S1260" s="12">
        <v>1539059.0</v>
      </c>
      <c r="T1260" s="12">
        <v>2.2527282949E10</v>
      </c>
      <c r="U1260" s="13">
        <v>7.9603</v>
      </c>
      <c r="V1260" s="13">
        <v>32.9109</v>
      </c>
      <c r="W1260" s="13">
        <v>4.9029</v>
      </c>
      <c r="X1260" s="13">
        <v>-8.4186</v>
      </c>
      <c r="Y1260" s="13">
        <v>0.756</v>
      </c>
      <c r="Z1260" s="13">
        <v>1.5278</v>
      </c>
      <c r="AA1260" s="8" t="s">
        <v>2620</v>
      </c>
      <c r="AB1260" s="14">
        <f>IFERROR(__xludf.DUMMYFUNCTION("IFERROR(GOOGLEFINANCE(B1260,""price""),"""")"),163.49)</f>
        <v>163.49</v>
      </c>
    </row>
    <row r="1261">
      <c r="A1261" s="15">
        <v>46073.62897066742</v>
      </c>
      <c r="B1261" s="16" t="s">
        <v>3511</v>
      </c>
      <c r="C1261" s="16" t="s">
        <v>3512</v>
      </c>
      <c r="D1261" s="17">
        <v>46075.0</v>
      </c>
      <c r="E1261" s="18">
        <v>113.76</v>
      </c>
      <c r="F1261" s="16" t="s">
        <v>93</v>
      </c>
      <c r="G1261" s="21">
        <v>16.5198</v>
      </c>
      <c r="H1261" s="21">
        <v>6.8863</v>
      </c>
      <c r="I1261" s="17">
        <v>46073.0</v>
      </c>
      <c r="J1261" s="18">
        <v>115.0</v>
      </c>
      <c r="K1261" s="16">
        <v>1362.0</v>
      </c>
      <c r="L1261" s="16" t="s">
        <v>2608</v>
      </c>
      <c r="M1261" s="19">
        <v>1.09</v>
      </c>
      <c r="N1261" s="16" t="s">
        <v>3792</v>
      </c>
      <c r="O1261" s="16">
        <v>1362.0</v>
      </c>
      <c r="P1261" s="19">
        <v>17.5665</v>
      </c>
      <c r="Q1261" s="16" t="s">
        <v>3514</v>
      </c>
      <c r="R1261" s="19">
        <v>0.8868</v>
      </c>
      <c r="S1261" s="20">
        <v>1010109.0</v>
      </c>
      <c r="T1261" s="20">
        <v>5.9623197439E10</v>
      </c>
      <c r="U1261" s="21">
        <v>2.4182</v>
      </c>
      <c r="V1261" s="21">
        <v>15.3345</v>
      </c>
      <c r="W1261" s="21">
        <v>27.5608</v>
      </c>
      <c r="X1261" s="21">
        <v>-9.4737</v>
      </c>
      <c r="Y1261" s="21">
        <v>0.3919</v>
      </c>
      <c r="Z1261" s="21">
        <v>0.1099</v>
      </c>
      <c r="AA1261" s="16" t="s">
        <v>2620</v>
      </c>
      <c r="AB1261" s="22">
        <f>IFERROR(__xludf.DUMMYFUNCTION("IFERROR(GOOGLEFINANCE(B1261,""price""),"""")"),110.7)</f>
        <v>110.7</v>
      </c>
    </row>
    <row r="1262">
      <c r="A1262" s="7">
        <v>46073.62897066742</v>
      </c>
      <c r="B1262" s="8" t="s">
        <v>2684</v>
      </c>
      <c r="C1262" s="8" t="s">
        <v>2685</v>
      </c>
      <c r="D1262" s="9">
        <v>46075.0</v>
      </c>
      <c r="E1262" s="10">
        <v>373.4</v>
      </c>
      <c r="F1262" s="8" t="s">
        <v>102</v>
      </c>
      <c r="G1262" s="13">
        <v>38.2472</v>
      </c>
      <c r="H1262" s="13">
        <v>9.7628</v>
      </c>
      <c r="I1262" s="9">
        <v>46073.0</v>
      </c>
      <c r="J1262" s="10">
        <v>380.0</v>
      </c>
      <c r="K1262" s="8">
        <v>1236.0</v>
      </c>
      <c r="L1262" s="8" t="s">
        <v>2608</v>
      </c>
      <c r="M1262" s="11">
        <v>1.77</v>
      </c>
      <c r="N1262" s="8" t="s">
        <v>3793</v>
      </c>
      <c r="O1262" s="8">
        <v>1236.0</v>
      </c>
      <c r="P1262" s="11">
        <v>36.0702</v>
      </c>
      <c r="Q1262" s="8" t="s">
        <v>2687</v>
      </c>
      <c r="R1262" s="11">
        <v>0.9653</v>
      </c>
      <c r="S1262" s="12">
        <v>5346607.0</v>
      </c>
      <c r="T1262" s="12">
        <v>2.96375573272E11</v>
      </c>
      <c r="U1262" s="13">
        <v>16.1567</v>
      </c>
      <c r="V1262" s="13">
        <v>38.8627</v>
      </c>
      <c r="W1262" s="13">
        <v>29.7406</v>
      </c>
      <c r="X1262" s="13">
        <v>2.1543</v>
      </c>
      <c r="Y1262" s="13">
        <v>0.3311</v>
      </c>
      <c r="Z1262" s="13">
        <v>2.7149</v>
      </c>
      <c r="AA1262" s="8" t="s">
        <v>2620</v>
      </c>
      <c r="AB1262" s="14">
        <f>IFERROR(__xludf.DUMMYFUNCTION("IFERROR(GOOGLEFINANCE(B1262,""price""),"""")"),399.5)</f>
        <v>399.5</v>
      </c>
    </row>
    <row r="1263">
      <c r="A1263" s="15">
        <v>46073.62897066742</v>
      </c>
      <c r="B1263" s="16" t="s">
        <v>2710</v>
      </c>
      <c r="C1263" s="16" t="s">
        <v>2711</v>
      </c>
      <c r="D1263" s="17">
        <v>46075.0</v>
      </c>
      <c r="E1263" s="18">
        <v>129.33</v>
      </c>
      <c r="F1263" s="16" t="s">
        <v>917</v>
      </c>
      <c r="G1263" s="21">
        <v>19.4192</v>
      </c>
      <c r="H1263" s="21">
        <v>6.6599</v>
      </c>
      <c r="I1263" s="17">
        <v>46073.0</v>
      </c>
      <c r="J1263" s="18">
        <v>130.0</v>
      </c>
      <c r="K1263" s="16">
        <v>1211.0</v>
      </c>
      <c r="L1263" s="16" t="s">
        <v>2627</v>
      </c>
      <c r="M1263" s="19">
        <v>0.52</v>
      </c>
      <c r="N1263" s="16" t="s">
        <v>3794</v>
      </c>
      <c r="O1263" s="16">
        <v>1211.0</v>
      </c>
      <c r="P1263" s="19">
        <v>37.9</v>
      </c>
      <c r="Q1263" s="16" t="s">
        <v>2713</v>
      </c>
      <c r="R1263" s="19">
        <v>0.7086</v>
      </c>
      <c r="S1263" s="20">
        <v>1876041.0</v>
      </c>
      <c r="T1263" s="20">
        <v>6.994961825E10</v>
      </c>
      <c r="U1263" s="21">
        <v>2.535</v>
      </c>
      <c r="V1263" s="21">
        <v>12.3274</v>
      </c>
      <c r="W1263" s="21">
        <v>25.0742</v>
      </c>
      <c r="X1263" s="21">
        <v>10.4587</v>
      </c>
      <c r="Y1263" s="21">
        <v>1.5949</v>
      </c>
      <c r="Z1263" s="21">
        <v>0.4546</v>
      </c>
      <c r="AA1263" s="16" t="s">
        <v>2620</v>
      </c>
      <c r="AB1263" s="22">
        <f>IFERROR(__xludf.DUMMYFUNCTION("IFERROR(GOOGLEFINANCE(B1263,""price""),"""")"),136.3)</f>
        <v>136.3</v>
      </c>
    </row>
    <row r="1264">
      <c r="A1264" s="7">
        <v>46073.62897066742</v>
      </c>
      <c r="B1264" s="8" t="s">
        <v>3795</v>
      </c>
      <c r="C1264" s="8" t="s">
        <v>3796</v>
      </c>
      <c r="D1264" s="9">
        <v>46075.0</v>
      </c>
      <c r="E1264" s="10">
        <v>305.34</v>
      </c>
      <c r="F1264" s="8" t="s">
        <v>335</v>
      </c>
      <c r="G1264" s="13">
        <v>37.6391</v>
      </c>
      <c r="H1264" s="13">
        <v>8.1123</v>
      </c>
      <c r="I1264" s="9">
        <v>46073.0</v>
      </c>
      <c r="J1264" s="10">
        <v>310.0</v>
      </c>
      <c r="K1264" s="8">
        <v>1200.0</v>
      </c>
      <c r="L1264" s="8" t="s">
        <v>2608</v>
      </c>
      <c r="M1264" s="11">
        <v>1.53</v>
      </c>
      <c r="N1264" s="8" t="s">
        <v>3797</v>
      </c>
      <c r="O1264" s="8">
        <v>1200.0</v>
      </c>
      <c r="P1264" s="11">
        <v>21.0511</v>
      </c>
      <c r="Q1264" s="8" t="s">
        <v>3798</v>
      </c>
      <c r="R1264" s="11">
        <v>0.8222</v>
      </c>
      <c r="S1264" s="12">
        <v>1019284.0</v>
      </c>
      <c r="T1264" s="12">
        <v>4.0344851392E10</v>
      </c>
      <c r="U1264" s="13">
        <v>9.0469</v>
      </c>
      <c r="V1264" s="13">
        <v>12.9923</v>
      </c>
      <c r="W1264" s="13">
        <v>20.3045</v>
      </c>
      <c r="X1264" s="13">
        <v>7.0575</v>
      </c>
      <c r="Y1264" s="13">
        <v>0.5795</v>
      </c>
      <c r="Z1264" s="13">
        <v>2.6858</v>
      </c>
      <c r="AA1264" s="8" t="s">
        <v>2620</v>
      </c>
      <c r="AB1264" s="14">
        <f>IFERROR(__xludf.DUMMYFUNCTION("IFERROR(GOOGLEFINANCE(B1264,""price""),"""")"),295.48)</f>
        <v>295.48</v>
      </c>
    </row>
    <row r="1265">
      <c r="A1265" s="15">
        <v>46073.62897066742</v>
      </c>
      <c r="B1265" s="16" t="s">
        <v>3049</v>
      </c>
      <c r="C1265" s="16" t="s">
        <v>3050</v>
      </c>
      <c r="D1265" s="17">
        <v>46075.0</v>
      </c>
      <c r="E1265" s="18">
        <v>74.07</v>
      </c>
      <c r="F1265" s="16" t="s">
        <v>93</v>
      </c>
      <c r="G1265" s="21">
        <v>33.4992</v>
      </c>
      <c r="H1265" s="21">
        <v>2.2111</v>
      </c>
      <c r="I1265" s="17">
        <v>46073.0</v>
      </c>
      <c r="J1265" s="18">
        <v>75.0</v>
      </c>
      <c r="K1265" s="16">
        <v>1189.0</v>
      </c>
      <c r="L1265" s="16" t="s">
        <v>2627</v>
      </c>
      <c r="M1265" s="19">
        <v>1.26</v>
      </c>
      <c r="N1265" s="16" t="s">
        <v>3799</v>
      </c>
      <c r="O1265" s="16">
        <v>1189.0</v>
      </c>
      <c r="P1265" s="19">
        <v>19.1901</v>
      </c>
      <c r="Q1265" s="16" t="s">
        <v>3052</v>
      </c>
      <c r="R1265" s="19">
        <v>0.1081</v>
      </c>
      <c r="S1265" s="20">
        <v>1630057.0</v>
      </c>
      <c r="T1265" s="20">
        <v>1.25627803424E11</v>
      </c>
      <c r="U1265" s="21">
        <v>2.9738</v>
      </c>
      <c r="V1265" s="21">
        <v>20.4086</v>
      </c>
      <c r="W1265" s="21">
        <v>86.2403</v>
      </c>
      <c r="X1265" s="21">
        <v>11.0531</v>
      </c>
      <c r="Y1265" s="21">
        <v>4.6187</v>
      </c>
      <c r="Z1265" s="21">
        <v>1.2729</v>
      </c>
      <c r="AA1265" s="16" t="s">
        <v>2620</v>
      </c>
      <c r="AB1265" s="22">
        <f>IFERROR(__xludf.DUMMYFUNCTION("IFERROR(GOOGLEFINANCE(B1265,""price""),"""")"),71.21)</f>
        <v>71.21</v>
      </c>
    </row>
    <row r="1266">
      <c r="A1266" s="7">
        <v>46073.62897066742</v>
      </c>
      <c r="B1266" s="8" t="s">
        <v>2528</v>
      </c>
      <c r="C1266" s="8" t="s">
        <v>2529</v>
      </c>
      <c r="D1266" s="9">
        <v>46075.0</v>
      </c>
      <c r="E1266" s="10">
        <v>62.26</v>
      </c>
      <c r="F1266" s="8" t="s">
        <v>93</v>
      </c>
      <c r="G1266" s="13">
        <v>10.3647</v>
      </c>
      <c r="H1266" s="13">
        <v>6.0069</v>
      </c>
      <c r="I1266" s="9">
        <v>46073.0</v>
      </c>
      <c r="J1266" s="10">
        <v>62.5</v>
      </c>
      <c r="K1266" s="8">
        <v>1045.0</v>
      </c>
      <c r="L1266" s="8" t="s">
        <v>2608</v>
      </c>
      <c r="M1266" s="11">
        <v>0.39</v>
      </c>
      <c r="N1266" s="8" t="s">
        <v>3800</v>
      </c>
      <c r="O1266" s="8">
        <v>1045.0</v>
      </c>
      <c r="P1266" s="11">
        <v>18.9509</v>
      </c>
      <c r="Q1266" s="8" t="s">
        <v>2530</v>
      </c>
      <c r="R1266" s="11">
        <v>1.2687</v>
      </c>
      <c r="S1266" s="12">
        <v>1546226.0</v>
      </c>
      <c r="T1266" s="12">
        <v>9.192130894E9</v>
      </c>
      <c r="U1266" s="13">
        <v>1.7951</v>
      </c>
      <c r="V1266" s="13">
        <v>13.3945</v>
      </c>
      <c r="W1266" s="13">
        <v>23.7662</v>
      </c>
      <c r="X1266" s="13">
        <v>-1.0012</v>
      </c>
      <c r="Y1266" s="13">
        <v>0.6373</v>
      </c>
      <c r="Z1266" s="13">
        <v>0.1512</v>
      </c>
      <c r="AA1266" s="8" t="s">
        <v>2620</v>
      </c>
      <c r="AB1266" s="14">
        <f>IFERROR(__xludf.DUMMYFUNCTION("IFERROR(GOOGLEFINANCE(B1266,""price""),"""")"),61.05)</f>
        <v>61.05</v>
      </c>
    </row>
    <row r="1267">
      <c r="A1267" s="7">
        <v>46073.779682837085</v>
      </c>
      <c r="B1267" s="8" t="s">
        <v>2630</v>
      </c>
      <c r="C1267" s="8" t="s">
        <v>2631</v>
      </c>
      <c r="D1267" s="9">
        <v>46075.0</v>
      </c>
      <c r="E1267" s="10">
        <v>428.17</v>
      </c>
      <c r="F1267" s="8" t="s">
        <v>308</v>
      </c>
      <c r="G1267" s="13">
        <v>40.7006</v>
      </c>
      <c r="H1267" s="13">
        <v>10.52</v>
      </c>
      <c r="I1267" s="9">
        <v>46080.0</v>
      </c>
      <c r="J1267" s="10">
        <v>420.0</v>
      </c>
      <c r="K1267" s="8">
        <v>8353.0</v>
      </c>
      <c r="L1267" s="8" t="s">
        <v>2627</v>
      </c>
      <c r="M1267" s="11">
        <v>1.91</v>
      </c>
      <c r="N1267" s="8" t="s">
        <v>3801</v>
      </c>
      <c r="O1267" s="8">
        <v>21084.0</v>
      </c>
      <c r="P1267" s="11">
        <v>36.7204</v>
      </c>
      <c r="Q1267" s="8" t="s">
        <v>2633</v>
      </c>
      <c r="R1267" s="11">
        <v>2.5925</v>
      </c>
      <c r="S1267" s="12">
        <v>2.9855442E7</v>
      </c>
      <c r="T1267" s="12">
        <v>4.81909314328E11</v>
      </c>
      <c r="U1267" s="13">
        <v>24.6736</v>
      </c>
      <c r="V1267" s="13">
        <v>22.5543</v>
      </c>
      <c r="W1267" s="13">
        <v>32.9221</v>
      </c>
      <c r="X1267" s="13">
        <v>45.432</v>
      </c>
      <c r="Y1267" s="13">
        <v>0.2124</v>
      </c>
      <c r="Z1267" s="13">
        <v>2.4598</v>
      </c>
      <c r="AA1267" s="8" t="s">
        <v>2611</v>
      </c>
      <c r="AB1267" s="14">
        <f>IFERROR(__xludf.DUMMYFUNCTION("IFERROR(GOOGLEFINANCE(B1267,""price""),"""")"),420.59)</f>
        <v>420.59</v>
      </c>
    </row>
    <row r="1268">
      <c r="A1268" s="15">
        <v>46073.779682837085</v>
      </c>
      <c r="B1268" s="16" t="s">
        <v>3802</v>
      </c>
      <c r="C1268" s="16" t="s">
        <v>3803</v>
      </c>
      <c r="D1268" s="17">
        <v>46075.0</v>
      </c>
      <c r="E1268" s="18">
        <v>45.79</v>
      </c>
      <c r="F1268" s="16" t="s">
        <v>270</v>
      </c>
      <c r="G1268" s="21"/>
      <c r="H1268" s="21"/>
      <c r="I1268" s="17">
        <v>46101.0</v>
      </c>
      <c r="J1268" s="18">
        <v>45.0</v>
      </c>
      <c r="K1268" s="16">
        <v>7983.0</v>
      </c>
      <c r="L1268" s="16" t="s">
        <v>2608</v>
      </c>
      <c r="M1268" s="19">
        <v>1.73</v>
      </c>
      <c r="N1268" s="16" t="s">
        <v>3804</v>
      </c>
      <c r="O1268" s="16">
        <v>7983.0</v>
      </c>
      <c r="P1268" s="19">
        <v>34.7402</v>
      </c>
      <c r="Q1268" s="16" t="s">
        <v>3805</v>
      </c>
      <c r="R1268" s="19">
        <v>0.6374</v>
      </c>
      <c r="S1268" s="20">
        <v>1214159.0</v>
      </c>
      <c r="T1268" s="20">
        <v>4.790663116E9</v>
      </c>
      <c r="U1268" s="21">
        <v>1.093</v>
      </c>
      <c r="V1268" s="21">
        <v>2.9879</v>
      </c>
      <c r="W1268" s="21">
        <v>26.6004</v>
      </c>
      <c r="X1268" s="21">
        <v>19.1487</v>
      </c>
      <c r="Y1268" s="21">
        <v>1.0108</v>
      </c>
      <c r="Z1268" s="21">
        <v>1.3168</v>
      </c>
      <c r="AA1268" s="16" t="s">
        <v>2611</v>
      </c>
      <c r="AB1268" s="22">
        <f>IFERROR(__xludf.DUMMYFUNCTION("IFERROR(GOOGLEFINANCE(B1268,""price""),"""")"),53.28)</f>
        <v>53.28</v>
      </c>
    </row>
    <row r="1269">
      <c r="A1269" s="7">
        <v>46073.779682837085</v>
      </c>
      <c r="B1269" s="8" t="s">
        <v>2621</v>
      </c>
      <c r="C1269" s="8" t="s">
        <v>2622</v>
      </c>
      <c r="D1269" s="9">
        <v>46075.0</v>
      </c>
      <c r="E1269" s="10">
        <v>64.34</v>
      </c>
      <c r="F1269" s="8" t="s">
        <v>335</v>
      </c>
      <c r="G1269" s="13">
        <v>42.4967</v>
      </c>
      <c r="H1269" s="13">
        <v>1.514</v>
      </c>
      <c r="I1269" s="9">
        <v>46080.0</v>
      </c>
      <c r="J1269" s="10">
        <v>65.0</v>
      </c>
      <c r="K1269" s="8">
        <v>4969.0</v>
      </c>
      <c r="L1269" s="8" t="s">
        <v>2608</v>
      </c>
      <c r="M1269" s="11">
        <v>1.03</v>
      </c>
      <c r="N1269" s="8" t="s">
        <v>3806</v>
      </c>
      <c r="O1269" s="8">
        <v>7503.0</v>
      </c>
      <c r="P1269" s="11">
        <v>30.7576</v>
      </c>
      <c r="Q1269" s="8" t="s">
        <v>2624</v>
      </c>
      <c r="R1269" s="11">
        <v>2.8288</v>
      </c>
      <c r="S1269" s="12">
        <v>1.4677665E7</v>
      </c>
      <c r="T1269" s="12">
        <v>9.2469554363E10</v>
      </c>
      <c r="U1269" s="13">
        <v>2.8631</v>
      </c>
      <c r="V1269" s="13">
        <v>11.9792</v>
      </c>
      <c r="W1269" s="13">
        <v>22.7913</v>
      </c>
      <c r="X1269" s="13">
        <v>-0.0477</v>
      </c>
      <c r="Y1269" s="13">
        <v>0.5552</v>
      </c>
      <c r="Z1269" s="13">
        <v>2.2911</v>
      </c>
      <c r="AA1269" s="8" t="s">
        <v>2620</v>
      </c>
      <c r="AB1269" s="14">
        <f>IFERROR(__xludf.DUMMYFUNCTION("IFERROR(GOOGLEFINANCE(B1269,""price""),"""")"),67.8)</f>
        <v>67.8</v>
      </c>
    </row>
    <row r="1270">
      <c r="A1270" s="15">
        <v>46073.779682837085</v>
      </c>
      <c r="B1270" s="16" t="s">
        <v>3713</v>
      </c>
      <c r="C1270" s="16" t="s">
        <v>3714</v>
      </c>
      <c r="D1270" s="17">
        <v>46075.0</v>
      </c>
      <c r="E1270" s="18">
        <v>162.67</v>
      </c>
      <c r="F1270" s="16" t="s">
        <v>149</v>
      </c>
      <c r="G1270" s="21"/>
      <c r="H1270" s="21">
        <v>-0.2349</v>
      </c>
      <c r="I1270" s="17">
        <v>46101.0</v>
      </c>
      <c r="J1270" s="18">
        <v>160.0</v>
      </c>
      <c r="K1270" s="16">
        <v>6455.0</v>
      </c>
      <c r="L1270" s="16" t="s">
        <v>2608</v>
      </c>
      <c r="M1270" s="19">
        <v>1.64</v>
      </c>
      <c r="N1270" s="16" t="s">
        <v>3807</v>
      </c>
      <c r="O1270" s="16">
        <v>6455.0</v>
      </c>
      <c r="P1270" s="19">
        <v>23.225</v>
      </c>
      <c r="Q1270" s="16" t="s">
        <v>3716</v>
      </c>
      <c r="R1270" s="19">
        <v>3.3088</v>
      </c>
      <c r="S1270" s="20">
        <v>6894935.0</v>
      </c>
      <c r="T1270" s="20">
        <v>3.7773479296E10</v>
      </c>
      <c r="U1270" s="21">
        <v>5.4671</v>
      </c>
      <c r="V1270" s="21">
        <v>-24.6827</v>
      </c>
      <c r="W1270" s="21">
        <v>5.9214</v>
      </c>
      <c r="X1270" s="21">
        <v>8.8349</v>
      </c>
      <c r="Y1270" s="21">
        <v>38.3916</v>
      </c>
      <c r="Z1270" s="21">
        <v>0.9951</v>
      </c>
      <c r="AA1270" s="16" t="s">
        <v>2611</v>
      </c>
      <c r="AB1270" s="22">
        <f>IFERROR(__xludf.DUMMYFUNCTION("IFERROR(GOOGLEFINANCE(B1270,""price""),"""")"),160.59)</f>
        <v>160.59</v>
      </c>
    </row>
    <row r="1271">
      <c r="A1271" s="7">
        <v>46073.779682837085</v>
      </c>
      <c r="B1271" s="8" t="s">
        <v>2634</v>
      </c>
      <c r="C1271" s="8" t="s">
        <v>2635</v>
      </c>
      <c r="D1271" s="9">
        <v>46075.0</v>
      </c>
      <c r="E1271" s="10">
        <v>183.93</v>
      </c>
      <c r="F1271" s="8" t="s">
        <v>245</v>
      </c>
      <c r="G1271" s="13">
        <v>27.6549</v>
      </c>
      <c r="H1271" s="13">
        <v>6.6509</v>
      </c>
      <c r="I1271" s="9">
        <v>46080.0</v>
      </c>
      <c r="J1271" s="10">
        <v>187.5</v>
      </c>
      <c r="K1271" s="8">
        <v>2962.0</v>
      </c>
      <c r="L1271" s="8" t="s">
        <v>2608</v>
      </c>
      <c r="M1271" s="11">
        <v>1.94</v>
      </c>
      <c r="N1271" s="8" t="s">
        <v>3808</v>
      </c>
      <c r="O1271" s="8">
        <v>5780.0</v>
      </c>
      <c r="P1271" s="11">
        <v>53.7865</v>
      </c>
      <c r="Q1271" s="8" t="s">
        <v>2637</v>
      </c>
      <c r="R1271" s="11">
        <v>-0.46</v>
      </c>
      <c r="S1271" s="12">
        <v>9564737.0</v>
      </c>
      <c r="T1271" s="12">
        <v>3.70347026627E11</v>
      </c>
      <c r="U1271" s="13">
        <v>3.4926</v>
      </c>
      <c r="V1271" s="13">
        <v>7.261</v>
      </c>
      <c r="W1271" s="13">
        <v>8.9022</v>
      </c>
      <c r="X1271" s="13">
        <v>-4.6053</v>
      </c>
      <c r="Y1271" s="13">
        <v>0.2186</v>
      </c>
      <c r="Z1271" s="13"/>
      <c r="AA1271" s="8" t="s">
        <v>2620</v>
      </c>
      <c r="AB1271" s="14">
        <f>IFERROR(__xludf.DUMMYFUNCTION("IFERROR(GOOGLEFINANCE(B1271,""price""),"""")"),188.55)</f>
        <v>188.55</v>
      </c>
    </row>
    <row r="1272">
      <c r="A1272" s="15">
        <v>46073.779682837085</v>
      </c>
      <c r="B1272" s="16" t="s">
        <v>3684</v>
      </c>
      <c r="C1272" s="16" t="s">
        <v>3685</v>
      </c>
      <c r="D1272" s="17">
        <v>46075.0</v>
      </c>
      <c r="E1272" s="18">
        <v>37.44</v>
      </c>
      <c r="F1272" s="16" t="s">
        <v>917</v>
      </c>
      <c r="G1272" s="21">
        <v>25.4763</v>
      </c>
      <c r="H1272" s="21">
        <v>1.4696</v>
      </c>
      <c r="I1272" s="17">
        <v>46101.0</v>
      </c>
      <c r="J1272" s="18">
        <v>37.0</v>
      </c>
      <c r="K1272" s="16">
        <v>3937.0</v>
      </c>
      <c r="L1272" s="16" t="s">
        <v>2608</v>
      </c>
      <c r="M1272" s="19">
        <v>1.18</v>
      </c>
      <c r="N1272" s="16" t="s">
        <v>3809</v>
      </c>
      <c r="O1272" s="16">
        <v>5532.0</v>
      </c>
      <c r="P1272" s="19">
        <v>19.4077</v>
      </c>
      <c r="Q1272" s="16" t="s">
        <v>3687</v>
      </c>
      <c r="R1272" s="19">
        <v>1.2713</v>
      </c>
      <c r="S1272" s="20">
        <v>1.451807E7</v>
      </c>
      <c r="T1272" s="20">
        <v>2.7695836442E10</v>
      </c>
      <c r="U1272" s="21">
        <v>0.731</v>
      </c>
      <c r="V1272" s="21">
        <v>7.6548</v>
      </c>
      <c r="W1272" s="21">
        <v>22.7865</v>
      </c>
      <c r="X1272" s="21">
        <v>8.4158</v>
      </c>
      <c r="Y1272" s="21">
        <v>1.3173</v>
      </c>
      <c r="Z1272" s="21">
        <v>0.7742</v>
      </c>
      <c r="AA1272" s="16" t="s">
        <v>2611</v>
      </c>
      <c r="AB1272" s="22">
        <f>IFERROR(__xludf.DUMMYFUNCTION("IFERROR(GOOGLEFINANCE(B1272,""price""),"""")"),39.65)</f>
        <v>39.65</v>
      </c>
    </row>
    <row r="1273">
      <c r="A1273" s="7">
        <v>46073.779682837085</v>
      </c>
      <c r="B1273" s="8" t="s">
        <v>2973</v>
      </c>
      <c r="C1273" s="8" t="s">
        <v>2974</v>
      </c>
      <c r="D1273" s="9">
        <v>46075.0</v>
      </c>
      <c r="E1273" s="10">
        <v>52.32</v>
      </c>
      <c r="F1273" s="8" t="s">
        <v>93</v>
      </c>
      <c r="G1273" s="13">
        <v>13.7057</v>
      </c>
      <c r="H1273" s="13">
        <v>3.8174</v>
      </c>
      <c r="I1273" s="9">
        <v>46101.0</v>
      </c>
      <c r="J1273" s="10">
        <v>52.5</v>
      </c>
      <c r="K1273" s="8">
        <v>2560.0</v>
      </c>
      <c r="L1273" s="8" t="s">
        <v>2608</v>
      </c>
      <c r="M1273" s="11">
        <v>0.34</v>
      </c>
      <c r="N1273" s="8" t="s">
        <v>3810</v>
      </c>
      <c r="O1273" s="8">
        <v>4317.0</v>
      </c>
      <c r="P1273" s="11">
        <v>18.7785</v>
      </c>
      <c r="Q1273" s="8" t="s">
        <v>2976</v>
      </c>
      <c r="R1273" s="11">
        <v>1.0429</v>
      </c>
      <c r="S1273" s="12">
        <v>9435612.0</v>
      </c>
      <c r="T1273" s="12">
        <v>6.6930160434E10</v>
      </c>
      <c r="U1273" s="13">
        <v>1.2527</v>
      </c>
      <c r="V1273" s="13">
        <v>8.2363</v>
      </c>
      <c r="W1273" s="13">
        <v>21.1616</v>
      </c>
      <c r="X1273" s="13">
        <v>24.2886</v>
      </c>
      <c r="Y1273" s="13">
        <v>1.0708</v>
      </c>
      <c r="Z1273" s="13">
        <v>0.3413</v>
      </c>
      <c r="AA1273" s="8" t="s">
        <v>2620</v>
      </c>
      <c r="AB1273" s="14">
        <f>IFERROR(__xludf.DUMMYFUNCTION("IFERROR(GOOGLEFINANCE(B1273,""price""),"""")"),49.6)</f>
        <v>49.6</v>
      </c>
    </row>
    <row r="1274">
      <c r="A1274" s="15">
        <v>46073.779682837085</v>
      </c>
      <c r="B1274" s="16" t="s">
        <v>2616</v>
      </c>
      <c r="C1274" s="16" t="s">
        <v>2617</v>
      </c>
      <c r="D1274" s="17">
        <v>46075.0</v>
      </c>
      <c r="E1274" s="18">
        <v>79.84</v>
      </c>
      <c r="F1274" s="16" t="s">
        <v>286</v>
      </c>
      <c r="G1274" s="21">
        <v>26.2761</v>
      </c>
      <c r="H1274" s="21">
        <v>3.0385</v>
      </c>
      <c r="I1274" s="17">
        <v>46080.0</v>
      </c>
      <c r="J1274" s="18">
        <v>80.0</v>
      </c>
      <c r="K1274" s="16">
        <v>1737.0</v>
      </c>
      <c r="L1274" s="16" t="s">
        <v>2608</v>
      </c>
      <c r="M1274" s="19">
        <v>0.2</v>
      </c>
      <c r="N1274" s="16" t="s">
        <v>3811</v>
      </c>
      <c r="O1274" s="16">
        <v>4032.0</v>
      </c>
      <c r="P1274" s="19">
        <v>39.2754</v>
      </c>
      <c r="Q1274" s="16" t="s">
        <v>2619</v>
      </c>
      <c r="R1274" s="19">
        <v>1.1786</v>
      </c>
      <c r="S1274" s="20">
        <v>1.7168518E7</v>
      </c>
      <c r="T1274" s="20">
        <v>3.43440469454E11</v>
      </c>
      <c r="U1274" s="21">
        <v>1.269</v>
      </c>
      <c r="V1274" s="21">
        <v>45.9693</v>
      </c>
      <c r="W1274" s="21">
        <v>29.0951</v>
      </c>
      <c r="X1274" s="21">
        <v>3.1925</v>
      </c>
      <c r="Y1274" s="21">
        <v>1.4142</v>
      </c>
      <c r="Z1274" s="21">
        <v>1.4588</v>
      </c>
      <c r="AA1274" s="16" t="s">
        <v>2620</v>
      </c>
      <c r="AB1274" s="22">
        <f>IFERROR(__xludf.DUMMYFUNCTION("IFERROR(GOOGLEFINANCE(B1274,""price""),"""")"),77.47)</f>
        <v>77.47</v>
      </c>
    </row>
    <row r="1275">
      <c r="A1275" s="7">
        <v>46073.779682837085</v>
      </c>
      <c r="B1275" s="8" t="s">
        <v>3812</v>
      </c>
      <c r="C1275" s="8" t="s">
        <v>3813</v>
      </c>
      <c r="D1275" s="9">
        <v>46075.0</v>
      </c>
      <c r="E1275" s="10">
        <v>100.77</v>
      </c>
      <c r="F1275" s="8" t="s">
        <v>308</v>
      </c>
      <c r="G1275" s="13">
        <v>19.709</v>
      </c>
      <c r="H1275" s="13">
        <v>5.1129</v>
      </c>
      <c r="I1275" s="9">
        <v>46101.0</v>
      </c>
      <c r="J1275" s="10">
        <v>100.0</v>
      </c>
      <c r="K1275" s="8">
        <v>3673.0</v>
      </c>
      <c r="L1275" s="8" t="s">
        <v>2608</v>
      </c>
      <c r="M1275" s="11">
        <v>0.76</v>
      </c>
      <c r="N1275" s="8" t="s">
        <v>3814</v>
      </c>
      <c r="O1275" s="8">
        <v>3673.0</v>
      </c>
      <c r="P1275" s="11">
        <v>31.9416</v>
      </c>
      <c r="Q1275" s="8" t="s">
        <v>3815</v>
      </c>
      <c r="R1275" s="11">
        <v>1.757</v>
      </c>
      <c r="S1275" s="12">
        <v>1753734.0</v>
      </c>
      <c r="T1275" s="12">
        <v>1.7550349374E10</v>
      </c>
      <c r="U1275" s="13">
        <v>2.3888</v>
      </c>
      <c r="V1275" s="13">
        <v>12.2422</v>
      </c>
      <c r="W1275" s="13">
        <v>6.764</v>
      </c>
      <c r="X1275" s="13">
        <v>8.0061</v>
      </c>
      <c r="Y1275" s="13">
        <v>0.5437</v>
      </c>
      <c r="Z1275" s="13">
        <v>1.8374</v>
      </c>
      <c r="AA1275" s="8" t="s">
        <v>2611</v>
      </c>
      <c r="AB1275" s="14">
        <f>IFERROR(__xludf.DUMMYFUNCTION("IFERROR(GOOGLEFINANCE(B1275,""price""),"""")"),91.39)</f>
        <v>91.39</v>
      </c>
    </row>
    <row r="1276">
      <c r="A1276" s="15">
        <v>46073.779682837085</v>
      </c>
      <c r="B1276" s="16" t="s">
        <v>3697</v>
      </c>
      <c r="C1276" s="16" t="s">
        <v>3698</v>
      </c>
      <c r="D1276" s="17">
        <v>46075.0</v>
      </c>
      <c r="E1276" s="18">
        <v>47.79</v>
      </c>
      <c r="F1276" s="16" t="s">
        <v>917</v>
      </c>
      <c r="G1276" s="21">
        <v>17.4741</v>
      </c>
      <c r="H1276" s="21">
        <v>2.7349</v>
      </c>
      <c r="I1276" s="17">
        <v>46101.0</v>
      </c>
      <c r="J1276" s="18">
        <v>47.0</v>
      </c>
      <c r="K1276" s="16">
        <v>3396.0</v>
      </c>
      <c r="L1276" s="16" t="s">
        <v>2608</v>
      </c>
      <c r="M1276" s="19">
        <v>1.65</v>
      </c>
      <c r="N1276" s="16" t="s">
        <v>3816</v>
      </c>
      <c r="O1276" s="16">
        <v>3396.0</v>
      </c>
      <c r="P1276" s="19">
        <v>27.2434</v>
      </c>
      <c r="Q1276" s="16" t="s">
        <v>3700</v>
      </c>
      <c r="R1276" s="19">
        <v>0.9079</v>
      </c>
      <c r="S1276" s="20">
        <v>1.046611E7</v>
      </c>
      <c r="T1276" s="20">
        <v>4.8884036938E10</v>
      </c>
      <c r="U1276" s="21">
        <v>1.0637</v>
      </c>
      <c r="V1276" s="21">
        <v>9.9356</v>
      </c>
      <c r="W1276" s="21">
        <v>21.2054</v>
      </c>
      <c r="X1276" s="21">
        <v>5.3367</v>
      </c>
      <c r="Y1276" s="21">
        <v>1.7554</v>
      </c>
      <c r="Z1276" s="21">
        <v>0.924</v>
      </c>
      <c r="AA1276" s="16" t="s">
        <v>2611</v>
      </c>
      <c r="AB1276" s="22">
        <f>IFERROR(__xludf.DUMMYFUNCTION("IFERROR(GOOGLEFINANCE(B1276,""price""),"""")"),48.57)</f>
        <v>48.57</v>
      </c>
    </row>
    <row r="1277">
      <c r="A1277" s="7">
        <v>46073.779682837085</v>
      </c>
      <c r="B1277" s="8" t="s">
        <v>2297</v>
      </c>
      <c r="C1277" s="8" t="s">
        <v>2298</v>
      </c>
      <c r="D1277" s="9">
        <v>46075.0</v>
      </c>
      <c r="E1277" s="10">
        <v>104.02</v>
      </c>
      <c r="F1277" s="8" t="s">
        <v>917</v>
      </c>
      <c r="G1277" s="13">
        <v>26.5873</v>
      </c>
      <c r="H1277" s="13">
        <v>3.9124</v>
      </c>
      <c r="I1277" s="9">
        <v>46101.0</v>
      </c>
      <c r="J1277" s="10">
        <v>105.0</v>
      </c>
      <c r="K1277" s="8">
        <v>3298.0</v>
      </c>
      <c r="L1277" s="8" t="s">
        <v>2608</v>
      </c>
      <c r="M1277" s="11">
        <v>0.94</v>
      </c>
      <c r="N1277" s="8" t="s">
        <v>3817</v>
      </c>
      <c r="O1277" s="8">
        <v>3298.0</v>
      </c>
      <c r="P1277" s="11">
        <v>31.2545</v>
      </c>
      <c r="Q1277" s="8" t="s">
        <v>2299</v>
      </c>
      <c r="R1277" s="11">
        <v>0.6678</v>
      </c>
      <c r="S1277" s="12">
        <v>2721624.0</v>
      </c>
      <c r="T1277" s="12">
        <v>4.6455009666E10</v>
      </c>
      <c r="U1277" s="13">
        <v>2.0997</v>
      </c>
      <c r="V1277" s="13">
        <v>10.931</v>
      </c>
      <c r="W1277" s="13">
        <v>22.9697</v>
      </c>
      <c r="X1277" s="13">
        <v>8.3782</v>
      </c>
      <c r="Y1277" s="13">
        <v>1.8276</v>
      </c>
      <c r="Z1277" s="13">
        <v>0.7243</v>
      </c>
      <c r="AA1277" s="8" t="s">
        <v>2620</v>
      </c>
      <c r="AB1277" s="14">
        <f>IFERROR(__xludf.DUMMYFUNCTION("IFERROR(GOOGLEFINANCE(B1277,""price""),"""")"),116.47)</f>
        <v>116.47</v>
      </c>
    </row>
    <row r="1278">
      <c r="A1278" s="15">
        <v>46073.779682837085</v>
      </c>
      <c r="B1278" s="16" t="s">
        <v>3385</v>
      </c>
      <c r="C1278" s="16" t="s">
        <v>3386</v>
      </c>
      <c r="D1278" s="17">
        <v>46075.0</v>
      </c>
      <c r="E1278" s="18">
        <v>46.22</v>
      </c>
      <c r="F1278" s="16" t="s">
        <v>129</v>
      </c>
      <c r="G1278" s="21">
        <v>42.2448</v>
      </c>
      <c r="H1278" s="21">
        <v>1.0941</v>
      </c>
      <c r="I1278" s="17">
        <v>46101.0</v>
      </c>
      <c r="J1278" s="18">
        <v>46.25</v>
      </c>
      <c r="K1278" s="16">
        <v>3259.0</v>
      </c>
      <c r="L1278" s="16" t="s">
        <v>2608</v>
      </c>
      <c r="M1278" s="19">
        <v>0.06</v>
      </c>
      <c r="N1278" s="16" t="s">
        <v>3818</v>
      </c>
      <c r="O1278" s="16">
        <v>3259.0</v>
      </c>
      <c r="P1278" s="19">
        <v>19.2228</v>
      </c>
      <c r="Q1278" s="16" t="s">
        <v>3388</v>
      </c>
      <c r="R1278" s="19">
        <v>0.0216</v>
      </c>
      <c r="S1278" s="20">
        <v>1.1672285E7</v>
      </c>
      <c r="T1278" s="20">
        <v>5.3068841537E10</v>
      </c>
      <c r="U1278" s="21">
        <v>1.2209</v>
      </c>
      <c r="V1278" s="21">
        <v>33.2967</v>
      </c>
      <c r="W1278" s="21">
        <v>20.1917</v>
      </c>
      <c r="X1278" s="21">
        <v>8.6721</v>
      </c>
      <c r="Y1278" s="21">
        <v>0.1121</v>
      </c>
      <c r="Z1278" s="21">
        <v>4.852</v>
      </c>
      <c r="AA1278" s="16" t="s">
        <v>2620</v>
      </c>
      <c r="AB1278" s="22">
        <f>IFERROR(__xludf.DUMMYFUNCTION("IFERROR(GOOGLEFINANCE(B1278,""price""),"""")"),49.17)</f>
        <v>49.17</v>
      </c>
    </row>
    <row r="1279">
      <c r="A1279" s="7">
        <v>46073.779682837085</v>
      </c>
      <c r="B1279" s="8" t="s">
        <v>2399</v>
      </c>
      <c r="C1279" s="8" t="s">
        <v>2400</v>
      </c>
      <c r="D1279" s="9">
        <v>46075.0</v>
      </c>
      <c r="E1279" s="10">
        <v>18.98</v>
      </c>
      <c r="F1279" s="8" t="s">
        <v>270</v>
      </c>
      <c r="G1279" s="13">
        <v>15.7093</v>
      </c>
      <c r="H1279" s="13">
        <v>1.2082</v>
      </c>
      <c r="I1279" s="9">
        <v>46080.0</v>
      </c>
      <c r="J1279" s="10">
        <v>19.0</v>
      </c>
      <c r="K1279" s="8">
        <v>2953.0</v>
      </c>
      <c r="L1279" s="8" t="s">
        <v>2608</v>
      </c>
      <c r="M1279" s="11">
        <v>0.11</v>
      </c>
      <c r="N1279" s="8" t="s">
        <v>3819</v>
      </c>
      <c r="O1279" s="8">
        <v>2953.0</v>
      </c>
      <c r="P1279" s="11">
        <v>41.8027</v>
      </c>
      <c r="Q1279" s="8" t="s">
        <v>2401</v>
      </c>
      <c r="R1279" s="11">
        <v>0.4233</v>
      </c>
      <c r="S1279" s="12">
        <v>1.1113937E7</v>
      </c>
      <c r="T1279" s="12">
        <v>6.5165678607E10</v>
      </c>
      <c r="U1279" s="13">
        <v>0.3658</v>
      </c>
      <c r="V1279" s="13">
        <v>12.7475</v>
      </c>
      <c r="W1279" s="13">
        <v>10.8866</v>
      </c>
      <c r="X1279" s="13">
        <v>3.4655</v>
      </c>
      <c r="Y1279" s="13">
        <v>2.0395</v>
      </c>
      <c r="Z1279" s="13">
        <v>1.2192</v>
      </c>
      <c r="AA1279" s="8" t="s">
        <v>2620</v>
      </c>
      <c r="AB1279" s="14">
        <f>IFERROR(__xludf.DUMMYFUNCTION("IFERROR(GOOGLEFINANCE(B1279,""price""),"""")"),19.19)</f>
        <v>19.19</v>
      </c>
    </row>
    <row r="1280">
      <c r="A1280" s="15">
        <v>46073.779682837085</v>
      </c>
      <c r="B1280" s="16" t="s">
        <v>3795</v>
      </c>
      <c r="C1280" s="16" t="s">
        <v>3796</v>
      </c>
      <c r="D1280" s="17">
        <v>46075.0</v>
      </c>
      <c r="E1280" s="18">
        <v>305.29</v>
      </c>
      <c r="F1280" s="16" t="s">
        <v>335</v>
      </c>
      <c r="G1280" s="21">
        <v>37.633</v>
      </c>
      <c r="H1280" s="21">
        <v>8.1123</v>
      </c>
      <c r="I1280" s="17">
        <v>46101.0</v>
      </c>
      <c r="J1280" s="18">
        <v>300.0</v>
      </c>
      <c r="K1280" s="16">
        <v>2945.0</v>
      </c>
      <c r="L1280" s="16" t="s">
        <v>2627</v>
      </c>
      <c r="M1280" s="19">
        <v>1.73</v>
      </c>
      <c r="N1280" s="16" t="s">
        <v>3820</v>
      </c>
      <c r="O1280" s="16">
        <v>2945.0</v>
      </c>
      <c r="P1280" s="19">
        <v>21.0511</v>
      </c>
      <c r="Q1280" s="16" t="s">
        <v>3798</v>
      </c>
      <c r="R1280" s="19">
        <v>0.8057</v>
      </c>
      <c r="S1280" s="20">
        <v>1631410.0</v>
      </c>
      <c r="T1280" s="20">
        <v>4.0338244847E10</v>
      </c>
      <c r="U1280" s="21">
        <v>9.0469</v>
      </c>
      <c r="V1280" s="21">
        <v>12.9923</v>
      </c>
      <c r="W1280" s="21">
        <v>20.3045</v>
      </c>
      <c r="X1280" s="21">
        <v>7.0575</v>
      </c>
      <c r="Y1280" s="21">
        <v>0.5795</v>
      </c>
      <c r="Z1280" s="21">
        <v>2.6858</v>
      </c>
      <c r="AA1280" s="16" t="s">
        <v>2611</v>
      </c>
      <c r="AB1280" s="22">
        <f>IFERROR(__xludf.DUMMYFUNCTION("IFERROR(GOOGLEFINANCE(B1280,""price""),"""")"),295.48)</f>
        <v>295.48</v>
      </c>
    </row>
    <row r="1281">
      <c r="A1281" s="7">
        <v>46073.779682837085</v>
      </c>
      <c r="B1281" s="8" t="s">
        <v>2710</v>
      </c>
      <c r="C1281" s="8" t="s">
        <v>2711</v>
      </c>
      <c r="D1281" s="9">
        <v>46075.0</v>
      </c>
      <c r="E1281" s="10">
        <v>129.37</v>
      </c>
      <c r="F1281" s="8" t="s">
        <v>917</v>
      </c>
      <c r="G1281" s="13">
        <v>19.4252</v>
      </c>
      <c r="H1281" s="13">
        <v>6.6599</v>
      </c>
      <c r="I1281" s="9">
        <v>46101.0</v>
      </c>
      <c r="J1281" s="10">
        <v>130.0</v>
      </c>
      <c r="K1281" s="8">
        <v>2842.0</v>
      </c>
      <c r="L1281" s="8" t="s">
        <v>2608</v>
      </c>
      <c r="M1281" s="11">
        <v>0.49</v>
      </c>
      <c r="N1281" s="8" t="s">
        <v>3821</v>
      </c>
      <c r="O1281" s="8">
        <v>2842.0</v>
      </c>
      <c r="P1281" s="11">
        <v>37.9</v>
      </c>
      <c r="Q1281" s="8" t="s">
        <v>2713</v>
      </c>
      <c r="R1281" s="11">
        <v>0.7398</v>
      </c>
      <c r="S1281" s="12">
        <v>3021361.0</v>
      </c>
      <c r="T1281" s="12">
        <v>6.997125271E10</v>
      </c>
      <c r="U1281" s="13">
        <v>2.535</v>
      </c>
      <c r="V1281" s="13">
        <v>12.3274</v>
      </c>
      <c r="W1281" s="13">
        <v>25.0742</v>
      </c>
      <c r="X1281" s="13">
        <v>10.4587</v>
      </c>
      <c r="Y1281" s="13">
        <v>1.5949</v>
      </c>
      <c r="Z1281" s="13">
        <v>0.4546</v>
      </c>
      <c r="AA1281" s="8" t="s">
        <v>2620</v>
      </c>
      <c r="AB1281" s="14">
        <f>IFERROR(__xludf.DUMMYFUNCTION("IFERROR(GOOGLEFINANCE(B1281,""price""),"""")"),136.3)</f>
        <v>136.3</v>
      </c>
    </row>
    <row r="1282">
      <c r="A1282" s="15">
        <v>46073.779682837085</v>
      </c>
      <c r="B1282" s="16" t="s">
        <v>2625</v>
      </c>
      <c r="C1282" s="16" t="s">
        <v>2626</v>
      </c>
      <c r="D1282" s="17">
        <v>46075.0</v>
      </c>
      <c r="E1282" s="18">
        <v>122.99</v>
      </c>
      <c r="F1282" s="16" t="s">
        <v>137</v>
      </c>
      <c r="G1282" s="21">
        <v>45.0414</v>
      </c>
      <c r="H1282" s="21">
        <v>2.7306</v>
      </c>
      <c r="I1282" s="17">
        <v>46080.0</v>
      </c>
      <c r="J1282" s="18">
        <v>122.0</v>
      </c>
      <c r="K1282" s="16">
        <v>1554.0</v>
      </c>
      <c r="L1282" s="16" t="s">
        <v>2627</v>
      </c>
      <c r="M1282" s="19">
        <v>0.8</v>
      </c>
      <c r="N1282" s="16" t="s">
        <v>3822</v>
      </c>
      <c r="O1282" s="16">
        <v>2724.0</v>
      </c>
      <c r="P1282" s="19">
        <v>31.4005</v>
      </c>
      <c r="Q1282" s="16" t="s">
        <v>2629</v>
      </c>
      <c r="R1282" s="19">
        <v>-1.5056</v>
      </c>
      <c r="S1282" s="20">
        <v>3.514166E7</v>
      </c>
      <c r="T1282" s="20">
        <v>9.8025085993E11</v>
      </c>
      <c r="U1282" s="21">
        <v>3.4925</v>
      </c>
      <c r="V1282" s="21">
        <v>22.9691</v>
      </c>
      <c r="W1282" s="21">
        <v>4.1821</v>
      </c>
      <c r="X1282" s="21">
        <v>4.7252</v>
      </c>
      <c r="Y1282" s="21">
        <v>0.6735</v>
      </c>
      <c r="Z1282" s="21">
        <v>0.7898</v>
      </c>
      <c r="AA1282" s="16" t="s">
        <v>2611</v>
      </c>
      <c r="AB1282" s="22">
        <f>IFERROR(__xludf.DUMMYFUNCTION("IFERROR(GOOGLEFINANCE(B1282,""price""),"""")"),126.79)</f>
        <v>126.79</v>
      </c>
    </row>
    <row r="1283">
      <c r="A1283" s="7">
        <v>46073.779682837085</v>
      </c>
      <c r="B1283" s="8" t="s">
        <v>2726</v>
      </c>
      <c r="C1283" s="8" t="s">
        <v>2727</v>
      </c>
      <c r="D1283" s="9">
        <v>46075.0</v>
      </c>
      <c r="E1283" s="10">
        <v>83.76</v>
      </c>
      <c r="F1283" s="8" t="s">
        <v>286</v>
      </c>
      <c r="G1283" s="13">
        <v>47.683</v>
      </c>
      <c r="H1283" s="13">
        <v>1.7566</v>
      </c>
      <c r="I1283" s="9">
        <v>46101.0</v>
      </c>
      <c r="J1283" s="10">
        <v>85.0</v>
      </c>
      <c r="K1283" s="8">
        <v>2664.0</v>
      </c>
      <c r="L1283" s="8" t="s">
        <v>2608</v>
      </c>
      <c r="M1283" s="11">
        <v>1.48</v>
      </c>
      <c r="N1283" s="8" t="s">
        <v>3823</v>
      </c>
      <c r="O1283" s="8">
        <v>2664.0</v>
      </c>
      <c r="P1283" s="11">
        <v>34.2582</v>
      </c>
      <c r="Q1283" s="8" t="s">
        <v>2729</v>
      </c>
      <c r="R1283" s="11">
        <v>2.1588</v>
      </c>
      <c r="S1283" s="12">
        <v>6602892.0</v>
      </c>
      <c r="T1283" s="12">
        <v>8.1835291837E10</v>
      </c>
      <c r="U1283" s="13">
        <v>1.5671</v>
      </c>
      <c r="V1283" s="13">
        <v>25.538</v>
      </c>
      <c r="W1283" s="13">
        <v>29.9505</v>
      </c>
      <c r="X1283" s="13">
        <v>7.618</v>
      </c>
      <c r="Y1283" s="13">
        <v>0.0</v>
      </c>
      <c r="Z1283" s="13">
        <v>3.1855</v>
      </c>
      <c r="AA1283" s="8" t="s">
        <v>2620</v>
      </c>
      <c r="AB1283" s="14">
        <f>IFERROR(__xludf.DUMMYFUNCTION("IFERROR(GOOGLEFINANCE(B1283,""price""),"""")"),75.72)</f>
        <v>75.72</v>
      </c>
    </row>
    <row r="1284">
      <c r="A1284" s="15">
        <v>46073.779682837085</v>
      </c>
      <c r="B1284" s="16" t="s">
        <v>1570</v>
      </c>
      <c r="C1284" s="16" t="s">
        <v>1571</v>
      </c>
      <c r="D1284" s="17">
        <v>46075.0</v>
      </c>
      <c r="E1284" s="18">
        <v>50.2</v>
      </c>
      <c r="F1284" s="16" t="s">
        <v>917</v>
      </c>
      <c r="G1284" s="21">
        <v>28.4468</v>
      </c>
      <c r="H1284" s="21">
        <v>1.7647</v>
      </c>
      <c r="I1284" s="17">
        <v>46101.0</v>
      </c>
      <c r="J1284" s="18">
        <v>50.0</v>
      </c>
      <c r="K1284" s="16">
        <v>2345.0</v>
      </c>
      <c r="L1284" s="16" t="s">
        <v>2608</v>
      </c>
      <c r="M1284" s="19">
        <v>0.4</v>
      </c>
      <c r="N1284" s="16" t="s">
        <v>3824</v>
      </c>
      <c r="O1284" s="16">
        <v>2345.0</v>
      </c>
      <c r="P1284" s="19">
        <v>36.8405</v>
      </c>
      <c r="Q1284" s="16" t="s">
        <v>1572</v>
      </c>
      <c r="R1284" s="19">
        <v>1.2709</v>
      </c>
      <c r="S1284" s="20">
        <v>5267756.0</v>
      </c>
      <c r="T1284" s="20">
        <v>2.901222946E10</v>
      </c>
      <c r="U1284" s="21">
        <v>0.9225</v>
      </c>
      <c r="V1284" s="21">
        <v>8.1714</v>
      </c>
      <c r="W1284" s="21">
        <v>18.774</v>
      </c>
      <c r="X1284" s="21">
        <v>12.0101</v>
      </c>
      <c r="Y1284" s="21">
        <v>2.1457</v>
      </c>
      <c r="Z1284" s="21">
        <v>0.5652</v>
      </c>
      <c r="AA1284" s="16" t="s">
        <v>2611</v>
      </c>
      <c r="AB1284" s="22">
        <f>IFERROR(__xludf.DUMMYFUNCTION("IFERROR(GOOGLEFINANCE(B1284,""price""),"""")"),51.43)</f>
        <v>51.43</v>
      </c>
    </row>
    <row r="1285">
      <c r="A1285" s="7">
        <v>46073.779682837085</v>
      </c>
      <c r="B1285" s="8" t="s">
        <v>3825</v>
      </c>
      <c r="C1285" s="8" t="s">
        <v>3826</v>
      </c>
      <c r="D1285" s="9">
        <v>46075.0</v>
      </c>
      <c r="E1285" s="10">
        <v>58.92</v>
      </c>
      <c r="F1285" s="8" t="s">
        <v>102</v>
      </c>
      <c r="G1285" s="13">
        <v>48.658</v>
      </c>
      <c r="H1285" s="13">
        <v>1.2109</v>
      </c>
      <c r="I1285" s="9">
        <v>46101.0</v>
      </c>
      <c r="J1285" s="10">
        <v>60.0</v>
      </c>
      <c r="K1285" s="8">
        <v>2279.0</v>
      </c>
      <c r="L1285" s="8" t="s">
        <v>2627</v>
      </c>
      <c r="M1285" s="11">
        <v>1.83</v>
      </c>
      <c r="N1285" s="8" t="s">
        <v>3827</v>
      </c>
      <c r="O1285" s="8">
        <v>2279.0</v>
      </c>
      <c r="P1285" s="11">
        <v>43.6575</v>
      </c>
      <c r="Q1285" s="8" t="s">
        <v>3828</v>
      </c>
      <c r="R1285" s="11">
        <v>-2.3048</v>
      </c>
      <c r="S1285" s="12">
        <v>5615209.0</v>
      </c>
      <c r="T1285" s="12">
        <v>1.2199313635E10</v>
      </c>
      <c r="U1285" s="13">
        <v>2.4063</v>
      </c>
      <c r="V1285" s="13">
        <v>5.0483</v>
      </c>
      <c r="W1285" s="13">
        <v>9.5907</v>
      </c>
      <c r="X1285" s="13">
        <v>1.6545</v>
      </c>
      <c r="Y1285" s="13">
        <v>0.7455</v>
      </c>
      <c r="Z1285" s="13">
        <v>2.0704</v>
      </c>
      <c r="AA1285" s="8" t="s">
        <v>2620</v>
      </c>
      <c r="AB1285" s="14">
        <f>IFERROR(__xludf.DUMMYFUNCTION("IFERROR(GOOGLEFINANCE(B1285,""price""),"""")"),54.48)</f>
        <v>54.48</v>
      </c>
    </row>
    <row r="1286">
      <c r="A1286" s="15">
        <v>46073.779682837085</v>
      </c>
      <c r="B1286" s="16" t="s">
        <v>3829</v>
      </c>
      <c r="C1286" s="16" t="s">
        <v>3830</v>
      </c>
      <c r="D1286" s="17">
        <v>46075.0</v>
      </c>
      <c r="E1286" s="18">
        <v>107.93</v>
      </c>
      <c r="F1286" s="16" t="s">
        <v>308</v>
      </c>
      <c r="G1286" s="21">
        <v>64.2173</v>
      </c>
      <c r="H1286" s="21">
        <v>1.6807</v>
      </c>
      <c r="I1286" s="17">
        <v>46101.0</v>
      </c>
      <c r="J1286" s="18">
        <v>110.0</v>
      </c>
      <c r="K1286" s="16">
        <v>2047.0</v>
      </c>
      <c r="L1286" s="16" t="s">
        <v>2608</v>
      </c>
      <c r="M1286" s="19">
        <v>1.92</v>
      </c>
      <c r="N1286" s="16" t="s">
        <v>3831</v>
      </c>
      <c r="O1286" s="16">
        <v>2047.0</v>
      </c>
      <c r="P1286" s="19">
        <v>22.369</v>
      </c>
      <c r="Q1286" s="16" t="s">
        <v>3832</v>
      </c>
      <c r="R1286" s="19">
        <v>7.5107</v>
      </c>
      <c r="S1286" s="20">
        <v>3333715.0</v>
      </c>
      <c r="T1286" s="20">
        <v>1.1160493216E10</v>
      </c>
      <c r="U1286" s="21">
        <v>7.435</v>
      </c>
      <c r="V1286" s="21">
        <v>10.6701</v>
      </c>
      <c r="W1286" s="21">
        <v>9.0659</v>
      </c>
      <c r="X1286" s="21">
        <v>18.9783</v>
      </c>
      <c r="Y1286" s="21">
        <v>0.5842</v>
      </c>
      <c r="Z1286" s="21">
        <v>1.9283</v>
      </c>
      <c r="AA1286" s="16" t="s">
        <v>2620</v>
      </c>
      <c r="AB1286" s="22">
        <f>IFERROR(__xludf.DUMMYFUNCTION("IFERROR(GOOGLEFINANCE(B1286,""price""),"""")"),121.49)</f>
        <v>121.49</v>
      </c>
    </row>
    <row r="1287">
      <c r="A1287" s="7">
        <v>46073.779682837085</v>
      </c>
      <c r="B1287" s="8" t="s">
        <v>3141</v>
      </c>
      <c r="C1287" s="8" t="s">
        <v>3142</v>
      </c>
      <c r="D1287" s="9">
        <v>46075.0</v>
      </c>
      <c r="E1287" s="10">
        <v>331.62</v>
      </c>
      <c r="F1287" s="8" t="s">
        <v>93</v>
      </c>
      <c r="G1287" s="13">
        <v>12.8927</v>
      </c>
      <c r="H1287" s="13">
        <v>25.7215</v>
      </c>
      <c r="I1287" s="9">
        <v>46101.0</v>
      </c>
      <c r="J1287" s="10">
        <v>330.0</v>
      </c>
      <c r="K1287" s="8">
        <v>1835.0</v>
      </c>
      <c r="L1287" s="8" t="s">
        <v>2608</v>
      </c>
      <c r="M1287" s="11">
        <v>0.49</v>
      </c>
      <c r="N1287" s="8" t="s">
        <v>3833</v>
      </c>
      <c r="O1287" s="8">
        <v>1835.0</v>
      </c>
      <c r="P1287" s="11">
        <v>28.9958</v>
      </c>
      <c r="Q1287" s="8" t="s">
        <v>3144</v>
      </c>
      <c r="R1287" s="11">
        <v>0.7474</v>
      </c>
      <c r="S1287" s="12">
        <v>1463060.0</v>
      </c>
      <c r="T1287" s="12">
        <v>1.30509331771E11</v>
      </c>
      <c r="U1287" s="13">
        <v>6.6701</v>
      </c>
      <c r="V1287" s="13">
        <v>14.9661</v>
      </c>
      <c r="W1287" s="13">
        <v>21.2322</v>
      </c>
      <c r="X1287" s="13">
        <v>6.9142</v>
      </c>
      <c r="Y1287" s="13"/>
      <c r="Z1287" s="13">
        <v>0.2721</v>
      </c>
      <c r="AA1287" s="8" t="s">
        <v>2611</v>
      </c>
      <c r="AB1287" s="14">
        <f>IFERROR(__xludf.DUMMYFUNCTION("IFERROR(GOOGLEFINANCE(B1287,""price""),"""")"),327.91)</f>
        <v>327.91</v>
      </c>
    </row>
    <row r="1288">
      <c r="A1288" s="15">
        <v>46073.779682837085</v>
      </c>
      <c r="B1288" s="16" t="s">
        <v>3834</v>
      </c>
      <c r="C1288" s="16" t="s">
        <v>3835</v>
      </c>
      <c r="D1288" s="17">
        <v>46075.0</v>
      </c>
      <c r="E1288" s="18">
        <v>179.18</v>
      </c>
      <c r="F1288" s="16" t="s">
        <v>917</v>
      </c>
      <c r="G1288" s="21">
        <v>26.1852</v>
      </c>
      <c r="H1288" s="21">
        <v>6.8428</v>
      </c>
      <c r="I1288" s="17">
        <v>46080.0</v>
      </c>
      <c r="J1288" s="18">
        <v>180.0</v>
      </c>
      <c r="K1288" s="16">
        <v>1779.0</v>
      </c>
      <c r="L1288" s="16" t="s">
        <v>2608</v>
      </c>
      <c r="M1288" s="19">
        <v>0.46</v>
      </c>
      <c r="N1288" s="16" t="s">
        <v>3836</v>
      </c>
      <c r="O1288" s="16">
        <v>1779.0</v>
      </c>
      <c r="P1288" s="19">
        <v>21.8211</v>
      </c>
      <c r="Q1288" s="16" t="s">
        <v>3837</v>
      </c>
      <c r="R1288" s="19">
        <v>2.3827</v>
      </c>
      <c r="S1288" s="20">
        <v>2185142.0</v>
      </c>
      <c r="T1288" s="20">
        <v>3.4337947384E10</v>
      </c>
      <c r="U1288" s="21">
        <v>6.5156</v>
      </c>
      <c r="V1288" s="21">
        <v>64.1871</v>
      </c>
      <c r="W1288" s="21">
        <v>5.3252</v>
      </c>
      <c r="X1288" s="21">
        <v>6.4026</v>
      </c>
      <c r="Y1288" s="21">
        <v>6.1477</v>
      </c>
      <c r="Z1288" s="21">
        <v>1.0533</v>
      </c>
      <c r="AA1288" s="16" t="s">
        <v>2620</v>
      </c>
      <c r="AB1288" s="22">
        <f>IFERROR(__xludf.DUMMYFUNCTION("IFERROR(GOOGLEFINANCE(B1288,""price""),"""")"),164.07)</f>
        <v>164.07</v>
      </c>
    </row>
    <row r="1289">
      <c r="A1289" s="7">
        <v>46073.779682837085</v>
      </c>
      <c r="B1289" s="8" t="s">
        <v>3538</v>
      </c>
      <c r="C1289" s="8" t="s">
        <v>3539</v>
      </c>
      <c r="D1289" s="9">
        <v>46075.0</v>
      </c>
      <c r="E1289" s="10">
        <v>201.01</v>
      </c>
      <c r="F1289" s="8" t="s">
        <v>335</v>
      </c>
      <c r="G1289" s="13">
        <v>43.5898</v>
      </c>
      <c r="H1289" s="13">
        <v>4.6114</v>
      </c>
      <c r="I1289" s="9">
        <v>46080.0</v>
      </c>
      <c r="J1289" s="10">
        <v>205.0</v>
      </c>
      <c r="K1289" s="8">
        <v>1634.0</v>
      </c>
      <c r="L1289" s="8" t="s">
        <v>2608</v>
      </c>
      <c r="M1289" s="11">
        <v>1.98</v>
      </c>
      <c r="N1289" s="8" t="s">
        <v>3838</v>
      </c>
      <c r="O1289" s="8">
        <v>1634.0</v>
      </c>
      <c r="P1289" s="11">
        <v>33.2552</v>
      </c>
      <c r="Q1289" s="8" t="s">
        <v>3541</v>
      </c>
      <c r="R1289" s="11">
        <v>3.576</v>
      </c>
      <c r="S1289" s="12">
        <v>1003414.0</v>
      </c>
      <c r="T1289" s="12">
        <v>1.66046804854E11</v>
      </c>
      <c r="U1289" s="13">
        <v>10.6633</v>
      </c>
      <c r="V1289" s="13">
        <v>39.4499</v>
      </c>
      <c r="W1289" s="13">
        <v>50.2534</v>
      </c>
      <c r="X1289" s="13">
        <v>12.6994</v>
      </c>
      <c r="Y1289" s="13">
        <v>0.7113</v>
      </c>
      <c r="Z1289" s="13">
        <v>4.5168</v>
      </c>
      <c r="AA1289" s="8" t="s">
        <v>2620</v>
      </c>
      <c r="AB1289" s="14">
        <f>IFERROR(__xludf.DUMMYFUNCTION("IFERROR(GOOGLEFINANCE(B1289,""price""),"""")"),192.56)</f>
        <v>192.56</v>
      </c>
    </row>
    <row r="1290">
      <c r="A1290" s="15">
        <v>46073.779682837085</v>
      </c>
      <c r="B1290" s="16" t="s">
        <v>2672</v>
      </c>
      <c r="C1290" s="16" t="s">
        <v>2673</v>
      </c>
      <c r="D1290" s="17">
        <v>46075.0</v>
      </c>
      <c r="E1290" s="18">
        <v>50.41</v>
      </c>
      <c r="F1290" s="16" t="s">
        <v>107</v>
      </c>
      <c r="G1290" s="21"/>
      <c r="H1290" s="21">
        <v>-1.865</v>
      </c>
      <c r="I1290" s="17">
        <v>46101.0</v>
      </c>
      <c r="J1290" s="18">
        <v>50.0</v>
      </c>
      <c r="K1290" s="16">
        <v>1570.0</v>
      </c>
      <c r="L1290" s="16" t="s">
        <v>2608</v>
      </c>
      <c r="M1290" s="19">
        <v>0.81</v>
      </c>
      <c r="N1290" s="16" t="s">
        <v>3839</v>
      </c>
      <c r="O1290" s="16">
        <v>1570.0</v>
      </c>
      <c r="P1290" s="19">
        <v>47.1298</v>
      </c>
      <c r="Q1290" s="16" t="s">
        <v>2675</v>
      </c>
      <c r="R1290" s="19">
        <v>0.3384</v>
      </c>
      <c r="S1290" s="20">
        <v>4865292.0</v>
      </c>
      <c r="T1290" s="20">
        <v>2.0613852403E10</v>
      </c>
      <c r="U1290" s="21">
        <v>1.4427</v>
      </c>
      <c r="V1290" s="21">
        <v>-0.805</v>
      </c>
      <c r="W1290" s="21">
        <v>16.2067</v>
      </c>
      <c r="X1290" s="21">
        <v>-10.4796</v>
      </c>
      <c r="Y1290" s="21">
        <v>0.2451</v>
      </c>
      <c r="Z1290" s="21">
        <v>2.4187</v>
      </c>
      <c r="AA1290" s="16" t="s">
        <v>2611</v>
      </c>
      <c r="AB1290" s="22">
        <f>IFERROR(__xludf.DUMMYFUNCTION("IFERROR(GOOGLEFINANCE(B1290,""price""),"""")"),47.25)</f>
        <v>47.25</v>
      </c>
    </row>
    <row r="1291">
      <c r="A1291" s="7">
        <v>46073.779682837085</v>
      </c>
      <c r="B1291" s="8" t="s">
        <v>3334</v>
      </c>
      <c r="C1291" s="8" t="s">
        <v>3335</v>
      </c>
      <c r="D1291" s="9">
        <v>46075.0</v>
      </c>
      <c r="E1291" s="10">
        <v>209.87</v>
      </c>
      <c r="F1291" s="8" t="s">
        <v>162</v>
      </c>
      <c r="G1291" s="13">
        <v>79.3489</v>
      </c>
      <c r="H1291" s="13">
        <v>2.6449</v>
      </c>
      <c r="I1291" s="9">
        <v>46101.0</v>
      </c>
      <c r="J1291" s="10">
        <v>210.0</v>
      </c>
      <c r="K1291" s="8">
        <v>1471.0</v>
      </c>
      <c r="L1291" s="8" t="s">
        <v>2608</v>
      </c>
      <c r="M1291" s="11">
        <v>0.06</v>
      </c>
      <c r="N1291" s="8" t="s">
        <v>3840</v>
      </c>
      <c r="O1291" s="8">
        <v>1471.0</v>
      </c>
      <c r="P1291" s="11">
        <v>38.2513</v>
      </c>
      <c r="Q1291" s="8" t="s">
        <v>3337</v>
      </c>
      <c r="R1291" s="11">
        <v>3.2114</v>
      </c>
      <c r="S1291" s="12">
        <v>1769266.0</v>
      </c>
      <c r="T1291" s="12">
        <v>2.4585716368E10</v>
      </c>
      <c r="U1291" s="13">
        <v>8.4842</v>
      </c>
      <c r="V1291" s="13">
        <v>18.2553</v>
      </c>
      <c r="W1291" s="13">
        <v>8.9382</v>
      </c>
      <c r="X1291" s="13">
        <v>1.0532</v>
      </c>
      <c r="Y1291" s="13">
        <v>2.1977</v>
      </c>
      <c r="Z1291" s="13">
        <v>1.0482</v>
      </c>
      <c r="AA1291" s="8" t="s">
        <v>2620</v>
      </c>
      <c r="AB1291" s="14">
        <f>IFERROR(__xludf.DUMMYFUNCTION("IFERROR(GOOGLEFINANCE(B1291,""price""),"""")"),212.74)</f>
        <v>212.74</v>
      </c>
    </row>
    <row r="1292">
      <c r="A1292" s="15">
        <v>46073.779682837085</v>
      </c>
      <c r="B1292" s="16" t="s">
        <v>3505</v>
      </c>
      <c r="C1292" s="16" t="s">
        <v>3506</v>
      </c>
      <c r="D1292" s="17">
        <v>46075.0</v>
      </c>
      <c r="E1292" s="18">
        <v>271.09</v>
      </c>
      <c r="F1292" s="16" t="s">
        <v>102</v>
      </c>
      <c r="G1292" s="21">
        <v>42.1687</v>
      </c>
      <c r="H1292" s="21">
        <v>6.4287</v>
      </c>
      <c r="I1292" s="17">
        <v>46101.0</v>
      </c>
      <c r="J1292" s="18">
        <v>270.0</v>
      </c>
      <c r="K1292" s="16">
        <v>1272.0</v>
      </c>
      <c r="L1292" s="16" t="s">
        <v>2608</v>
      </c>
      <c r="M1292" s="19">
        <v>0.4</v>
      </c>
      <c r="N1292" s="16" t="s">
        <v>3841</v>
      </c>
      <c r="O1292" s="16">
        <v>1272.0</v>
      </c>
      <c r="P1292" s="19">
        <v>24.5819</v>
      </c>
      <c r="Q1292" s="16" t="s">
        <v>3508</v>
      </c>
      <c r="R1292" s="19">
        <v>3.296</v>
      </c>
      <c r="S1292" s="20">
        <v>1663859.0</v>
      </c>
      <c r="T1292" s="20">
        <v>2.8625821536E10</v>
      </c>
      <c r="U1292" s="21">
        <v>10.9932</v>
      </c>
      <c r="V1292" s="21">
        <v>47.872</v>
      </c>
      <c r="W1292" s="21">
        <v>5.014</v>
      </c>
      <c r="X1292" s="21">
        <v>13.1793</v>
      </c>
      <c r="Y1292" s="21">
        <v>2.506</v>
      </c>
      <c r="Z1292" s="21">
        <v>0.9887</v>
      </c>
      <c r="AA1292" s="16" t="s">
        <v>2611</v>
      </c>
      <c r="AB1292" s="22">
        <f>IFERROR(__xludf.DUMMYFUNCTION("IFERROR(GOOGLEFINANCE(B1292,""price""),"""")"),299.5)</f>
        <v>299.5</v>
      </c>
    </row>
    <row r="1293">
      <c r="A1293" s="7">
        <v>46073.779682837085</v>
      </c>
      <c r="B1293" s="8" t="s">
        <v>2676</v>
      </c>
      <c r="C1293" s="8" t="s">
        <v>2677</v>
      </c>
      <c r="D1293" s="9">
        <v>46075.0</v>
      </c>
      <c r="E1293" s="10">
        <v>30.06</v>
      </c>
      <c r="F1293" s="8" t="s">
        <v>93</v>
      </c>
      <c r="G1293" s="13">
        <v>13.0849</v>
      </c>
      <c r="H1293" s="13">
        <v>2.2973</v>
      </c>
      <c r="I1293" s="9">
        <v>46101.0</v>
      </c>
      <c r="J1293" s="10">
        <v>30.0</v>
      </c>
      <c r="K1293" s="8">
        <v>1180.0</v>
      </c>
      <c r="L1293" s="8" t="s">
        <v>2608</v>
      </c>
      <c r="M1293" s="11">
        <v>0.2</v>
      </c>
      <c r="N1293" s="8" t="s">
        <v>3842</v>
      </c>
      <c r="O1293" s="8">
        <v>1180.0</v>
      </c>
      <c r="P1293" s="11">
        <v>23.8628</v>
      </c>
      <c r="Q1293" s="8" t="s">
        <v>2679</v>
      </c>
      <c r="R1293" s="11">
        <v>1.144</v>
      </c>
      <c r="S1293" s="12">
        <v>1.4965313E7</v>
      </c>
      <c r="T1293" s="12">
        <v>2.6358907759E10</v>
      </c>
      <c r="U1293" s="13">
        <v>0.7416</v>
      </c>
      <c r="V1293" s="13">
        <v>11.6787</v>
      </c>
      <c r="W1293" s="13">
        <v>28.7373</v>
      </c>
      <c r="X1293" s="13">
        <v>2.137</v>
      </c>
      <c r="Y1293" s="13">
        <v>0.2565</v>
      </c>
      <c r="Z1293" s="13">
        <v>0.1084</v>
      </c>
      <c r="AA1293" s="8" t="s">
        <v>2611</v>
      </c>
      <c r="AB1293" s="14">
        <f>IFERROR(__xludf.DUMMYFUNCTION("IFERROR(GOOGLEFINANCE(B1293,""price""),"""")"),27.5)</f>
        <v>27.5</v>
      </c>
    </row>
    <row r="1294">
      <c r="A1294" s="15">
        <v>46073.779682837085</v>
      </c>
      <c r="B1294" s="16" t="s">
        <v>2852</v>
      </c>
      <c r="C1294" s="16" t="s">
        <v>2853</v>
      </c>
      <c r="D1294" s="17">
        <v>46075.0</v>
      </c>
      <c r="E1294" s="18">
        <v>233.31</v>
      </c>
      <c r="F1294" s="16" t="s">
        <v>102</v>
      </c>
      <c r="G1294" s="21">
        <v>29.3786</v>
      </c>
      <c r="H1294" s="21">
        <v>7.9415</v>
      </c>
      <c r="I1294" s="17">
        <v>46101.0</v>
      </c>
      <c r="J1294" s="18">
        <v>230.0</v>
      </c>
      <c r="K1294" s="16">
        <v>1129.0</v>
      </c>
      <c r="L1294" s="16" t="s">
        <v>2608</v>
      </c>
      <c r="M1294" s="19">
        <v>1.42</v>
      </c>
      <c r="N1294" s="16" t="s">
        <v>3843</v>
      </c>
      <c r="O1294" s="16">
        <v>1129.0</v>
      </c>
      <c r="P1294" s="19">
        <v>34.9736</v>
      </c>
      <c r="Q1294" s="16" t="s">
        <v>2855</v>
      </c>
      <c r="R1294" s="19">
        <v>0.3398</v>
      </c>
      <c r="S1294" s="20">
        <v>1421699.0</v>
      </c>
      <c r="T1294" s="20">
        <v>3.1465732373E10</v>
      </c>
      <c r="U1294" s="21">
        <v>4.9622</v>
      </c>
      <c r="V1294" s="21">
        <v>15.2854</v>
      </c>
      <c r="W1294" s="21">
        <v>17.9343</v>
      </c>
      <c r="X1294" s="21">
        <v>-1.1366</v>
      </c>
      <c r="Y1294" s="21">
        <v>0.484</v>
      </c>
      <c r="Z1294" s="21">
        <v>1.7895</v>
      </c>
      <c r="AA1294" s="16" t="s">
        <v>2611</v>
      </c>
      <c r="AB1294" s="22">
        <f>IFERROR(__xludf.DUMMYFUNCTION("IFERROR(GOOGLEFINANCE(B1294,""price""),"""")"),217.12)</f>
        <v>217.12</v>
      </c>
    </row>
    <row r="1295">
      <c r="A1295" s="7">
        <v>46073.779682837085</v>
      </c>
      <c r="B1295" s="8" t="s">
        <v>2438</v>
      </c>
      <c r="C1295" s="8" t="s">
        <v>2439</v>
      </c>
      <c r="D1295" s="9">
        <v>46075.0</v>
      </c>
      <c r="E1295" s="10">
        <v>219.73</v>
      </c>
      <c r="F1295" s="8" t="s">
        <v>308</v>
      </c>
      <c r="G1295" s="13">
        <v>40.3515</v>
      </c>
      <c r="H1295" s="13">
        <v>5.4454</v>
      </c>
      <c r="I1295" s="9">
        <v>46080.0</v>
      </c>
      <c r="J1295" s="10">
        <v>220.0</v>
      </c>
      <c r="K1295" s="8">
        <v>1123.0</v>
      </c>
      <c r="L1295" s="8" t="s">
        <v>2608</v>
      </c>
      <c r="M1295" s="11">
        <v>0.12</v>
      </c>
      <c r="N1295" s="8" t="s">
        <v>3844</v>
      </c>
      <c r="O1295" s="8">
        <v>1123.0</v>
      </c>
      <c r="P1295" s="11">
        <v>49.9801</v>
      </c>
      <c r="Q1295" s="8" t="s">
        <v>2440</v>
      </c>
      <c r="R1295" s="11">
        <v>0.7705</v>
      </c>
      <c r="S1295" s="12">
        <v>5457854.0</v>
      </c>
      <c r="T1295" s="12">
        <v>1.99416122543E11</v>
      </c>
      <c r="U1295" s="13">
        <v>6.5046</v>
      </c>
      <c r="V1295" s="13">
        <v>29.9795</v>
      </c>
      <c r="W1295" s="13">
        <v>34.7246</v>
      </c>
      <c r="X1295" s="13">
        <v>13.049</v>
      </c>
      <c r="Y1295" s="13">
        <v>0.9082</v>
      </c>
      <c r="Z1295" s="13">
        <v>4.3526</v>
      </c>
      <c r="AA1295" s="8" t="s">
        <v>2620</v>
      </c>
      <c r="AB1295" s="14">
        <f>IFERROR(__xludf.DUMMYFUNCTION("IFERROR(GOOGLEFINANCE(B1295,""price""),"""")"),214.73)</f>
        <v>214.73</v>
      </c>
    </row>
    <row r="1296">
      <c r="A1296" s="15">
        <v>46073.779682837085</v>
      </c>
      <c r="B1296" s="16" t="s">
        <v>3845</v>
      </c>
      <c r="C1296" s="16" t="s">
        <v>3846</v>
      </c>
      <c r="D1296" s="17">
        <v>46075.0</v>
      </c>
      <c r="E1296" s="18">
        <v>90.13</v>
      </c>
      <c r="F1296" s="16" t="s">
        <v>129</v>
      </c>
      <c r="G1296" s="21">
        <v>24.2402</v>
      </c>
      <c r="H1296" s="21">
        <v>3.7182</v>
      </c>
      <c r="I1296" s="17">
        <v>46101.0</v>
      </c>
      <c r="J1296" s="18">
        <v>90.0</v>
      </c>
      <c r="K1296" s="16">
        <v>1108.0</v>
      </c>
      <c r="L1296" s="16" t="s">
        <v>2608</v>
      </c>
      <c r="M1296" s="19">
        <v>0.14</v>
      </c>
      <c r="N1296" s="16" t="s">
        <v>3847</v>
      </c>
      <c r="O1296" s="16">
        <v>1108.0</v>
      </c>
      <c r="P1296" s="19">
        <v>50.9141</v>
      </c>
      <c r="Q1296" s="16" t="s">
        <v>3848</v>
      </c>
      <c r="R1296" s="19">
        <v>0.513</v>
      </c>
      <c r="S1296" s="20">
        <v>2645464.0</v>
      </c>
      <c r="T1296" s="20">
        <v>4.3166019871E10</v>
      </c>
      <c r="U1296" s="21">
        <v>1.868</v>
      </c>
      <c r="V1296" s="21">
        <v>83.6397</v>
      </c>
      <c r="W1296" s="21">
        <v>4.1986</v>
      </c>
      <c r="X1296" s="21">
        <v>2.576</v>
      </c>
      <c r="Y1296" s="21">
        <v>6.5567</v>
      </c>
      <c r="Z1296" s="21">
        <v>1.2955</v>
      </c>
      <c r="AA1296" s="16" t="s">
        <v>2611</v>
      </c>
      <c r="AB1296" s="22">
        <f>IFERROR(__xludf.DUMMYFUNCTION("IFERROR(GOOGLEFINANCE(B1296,""price""),"""")"),72.82)</f>
        <v>72.82</v>
      </c>
    </row>
    <row r="1297">
      <c r="A1297" s="7">
        <v>46073.779682837085</v>
      </c>
      <c r="B1297" s="8" t="s">
        <v>3242</v>
      </c>
      <c r="C1297" s="8" t="s">
        <v>3243</v>
      </c>
      <c r="D1297" s="9">
        <v>46075.0</v>
      </c>
      <c r="E1297" s="10">
        <v>109.81</v>
      </c>
      <c r="F1297" s="8" t="s">
        <v>917</v>
      </c>
      <c r="G1297" s="13">
        <v>19.4258</v>
      </c>
      <c r="H1297" s="13">
        <v>5.6528</v>
      </c>
      <c r="I1297" s="9">
        <v>46101.0</v>
      </c>
      <c r="J1297" s="10">
        <v>110.0</v>
      </c>
      <c r="K1297" s="8">
        <v>1102.0</v>
      </c>
      <c r="L1297" s="8" t="s">
        <v>2608</v>
      </c>
      <c r="M1297" s="11">
        <v>0.17</v>
      </c>
      <c r="N1297" s="8" t="s">
        <v>3849</v>
      </c>
      <c r="O1297" s="8">
        <v>1102.0</v>
      </c>
      <c r="P1297" s="11">
        <v>29.1568</v>
      </c>
      <c r="Q1297" s="8" t="s">
        <v>3245</v>
      </c>
      <c r="R1297" s="11">
        <v>-1.8853</v>
      </c>
      <c r="S1297" s="12">
        <v>3485367.0</v>
      </c>
      <c r="T1297" s="12">
        <v>3.9634338456E10</v>
      </c>
      <c r="U1297" s="13">
        <v>2.4518</v>
      </c>
      <c r="V1297" s="13">
        <v>8.7624</v>
      </c>
      <c r="W1297" s="13">
        <v>17.3247</v>
      </c>
      <c r="X1297" s="13">
        <v>10.8577</v>
      </c>
      <c r="Y1297" s="13">
        <v>1.173</v>
      </c>
      <c r="Z1297" s="13">
        <v>1.0206</v>
      </c>
      <c r="AA1297" s="8" t="s">
        <v>2620</v>
      </c>
      <c r="AB1297" s="14">
        <f>IFERROR(__xludf.DUMMYFUNCTION("IFERROR(GOOGLEFINANCE(B1297,""price""),"""")"),113.56)</f>
        <v>113.56</v>
      </c>
    </row>
    <row r="1298">
      <c r="A1298" s="15">
        <v>46073.779682837085</v>
      </c>
      <c r="B1298" s="16" t="s">
        <v>1641</v>
      </c>
      <c r="C1298" s="16" t="s">
        <v>1642</v>
      </c>
      <c r="D1298" s="17">
        <v>46075.0</v>
      </c>
      <c r="E1298" s="18">
        <v>206.37</v>
      </c>
      <c r="F1298" s="16" t="s">
        <v>93</v>
      </c>
      <c r="G1298" s="21">
        <v>5.4044</v>
      </c>
      <c r="H1298" s="21">
        <v>38.1859</v>
      </c>
      <c r="I1298" s="17">
        <v>46101.0</v>
      </c>
      <c r="J1298" s="18">
        <v>210.0</v>
      </c>
      <c r="K1298" s="16">
        <v>1097.0</v>
      </c>
      <c r="L1298" s="16" t="s">
        <v>2608</v>
      </c>
      <c r="M1298" s="19">
        <v>1.76</v>
      </c>
      <c r="N1298" s="16" t="s">
        <v>3850</v>
      </c>
      <c r="O1298" s="16">
        <v>1097.0</v>
      </c>
      <c r="P1298" s="19">
        <v>16.9598</v>
      </c>
      <c r="Q1298" s="16" t="s">
        <v>1643</v>
      </c>
      <c r="R1298" s="19">
        <v>1.55</v>
      </c>
      <c r="S1298" s="20">
        <v>1226181.0</v>
      </c>
      <c r="T1298" s="20">
        <v>5.4003253096E10</v>
      </c>
      <c r="U1298" s="21">
        <v>5.6249</v>
      </c>
      <c r="V1298" s="21">
        <v>39.5066</v>
      </c>
      <c r="W1298" s="21">
        <v>16.8206</v>
      </c>
      <c r="X1298" s="21">
        <v>4.4052</v>
      </c>
      <c r="Y1298" s="21">
        <v>0.2447</v>
      </c>
      <c r="Z1298" s="21">
        <v>0.4045</v>
      </c>
      <c r="AA1298" s="16" t="s">
        <v>2620</v>
      </c>
      <c r="AB1298" s="22">
        <f>IFERROR(__xludf.DUMMYFUNCTION("IFERROR(GOOGLEFINANCE(B1298,""price""),"""")"),210.99)</f>
        <v>210.99</v>
      </c>
    </row>
    <row r="1299">
      <c r="A1299" s="7">
        <v>46073.779682837085</v>
      </c>
      <c r="B1299" s="8" t="s">
        <v>2688</v>
      </c>
      <c r="C1299" s="8" t="s">
        <v>2689</v>
      </c>
      <c r="D1299" s="9">
        <v>46075.0</v>
      </c>
      <c r="E1299" s="10">
        <v>233.51</v>
      </c>
      <c r="F1299" s="8" t="s">
        <v>102</v>
      </c>
      <c r="G1299" s="13">
        <v>36.4802</v>
      </c>
      <c r="H1299" s="13">
        <v>6.401</v>
      </c>
      <c r="I1299" s="9">
        <v>46101.0</v>
      </c>
      <c r="J1299" s="10">
        <v>230.0</v>
      </c>
      <c r="K1299" s="8">
        <v>1046.0</v>
      </c>
      <c r="L1299" s="8" t="s">
        <v>2608</v>
      </c>
      <c r="M1299" s="11">
        <v>1.5</v>
      </c>
      <c r="N1299" s="8" t="s">
        <v>3851</v>
      </c>
      <c r="O1299" s="8">
        <v>1046.0</v>
      </c>
      <c r="P1299" s="11">
        <v>45.6397</v>
      </c>
      <c r="Q1299" s="8" t="s">
        <v>2691</v>
      </c>
      <c r="R1299" s="11">
        <v>0.3265</v>
      </c>
      <c r="S1299" s="12">
        <v>1466501.0</v>
      </c>
      <c r="T1299" s="12">
        <v>5.3468466759E10</v>
      </c>
      <c r="U1299" s="13">
        <v>4.7295</v>
      </c>
      <c r="V1299" s="13">
        <v>14.5941</v>
      </c>
      <c r="W1299" s="13">
        <v>26.1537</v>
      </c>
      <c r="X1299" s="13">
        <v>6.6262</v>
      </c>
      <c r="Y1299" s="13">
        <v>0.2419</v>
      </c>
      <c r="Z1299" s="13">
        <v>1.0623</v>
      </c>
      <c r="AA1299" s="8" t="s">
        <v>2611</v>
      </c>
      <c r="AB1299" s="14">
        <f>IFERROR(__xludf.DUMMYFUNCTION("IFERROR(GOOGLEFINANCE(B1299,""price""),"""")"),234.91)</f>
        <v>234.91</v>
      </c>
    </row>
    <row r="1300">
      <c r="A1300" s="7">
        <v>46076.49609801202</v>
      </c>
      <c r="B1300" s="8" t="s">
        <v>2630</v>
      </c>
      <c r="C1300" s="8" t="s">
        <v>2631</v>
      </c>
      <c r="D1300" s="9">
        <v>46082.0</v>
      </c>
      <c r="E1300" s="10">
        <v>418.824</v>
      </c>
      <c r="F1300" s="8" t="s">
        <v>308</v>
      </c>
      <c r="G1300" s="13">
        <v>39.8122</v>
      </c>
      <c r="H1300" s="13">
        <v>10.52</v>
      </c>
      <c r="I1300" s="9">
        <v>46080.0</v>
      </c>
      <c r="J1300" s="10">
        <v>420.0</v>
      </c>
      <c r="K1300" s="8">
        <v>14188.0</v>
      </c>
      <c r="L1300" s="8" t="s">
        <v>2627</v>
      </c>
      <c r="M1300" s="11">
        <v>0.28</v>
      </c>
      <c r="N1300" s="8" t="s">
        <v>3852</v>
      </c>
      <c r="O1300" s="8">
        <v>27736.0</v>
      </c>
      <c r="P1300" s="11">
        <v>36.9157</v>
      </c>
      <c r="Q1300" s="8" t="s">
        <v>2633</v>
      </c>
      <c r="R1300" s="11">
        <v>-2.1828</v>
      </c>
      <c r="S1300" s="12">
        <v>1.452816E7</v>
      </c>
      <c r="T1300" s="12">
        <v>4.71390312357E11</v>
      </c>
      <c r="U1300" s="13">
        <v>24.0822</v>
      </c>
      <c r="V1300" s="13">
        <v>22.5543</v>
      </c>
      <c r="W1300" s="13">
        <v>32.9221</v>
      </c>
      <c r="X1300" s="13">
        <v>45.432</v>
      </c>
      <c r="Y1300" s="13">
        <v>0.2124</v>
      </c>
      <c r="Z1300" s="13">
        <v>2.4598</v>
      </c>
      <c r="AA1300" s="8" t="s">
        <v>2620</v>
      </c>
      <c r="AB1300" s="14">
        <f>IFERROR(__xludf.DUMMYFUNCTION("IFERROR(GOOGLEFINANCE(B1300,""price""),"""")"),420.59)</f>
        <v>420.59</v>
      </c>
    </row>
    <row r="1301">
      <c r="A1301" s="15">
        <v>46076.49609801202</v>
      </c>
      <c r="B1301" s="16" t="s">
        <v>2399</v>
      </c>
      <c r="C1301" s="16" t="s">
        <v>2400</v>
      </c>
      <c r="D1301" s="17">
        <v>46082.0</v>
      </c>
      <c r="E1301" s="18">
        <v>18.765</v>
      </c>
      <c r="F1301" s="16" t="s">
        <v>270</v>
      </c>
      <c r="G1301" s="21">
        <v>15.5314</v>
      </c>
      <c r="H1301" s="21">
        <v>1.2082</v>
      </c>
      <c r="I1301" s="17">
        <v>46080.0</v>
      </c>
      <c r="J1301" s="18">
        <v>18.5</v>
      </c>
      <c r="K1301" s="16">
        <v>13914.0</v>
      </c>
      <c r="L1301" s="16" t="s">
        <v>2608</v>
      </c>
      <c r="M1301" s="19">
        <v>1.41</v>
      </c>
      <c r="N1301" s="16" t="s">
        <v>3853</v>
      </c>
      <c r="O1301" s="16">
        <v>19511.0</v>
      </c>
      <c r="P1301" s="19">
        <v>41.6844</v>
      </c>
      <c r="Q1301" s="16" t="s">
        <v>2401</v>
      </c>
      <c r="R1301" s="19">
        <v>-1.1328</v>
      </c>
      <c r="S1301" s="20">
        <v>9553635.0</v>
      </c>
      <c r="T1301" s="20">
        <v>6.4557499155E10</v>
      </c>
      <c r="U1301" s="21">
        <v>0.3614</v>
      </c>
      <c r="V1301" s="21">
        <v>12.7475</v>
      </c>
      <c r="W1301" s="21">
        <v>10.8866</v>
      </c>
      <c r="X1301" s="21">
        <v>3.4655</v>
      </c>
      <c r="Y1301" s="21">
        <v>2.0395</v>
      </c>
      <c r="Z1301" s="21">
        <v>1.2192</v>
      </c>
      <c r="AA1301" s="16" t="s">
        <v>2611</v>
      </c>
      <c r="AB1301" s="22">
        <f>IFERROR(__xludf.DUMMYFUNCTION("IFERROR(GOOGLEFINANCE(B1301,""price""),"""")"),19.19)</f>
        <v>19.19</v>
      </c>
    </row>
    <row r="1302">
      <c r="A1302" s="7">
        <v>46076.49609801202</v>
      </c>
      <c r="B1302" s="8" t="s">
        <v>3463</v>
      </c>
      <c r="C1302" s="8" t="s">
        <v>3464</v>
      </c>
      <c r="D1302" s="9">
        <v>46082.0</v>
      </c>
      <c r="E1302" s="10">
        <v>59.13</v>
      </c>
      <c r="F1302" s="8" t="s">
        <v>245</v>
      </c>
      <c r="G1302" s="13">
        <v>17.8441</v>
      </c>
      <c r="H1302" s="13">
        <v>3.3137</v>
      </c>
      <c r="I1302" s="9">
        <v>46080.0</v>
      </c>
      <c r="J1302" s="10">
        <v>58.0</v>
      </c>
      <c r="K1302" s="8">
        <v>8144.0</v>
      </c>
      <c r="L1302" s="8" t="s">
        <v>2608</v>
      </c>
      <c r="M1302" s="11">
        <v>1.91</v>
      </c>
      <c r="N1302" s="8" t="s">
        <v>3854</v>
      </c>
      <c r="O1302" s="8">
        <v>15918.0</v>
      </c>
      <c r="P1302" s="11">
        <v>24.2667</v>
      </c>
      <c r="Q1302" s="8" t="s">
        <v>3466</v>
      </c>
      <c r="R1302" s="11">
        <v>-2.2645</v>
      </c>
      <c r="S1302" s="12">
        <v>2772241.0</v>
      </c>
      <c r="T1302" s="12">
        <v>3.691332084E10</v>
      </c>
      <c r="U1302" s="13">
        <v>2.0568</v>
      </c>
      <c r="V1302" s="13">
        <v>9.1961</v>
      </c>
      <c r="W1302" s="13">
        <v>35.6577</v>
      </c>
      <c r="X1302" s="13">
        <v>59.9561</v>
      </c>
      <c r="Y1302" s="13">
        <v>0.3357</v>
      </c>
      <c r="Z1302" s="13">
        <v>0.7627</v>
      </c>
      <c r="AA1302" s="8" t="s">
        <v>2611</v>
      </c>
      <c r="AB1302" s="14">
        <f>IFERROR(__xludf.DUMMYFUNCTION("IFERROR(GOOGLEFINANCE(B1302,""price""),"""")"),58.68)</f>
        <v>58.68</v>
      </c>
    </row>
    <row r="1303">
      <c r="A1303" s="15">
        <v>46076.49609801202</v>
      </c>
      <c r="B1303" s="16" t="s">
        <v>2616</v>
      </c>
      <c r="C1303" s="16" t="s">
        <v>2617</v>
      </c>
      <c r="D1303" s="17">
        <v>46082.0</v>
      </c>
      <c r="E1303" s="18">
        <v>80.265</v>
      </c>
      <c r="F1303" s="16" t="s">
        <v>286</v>
      </c>
      <c r="G1303" s="21">
        <v>26.416</v>
      </c>
      <c r="H1303" s="21">
        <v>3.0385</v>
      </c>
      <c r="I1303" s="17">
        <v>46080.0</v>
      </c>
      <c r="J1303" s="18">
        <v>80.0</v>
      </c>
      <c r="K1303" s="16">
        <v>6848.0</v>
      </c>
      <c r="L1303" s="16" t="s">
        <v>2608</v>
      </c>
      <c r="M1303" s="19">
        <v>0.33</v>
      </c>
      <c r="N1303" s="16" t="s">
        <v>3855</v>
      </c>
      <c r="O1303" s="16">
        <v>15524.0</v>
      </c>
      <c r="P1303" s="19">
        <v>39.549</v>
      </c>
      <c r="Q1303" s="16" t="s">
        <v>2619</v>
      </c>
      <c r="R1303" s="19">
        <v>0.5323</v>
      </c>
      <c r="S1303" s="20">
        <v>8309583.0</v>
      </c>
      <c r="T1303" s="20">
        <v>3.45268621456E11</v>
      </c>
      <c r="U1303" s="21">
        <v>1.262</v>
      </c>
      <c r="V1303" s="21">
        <v>45.9693</v>
      </c>
      <c r="W1303" s="21">
        <v>31.3688</v>
      </c>
      <c r="X1303" s="21">
        <v>3.4769</v>
      </c>
      <c r="Y1303" s="21">
        <v>1.4577</v>
      </c>
      <c r="Z1303" s="21">
        <v>1.4588</v>
      </c>
      <c r="AA1303" s="16" t="s">
        <v>2611</v>
      </c>
      <c r="AB1303" s="22">
        <f>IFERROR(__xludf.DUMMYFUNCTION("IFERROR(GOOGLEFINANCE(B1303,""price""),"""")"),77.47)</f>
        <v>77.47</v>
      </c>
    </row>
    <row r="1304">
      <c r="A1304" s="7">
        <v>46076.49609801202</v>
      </c>
      <c r="B1304" s="8" t="s">
        <v>2638</v>
      </c>
      <c r="C1304" s="8" t="s">
        <v>2639</v>
      </c>
      <c r="D1304" s="9">
        <v>46082.0</v>
      </c>
      <c r="E1304" s="10">
        <v>150.08</v>
      </c>
      <c r="F1304" s="8" t="s">
        <v>245</v>
      </c>
      <c r="G1304" s="13">
        <v>22.4174</v>
      </c>
      <c r="H1304" s="13">
        <v>6.6948</v>
      </c>
      <c r="I1304" s="9">
        <v>46080.0</v>
      </c>
      <c r="J1304" s="10">
        <v>152.5</v>
      </c>
      <c r="K1304" s="8">
        <v>4641.0</v>
      </c>
      <c r="L1304" s="8" t="s">
        <v>2608</v>
      </c>
      <c r="M1304" s="11">
        <v>1.61</v>
      </c>
      <c r="N1304" s="8" t="s">
        <v>3856</v>
      </c>
      <c r="O1304" s="8">
        <v>10855.0</v>
      </c>
      <c r="P1304" s="11">
        <v>49.1671</v>
      </c>
      <c r="Q1304" s="8" t="s">
        <v>2641</v>
      </c>
      <c r="R1304" s="11">
        <v>1.9011</v>
      </c>
      <c r="S1304" s="12">
        <v>6389662.0</v>
      </c>
      <c r="T1304" s="12">
        <v>6.25347886692E11</v>
      </c>
      <c r="U1304" s="13">
        <v>3.6144</v>
      </c>
      <c r="V1304" s="13">
        <v>11.0283</v>
      </c>
      <c r="W1304" s="13">
        <v>10.3419</v>
      </c>
      <c r="X1304" s="13">
        <v>-4.856</v>
      </c>
      <c r="Y1304" s="13">
        <v>0.1871</v>
      </c>
      <c r="Z1304" s="13">
        <v>1.1528</v>
      </c>
      <c r="AA1304" s="8" t="s">
        <v>2620</v>
      </c>
      <c r="AB1304" s="14">
        <f>IFERROR(__xludf.DUMMYFUNCTION("IFERROR(GOOGLEFINANCE(B1304,""price""),"""")"),152.51)</f>
        <v>152.51</v>
      </c>
    </row>
    <row r="1305">
      <c r="A1305" s="15">
        <v>46076.49609801202</v>
      </c>
      <c r="B1305" s="16" t="s">
        <v>2625</v>
      </c>
      <c r="C1305" s="16" t="s">
        <v>2626</v>
      </c>
      <c r="D1305" s="17">
        <v>46082.0</v>
      </c>
      <c r="E1305" s="18">
        <v>125.365</v>
      </c>
      <c r="F1305" s="16" t="s">
        <v>137</v>
      </c>
      <c r="G1305" s="21">
        <v>45.9112</v>
      </c>
      <c r="H1305" s="21">
        <v>2.7306</v>
      </c>
      <c r="I1305" s="17">
        <v>46080.0</v>
      </c>
      <c r="J1305" s="18">
        <v>126.0</v>
      </c>
      <c r="K1305" s="16">
        <v>4298.0</v>
      </c>
      <c r="L1305" s="16" t="s">
        <v>2627</v>
      </c>
      <c r="M1305" s="19">
        <v>0.51</v>
      </c>
      <c r="N1305" s="16" t="s">
        <v>3857</v>
      </c>
      <c r="O1305" s="16">
        <v>10383.0</v>
      </c>
      <c r="P1305" s="19">
        <v>29.6716</v>
      </c>
      <c r="Q1305" s="16" t="s">
        <v>2629</v>
      </c>
      <c r="R1305" s="19">
        <v>1.9311</v>
      </c>
      <c r="S1305" s="20">
        <v>1.1545449E7</v>
      </c>
      <c r="T1305" s="20">
        <v>9.99179967621E11</v>
      </c>
      <c r="U1305" s="21">
        <v>3.4852</v>
      </c>
      <c r="V1305" s="21">
        <v>22.9691</v>
      </c>
      <c r="W1305" s="21">
        <v>4.1821</v>
      </c>
      <c r="X1305" s="21">
        <v>4.7252</v>
      </c>
      <c r="Y1305" s="21">
        <v>0.6735</v>
      </c>
      <c r="Z1305" s="21">
        <v>0.7898</v>
      </c>
      <c r="AA1305" s="16" t="s">
        <v>2620</v>
      </c>
      <c r="AB1305" s="22">
        <f>IFERROR(__xludf.DUMMYFUNCTION("IFERROR(GOOGLEFINANCE(B1305,""price""),"""")"),126.79)</f>
        <v>126.79</v>
      </c>
    </row>
    <row r="1306">
      <c r="A1306" s="7">
        <v>46076.49609801202</v>
      </c>
      <c r="B1306" s="8" t="s">
        <v>2621</v>
      </c>
      <c r="C1306" s="8" t="s">
        <v>2622</v>
      </c>
      <c r="D1306" s="9">
        <v>46082.0</v>
      </c>
      <c r="E1306" s="10">
        <v>64.425</v>
      </c>
      <c r="F1306" s="8" t="s">
        <v>335</v>
      </c>
      <c r="G1306" s="13">
        <v>42.5528</v>
      </c>
      <c r="H1306" s="13">
        <v>1.514</v>
      </c>
      <c r="I1306" s="9">
        <v>46080.0</v>
      </c>
      <c r="J1306" s="10">
        <v>65.0</v>
      </c>
      <c r="K1306" s="8">
        <v>6059.0</v>
      </c>
      <c r="L1306" s="8" t="s">
        <v>2608</v>
      </c>
      <c r="M1306" s="11">
        <v>0.89</v>
      </c>
      <c r="N1306" s="8" t="s">
        <v>3858</v>
      </c>
      <c r="O1306" s="8">
        <v>8626.0</v>
      </c>
      <c r="P1306" s="11">
        <v>30.3487</v>
      </c>
      <c r="Q1306" s="8" t="s">
        <v>2624</v>
      </c>
      <c r="R1306" s="11">
        <v>0.1321</v>
      </c>
      <c r="S1306" s="12">
        <v>7437395.0</v>
      </c>
      <c r="T1306" s="12">
        <v>9.2591711685E10</v>
      </c>
      <c r="U1306" s="13">
        <v>2.805</v>
      </c>
      <c r="V1306" s="13">
        <v>11.9792</v>
      </c>
      <c r="W1306" s="13">
        <v>22.7913</v>
      </c>
      <c r="X1306" s="13">
        <v>-0.0477</v>
      </c>
      <c r="Y1306" s="13">
        <v>0.5552</v>
      </c>
      <c r="Z1306" s="13">
        <v>2.2911</v>
      </c>
      <c r="AA1306" s="8" t="s">
        <v>2620</v>
      </c>
      <c r="AB1306" s="14">
        <f>IFERROR(__xludf.DUMMYFUNCTION("IFERROR(GOOGLEFINANCE(B1306,""price""),"""")"),67.8)</f>
        <v>67.8</v>
      </c>
    </row>
    <row r="1307">
      <c r="A1307" s="15">
        <v>46076.49609801202</v>
      </c>
      <c r="B1307" s="16" t="s">
        <v>3416</v>
      </c>
      <c r="C1307" s="16" t="s">
        <v>3417</v>
      </c>
      <c r="D1307" s="17">
        <v>46082.0</v>
      </c>
      <c r="E1307" s="18">
        <v>68.75</v>
      </c>
      <c r="F1307" s="16" t="s">
        <v>286</v>
      </c>
      <c r="G1307" s="21">
        <v>16.7003</v>
      </c>
      <c r="H1307" s="21">
        <v>4.1167</v>
      </c>
      <c r="I1307" s="17">
        <v>46080.0</v>
      </c>
      <c r="J1307" s="18">
        <v>70.0</v>
      </c>
      <c r="K1307" s="16">
        <v>7019.0</v>
      </c>
      <c r="L1307" s="16" t="s">
        <v>2608</v>
      </c>
      <c r="M1307" s="19">
        <v>1.82</v>
      </c>
      <c r="N1307" s="16" t="s">
        <v>3859</v>
      </c>
      <c r="O1307" s="16">
        <v>7019.0</v>
      </c>
      <c r="P1307" s="19">
        <v>29.8994</v>
      </c>
      <c r="Q1307" s="16" t="s">
        <v>3419</v>
      </c>
      <c r="R1307" s="19">
        <v>1.7463</v>
      </c>
      <c r="S1307" s="20">
        <v>2964432.0</v>
      </c>
      <c r="T1307" s="20">
        <v>1.15408665708E11</v>
      </c>
      <c r="U1307" s="21">
        <v>1.405</v>
      </c>
      <c r="V1307" s="21"/>
      <c r="W1307" s="21">
        <v>63.7221</v>
      </c>
      <c r="X1307" s="21">
        <v>-1.4919</v>
      </c>
      <c r="Y1307" s="21"/>
      <c r="Z1307" s="21">
        <v>0.648</v>
      </c>
      <c r="AA1307" s="16" t="s">
        <v>2620</v>
      </c>
      <c r="AB1307" s="22">
        <f>IFERROR(__xludf.DUMMYFUNCTION("IFERROR(GOOGLEFINANCE(B1307,""price""),"""")"),67.38)</f>
        <v>67.38</v>
      </c>
    </row>
    <row r="1308">
      <c r="A1308" s="7">
        <v>46076.49609801202</v>
      </c>
      <c r="B1308" s="8" t="s">
        <v>2634</v>
      </c>
      <c r="C1308" s="8" t="s">
        <v>2635</v>
      </c>
      <c r="D1308" s="9">
        <v>46082.0</v>
      </c>
      <c r="E1308" s="10">
        <v>184.2</v>
      </c>
      <c r="F1308" s="8" t="s">
        <v>245</v>
      </c>
      <c r="G1308" s="13">
        <v>27.6955</v>
      </c>
      <c r="H1308" s="13">
        <v>6.6509</v>
      </c>
      <c r="I1308" s="9">
        <v>46080.0</v>
      </c>
      <c r="J1308" s="10">
        <v>187.5</v>
      </c>
      <c r="K1308" s="8">
        <v>3394.0</v>
      </c>
      <c r="L1308" s="8" t="s">
        <v>2608</v>
      </c>
      <c r="M1308" s="11">
        <v>1.79</v>
      </c>
      <c r="N1308" s="8" t="s">
        <v>3860</v>
      </c>
      <c r="O1308" s="8">
        <v>6481.0</v>
      </c>
      <c r="P1308" s="11">
        <v>52.8274</v>
      </c>
      <c r="Q1308" s="8" t="s">
        <v>2637</v>
      </c>
      <c r="R1308" s="11">
        <v>0.1468</v>
      </c>
      <c r="S1308" s="12">
        <v>2917751.0</v>
      </c>
      <c r="T1308" s="12">
        <v>3.70890665138E11</v>
      </c>
      <c r="U1308" s="13">
        <v>3.436</v>
      </c>
      <c r="V1308" s="13">
        <v>7.261</v>
      </c>
      <c r="W1308" s="13">
        <v>8.9022</v>
      </c>
      <c r="X1308" s="13">
        <v>-4.6053</v>
      </c>
      <c r="Y1308" s="13">
        <v>0.2186</v>
      </c>
      <c r="Z1308" s="13"/>
      <c r="AA1308" s="8" t="s">
        <v>2620</v>
      </c>
      <c r="AB1308" s="14">
        <f>IFERROR(__xludf.DUMMYFUNCTION("IFERROR(GOOGLEFINANCE(B1308,""price""),"""")"),188.55)</f>
        <v>188.55</v>
      </c>
    </row>
    <row r="1309">
      <c r="A1309" s="15">
        <v>46076.49609801202</v>
      </c>
      <c r="B1309" s="16" t="s">
        <v>3713</v>
      </c>
      <c r="C1309" s="16" t="s">
        <v>3714</v>
      </c>
      <c r="D1309" s="17">
        <v>46082.0</v>
      </c>
      <c r="E1309" s="18">
        <v>158.995</v>
      </c>
      <c r="F1309" s="16" t="s">
        <v>149</v>
      </c>
      <c r="G1309" s="21"/>
      <c r="H1309" s="21">
        <v>-0.2349</v>
      </c>
      <c r="I1309" s="17">
        <v>46101.0</v>
      </c>
      <c r="J1309" s="18">
        <v>160.0</v>
      </c>
      <c r="K1309" s="16">
        <v>6277.0</v>
      </c>
      <c r="L1309" s="16" t="s">
        <v>2608</v>
      </c>
      <c r="M1309" s="19">
        <v>0.63</v>
      </c>
      <c r="N1309" s="16" t="s">
        <v>3861</v>
      </c>
      <c r="O1309" s="16">
        <v>6277.0</v>
      </c>
      <c r="P1309" s="19">
        <v>24.5331</v>
      </c>
      <c r="Q1309" s="16" t="s">
        <v>3716</v>
      </c>
      <c r="R1309" s="19">
        <v>-2.2592</v>
      </c>
      <c r="S1309" s="20">
        <v>1603981.0</v>
      </c>
      <c r="T1309" s="20">
        <v>3.6945387959E10</v>
      </c>
      <c r="U1309" s="21">
        <v>5.5345</v>
      </c>
      <c r="V1309" s="21">
        <v>-24.6827</v>
      </c>
      <c r="W1309" s="21">
        <v>5.9214</v>
      </c>
      <c r="X1309" s="21">
        <v>8.8349</v>
      </c>
      <c r="Y1309" s="21">
        <v>38.3916</v>
      </c>
      <c r="Z1309" s="21">
        <v>0.9951</v>
      </c>
      <c r="AA1309" s="16" t="s">
        <v>2620</v>
      </c>
      <c r="AB1309" s="22">
        <f>IFERROR(__xludf.DUMMYFUNCTION("IFERROR(GOOGLEFINANCE(B1309,""price""),"""")"),160.59)</f>
        <v>160.59</v>
      </c>
    </row>
    <row r="1310">
      <c r="A1310" s="7">
        <v>46076.49609801202</v>
      </c>
      <c r="B1310" s="8" t="s">
        <v>1467</v>
      </c>
      <c r="C1310" s="8" t="s">
        <v>1468</v>
      </c>
      <c r="D1310" s="9">
        <v>46082.0</v>
      </c>
      <c r="E1310" s="10">
        <v>142.425</v>
      </c>
      <c r="F1310" s="8" t="s">
        <v>102</v>
      </c>
      <c r="G1310" s="13">
        <v>26.7928</v>
      </c>
      <c r="H1310" s="13">
        <v>5.3158</v>
      </c>
      <c r="I1310" s="9">
        <v>46101.0</v>
      </c>
      <c r="J1310" s="10">
        <v>140.0</v>
      </c>
      <c r="K1310" s="8">
        <v>5699.0</v>
      </c>
      <c r="L1310" s="8" t="s">
        <v>2608</v>
      </c>
      <c r="M1310" s="11">
        <v>1.7</v>
      </c>
      <c r="N1310" s="8" t="s">
        <v>3862</v>
      </c>
      <c r="O1310" s="8">
        <v>5699.0</v>
      </c>
      <c r="P1310" s="11">
        <v>48.4113</v>
      </c>
      <c r="Q1310" s="8" t="s">
        <v>1469</v>
      </c>
      <c r="R1310" s="11">
        <v>-0.9493</v>
      </c>
      <c r="S1310" s="12">
        <v>1279535.0</v>
      </c>
      <c r="T1310" s="12">
        <v>8.7173519068E10</v>
      </c>
      <c r="U1310" s="13">
        <v>3.4609</v>
      </c>
      <c r="V1310" s="13">
        <v>13.146</v>
      </c>
      <c r="W1310" s="13">
        <v>13.0805</v>
      </c>
      <c r="X1310" s="13">
        <v>-6.3935</v>
      </c>
      <c r="Y1310" s="13">
        <v>0.735</v>
      </c>
      <c r="Z1310" s="13">
        <v>0.9638</v>
      </c>
      <c r="AA1310" s="8" t="s">
        <v>2611</v>
      </c>
      <c r="AB1310" s="14">
        <f>IFERROR(__xludf.DUMMYFUNCTION("IFERROR(GOOGLEFINANCE(B1310,""price""),"""")"),142.53)</f>
        <v>142.53</v>
      </c>
    </row>
    <row r="1311">
      <c r="A1311" s="15">
        <v>46076.49609801202</v>
      </c>
      <c r="B1311" s="16" t="s">
        <v>3385</v>
      </c>
      <c r="C1311" s="16" t="s">
        <v>3386</v>
      </c>
      <c r="D1311" s="17">
        <v>46082.0</v>
      </c>
      <c r="E1311" s="18">
        <v>45.01</v>
      </c>
      <c r="F1311" s="16" t="s">
        <v>129</v>
      </c>
      <c r="G1311" s="21">
        <v>41.1388</v>
      </c>
      <c r="H1311" s="21">
        <v>1.0941</v>
      </c>
      <c r="I1311" s="17">
        <v>46101.0</v>
      </c>
      <c r="J1311" s="18">
        <v>45.0</v>
      </c>
      <c r="K1311" s="16">
        <v>2368.0</v>
      </c>
      <c r="L1311" s="16" t="s">
        <v>2608</v>
      </c>
      <c r="M1311" s="19">
        <v>0.02</v>
      </c>
      <c r="N1311" s="16" t="s">
        <v>3863</v>
      </c>
      <c r="O1311" s="16">
        <v>4321.0</v>
      </c>
      <c r="P1311" s="19">
        <v>17.8778</v>
      </c>
      <c r="Q1311" s="16" t="s">
        <v>3388</v>
      </c>
      <c r="R1311" s="19">
        <v>-2.6179</v>
      </c>
      <c r="S1311" s="20">
        <v>2155222.0</v>
      </c>
      <c r="T1311" s="20">
        <v>5.1679547121E10</v>
      </c>
      <c r="U1311" s="21">
        <v>1.2344</v>
      </c>
      <c r="V1311" s="21">
        <v>33.2967</v>
      </c>
      <c r="W1311" s="21">
        <v>20.1917</v>
      </c>
      <c r="X1311" s="21">
        <v>8.6721</v>
      </c>
      <c r="Y1311" s="21">
        <v>0.1121</v>
      </c>
      <c r="Z1311" s="21">
        <v>4.852</v>
      </c>
      <c r="AA1311" s="16" t="s">
        <v>2611</v>
      </c>
      <c r="AB1311" s="22">
        <f>IFERROR(__xludf.DUMMYFUNCTION("IFERROR(GOOGLEFINANCE(B1311,""price""),"""")"),49.17)</f>
        <v>49.17</v>
      </c>
    </row>
    <row r="1312">
      <c r="A1312" s="7">
        <v>46076.49609801202</v>
      </c>
      <c r="B1312" s="8" t="s">
        <v>2700</v>
      </c>
      <c r="C1312" s="8" t="s">
        <v>2701</v>
      </c>
      <c r="D1312" s="9">
        <v>46082.0</v>
      </c>
      <c r="E1312" s="10">
        <v>237.59</v>
      </c>
      <c r="F1312" s="8" t="s">
        <v>102</v>
      </c>
      <c r="G1312" s="13">
        <v>48.6935</v>
      </c>
      <c r="H1312" s="13">
        <v>4.8793</v>
      </c>
      <c r="I1312" s="9">
        <v>46080.0</v>
      </c>
      <c r="J1312" s="10">
        <v>237.5</v>
      </c>
      <c r="K1312" s="8">
        <v>2485.0</v>
      </c>
      <c r="L1312" s="8" t="s">
        <v>2627</v>
      </c>
      <c r="M1312" s="11">
        <v>0.04</v>
      </c>
      <c r="N1312" s="8" t="s">
        <v>3864</v>
      </c>
      <c r="O1312" s="8">
        <v>4105.0</v>
      </c>
      <c r="P1312" s="11">
        <v>32.1775</v>
      </c>
      <c r="Q1312" s="8" t="s">
        <v>2703</v>
      </c>
      <c r="R1312" s="11">
        <v>-2.9928</v>
      </c>
      <c r="S1312" s="12">
        <v>3613717.0</v>
      </c>
      <c r="T1312" s="12">
        <v>2.96695498744E11</v>
      </c>
      <c r="U1312" s="13">
        <v>11.5173</v>
      </c>
      <c r="V1312" s="13">
        <v>65.5649</v>
      </c>
      <c r="W1312" s="13">
        <v>33.7646</v>
      </c>
      <c r="X1312" s="13">
        <v>26.8457</v>
      </c>
      <c r="Y1312" s="13">
        <v>0.4419</v>
      </c>
      <c r="Z1312" s="13">
        <v>2.2562</v>
      </c>
      <c r="AA1312" s="8" t="s">
        <v>2611</v>
      </c>
      <c r="AB1312" s="14">
        <f>IFERROR(__xludf.DUMMYFUNCTION("IFERROR(GOOGLEFINANCE(B1312,""price""),"""")"),263.66)</f>
        <v>263.66</v>
      </c>
    </row>
    <row r="1313">
      <c r="A1313" s="15">
        <v>46076.49609801202</v>
      </c>
      <c r="B1313" s="16" t="s">
        <v>3684</v>
      </c>
      <c r="C1313" s="16" t="s">
        <v>3685</v>
      </c>
      <c r="D1313" s="17">
        <v>46082.0</v>
      </c>
      <c r="E1313" s="18">
        <v>36.755</v>
      </c>
      <c r="F1313" s="16" t="s">
        <v>917</v>
      </c>
      <c r="G1313" s="21">
        <v>23.1498</v>
      </c>
      <c r="H1313" s="21">
        <v>1.5877</v>
      </c>
      <c r="I1313" s="17">
        <v>46101.0</v>
      </c>
      <c r="J1313" s="18">
        <v>37.0</v>
      </c>
      <c r="K1313" s="16">
        <v>3942.0</v>
      </c>
      <c r="L1313" s="16" t="s">
        <v>2608</v>
      </c>
      <c r="M1313" s="19">
        <v>0.67</v>
      </c>
      <c r="N1313" s="16" t="s">
        <v>3865</v>
      </c>
      <c r="O1313" s="16">
        <v>3942.0</v>
      </c>
      <c r="P1313" s="19">
        <v>19.359</v>
      </c>
      <c r="Q1313" s="16" t="s">
        <v>3687</v>
      </c>
      <c r="R1313" s="19">
        <v>-1.8296</v>
      </c>
      <c r="S1313" s="20">
        <v>7808353.0</v>
      </c>
      <c r="T1313" s="20">
        <v>2.718911318E10</v>
      </c>
      <c r="U1313" s="21">
        <v>0.7488</v>
      </c>
      <c r="V1313" s="21">
        <v>8.1497</v>
      </c>
      <c r="W1313" s="21">
        <v>23.6452</v>
      </c>
      <c r="X1313" s="21">
        <v>6.8542</v>
      </c>
      <c r="Y1313" s="21">
        <v>1.3003</v>
      </c>
      <c r="Z1313" s="21">
        <v>0.8647</v>
      </c>
      <c r="AA1313" s="16" t="s">
        <v>2620</v>
      </c>
      <c r="AB1313" s="22">
        <f>IFERROR(__xludf.DUMMYFUNCTION("IFERROR(GOOGLEFINANCE(B1313,""price""),"""")"),39.65)</f>
        <v>39.65</v>
      </c>
    </row>
    <row r="1314">
      <c r="A1314" s="7">
        <v>46076.49609801202</v>
      </c>
      <c r="B1314" s="8" t="s">
        <v>2606</v>
      </c>
      <c r="C1314" s="8" t="s">
        <v>2607</v>
      </c>
      <c r="D1314" s="9">
        <v>46082.0</v>
      </c>
      <c r="E1314" s="10">
        <v>50.36</v>
      </c>
      <c r="F1314" s="8" t="s">
        <v>93</v>
      </c>
      <c r="G1314" s="13">
        <v>14.2469</v>
      </c>
      <c r="H1314" s="13">
        <v>3.5348</v>
      </c>
      <c r="I1314" s="9">
        <v>46101.0</v>
      </c>
      <c r="J1314" s="10">
        <v>50.0</v>
      </c>
      <c r="K1314" s="8">
        <v>3506.0</v>
      </c>
      <c r="L1314" s="8" t="s">
        <v>2608</v>
      </c>
      <c r="M1314" s="11">
        <v>0.71</v>
      </c>
      <c r="N1314" s="8" t="s">
        <v>3866</v>
      </c>
      <c r="O1314" s="8">
        <v>3506.0</v>
      </c>
      <c r="P1314" s="11">
        <v>33.7089</v>
      </c>
      <c r="Q1314" s="8" t="s">
        <v>2610</v>
      </c>
      <c r="R1314" s="11">
        <v>-6.0798</v>
      </c>
      <c r="S1314" s="12">
        <v>2978666.0</v>
      </c>
      <c r="T1314" s="12">
        <v>4.5897634035E10</v>
      </c>
      <c r="U1314" s="13">
        <v>1.5567</v>
      </c>
      <c r="V1314" s="13">
        <v>12.1975</v>
      </c>
      <c r="W1314" s="13">
        <v>23.4205</v>
      </c>
      <c r="X1314" s="13">
        <v>2.2457</v>
      </c>
      <c r="Y1314" s="13">
        <v>0.6682</v>
      </c>
      <c r="Z1314" s="13">
        <v>0.2832</v>
      </c>
      <c r="AA1314" s="8" t="s">
        <v>2611</v>
      </c>
      <c r="AB1314" s="14">
        <f>IFERROR(__xludf.DUMMYFUNCTION("IFERROR(GOOGLEFINANCE(B1314,""price""),"""")"),49.31)</f>
        <v>49.31</v>
      </c>
    </row>
    <row r="1315">
      <c r="A1315" s="15">
        <v>46076.49609801202</v>
      </c>
      <c r="B1315" s="16" t="s">
        <v>2297</v>
      </c>
      <c r="C1315" s="16" t="s">
        <v>2298</v>
      </c>
      <c r="D1315" s="17">
        <v>46082.0</v>
      </c>
      <c r="E1315" s="18">
        <v>104.3899</v>
      </c>
      <c r="F1315" s="16" t="s">
        <v>917</v>
      </c>
      <c r="G1315" s="21">
        <v>26.6818</v>
      </c>
      <c r="H1315" s="21">
        <v>3.9124</v>
      </c>
      <c r="I1315" s="17">
        <v>46101.0</v>
      </c>
      <c r="J1315" s="18">
        <v>105.0</v>
      </c>
      <c r="K1315" s="16">
        <v>3290.0</v>
      </c>
      <c r="L1315" s="16" t="s">
        <v>2608</v>
      </c>
      <c r="M1315" s="19">
        <v>0.58</v>
      </c>
      <c r="N1315" s="16" t="s">
        <v>3867</v>
      </c>
      <c r="O1315" s="16">
        <v>3290.0</v>
      </c>
      <c r="P1315" s="19">
        <v>32.6894</v>
      </c>
      <c r="Q1315" s="16" t="s">
        <v>2299</v>
      </c>
      <c r="R1315" s="19">
        <v>0.3556</v>
      </c>
      <c r="S1315" s="20">
        <v>1105638.0</v>
      </c>
      <c r="T1315" s="20">
        <v>4.7287562327E10</v>
      </c>
      <c r="U1315" s="21">
        <v>2.0983</v>
      </c>
      <c r="V1315" s="21">
        <v>10.931</v>
      </c>
      <c r="W1315" s="21">
        <v>22.9697</v>
      </c>
      <c r="X1315" s="21">
        <v>8.3782</v>
      </c>
      <c r="Y1315" s="21">
        <v>1.8276</v>
      </c>
      <c r="Z1315" s="21">
        <v>0.7243</v>
      </c>
      <c r="AA1315" s="16" t="s">
        <v>2620</v>
      </c>
      <c r="AB1315" s="22">
        <f>IFERROR(__xludf.DUMMYFUNCTION("IFERROR(GOOGLEFINANCE(B1315,""price""),"""")"),116.47)</f>
        <v>116.47</v>
      </c>
    </row>
    <row r="1316">
      <c r="A1316" s="7">
        <v>46076.49609801202</v>
      </c>
      <c r="B1316" s="8" t="s">
        <v>2710</v>
      </c>
      <c r="C1316" s="8" t="s">
        <v>2711</v>
      </c>
      <c r="D1316" s="9">
        <v>46082.0</v>
      </c>
      <c r="E1316" s="10">
        <v>131.0599</v>
      </c>
      <c r="F1316" s="8" t="s">
        <v>917</v>
      </c>
      <c r="G1316" s="13">
        <v>19.679</v>
      </c>
      <c r="H1316" s="13">
        <v>6.6599</v>
      </c>
      <c r="I1316" s="9">
        <v>46101.0</v>
      </c>
      <c r="J1316" s="10">
        <v>130.0</v>
      </c>
      <c r="K1316" s="8">
        <v>2820.0</v>
      </c>
      <c r="L1316" s="8" t="s">
        <v>2608</v>
      </c>
      <c r="M1316" s="11">
        <v>0.81</v>
      </c>
      <c r="N1316" s="8" t="s">
        <v>3868</v>
      </c>
      <c r="O1316" s="8">
        <v>2820.0</v>
      </c>
      <c r="P1316" s="11">
        <v>39.2918</v>
      </c>
      <c r="Q1316" s="8" t="s">
        <v>2713</v>
      </c>
      <c r="R1316" s="11">
        <v>1.3063</v>
      </c>
      <c r="S1316" s="12">
        <v>1017923.0</v>
      </c>
      <c r="T1316" s="12">
        <v>7.08852529E10</v>
      </c>
      <c r="U1316" s="13">
        <v>2.526</v>
      </c>
      <c r="V1316" s="13">
        <v>12.3274</v>
      </c>
      <c r="W1316" s="13">
        <v>25.0742</v>
      </c>
      <c r="X1316" s="13">
        <v>10.4587</v>
      </c>
      <c r="Y1316" s="13">
        <v>1.5949</v>
      </c>
      <c r="Z1316" s="13">
        <v>0.4546</v>
      </c>
      <c r="AA1316" s="8" t="s">
        <v>2611</v>
      </c>
      <c r="AB1316" s="14">
        <f>IFERROR(__xludf.DUMMYFUNCTION("IFERROR(GOOGLEFINANCE(B1316,""price""),"""")"),136.3)</f>
        <v>136.3</v>
      </c>
    </row>
    <row r="1317">
      <c r="A1317" s="15">
        <v>46076.49609801202</v>
      </c>
      <c r="B1317" s="16" t="s">
        <v>2726</v>
      </c>
      <c r="C1317" s="16" t="s">
        <v>2727</v>
      </c>
      <c r="D1317" s="17">
        <v>46082.0</v>
      </c>
      <c r="E1317" s="18">
        <v>84.65</v>
      </c>
      <c r="F1317" s="16" t="s">
        <v>286</v>
      </c>
      <c r="G1317" s="21">
        <v>48.1897</v>
      </c>
      <c r="H1317" s="21">
        <v>1.7566</v>
      </c>
      <c r="I1317" s="17">
        <v>46101.0</v>
      </c>
      <c r="J1317" s="18">
        <v>85.0</v>
      </c>
      <c r="K1317" s="16">
        <v>2600.0</v>
      </c>
      <c r="L1317" s="16" t="s">
        <v>2608</v>
      </c>
      <c r="M1317" s="19">
        <v>0.41</v>
      </c>
      <c r="N1317" s="16" t="s">
        <v>3869</v>
      </c>
      <c r="O1317" s="16">
        <v>2600.0</v>
      </c>
      <c r="P1317" s="19">
        <v>34.7633</v>
      </c>
      <c r="Q1317" s="16" t="s">
        <v>2729</v>
      </c>
      <c r="R1317" s="19">
        <v>1.0626</v>
      </c>
      <c r="S1317" s="20">
        <v>2361734.0</v>
      </c>
      <c r="T1317" s="20">
        <v>8.2704844929E10</v>
      </c>
      <c r="U1317" s="21">
        <v>1.5673</v>
      </c>
      <c r="V1317" s="21">
        <v>25.538</v>
      </c>
      <c r="W1317" s="21">
        <v>29.9505</v>
      </c>
      <c r="X1317" s="21">
        <v>7.618</v>
      </c>
      <c r="Y1317" s="21">
        <v>0.0</v>
      </c>
      <c r="Z1317" s="21">
        <v>3.1855</v>
      </c>
      <c r="AA1317" s="16" t="s">
        <v>2620</v>
      </c>
      <c r="AB1317" s="22">
        <f>IFERROR(__xludf.DUMMYFUNCTION("IFERROR(GOOGLEFINANCE(B1317,""price""),"""")"),75.72)</f>
        <v>75.72</v>
      </c>
    </row>
    <row r="1318">
      <c r="A1318" s="7">
        <v>46076.49609801202</v>
      </c>
      <c r="B1318" s="8" t="s">
        <v>2692</v>
      </c>
      <c r="C1318" s="8" t="s">
        <v>2693</v>
      </c>
      <c r="D1318" s="9">
        <v>46082.0</v>
      </c>
      <c r="E1318" s="10">
        <v>245.49</v>
      </c>
      <c r="F1318" s="8" t="s">
        <v>117</v>
      </c>
      <c r="G1318" s="13">
        <v>22.2247</v>
      </c>
      <c r="H1318" s="13">
        <v>11.0458</v>
      </c>
      <c r="I1318" s="9">
        <v>46080.0</v>
      </c>
      <c r="J1318" s="10">
        <v>245.0</v>
      </c>
      <c r="K1318" s="8">
        <v>2591.0</v>
      </c>
      <c r="L1318" s="8" t="s">
        <v>2608</v>
      </c>
      <c r="M1318" s="11">
        <v>0.2</v>
      </c>
      <c r="N1318" s="8" t="s">
        <v>3870</v>
      </c>
      <c r="O1318" s="8">
        <v>2591.0</v>
      </c>
      <c r="P1318" s="11">
        <v>42.5101</v>
      </c>
      <c r="Q1318" s="8" t="s">
        <v>2695</v>
      </c>
      <c r="R1318" s="11">
        <v>1.2372</v>
      </c>
      <c r="S1318" s="12">
        <v>3536744.0</v>
      </c>
      <c r="T1318" s="12">
        <v>5.91606100692E11</v>
      </c>
      <c r="U1318" s="13">
        <v>3.8295</v>
      </c>
      <c r="V1318" s="13">
        <v>35.0301</v>
      </c>
      <c r="W1318" s="13">
        <v>27.2081</v>
      </c>
      <c r="X1318" s="13">
        <v>6.046</v>
      </c>
      <c r="Y1318" s="13">
        <v>0.605</v>
      </c>
      <c r="Z1318" s="13">
        <v>1.0277</v>
      </c>
      <c r="AA1318" s="8" t="s">
        <v>2611</v>
      </c>
      <c r="AB1318" s="14">
        <f>IFERROR(__xludf.DUMMYFUNCTION("IFERROR(GOOGLEFINANCE(B1318,""price""),"""")"),238.46)</f>
        <v>238.46</v>
      </c>
    </row>
    <row r="1319">
      <c r="A1319" s="15">
        <v>46076.49609801202</v>
      </c>
      <c r="B1319" s="16" t="s">
        <v>1570</v>
      </c>
      <c r="C1319" s="16" t="s">
        <v>1571</v>
      </c>
      <c r="D1319" s="17">
        <v>46082.0</v>
      </c>
      <c r="E1319" s="18">
        <v>50.405</v>
      </c>
      <c r="F1319" s="16" t="s">
        <v>917</v>
      </c>
      <c r="G1319" s="21">
        <v>28.5629</v>
      </c>
      <c r="H1319" s="21">
        <v>1.7647</v>
      </c>
      <c r="I1319" s="17">
        <v>46101.0</v>
      </c>
      <c r="J1319" s="18">
        <v>50.0</v>
      </c>
      <c r="K1319" s="16">
        <v>2346.0</v>
      </c>
      <c r="L1319" s="16" t="s">
        <v>2608</v>
      </c>
      <c r="M1319" s="19">
        <v>0.8</v>
      </c>
      <c r="N1319" s="16" t="s">
        <v>3871</v>
      </c>
      <c r="O1319" s="16">
        <v>2346.0</v>
      </c>
      <c r="P1319" s="19">
        <v>38.2545</v>
      </c>
      <c r="Q1319" s="16" t="s">
        <v>1572</v>
      </c>
      <c r="R1319" s="19">
        <v>0.4084</v>
      </c>
      <c r="S1319" s="20">
        <v>1189492.0</v>
      </c>
      <c r="T1319" s="20">
        <v>2.9130706318E10</v>
      </c>
      <c r="U1319" s="21">
        <v>0.9041</v>
      </c>
      <c r="V1319" s="21">
        <v>8.1714</v>
      </c>
      <c r="W1319" s="21">
        <v>18.774</v>
      </c>
      <c r="X1319" s="21">
        <v>12.0101</v>
      </c>
      <c r="Y1319" s="21">
        <v>2.1457</v>
      </c>
      <c r="Z1319" s="21">
        <v>0.5652</v>
      </c>
      <c r="AA1319" s="16" t="s">
        <v>2611</v>
      </c>
      <c r="AB1319" s="22">
        <f>IFERROR(__xludf.DUMMYFUNCTION("IFERROR(GOOGLEFINANCE(B1319,""price""),"""")"),51.43)</f>
        <v>51.43</v>
      </c>
    </row>
    <row r="1320">
      <c r="A1320" s="7">
        <v>46076.49609801202</v>
      </c>
      <c r="B1320" s="8" t="s">
        <v>1080</v>
      </c>
      <c r="C1320" s="8" t="s">
        <v>1081</v>
      </c>
      <c r="D1320" s="9">
        <v>46082.0</v>
      </c>
      <c r="E1320" s="10">
        <v>34.62</v>
      </c>
      <c r="F1320" s="8" t="s">
        <v>308</v>
      </c>
      <c r="G1320" s="13"/>
      <c r="H1320" s="13">
        <v>-0.2955</v>
      </c>
      <c r="I1320" s="9">
        <v>46101.0</v>
      </c>
      <c r="J1320" s="10">
        <v>35.0</v>
      </c>
      <c r="K1320" s="8">
        <v>1833.0</v>
      </c>
      <c r="L1320" s="8" t="s">
        <v>2608</v>
      </c>
      <c r="M1320" s="11">
        <v>1.1</v>
      </c>
      <c r="N1320" s="8" t="s">
        <v>3872</v>
      </c>
      <c r="O1320" s="8">
        <v>1833.0</v>
      </c>
      <c r="P1320" s="11">
        <v>21.5699</v>
      </c>
      <c r="Q1320" s="8" t="s">
        <v>1082</v>
      </c>
      <c r="R1320" s="11">
        <v>3.0357</v>
      </c>
      <c r="S1320" s="12">
        <v>1125370.0</v>
      </c>
      <c r="T1320" s="12">
        <v>1.06031854E9</v>
      </c>
      <c r="U1320" s="13">
        <v>3.2551</v>
      </c>
      <c r="V1320" s="13">
        <v>-6.9744</v>
      </c>
      <c r="W1320" s="13">
        <v>-22.8493</v>
      </c>
      <c r="X1320" s="13">
        <v>4.9552</v>
      </c>
      <c r="Y1320" s="13">
        <v>0.0777</v>
      </c>
      <c r="Z1320" s="13">
        <v>10.6188</v>
      </c>
      <c r="AA1320" s="8" t="s">
        <v>2620</v>
      </c>
      <c r="AB1320" s="14">
        <f>IFERROR(__xludf.DUMMYFUNCTION("IFERROR(GOOGLEFINANCE(B1320,""price""),"""")"),70.43)</f>
        <v>70.43</v>
      </c>
    </row>
    <row r="1321">
      <c r="A1321" s="15">
        <v>46076.49609801202</v>
      </c>
      <c r="B1321" s="16" t="s">
        <v>3873</v>
      </c>
      <c r="C1321" s="16" t="s">
        <v>3874</v>
      </c>
      <c r="D1321" s="17">
        <v>46082.0</v>
      </c>
      <c r="E1321" s="18">
        <v>74.595</v>
      </c>
      <c r="F1321" s="16" t="s">
        <v>149</v>
      </c>
      <c r="G1321" s="21">
        <v>35.6249</v>
      </c>
      <c r="H1321" s="21">
        <v>2.0939</v>
      </c>
      <c r="I1321" s="17">
        <v>46101.0</v>
      </c>
      <c r="J1321" s="18">
        <v>75.0</v>
      </c>
      <c r="K1321" s="16">
        <v>1608.0</v>
      </c>
      <c r="L1321" s="16" t="s">
        <v>2627</v>
      </c>
      <c r="M1321" s="19">
        <v>0.54</v>
      </c>
      <c r="N1321" s="16" t="s">
        <v>3875</v>
      </c>
      <c r="O1321" s="16">
        <v>1608.0</v>
      </c>
      <c r="P1321" s="19">
        <v>25.2102</v>
      </c>
      <c r="Q1321" s="16" t="s">
        <v>3876</v>
      </c>
      <c r="R1321" s="19">
        <v>-4.3531</v>
      </c>
      <c r="S1321" s="20">
        <v>1113103.0</v>
      </c>
      <c r="T1321" s="20">
        <v>1.2110423851E10</v>
      </c>
      <c r="U1321" s="21">
        <v>2.1334</v>
      </c>
      <c r="V1321" s="21"/>
      <c r="W1321" s="21">
        <v>16.0229</v>
      </c>
      <c r="X1321" s="21">
        <v>9.2423</v>
      </c>
      <c r="Y1321" s="21"/>
      <c r="Z1321" s="21"/>
      <c r="AA1321" s="16" t="s">
        <v>2620</v>
      </c>
      <c r="AB1321" s="22">
        <f>IFERROR(__xludf.DUMMYFUNCTION("IFERROR(GOOGLEFINANCE(B1321,""price""),"""")"),79.01)</f>
        <v>79.01</v>
      </c>
    </row>
    <row r="1322">
      <c r="A1322" s="7">
        <v>46076.49609801202</v>
      </c>
      <c r="B1322" s="8" t="s">
        <v>2663</v>
      </c>
      <c r="C1322" s="8" t="s">
        <v>2664</v>
      </c>
      <c r="D1322" s="9">
        <v>46082.0</v>
      </c>
      <c r="E1322" s="10">
        <v>122.87</v>
      </c>
      <c r="F1322" s="8" t="s">
        <v>335</v>
      </c>
      <c r="G1322" s="13">
        <v>19.2405</v>
      </c>
      <c r="H1322" s="13">
        <v>6.386</v>
      </c>
      <c r="I1322" s="9">
        <v>46080.0</v>
      </c>
      <c r="J1322" s="10">
        <v>125.0</v>
      </c>
      <c r="K1322" s="8">
        <v>1466.0</v>
      </c>
      <c r="L1322" s="8" t="s">
        <v>2608</v>
      </c>
      <c r="M1322" s="11">
        <v>1.73</v>
      </c>
      <c r="N1322" s="8" t="s">
        <v>3877</v>
      </c>
      <c r="O1322" s="8">
        <v>1466.0</v>
      </c>
      <c r="P1322" s="11">
        <v>17.1859</v>
      </c>
      <c r="Q1322" s="8" t="s">
        <v>2666</v>
      </c>
      <c r="R1322" s="11">
        <v>0.6059</v>
      </c>
      <c r="S1322" s="12">
        <v>4142350.0</v>
      </c>
      <c r="T1322" s="12">
        <v>1.33667108251E11</v>
      </c>
      <c r="U1322" s="13">
        <v>5.7245</v>
      </c>
      <c r="V1322" s="13">
        <v>22.2118</v>
      </c>
      <c r="W1322" s="13">
        <v>46.8525</v>
      </c>
      <c r="X1322" s="13">
        <v>18.5716</v>
      </c>
      <c r="Y1322" s="13">
        <v>0.1687</v>
      </c>
      <c r="Z1322" s="13">
        <v>2.2875</v>
      </c>
      <c r="AA1322" s="8" t="s">
        <v>2620</v>
      </c>
      <c r="AB1322" s="14">
        <f>IFERROR(__xludf.DUMMYFUNCTION("IFERROR(GOOGLEFINANCE(B1322,""price""),"""")"),120.9)</f>
        <v>120.9</v>
      </c>
    </row>
    <row r="1323">
      <c r="A1323" s="15">
        <v>46076.49609801202</v>
      </c>
      <c r="B1323" s="16" t="s">
        <v>2438</v>
      </c>
      <c r="C1323" s="16" t="s">
        <v>2439</v>
      </c>
      <c r="D1323" s="17">
        <v>46082.0</v>
      </c>
      <c r="E1323" s="18">
        <v>221.8425</v>
      </c>
      <c r="F1323" s="16" t="s">
        <v>308</v>
      </c>
      <c r="G1323" s="21">
        <v>40.7394</v>
      </c>
      <c r="H1323" s="21">
        <v>5.4454</v>
      </c>
      <c r="I1323" s="17">
        <v>46080.0</v>
      </c>
      <c r="J1323" s="18">
        <v>220.0</v>
      </c>
      <c r="K1323" s="16">
        <v>1038.0</v>
      </c>
      <c r="L1323" s="16" t="s">
        <v>2608</v>
      </c>
      <c r="M1323" s="19">
        <v>0.83</v>
      </c>
      <c r="N1323" s="16" t="s">
        <v>3878</v>
      </c>
      <c r="O1323" s="16">
        <v>1038.0</v>
      </c>
      <c r="P1323" s="19">
        <v>49.5055</v>
      </c>
      <c r="Q1323" s="16" t="s">
        <v>2440</v>
      </c>
      <c r="R1323" s="19">
        <v>0.9614</v>
      </c>
      <c r="S1323" s="20">
        <v>2803499.0</v>
      </c>
      <c r="T1323" s="20">
        <v>2.01333316734E11</v>
      </c>
      <c r="U1323" s="21">
        <v>6.3135</v>
      </c>
      <c r="V1323" s="21">
        <v>29.9795</v>
      </c>
      <c r="W1323" s="21">
        <v>34.7246</v>
      </c>
      <c r="X1323" s="21">
        <v>13.049</v>
      </c>
      <c r="Y1323" s="21">
        <v>0.9082</v>
      </c>
      <c r="Z1323" s="21">
        <v>4.3526</v>
      </c>
      <c r="AA1323" s="16" t="s">
        <v>2611</v>
      </c>
      <c r="AB1323" s="22">
        <f>IFERROR(__xludf.DUMMYFUNCTION("IFERROR(GOOGLEFINANCE(B1323,""price""),"""")"),214.73)</f>
        <v>214.73</v>
      </c>
    </row>
    <row r="1324">
      <c r="A1324" s="7">
        <v>46076.49609801202</v>
      </c>
      <c r="B1324" s="8" t="s">
        <v>3237</v>
      </c>
      <c r="C1324" s="8" t="s">
        <v>3238</v>
      </c>
      <c r="D1324" s="9">
        <v>46082.0</v>
      </c>
      <c r="E1324" s="10">
        <v>332.58</v>
      </c>
      <c r="F1324" s="8" t="s">
        <v>149</v>
      </c>
      <c r="G1324" s="13">
        <v>27.8251</v>
      </c>
      <c r="H1324" s="13">
        <v>11.9525</v>
      </c>
      <c r="I1324" s="9">
        <v>46080.0</v>
      </c>
      <c r="J1324" s="10">
        <v>330.0</v>
      </c>
      <c r="K1324" s="8">
        <v>1005.0</v>
      </c>
      <c r="L1324" s="8" t="s">
        <v>2608</v>
      </c>
      <c r="M1324" s="11">
        <v>0.78</v>
      </c>
      <c r="N1324" s="8" t="s">
        <v>3879</v>
      </c>
      <c r="O1324" s="8">
        <v>1005.0</v>
      </c>
      <c r="P1324" s="11">
        <v>35.4074</v>
      </c>
      <c r="Q1324" s="8" t="s">
        <v>3240</v>
      </c>
      <c r="R1324" s="11">
        <v>1.0175</v>
      </c>
      <c r="S1324" s="12">
        <v>1448291.0</v>
      </c>
      <c r="T1324" s="12">
        <v>2.36848304258E11</v>
      </c>
      <c r="U1324" s="13">
        <v>5.6509</v>
      </c>
      <c r="V1324" s="13"/>
      <c r="W1324" s="13">
        <v>46.1038</v>
      </c>
      <c r="X1324" s="13">
        <v>3.723</v>
      </c>
      <c r="Y1324" s="13"/>
      <c r="Z1324" s="13">
        <v>0.9546</v>
      </c>
      <c r="AA1324" s="8" t="s">
        <v>2611</v>
      </c>
      <c r="AB1324" s="14">
        <f>IFERROR(__xludf.DUMMYFUNCTION("IFERROR(GOOGLEFINANCE(B1324,""price""),"""")"),305.68)</f>
        <v>305.68</v>
      </c>
    </row>
    <row r="1325">
      <c r="A1325" s="15">
        <v>46076.49609801202</v>
      </c>
      <c r="B1325" s="16" t="s">
        <v>2915</v>
      </c>
      <c r="C1325" s="16" t="s">
        <v>2916</v>
      </c>
      <c r="D1325" s="17">
        <v>46082.0</v>
      </c>
      <c r="E1325" s="18">
        <v>149.91</v>
      </c>
      <c r="F1325" s="16" t="s">
        <v>117</v>
      </c>
      <c r="G1325" s="21">
        <v>22.1106</v>
      </c>
      <c r="H1325" s="21">
        <v>6.78</v>
      </c>
      <c r="I1325" s="17">
        <v>46080.0</v>
      </c>
      <c r="J1325" s="18">
        <v>150.0</v>
      </c>
      <c r="K1325" s="16">
        <v>1004.0</v>
      </c>
      <c r="L1325" s="16" t="s">
        <v>2627</v>
      </c>
      <c r="M1325" s="19">
        <v>0.06</v>
      </c>
      <c r="N1325" s="16" t="s">
        <v>3880</v>
      </c>
      <c r="O1325" s="16">
        <v>1004.0</v>
      </c>
      <c r="P1325" s="19">
        <v>46.9415</v>
      </c>
      <c r="Q1325" s="16" t="s">
        <v>2918</v>
      </c>
      <c r="R1325" s="19">
        <v>-0.9841</v>
      </c>
      <c r="S1325" s="20">
        <v>2613588.0</v>
      </c>
      <c r="T1325" s="20">
        <v>1.85990266156E11</v>
      </c>
      <c r="U1325" s="21">
        <v>3.9789</v>
      </c>
      <c r="V1325" s="21">
        <v>40.574</v>
      </c>
      <c r="W1325" s="21">
        <v>40.0843</v>
      </c>
      <c r="X1325" s="21">
        <v>2.4054</v>
      </c>
      <c r="Y1325" s="21"/>
      <c r="Z1325" s="21">
        <v>1.6834</v>
      </c>
      <c r="AA1325" s="16" t="s">
        <v>2620</v>
      </c>
      <c r="AB1325" s="22">
        <f>IFERROR(__xludf.DUMMYFUNCTION("IFERROR(GOOGLEFINANCE(B1325,""price""),"""")"),139.03)</f>
        <v>139.03</v>
      </c>
    </row>
    <row r="1326">
      <c r="A1326" s="7">
        <v>46076.62754833001</v>
      </c>
      <c r="B1326" s="8" t="s">
        <v>2630</v>
      </c>
      <c r="C1326" s="8" t="s">
        <v>2631</v>
      </c>
      <c r="D1326" s="9">
        <v>46082.0</v>
      </c>
      <c r="E1326" s="10">
        <v>421.785</v>
      </c>
      <c r="F1326" s="8" t="s">
        <v>308</v>
      </c>
      <c r="G1326" s="13">
        <v>40.0936</v>
      </c>
      <c r="H1326" s="13">
        <v>10.52</v>
      </c>
      <c r="I1326" s="9">
        <v>46080.0</v>
      </c>
      <c r="J1326" s="10">
        <v>420.0</v>
      </c>
      <c r="K1326" s="8">
        <v>14188.0</v>
      </c>
      <c r="L1326" s="8" t="s">
        <v>2627</v>
      </c>
      <c r="M1326" s="11">
        <v>0.42</v>
      </c>
      <c r="N1326" s="8" t="s">
        <v>3881</v>
      </c>
      <c r="O1326" s="8">
        <v>31334.0</v>
      </c>
      <c r="P1326" s="11">
        <v>36.9157</v>
      </c>
      <c r="Q1326" s="8" t="s">
        <v>2633</v>
      </c>
      <c r="R1326" s="11">
        <v>-1.4912</v>
      </c>
      <c r="S1326" s="12">
        <v>2.1942645E7</v>
      </c>
      <c r="T1326" s="12">
        <v>4.74722945432E11</v>
      </c>
      <c r="U1326" s="13">
        <v>24.0822</v>
      </c>
      <c r="V1326" s="13">
        <v>22.5543</v>
      </c>
      <c r="W1326" s="13">
        <v>32.9221</v>
      </c>
      <c r="X1326" s="13">
        <v>45.432</v>
      </c>
      <c r="Y1326" s="13">
        <v>0.2124</v>
      </c>
      <c r="Z1326" s="13">
        <v>2.4598</v>
      </c>
      <c r="AA1326" s="8" t="s">
        <v>2611</v>
      </c>
      <c r="AB1326" s="14">
        <f>IFERROR(__xludf.DUMMYFUNCTION("IFERROR(GOOGLEFINANCE(B1326,""price""),"""")"),420.59)</f>
        <v>420.59</v>
      </c>
    </row>
    <row r="1327">
      <c r="A1327" s="15">
        <v>46076.62754833001</v>
      </c>
      <c r="B1327" s="16" t="s">
        <v>2399</v>
      </c>
      <c r="C1327" s="16" t="s">
        <v>2400</v>
      </c>
      <c r="D1327" s="17">
        <v>46082.0</v>
      </c>
      <c r="E1327" s="18">
        <v>18.805</v>
      </c>
      <c r="F1327" s="16" t="s">
        <v>270</v>
      </c>
      <c r="G1327" s="21">
        <v>15.5645</v>
      </c>
      <c r="H1327" s="21">
        <v>1.2082</v>
      </c>
      <c r="I1327" s="17">
        <v>46080.0</v>
      </c>
      <c r="J1327" s="18">
        <v>18.5</v>
      </c>
      <c r="K1327" s="16">
        <v>13914.0</v>
      </c>
      <c r="L1327" s="16" t="s">
        <v>2608</v>
      </c>
      <c r="M1327" s="19">
        <v>1.62</v>
      </c>
      <c r="N1327" s="16" t="s">
        <v>3853</v>
      </c>
      <c r="O1327" s="16">
        <v>19511.0</v>
      </c>
      <c r="P1327" s="19">
        <v>41.6844</v>
      </c>
      <c r="Q1327" s="16" t="s">
        <v>2401</v>
      </c>
      <c r="R1327" s="19">
        <v>-0.922</v>
      </c>
      <c r="S1327" s="20">
        <v>1.5462598E7</v>
      </c>
      <c r="T1327" s="20">
        <v>6.469511173E10</v>
      </c>
      <c r="U1327" s="21">
        <v>0.3614</v>
      </c>
      <c r="V1327" s="21">
        <v>12.7475</v>
      </c>
      <c r="W1327" s="21">
        <v>10.8866</v>
      </c>
      <c r="X1327" s="21">
        <v>3.4655</v>
      </c>
      <c r="Y1327" s="21">
        <v>2.0395</v>
      </c>
      <c r="Z1327" s="21">
        <v>1.2192</v>
      </c>
      <c r="AA1327" s="16" t="s">
        <v>2611</v>
      </c>
      <c r="AB1327" s="22">
        <f>IFERROR(__xludf.DUMMYFUNCTION("IFERROR(GOOGLEFINANCE(B1327,""price""),"""")"),19.19)</f>
        <v>19.19</v>
      </c>
    </row>
    <row r="1328">
      <c r="A1328" s="7">
        <v>46076.62754833001</v>
      </c>
      <c r="B1328" s="8" t="s">
        <v>3463</v>
      </c>
      <c r="C1328" s="8" t="s">
        <v>3464</v>
      </c>
      <c r="D1328" s="9">
        <v>46082.0</v>
      </c>
      <c r="E1328" s="10">
        <v>58.89</v>
      </c>
      <c r="F1328" s="8" t="s">
        <v>245</v>
      </c>
      <c r="G1328" s="13">
        <v>17.7717</v>
      </c>
      <c r="H1328" s="13">
        <v>3.3137</v>
      </c>
      <c r="I1328" s="9">
        <v>46080.0</v>
      </c>
      <c r="J1328" s="10">
        <v>58.0</v>
      </c>
      <c r="K1328" s="8">
        <v>8144.0</v>
      </c>
      <c r="L1328" s="8" t="s">
        <v>2608</v>
      </c>
      <c r="M1328" s="11">
        <v>1.51</v>
      </c>
      <c r="N1328" s="8" t="s">
        <v>3882</v>
      </c>
      <c r="O1328" s="8">
        <v>15918.0</v>
      </c>
      <c r="P1328" s="11">
        <v>23.8957</v>
      </c>
      <c r="Q1328" s="8" t="s">
        <v>3466</v>
      </c>
      <c r="R1328" s="11">
        <v>-2.6612</v>
      </c>
      <c r="S1328" s="12">
        <v>5747797.0</v>
      </c>
      <c r="T1328" s="12">
        <v>3.6763495083E10</v>
      </c>
      <c r="U1328" s="13">
        <v>2.0864</v>
      </c>
      <c r="V1328" s="13">
        <v>9.1961</v>
      </c>
      <c r="W1328" s="13">
        <v>35.6577</v>
      </c>
      <c r="X1328" s="13">
        <v>59.9561</v>
      </c>
      <c r="Y1328" s="13">
        <v>0.3357</v>
      </c>
      <c r="Z1328" s="13">
        <v>0.7627</v>
      </c>
      <c r="AA1328" s="8" t="s">
        <v>2611</v>
      </c>
      <c r="AB1328" s="14">
        <f>IFERROR(__xludf.DUMMYFUNCTION("IFERROR(GOOGLEFINANCE(B1328,""price""),"""")"),58.68)</f>
        <v>58.68</v>
      </c>
    </row>
    <row r="1329">
      <c r="A1329" s="15">
        <v>46076.62754833001</v>
      </c>
      <c r="B1329" s="16" t="s">
        <v>2616</v>
      </c>
      <c r="C1329" s="16" t="s">
        <v>2617</v>
      </c>
      <c r="D1329" s="17">
        <v>46082.0</v>
      </c>
      <c r="E1329" s="18">
        <v>80.615</v>
      </c>
      <c r="F1329" s="16" t="s">
        <v>286</v>
      </c>
      <c r="G1329" s="21">
        <v>26.5312</v>
      </c>
      <c r="H1329" s="21">
        <v>3.0385</v>
      </c>
      <c r="I1329" s="17">
        <v>46080.0</v>
      </c>
      <c r="J1329" s="18">
        <v>80.0</v>
      </c>
      <c r="K1329" s="16">
        <v>6848.0</v>
      </c>
      <c r="L1329" s="16" t="s">
        <v>2608</v>
      </c>
      <c r="M1329" s="19">
        <v>0.76</v>
      </c>
      <c r="N1329" s="16" t="s">
        <v>3883</v>
      </c>
      <c r="O1329" s="16">
        <v>12531.0</v>
      </c>
      <c r="P1329" s="19">
        <v>39.6274</v>
      </c>
      <c r="Q1329" s="16" t="s">
        <v>2619</v>
      </c>
      <c r="R1329" s="19">
        <v>0.9707</v>
      </c>
      <c r="S1329" s="20">
        <v>1.2410433E7</v>
      </c>
      <c r="T1329" s="20">
        <v>3.46774184497E11</v>
      </c>
      <c r="U1329" s="21">
        <v>1.2745</v>
      </c>
      <c r="V1329" s="21">
        <v>45.9693</v>
      </c>
      <c r="W1329" s="21">
        <v>31.3688</v>
      </c>
      <c r="X1329" s="21">
        <v>3.4769</v>
      </c>
      <c r="Y1329" s="21">
        <v>1.4577</v>
      </c>
      <c r="Z1329" s="21">
        <v>1.4588</v>
      </c>
      <c r="AA1329" s="16" t="s">
        <v>2611</v>
      </c>
      <c r="AB1329" s="22">
        <f>IFERROR(__xludf.DUMMYFUNCTION("IFERROR(GOOGLEFINANCE(B1329,""price""),"""")"),77.47)</f>
        <v>77.47</v>
      </c>
    </row>
    <row r="1330">
      <c r="A1330" s="7">
        <v>46076.62754833001</v>
      </c>
      <c r="B1330" s="8" t="s">
        <v>2638</v>
      </c>
      <c r="C1330" s="8" t="s">
        <v>2639</v>
      </c>
      <c r="D1330" s="9">
        <v>46082.0</v>
      </c>
      <c r="E1330" s="10">
        <v>150.56</v>
      </c>
      <c r="F1330" s="8" t="s">
        <v>245</v>
      </c>
      <c r="G1330" s="13">
        <v>22.4891</v>
      </c>
      <c r="H1330" s="13">
        <v>6.6948</v>
      </c>
      <c r="I1330" s="9">
        <v>46080.0</v>
      </c>
      <c r="J1330" s="10">
        <v>152.5</v>
      </c>
      <c r="K1330" s="8">
        <v>4641.0</v>
      </c>
      <c r="L1330" s="8" t="s">
        <v>2608</v>
      </c>
      <c r="M1330" s="11">
        <v>1.29</v>
      </c>
      <c r="N1330" s="8" t="s">
        <v>3856</v>
      </c>
      <c r="O1330" s="8">
        <v>10855.0</v>
      </c>
      <c r="P1330" s="11">
        <v>49.1671</v>
      </c>
      <c r="Q1330" s="8" t="s">
        <v>2641</v>
      </c>
      <c r="R1330" s="11">
        <v>2.2271</v>
      </c>
      <c r="S1330" s="12">
        <v>1.0738014E7</v>
      </c>
      <c r="T1330" s="12">
        <v>6.27347933237E11</v>
      </c>
      <c r="U1330" s="13">
        <v>3.6144</v>
      </c>
      <c r="V1330" s="13">
        <v>11.0283</v>
      </c>
      <c r="W1330" s="13">
        <v>10.3419</v>
      </c>
      <c r="X1330" s="13">
        <v>-4.856</v>
      </c>
      <c r="Y1330" s="13">
        <v>0.1871</v>
      </c>
      <c r="Z1330" s="13">
        <v>1.1528</v>
      </c>
      <c r="AA1330" s="8" t="s">
        <v>2620</v>
      </c>
      <c r="AB1330" s="14">
        <f>IFERROR(__xludf.DUMMYFUNCTION("IFERROR(GOOGLEFINANCE(B1330,""price""),"""")"),152.51)</f>
        <v>152.51</v>
      </c>
    </row>
    <row r="1331">
      <c r="A1331" s="15">
        <v>46076.62754833001</v>
      </c>
      <c r="B1331" s="16" t="s">
        <v>2625</v>
      </c>
      <c r="C1331" s="16" t="s">
        <v>2626</v>
      </c>
      <c r="D1331" s="17">
        <v>46082.0</v>
      </c>
      <c r="E1331" s="18">
        <v>125.73</v>
      </c>
      <c r="F1331" s="16" t="s">
        <v>137</v>
      </c>
      <c r="G1331" s="21">
        <v>46.0448</v>
      </c>
      <c r="H1331" s="21">
        <v>2.7306</v>
      </c>
      <c r="I1331" s="17">
        <v>46080.0</v>
      </c>
      <c r="J1331" s="18">
        <v>126.0</v>
      </c>
      <c r="K1331" s="16">
        <v>4298.0</v>
      </c>
      <c r="L1331" s="16" t="s">
        <v>2627</v>
      </c>
      <c r="M1331" s="19">
        <v>0.21</v>
      </c>
      <c r="N1331" s="16" t="s">
        <v>3857</v>
      </c>
      <c r="O1331" s="16">
        <v>8949.0</v>
      </c>
      <c r="P1331" s="19">
        <v>29.7876</v>
      </c>
      <c r="Q1331" s="16" t="s">
        <v>2629</v>
      </c>
      <c r="R1331" s="19">
        <v>2.2278</v>
      </c>
      <c r="S1331" s="20">
        <v>1.903942E7</v>
      </c>
      <c r="T1331" s="20">
        <v>1.002089078522E12</v>
      </c>
      <c r="U1331" s="21">
        <v>3.5173</v>
      </c>
      <c r="V1331" s="21">
        <v>22.9691</v>
      </c>
      <c r="W1331" s="21">
        <v>4.1821</v>
      </c>
      <c r="X1331" s="21">
        <v>4.7252</v>
      </c>
      <c r="Y1331" s="21">
        <v>0.6735</v>
      </c>
      <c r="Z1331" s="21">
        <v>0.7898</v>
      </c>
      <c r="AA1331" s="16" t="s">
        <v>2620</v>
      </c>
      <c r="AB1331" s="22">
        <f>IFERROR(__xludf.DUMMYFUNCTION("IFERROR(GOOGLEFINANCE(B1331,""price""),"""")"),126.79)</f>
        <v>126.79</v>
      </c>
    </row>
    <row r="1332">
      <c r="A1332" s="7">
        <v>46076.62754833001</v>
      </c>
      <c r="B1332" s="8" t="s">
        <v>3802</v>
      </c>
      <c r="C1332" s="8" t="s">
        <v>3803</v>
      </c>
      <c r="D1332" s="9">
        <v>46082.0</v>
      </c>
      <c r="E1332" s="10">
        <v>45.36</v>
      </c>
      <c r="F1332" s="8" t="s">
        <v>270</v>
      </c>
      <c r="G1332" s="13"/>
      <c r="H1332" s="13"/>
      <c r="I1332" s="9">
        <v>46101.0</v>
      </c>
      <c r="J1332" s="10">
        <v>45.0</v>
      </c>
      <c r="K1332" s="8">
        <v>8008.0</v>
      </c>
      <c r="L1332" s="8" t="s">
        <v>2608</v>
      </c>
      <c r="M1332" s="11">
        <v>0.79</v>
      </c>
      <c r="N1332" s="8" t="s">
        <v>3884</v>
      </c>
      <c r="O1332" s="8">
        <v>8008.0</v>
      </c>
      <c r="P1332" s="11">
        <v>35.8255</v>
      </c>
      <c r="Q1332" s="8" t="s">
        <v>3805</v>
      </c>
      <c r="R1332" s="11">
        <v>-0.9391</v>
      </c>
      <c r="S1332" s="12">
        <v>1069199.0</v>
      </c>
      <c r="T1332" s="12">
        <v>4.745675546E9</v>
      </c>
      <c r="U1332" s="13">
        <v>1.0942</v>
      </c>
      <c r="V1332" s="13">
        <v>2.9879</v>
      </c>
      <c r="W1332" s="13">
        <v>26.6004</v>
      </c>
      <c r="X1332" s="13">
        <v>19.1487</v>
      </c>
      <c r="Y1332" s="13">
        <v>1.0108</v>
      </c>
      <c r="Z1332" s="13">
        <v>1.3168</v>
      </c>
      <c r="AA1332" s="8" t="s">
        <v>2611</v>
      </c>
      <c r="AB1332" s="14">
        <f>IFERROR(__xludf.DUMMYFUNCTION("IFERROR(GOOGLEFINANCE(B1332,""price""),"""")"),53.28)</f>
        <v>53.28</v>
      </c>
    </row>
    <row r="1333">
      <c r="A1333" s="15">
        <v>46076.62754833001</v>
      </c>
      <c r="B1333" s="16" t="s">
        <v>2621</v>
      </c>
      <c r="C1333" s="16" t="s">
        <v>2622</v>
      </c>
      <c r="D1333" s="17">
        <v>46082.0</v>
      </c>
      <c r="E1333" s="18">
        <v>65.585</v>
      </c>
      <c r="F1333" s="16" t="s">
        <v>335</v>
      </c>
      <c r="G1333" s="21">
        <v>43.319</v>
      </c>
      <c r="H1333" s="21">
        <v>1.514</v>
      </c>
      <c r="I1333" s="17">
        <v>46080.0</v>
      </c>
      <c r="J1333" s="18">
        <v>65.0</v>
      </c>
      <c r="K1333" s="16">
        <v>6059.0</v>
      </c>
      <c r="L1333" s="16" t="s">
        <v>2608</v>
      </c>
      <c r="M1333" s="19">
        <v>0.89</v>
      </c>
      <c r="N1333" s="16" t="s">
        <v>3885</v>
      </c>
      <c r="O1333" s="16">
        <v>7616.0</v>
      </c>
      <c r="P1333" s="19">
        <v>30.3487</v>
      </c>
      <c r="Q1333" s="16" t="s">
        <v>2624</v>
      </c>
      <c r="R1333" s="19">
        <v>1.935</v>
      </c>
      <c r="S1333" s="20">
        <v>1.2113666E7</v>
      </c>
      <c r="T1333" s="20">
        <v>9.4258865516E10</v>
      </c>
      <c r="U1333" s="21">
        <v>2.805</v>
      </c>
      <c r="V1333" s="21">
        <v>11.9792</v>
      </c>
      <c r="W1333" s="21">
        <v>22.7913</v>
      </c>
      <c r="X1333" s="21">
        <v>-0.0477</v>
      </c>
      <c r="Y1333" s="21">
        <v>0.5552</v>
      </c>
      <c r="Z1333" s="21">
        <v>2.2911</v>
      </c>
      <c r="AA1333" s="16" t="s">
        <v>2611</v>
      </c>
      <c r="AB1333" s="22">
        <f>IFERROR(__xludf.DUMMYFUNCTION("IFERROR(GOOGLEFINANCE(B1333,""price""),"""")"),67.8)</f>
        <v>67.8</v>
      </c>
    </row>
    <row r="1334">
      <c r="A1334" s="7">
        <v>46076.62754833001</v>
      </c>
      <c r="B1334" s="8" t="s">
        <v>3416</v>
      </c>
      <c r="C1334" s="8" t="s">
        <v>3417</v>
      </c>
      <c r="D1334" s="9">
        <v>46082.0</v>
      </c>
      <c r="E1334" s="10">
        <v>68.95</v>
      </c>
      <c r="F1334" s="8" t="s">
        <v>286</v>
      </c>
      <c r="G1334" s="13">
        <v>16.7489</v>
      </c>
      <c r="H1334" s="13">
        <v>4.1167</v>
      </c>
      <c r="I1334" s="9">
        <v>46080.0</v>
      </c>
      <c r="J1334" s="10">
        <v>70.0</v>
      </c>
      <c r="K1334" s="8">
        <v>7019.0</v>
      </c>
      <c r="L1334" s="8" t="s">
        <v>2608</v>
      </c>
      <c r="M1334" s="11">
        <v>1.52</v>
      </c>
      <c r="N1334" s="8" t="s">
        <v>3859</v>
      </c>
      <c r="O1334" s="8">
        <v>7019.0</v>
      </c>
      <c r="P1334" s="11">
        <v>30.0302</v>
      </c>
      <c r="Q1334" s="8" t="s">
        <v>3419</v>
      </c>
      <c r="R1334" s="11">
        <v>2.0423</v>
      </c>
      <c r="S1334" s="12">
        <v>5330101.0</v>
      </c>
      <c r="T1334" s="12">
        <v>1.15744400009E11</v>
      </c>
      <c r="U1334" s="13">
        <v>1.4276</v>
      </c>
      <c r="V1334" s="13"/>
      <c r="W1334" s="13">
        <v>63.7221</v>
      </c>
      <c r="X1334" s="13">
        <v>-1.4919</v>
      </c>
      <c r="Y1334" s="13"/>
      <c r="Z1334" s="13">
        <v>0.648</v>
      </c>
      <c r="AA1334" s="8" t="s">
        <v>2620</v>
      </c>
      <c r="AB1334" s="14">
        <f>IFERROR(__xludf.DUMMYFUNCTION("IFERROR(GOOGLEFINANCE(B1334,""price""),"""")"),67.38)</f>
        <v>67.38</v>
      </c>
    </row>
    <row r="1335">
      <c r="A1335" s="15">
        <v>46076.62754833001</v>
      </c>
      <c r="B1335" s="16" t="s">
        <v>2634</v>
      </c>
      <c r="C1335" s="16" t="s">
        <v>2635</v>
      </c>
      <c r="D1335" s="17">
        <v>46082.0</v>
      </c>
      <c r="E1335" s="18">
        <v>184.86</v>
      </c>
      <c r="F1335" s="16" t="s">
        <v>245</v>
      </c>
      <c r="G1335" s="21">
        <v>27.7947</v>
      </c>
      <c r="H1335" s="21">
        <v>6.6509</v>
      </c>
      <c r="I1335" s="17">
        <v>46080.0</v>
      </c>
      <c r="J1335" s="18">
        <v>187.5</v>
      </c>
      <c r="K1335" s="16">
        <v>3394.0</v>
      </c>
      <c r="L1335" s="16" t="s">
        <v>2608</v>
      </c>
      <c r="M1335" s="19">
        <v>1.43</v>
      </c>
      <c r="N1335" s="16" t="s">
        <v>3860</v>
      </c>
      <c r="O1335" s="16">
        <v>6481.0</v>
      </c>
      <c r="P1335" s="19">
        <v>52.8274</v>
      </c>
      <c r="Q1335" s="16" t="s">
        <v>2637</v>
      </c>
      <c r="R1335" s="19">
        <v>0.5056</v>
      </c>
      <c r="S1335" s="20">
        <v>4971725.0</v>
      </c>
      <c r="T1335" s="20">
        <v>3.72219589345E11</v>
      </c>
      <c r="U1335" s="21">
        <v>3.436</v>
      </c>
      <c r="V1335" s="21">
        <v>7.261</v>
      </c>
      <c r="W1335" s="21">
        <v>8.9022</v>
      </c>
      <c r="X1335" s="21">
        <v>-4.6053</v>
      </c>
      <c r="Y1335" s="21">
        <v>0.2186</v>
      </c>
      <c r="Z1335" s="21"/>
      <c r="AA1335" s="16" t="s">
        <v>2620</v>
      </c>
      <c r="AB1335" s="22">
        <f>IFERROR(__xludf.DUMMYFUNCTION("IFERROR(GOOGLEFINANCE(B1335,""price""),"""")"),188.55)</f>
        <v>188.55</v>
      </c>
    </row>
    <row r="1336">
      <c r="A1336" s="7">
        <v>46076.62754833001</v>
      </c>
      <c r="B1336" s="8" t="s">
        <v>3713</v>
      </c>
      <c r="C1336" s="8" t="s">
        <v>3714</v>
      </c>
      <c r="D1336" s="9">
        <v>46082.0</v>
      </c>
      <c r="E1336" s="10">
        <v>158.31</v>
      </c>
      <c r="F1336" s="8" t="s">
        <v>149</v>
      </c>
      <c r="G1336" s="13"/>
      <c r="H1336" s="13">
        <v>-0.2349</v>
      </c>
      <c r="I1336" s="9">
        <v>46101.0</v>
      </c>
      <c r="J1336" s="10">
        <v>160.0</v>
      </c>
      <c r="K1336" s="8">
        <v>6277.0</v>
      </c>
      <c r="L1336" s="8" t="s">
        <v>2608</v>
      </c>
      <c r="M1336" s="11">
        <v>1.07</v>
      </c>
      <c r="N1336" s="8" t="s">
        <v>3861</v>
      </c>
      <c r="O1336" s="8">
        <v>6277.0</v>
      </c>
      <c r="P1336" s="11">
        <v>24.1895</v>
      </c>
      <c r="Q1336" s="8" t="s">
        <v>3716</v>
      </c>
      <c r="R1336" s="11">
        <v>-2.6803</v>
      </c>
      <c r="S1336" s="12">
        <v>2527256.0</v>
      </c>
      <c r="T1336" s="12">
        <v>3.6786215716E10</v>
      </c>
      <c r="U1336" s="13">
        <v>5.6198</v>
      </c>
      <c r="V1336" s="13">
        <v>-24.6827</v>
      </c>
      <c r="W1336" s="13">
        <v>5.9214</v>
      </c>
      <c r="X1336" s="13">
        <v>8.8349</v>
      </c>
      <c r="Y1336" s="13">
        <v>38.3916</v>
      </c>
      <c r="Z1336" s="13">
        <v>0.9951</v>
      </c>
      <c r="AA1336" s="8" t="s">
        <v>2620</v>
      </c>
      <c r="AB1336" s="14">
        <f>IFERROR(__xludf.DUMMYFUNCTION("IFERROR(GOOGLEFINANCE(B1336,""price""),"""")"),160.59)</f>
        <v>160.59</v>
      </c>
    </row>
    <row r="1337">
      <c r="A1337" s="15">
        <v>46076.62754833001</v>
      </c>
      <c r="B1337" s="16" t="s">
        <v>2700</v>
      </c>
      <c r="C1337" s="16" t="s">
        <v>2701</v>
      </c>
      <c r="D1337" s="17">
        <v>46082.0</v>
      </c>
      <c r="E1337" s="18">
        <v>242.41</v>
      </c>
      <c r="F1337" s="16" t="s">
        <v>102</v>
      </c>
      <c r="G1337" s="21">
        <v>49.6813</v>
      </c>
      <c r="H1337" s="21">
        <v>4.8793</v>
      </c>
      <c r="I1337" s="17">
        <v>46080.0</v>
      </c>
      <c r="J1337" s="18">
        <v>245.0</v>
      </c>
      <c r="K1337" s="16">
        <v>1823.0</v>
      </c>
      <c r="L1337" s="16" t="s">
        <v>2627</v>
      </c>
      <c r="M1337" s="19">
        <v>1.07</v>
      </c>
      <c r="N1337" s="16" t="s">
        <v>3886</v>
      </c>
      <c r="O1337" s="16">
        <v>4478.0</v>
      </c>
      <c r="P1337" s="19">
        <v>32.1775</v>
      </c>
      <c r="Q1337" s="16" t="s">
        <v>2703</v>
      </c>
      <c r="R1337" s="19">
        <v>-1.0248</v>
      </c>
      <c r="S1337" s="20">
        <v>5569680.0</v>
      </c>
      <c r="T1337" s="20">
        <v>3.027145749E11</v>
      </c>
      <c r="U1337" s="21">
        <v>11.5294</v>
      </c>
      <c r="V1337" s="21">
        <v>65.5649</v>
      </c>
      <c r="W1337" s="21">
        <v>33.7646</v>
      </c>
      <c r="X1337" s="21">
        <v>26.8457</v>
      </c>
      <c r="Y1337" s="21">
        <v>0.4419</v>
      </c>
      <c r="Z1337" s="21">
        <v>2.2562</v>
      </c>
      <c r="AA1337" s="16" t="s">
        <v>2620</v>
      </c>
      <c r="AB1337" s="22">
        <f>IFERROR(__xludf.DUMMYFUNCTION("IFERROR(GOOGLEFINANCE(B1337,""price""),"""")"),263.66)</f>
        <v>263.66</v>
      </c>
    </row>
    <row r="1338">
      <c r="A1338" s="7">
        <v>46076.62754833001</v>
      </c>
      <c r="B1338" s="8" t="s">
        <v>3385</v>
      </c>
      <c r="C1338" s="8" t="s">
        <v>3386</v>
      </c>
      <c r="D1338" s="9">
        <v>46082.0</v>
      </c>
      <c r="E1338" s="10">
        <v>45.045</v>
      </c>
      <c r="F1338" s="8" t="s">
        <v>129</v>
      </c>
      <c r="G1338" s="13">
        <v>41.1708</v>
      </c>
      <c r="H1338" s="13">
        <v>1.0941</v>
      </c>
      <c r="I1338" s="9">
        <v>46101.0</v>
      </c>
      <c r="J1338" s="10">
        <v>45.0</v>
      </c>
      <c r="K1338" s="8">
        <v>2368.0</v>
      </c>
      <c r="L1338" s="8" t="s">
        <v>2608</v>
      </c>
      <c r="M1338" s="11">
        <v>0.1</v>
      </c>
      <c r="N1338" s="8" t="s">
        <v>3863</v>
      </c>
      <c r="O1338" s="8">
        <v>4321.0</v>
      </c>
      <c r="P1338" s="11">
        <v>17.8778</v>
      </c>
      <c r="Q1338" s="8" t="s">
        <v>3388</v>
      </c>
      <c r="R1338" s="11">
        <v>-2.5422</v>
      </c>
      <c r="S1338" s="12">
        <v>3773763.0</v>
      </c>
      <c r="T1338" s="12">
        <v>5.1719733394E10</v>
      </c>
      <c r="U1338" s="13">
        <v>1.2344</v>
      </c>
      <c r="V1338" s="13">
        <v>33.2967</v>
      </c>
      <c r="W1338" s="13">
        <v>20.1917</v>
      </c>
      <c r="X1338" s="13">
        <v>8.6721</v>
      </c>
      <c r="Y1338" s="13">
        <v>0.1121</v>
      </c>
      <c r="Z1338" s="13">
        <v>4.852</v>
      </c>
      <c r="AA1338" s="8" t="s">
        <v>2611</v>
      </c>
      <c r="AB1338" s="14">
        <f>IFERROR(__xludf.DUMMYFUNCTION("IFERROR(GOOGLEFINANCE(B1338,""price""),"""")"),49.17)</f>
        <v>49.17</v>
      </c>
    </row>
    <row r="1339">
      <c r="A1339" s="15">
        <v>46076.62754833001</v>
      </c>
      <c r="B1339" s="16" t="s">
        <v>3684</v>
      </c>
      <c r="C1339" s="16" t="s">
        <v>3685</v>
      </c>
      <c r="D1339" s="17">
        <v>46082.0</v>
      </c>
      <c r="E1339" s="18">
        <v>36.98</v>
      </c>
      <c r="F1339" s="16" t="s">
        <v>917</v>
      </c>
      <c r="G1339" s="21">
        <v>23.2916</v>
      </c>
      <c r="H1339" s="21">
        <v>1.5877</v>
      </c>
      <c r="I1339" s="17">
        <v>46101.0</v>
      </c>
      <c r="J1339" s="18">
        <v>37.0</v>
      </c>
      <c r="K1339" s="16">
        <v>3942.0</v>
      </c>
      <c r="L1339" s="16" t="s">
        <v>2608</v>
      </c>
      <c r="M1339" s="19">
        <v>0.05</v>
      </c>
      <c r="N1339" s="16" t="s">
        <v>3865</v>
      </c>
      <c r="O1339" s="16">
        <v>3942.0</v>
      </c>
      <c r="P1339" s="19">
        <v>19.359</v>
      </c>
      <c r="Q1339" s="16" t="s">
        <v>3687</v>
      </c>
      <c r="R1339" s="19">
        <v>-1.2286</v>
      </c>
      <c r="S1339" s="20">
        <v>1.8929049E7</v>
      </c>
      <c r="T1339" s="20">
        <v>2.7355554493E10</v>
      </c>
      <c r="U1339" s="21">
        <v>0.7488</v>
      </c>
      <c r="V1339" s="21">
        <v>8.1497</v>
      </c>
      <c r="W1339" s="21">
        <v>23.6452</v>
      </c>
      <c r="X1339" s="21">
        <v>6.8542</v>
      </c>
      <c r="Y1339" s="21">
        <v>1.3003</v>
      </c>
      <c r="Z1339" s="21">
        <v>0.8647</v>
      </c>
      <c r="AA1339" s="16" t="s">
        <v>2620</v>
      </c>
      <c r="AB1339" s="22">
        <f>IFERROR(__xludf.DUMMYFUNCTION("IFERROR(GOOGLEFINANCE(B1339,""price""),"""")"),39.65)</f>
        <v>39.65</v>
      </c>
    </row>
    <row r="1340">
      <c r="A1340" s="7">
        <v>46076.62754833001</v>
      </c>
      <c r="B1340" s="8" t="s">
        <v>2606</v>
      </c>
      <c r="C1340" s="8" t="s">
        <v>2607</v>
      </c>
      <c r="D1340" s="9">
        <v>46082.0</v>
      </c>
      <c r="E1340" s="10">
        <v>50.865</v>
      </c>
      <c r="F1340" s="8" t="s">
        <v>93</v>
      </c>
      <c r="G1340" s="13">
        <v>14.3898</v>
      </c>
      <c r="H1340" s="13">
        <v>3.5348</v>
      </c>
      <c r="I1340" s="9">
        <v>46101.0</v>
      </c>
      <c r="J1340" s="10">
        <v>50.0</v>
      </c>
      <c r="K1340" s="8">
        <v>3506.0</v>
      </c>
      <c r="L1340" s="8" t="s">
        <v>2608</v>
      </c>
      <c r="M1340" s="11">
        <v>1.7</v>
      </c>
      <c r="N1340" s="8" t="s">
        <v>3866</v>
      </c>
      <c r="O1340" s="8">
        <v>3506.0</v>
      </c>
      <c r="P1340" s="11">
        <v>33.7814</v>
      </c>
      <c r="Q1340" s="8" t="s">
        <v>2610</v>
      </c>
      <c r="R1340" s="11">
        <v>-5.138</v>
      </c>
      <c r="S1340" s="12">
        <v>5309141.0</v>
      </c>
      <c r="T1340" s="12">
        <v>4.6357886322E10</v>
      </c>
      <c r="U1340" s="13">
        <v>1.5642</v>
      </c>
      <c r="V1340" s="13">
        <v>12.1975</v>
      </c>
      <c r="W1340" s="13">
        <v>23.4205</v>
      </c>
      <c r="X1340" s="13">
        <v>2.2457</v>
      </c>
      <c r="Y1340" s="13">
        <v>0.6682</v>
      </c>
      <c r="Z1340" s="13">
        <v>0.2832</v>
      </c>
      <c r="AA1340" s="8" t="s">
        <v>2611</v>
      </c>
      <c r="AB1340" s="14">
        <f>IFERROR(__xludf.DUMMYFUNCTION("IFERROR(GOOGLEFINANCE(B1340,""price""),"""")"),49.31)</f>
        <v>49.31</v>
      </c>
    </row>
    <row r="1341">
      <c r="A1341" s="15">
        <v>46076.62754833001</v>
      </c>
      <c r="B1341" s="16" t="s">
        <v>3697</v>
      </c>
      <c r="C1341" s="16" t="s">
        <v>3698</v>
      </c>
      <c r="D1341" s="17">
        <v>46082.0</v>
      </c>
      <c r="E1341" s="18">
        <v>47.915</v>
      </c>
      <c r="F1341" s="16" t="s">
        <v>917</v>
      </c>
      <c r="G1341" s="21">
        <v>17.5198</v>
      </c>
      <c r="H1341" s="21">
        <v>2.7349</v>
      </c>
      <c r="I1341" s="17">
        <v>46101.0</v>
      </c>
      <c r="J1341" s="18">
        <v>47.0</v>
      </c>
      <c r="K1341" s="16">
        <v>3398.0</v>
      </c>
      <c r="L1341" s="16" t="s">
        <v>2608</v>
      </c>
      <c r="M1341" s="19">
        <v>1.91</v>
      </c>
      <c r="N1341" s="16" t="s">
        <v>3887</v>
      </c>
      <c r="O1341" s="16">
        <v>3398.0</v>
      </c>
      <c r="P1341" s="19">
        <v>28.6238</v>
      </c>
      <c r="Q1341" s="16" t="s">
        <v>3700</v>
      </c>
      <c r="R1341" s="19">
        <v>0.2616</v>
      </c>
      <c r="S1341" s="20">
        <v>4292978.0</v>
      </c>
      <c r="T1341" s="20">
        <v>4.901189882E10</v>
      </c>
      <c r="U1341" s="21">
        <v>1.0478</v>
      </c>
      <c r="V1341" s="21">
        <v>9.9356</v>
      </c>
      <c r="W1341" s="21">
        <v>21.2054</v>
      </c>
      <c r="X1341" s="21">
        <v>5.3367</v>
      </c>
      <c r="Y1341" s="21">
        <v>1.7554</v>
      </c>
      <c r="Z1341" s="21">
        <v>0.924</v>
      </c>
      <c r="AA1341" s="16" t="s">
        <v>2611</v>
      </c>
      <c r="AB1341" s="22">
        <f>IFERROR(__xludf.DUMMYFUNCTION("IFERROR(GOOGLEFINANCE(B1341,""price""),"""")"),48.57)</f>
        <v>48.57</v>
      </c>
    </row>
    <row r="1342">
      <c r="A1342" s="7">
        <v>46076.62754833001</v>
      </c>
      <c r="B1342" s="8" t="s">
        <v>3141</v>
      </c>
      <c r="C1342" s="8" t="s">
        <v>3142</v>
      </c>
      <c r="D1342" s="9">
        <v>46082.0</v>
      </c>
      <c r="E1342" s="10">
        <v>333.77</v>
      </c>
      <c r="F1342" s="8" t="s">
        <v>93</v>
      </c>
      <c r="G1342" s="13">
        <v>12.9763</v>
      </c>
      <c r="H1342" s="13">
        <v>25.7215</v>
      </c>
      <c r="I1342" s="9">
        <v>46101.0</v>
      </c>
      <c r="J1342" s="10">
        <v>330.0</v>
      </c>
      <c r="K1342" s="8">
        <v>2246.0</v>
      </c>
      <c r="L1342" s="8" t="s">
        <v>2608</v>
      </c>
      <c r="M1342" s="11">
        <v>1.13</v>
      </c>
      <c r="N1342" s="8" t="s">
        <v>3888</v>
      </c>
      <c r="O1342" s="8">
        <v>3371.0</v>
      </c>
      <c r="P1342" s="11">
        <v>29.6197</v>
      </c>
      <c r="Q1342" s="8" t="s">
        <v>3144</v>
      </c>
      <c r="R1342" s="11">
        <v>0.6483</v>
      </c>
      <c r="S1342" s="12">
        <v>1265041.0</v>
      </c>
      <c r="T1342" s="12">
        <v>1.31355462695E11</v>
      </c>
      <c r="U1342" s="13">
        <v>6.5544</v>
      </c>
      <c r="V1342" s="13">
        <v>14.9661</v>
      </c>
      <c r="W1342" s="13">
        <v>21.2322</v>
      </c>
      <c r="X1342" s="13">
        <v>6.9142</v>
      </c>
      <c r="Y1342" s="13"/>
      <c r="Z1342" s="13">
        <v>0.2721</v>
      </c>
      <c r="AA1342" s="8" t="s">
        <v>2611</v>
      </c>
      <c r="AB1342" s="14">
        <f>IFERROR(__xludf.DUMMYFUNCTION("IFERROR(GOOGLEFINANCE(B1342,""price""),"""")"),327.91)</f>
        <v>327.91</v>
      </c>
    </row>
    <row r="1343">
      <c r="A1343" s="15">
        <v>46076.62754833001</v>
      </c>
      <c r="B1343" s="16" t="s">
        <v>2297</v>
      </c>
      <c r="C1343" s="16" t="s">
        <v>2298</v>
      </c>
      <c r="D1343" s="17">
        <v>46082.0</v>
      </c>
      <c r="E1343" s="18">
        <v>104.615</v>
      </c>
      <c r="F1343" s="16" t="s">
        <v>917</v>
      </c>
      <c r="G1343" s="21">
        <v>26.7393</v>
      </c>
      <c r="H1343" s="21">
        <v>3.9124</v>
      </c>
      <c r="I1343" s="17">
        <v>46101.0</v>
      </c>
      <c r="J1343" s="18">
        <v>105.0</v>
      </c>
      <c r="K1343" s="16">
        <v>3290.0</v>
      </c>
      <c r="L1343" s="16" t="s">
        <v>2608</v>
      </c>
      <c r="M1343" s="19">
        <v>0.37</v>
      </c>
      <c r="N1343" s="16" t="s">
        <v>3867</v>
      </c>
      <c r="O1343" s="16">
        <v>3290.0</v>
      </c>
      <c r="P1343" s="19">
        <v>32.6894</v>
      </c>
      <c r="Q1343" s="16" t="s">
        <v>2299</v>
      </c>
      <c r="R1343" s="19">
        <v>0.572</v>
      </c>
      <c r="S1343" s="20">
        <v>2035065.0</v>
      </c>
      <c r="T1343" s="20">
        <v>4.7389530336E10</v>
      </c>
      <c r="U1343" s="21">
        <v>2.0983</v>
      </c>
      <c r="V1343" s="21">
        <v>10.931</v>
      </c>
      <c r="W1343" s="21">
        <v>22.9697</v>
      </c>
      <c r="X1343" s="21">
        <v>8.3782</v>
      </c>
      <c r="Y1343" s="21">
        <v>1.8276</v>
      </c>
      <c r="Z1343" s="21">
        <v>0.7243</v>
      </c>
      <c r="AA1343" s="16" t="s">
        <v>2620</v>
      </c>
      <c r="AB1343" s="22">
        <f>IFERROR(__xludf.DUMMYFUNCTION("IFERROR(GOOGLEFINANCE(B1343,""price""),"""")"),116.47)</f>
        <v>116.47</v>
      </c>
    </row>
    <row r="1344">
      <c r="A1344" s="7">
        <v>46076.62754833001</v>
      </c>
      <c r="B1344" s="8" t="s">
        <v>3834</v>
      </c>
      <c r="C1344" s="8" t="s">
        <v>3835</v>
      </c>
      <c r="D1344" s="9">
        <v>46082.0</v>
      </c>
      <c r="E1344" s="10">
        <v>177.055</v>
      </c>
      <c r="F1344" s="8" t="s">
        <v>917</v>
      </c>
      <c r="G1344" s="13">
        <v>25.8746</v>
      </c>
      <c r="H1344" s="13">
        <v>6.8428</v>
      </c>
      <c r="I1344" s="9">
        <v>46080.0</v>
      </c>
      <c r="J1344" s="10">
        <v>180.0</v>
      </c>
      <c r="K1344" s="8">
        <v>1878.0</v>
      </c>
      <c r="L1344" s="8" t="s">
        <v>2608</v>
      </c>
      <c r="M1344" s="11">
        <v>1.66</v>
      </c>
      <c r="N1344" s="8" t="s">
        <v>3889</v>
      </c>
      <c r="O1344" s="8">
        <v>3071.0</v>
      </c>
      <c r="P1344" s="11">
        <v>23.8266</v>
      </c>
      <c r="Q1344" s="8" t="s">
        <v>3837</v>
      </c>
      <c r="R1344" s="11">
        <v>-1.186</v>
      </c>
      <c r="S1344" s="12">
        <v>1480804.0</v>
      </c>
      <c r="T1344" s="12">
        <v>3.3930713341E10</v>
      </c>
      <c r="U1344" s="13">
        <v>6.5452</v>
      </c>
      <c r="V1344" s="13">
        <v>64.1871</v>
      </c>
      <c r="W1344" s="13">
        <v>5.3252</v>
      </c>
      <c r="X1344" s="13">
        <v>6.4026</v>
      </c>
      <c r="Y1344" s="13">
        <v>6.1477</v>
      </c>
      <c r="Z1344" s="13">
        <v>1.0533</v>
      </c>
      <c r="AA1344" s="8" t="s">
        <v>2620</v>
      </c>
      <c r="AB1344" s="14">
        <f>IFERROR(__xludf.DUMMYFUNCTION("IFERROR(GOOGLEFINANCE(B1344,""price""),"""")"),164.07)</f>
        <v>164.07</v>
      </c>
    </row>
    <row r="1345">
      <c r="A1345" s="15">
        <v>46076.62754833001</v>
      </c>
      <c r="B1345" s="16" t="s">
        <v>2710</v>
      </c>
      <c r="C1345" s="16" t="s">
        <v>2711</v>
      </c>
      <c r="D1345" s="17">
        <v>46082.0</v>
      </c>
      <c r="E1345" s="18">
        <v>131.715</v>
      </c>
      <c r="F1345" s="16" t="s">
        <v>917</v>
      </c>
      <c r="G1345" s="21">
        <v>19.7773</v>
      </c>
      <c r="H1345" s="21">
        <v>6.6599</v>
      </c>
      <c r="I1345" s="17">
        <v>46101.0</v>
      </c>
      <c r="J1345" s="18">
        <v>130.0</v>
      </c>
      <c r="K1345" s="16">
        <v>2820.0</v>
      </c>
      <c r="L1345" s="16" t="s">
        <v>2608</v>
      </c>
      <c r="M1345" s="19">
        <v>1.3</v>
      </c>
      <c r="N1345" s="16" t="s">
        <v>3868</v>
      </c>
      <c r="O1345" s="16">
        <v>2820.0</v>
      </c>
      <c r="P1345" s="19">
        <v>39.297</v>
      </c>
      <c r="Q1345" s="16" t="s">
        <v>2713</v>
      </c>
      <c r="R1345" s="19">
        <v>1.8126</v>
      </c>
      <c r="S1345" s="20">
        <v>2211133.0</v>
      </c>
      <c r="T1345" s="20">
        <v>7.1239571263E10</v>
      </c>
      <c r="U1345" s="21">
        <v>2.5282</v>
      </c>
      <c r="V1345" s="21">
        <v>12.3274</v>
      </c>
      <c r="W1345" s="21">
        <v>25.0742</v>
      </c>
      <c r="X1345" s="21">
        <v>10.4587</v>
      </c>
      <c r="Y1345" s="21">
        <v>1.5949</v>
      </c>
      <c r="Z1345" s="21">
        <v>0.4546</v>
      </c>
      <c r="AA1345" s="16" t="s">
        <v>2611</v>
      </c>
      <c r="AB1345" s="22">
        <f>IFERROR(__xludf.DUMMYFUNCTION("IFERROR(GOOGLEFINANCE(B1345,""price""),"""")"),136.3)</f>
        <v>136.3</v>
      </c>
    </row>
    <row r="1346">
      <c r="A1346" s="7">
        <v>46076.62754833001</v>
      </c>
      <c r="B1346" s="8" t="s">
        <v>2726</v>
      </c>
      <c r="C1346" s="8" t="s">
        <v>2727</v>
      </c>
      <c r="D1346" s="9">
        <v>46082.0</v>
      </c>
      <c r="E1346" s="10">
        <v>84.65</v>
      </c>
      <c r="F1346" s="8" t="s">
        <v>286</v>
      </c>
      <c r="G1346" s="13">
        <v>48.1897</v>
      </c>
      <c r="H1346" s="13">
        <v>1.7566</v>
      </c>
      <c r="I1346" s="9">
        <v>46101.0</v>
      </c>
      <c r="J1346" s="10">
        <v>85.0</v>
      </c>
      <c r="K1346" s="8">
        <v>2600.0</v>
      </c>
      <c r="L1346" s="8" t="s">
        <v>2608</v>
      </c>
      <c r="M1346" s="11">
        <v>0.41</v>
      </c>
      <c r="N1346" s="8" t="s">
        <v>3869</v>
      </c>
      <c r="O1346" s="8">
        <v>2600.0</v>
      </c>
      <c r="P1346" s="11">
        <v>34.7633</v>
      </c>
      <c r="Q1346" s="8" t="s">
        <v>2729</v>
      </c>
      <c r="R1346" s="11">
        <v>1.0626</v>
      </c>
      <c r="S1346" s="12">
        <v>4101184.0</v>
      </c>
      <c r="T1346" s="12">
        <v>8.2704844929E10</v>
      </c>
      <c r="U1346" s="13">
        <v>1.5673</v>
      </c>
      <c r="V1346" s="13">
        <v>25.538</v>
      </c>
      <c r="W1346" s="13">
        <v>29.9505</v>
      </c>
      <c r="X1346" s="13">
        <v>7.618</v>
      </c>
      <c r="Y1346" s="13">
        <v>0.0</v>
      </c>
      <c r="Z1346" s="13">
        <v>3.1855</v>
      </c>
      <c r="AA1346" s="8" t="s">
        <v>2620</v>
      </c>
      <c r="AB1346" s="14">
        <f>IFERROR(__xludf.DUMMYFUNCTION("IFERROR(GOOGLEFINANCE(B1346,""price""),"""")"),75.72)</f>
        <v>75.72</v>
      </c>
    </row>
    <row r="1347">
      <c r="A1347" s="15">
        <v>46076.62754833001</v>
      </c>
      <c r="B1347" s="16" t="s">
        <v>2692</v>
      </c>
      <c r="C1347" s="16" t="s">
        <v>2693</v>
      </c>
      <c r="D1347" s="17">
        <v>46082.0</v>
      </c>
      <c r="E1347" s="18">
        <v>245.64</v>
      </c>
      <c r="F1347" s="16" t="s">
        <v>117</v>
      </c>
      <c r="G1347" s="21">
        <v>22.2383</v>
      </c>
      <c r="H1347" s="21">
        <v>11.0458</v>
      </c>
      <c r="I1347" s="17">
        <v>46080.0</v>
      </c>
      <c r="J1347" s="18">
        <v>245.0</v>
      </c>
      <c r="K1347" s="16">
        <v>2591.0</v>
      </c>
      <c r="L1347" s="16" t="s">
        <v>2608</v>
      </c>
      <c r="M1347" s="19">
        <v>0.26</v>
      </c>
      <c r="N1347" s="16" t="s">
        <v>3870</v>
      </c>
      <c r="O1347" s="16">
        <v>2591.0</v>
      </c>
      <c r="P1347" s="19">
        <v>42.5101</v>
      </c>
      <c r="Q1347" s="16" t="s">
        <v>2695</v>
      </c>
      <c r="R1347" s="19">
        <v>1.299</v>
      </c>
      <c r="S1347" s="20">
        <v>6270871.0</v>
      </c>
      <c r="T1347" s="20">
        <v>5.91967585539E11</v>
      </c>
      <c r="U1347" s="21">
        <v>3.8295</v>
      </c>
      <c r="V1347" s="21">
        <v>35.0301</v>
      </c>
      <c r="W1347" s="21">
        <v>27.2081</v>
      </c>
      <c r="X1347" s="21">
        <v>6.046</v>
      </c>
      <c r="Y1347" s="21">
        <v>0.605</v>
      </c>
      <c r="Z1347" s="21">
        <v>1.0277</v>
      </c>
      <c r="AA1347" s="16" t="s">
        <v>2611</v>
      </c>
      <c r="AB1347" s="22">
        <f>IFERROR(__xludf.DUMMYFUNCTION("IFERROR(GOOGLEFINANCE(B1347,""price""),"""")"),238.46)</f>
        <v>238.46</v>
      </c>
    </row>
    <row r="1348">
      <c r="A1348" s="7">
        <v>46076.62754833001</v>
      </c>
      <c r="B1348" s="8" t="s">
        <v>3845</v>
      </c>
      <c r="C1348" s="8" t="s">
        <v>3846</v>
      </c>
      <c r="D1348" s="9">
        <v>46082.0</v>
      </c>
      <c r="E1348" s="10">
        <v>89.405</v>
      </c>
      <c r="F1348" s="8" t="s">
        <v>129</v>
      </c>
      <c r="G1348" s="13">
        <v>24.0452</v>
      </c>
      <c r="H1348" s="13">
        <v>3.7182</v>
      </c>
      <c r="I1348" s="9">
        <v>46101.0</v>
      </c>
      <c r="J1348" s="10">
        <v>90.0</v>
      </c>
      <c r="K1348" s="8">
        <v>2588.0</v>
      </c>
      <c r="L1348" s="8" t="s">
        <v>2608</v>
      </c>
      <c r="M1348" s="11">
        <v>0.67</v>
      </c>
      <c r="N1348" s="8" t="s">
        <v>3890</v>
      </c>
      <c r="O1348" s="8">
        <v>2588.0</v>
      </c>
      <c r="P1348" s="11">
        <v>52.4409</v>
      </c>
      <c r="Q1348" s="8" t="s">
        <v>3848</v>
      </c>
      <c r="R1348" s="11">
        <v>-0.8044</v>
      </c>
      <c r="S1348" s="12">
        <v>2212252.0</v>
      </c>
      <c r="T1348" s="12">
        <v>4.2818794716E10</v>
      </c>
      <c r="U1348" s="13">
        <v>1.8735</v>
      </c>
      <c r="V1348" s="13">
        <v>83.6397</v>
      </c>
      <c r="W1348" s="13">
        <v>4.1986</v>
      </c>
      <c r="X1348" s="13">
        <v>2.576</v>
      </c>
      <c r="Y1348" s="13">
        <v>6.5567</v>
      </c>
      <c r="Z1348" s="13">
        <v>1.2955</v>
      </c>
      <c r="AA1348" s="8" t="s">
        <v>2620</v>
      </c>
      <c r="AB1348" s="14">
        <f>IFERROR(__xludf.DUMMYFUNCTION("IFERROR(GOOGLEFINANCE(B1348,""price""),"""")"),72.82)</f>
        <v>72.82</v>
      </c>
    </row>
    <row r="1349">
      <c r="A1349" s="15">
        <v>46076.62754833001</v>
      </c>
      <c r="B1349" s="16" t="s">
        <v>1570</v>
      </c>
      <c r="C1349" s="16" t="s">
        <v>1571</v>
      </c>
      <c r="D1349" s="17">
        <v>46082.0</v>
      </c>
      <c r="E1349" s="18">
        <v>50.305</v>
      </c>
      <c r="F1349" s="16" t="s">
        <v>917</v>
      </c>
      <c r="G1349" s="21">
        <v>28.5063</v>
      </c>
      <c r="H1349" s="21">
        <v>1.7647</v>
      </c>
      <c r="I1349" s="17">
        <v>46101.0</v>
      </c>
      <c r="J1349" s="18">
        <v>50.0</v>
      </c>
      <c r="K1349" s="16">
        <v>2346.0</v>
      </c>
      <c r="L1349" s="16" t="s">
        <v>2608</v>
      </c>
      <c r="M1349" s="19">
        <v>0.61</v>
      </c>
      <c r="N1349" s="16" t="s">
        <v>3871</v>
      </c>
      <c r="O1349" s="16">
        <v>2346.0</v>
      </c>
      <c r="P1349" s="19">
        <v>38.2545</v>
      </c>
      <c r="Q1349" s="16" t="s">
        <v>1572</v>
      </c>
      <c r="R1349" s="19">
        <v>0.2092</v>
      </c>
      <c r="S1349" s="20">
        <v>2760410.0</v>
      </c>
      <c r="T1349" s="20">
        <v>2.9072913031E10</v>
      </c>
      <c r="U1349" s="21">
        <v>0.9095</v>
      </c>
      <c r="V1349" s="21">
        <v>8.1714</v>
      </c>
      <c r="W1349" s="21">
        <v>18.774</v>
      </c>
      <c r="X1349" s="21">
        <v>12.0101</v>
      </c>
      <c r="Y1349" s="21">
        <v>2.1457</v>
      </c>
      <c r="Z1349" s="21">
        <v>0.5652</v>
      </c>
      <c r="AA1349" s="16" t="s">
        <v>2611</v>
      </c>
      <c r="AB1349" s="22">
        <f>IFERROR(__xludf.DUMMYFUNCTION("IFERROR(GOOGLEFINANCE(B1349,""price""),"""")"),51.43)</f>
        <v>51.43</v>
      </c>
    </row>
    <row r="1350">
      <c r="A1350" s="7">
        <v>46076.62754833001</v>
      </c>
      <c r="B1350" s="8" t="s">
        <v>3242</v>
      </c>
      <c r="C1350" s="8" t="s">
        <v>3243</v>
      </c>
      <c r="D1350" s="9">
        <v>46082.0</v>
      </c>
      <c r="E1350" s="10">
        <v>111.61</v>
      </c>
      <c r="F1350" s="8" t="s">
        <v>917</v>
      </c>
      <c r="G1350" s="13">
        <v>19.7442</v>
      </c>
      <c r="H1350" s="13">
        <v>5.6528</v>
      </c>
      <c r="I1350" s="9">
        <v>46101.0</v>
      </c>
      <c r="J1350" s="10">
        <v>110.0</v>
      </c>
      <c r="K1350" s="8">
        <v>2030.0</v>
      </c>
      <c r="L1350" s="8" t="s">
        <v>2608</v>
      </c>
      <c r="M1350" s="11">
        <v>1.44</v>
      </c>
      <c r="N1350" s="8" t="s">
        <v>3891</v>
      </c>
      <c r="O1350" s="8">
        <v>2030.0</v>
      </c>
      <c r="P1350" s="11">
        <v>27.9381</v>
      </c>
      <c r="Q1350" s="8" t="s">
        <v>3245</v>
      </c>
      <c r="R1350" s="11">
        <v>1.6392</v>
      </c>
      <c r="S1350" s="12">
        <v>1785106.0</v>
      </c>
      <c r="T1350" s="12">
        <v>4.0318825494E10</v>
      </c>
      <c r="U1350" s="13">
        <v>2.5053</v>
      </c>
      <c r="V1350" s="13">
        <v>8.7624</v>
      </c>
      <c r="W1350" s="13">
        <v>17.3247</v>
      </c>
      <c r="X1350" s="13">
        <v>10.8577</v>
      </c>
      <c r="Y1350" s="13">
        <v>1.173</v>
      </c>
      <c r="Z1350" s="13">
        <v>1.0206</v>
      </c>
      <c r="AA1350" s="8" t="s">
        <v>2611</v>
      </c>
      <c r="AB1350" s="14">
        <f>IFERROR(__xludf.DUMMYFUNCTION("IFERROR(GOOGLEFINANCE(B1350,""price""),"""")"),113.56)</f>
        <v>113.56</v>
      </c>
    </row>
    <row r="1351">
      <c r="A1351" s="15">
        <v>46076.62754833001</v>
      </c>
      <c r="B1351" s="16" t="s">
        <v>3538</v>
      </c>
      <c r="C1351" s="16" t="s">
        <v>3539</v>
      </c>
      <c r="D1351" s="17">
        <v>46082.0</v>
      </c>
      <c r="E1351" s="18">
        <v>207.41</v>
      </c>
      <c r="F1351" s="16" t="s">
        <v>335</v>
      </c>
      <c r="G1351" s="21">
        <v>44.9777</v>
      </c>
      <c r="H1351" s="21">
        <v>4.6114</v>
      </c>
      <c r="I1351" s="17">
        <v>46080.0</v>
      </c>
      <c r="J1351" s="18">
        <v>205.0</v>
      </c>
      <c r="K1351" s="16">
        <v>1651.0</v>
      </c>
      <c r="L1351" s="16" t="s">
        <v>2608</v>
      </c>
      <c r="M1351" s="19">
        <v>1.16</v>
      </c>
      <c r="N1351" s="16" t="s">
        <v>3892</v>
      </c>
      <c r="O1351" s="16">
        <v>1651.0</v>
      </c>
      <c r="P1351" s="19">
        <v>32.8649</v>
      </c>
      <c r="Q1351" s="16" t="s">
        <v>3541</v>
      </c>
      <c r="R1351" s="19">
        <v>3.1839</v>
      </c>
      <c r="S1351" s="20">
        <v>1188555.0</v>
      </c>
      <c r="T1351" s="20">
        <v>1.71333593124E11</v>
      </c>
      <c r="U1351" s="21">
        <v>10.5167</v>
      </c>
      <c r="V1351" s="21">
        <v>39.4499</v>
      </c>
      <c r="W1351" s="21">
        <v>50.2534</v>
      </c>
      <c r="X1351" s="21">
        <v>12.6994</v>
      </c>
      <c r="Y1351" s="21">
        <v>0.7113</v>
      </c>
      <c r="Z1351" s="21">
        <v>4.5168</v>
      </c>
      <c r="AA1351" s="16" t="s">
        <v>2611</v>
      </c>
      <c r="AB1351" s="22">
        <f>IFERROR(__xludf.DUMMYFUNCTION("IFERROR(GOOGLEFINANCE(B1351,""price""),"""")"),192.56)</f>
        <v>192.56</v>
      </c>
    </row>
    <row r="1352">
      <c r="A1352" s="7">
        <v>46076.62754833001</v>
      </c>
      <c r="B1352" s="8" t="s">
        <v>3873</v>
      </c>
      <c r="C1352" s="8" t="s">
        <v>3874</v>
      </c>
      <c r="D1352" s="9">
        <v>46082.0</v>
      </c>
      <c r="E1352" s="10">
        <v>75.225</v>
      </c>
      <c r="F1352" s="8" t="s">
        <v>149</v>
      </c>
      <c r="G1352" s="13">
        <v>35.9258</v>
      </c>
      <c r="H1352" s="13">
        <v>2.0939</v>
      </c>
      <c r="I1352" s="9">
        <v>46101.0</v>
      </c>
      <c r="J1352" s="10">
        <v>75.0</v>
      </c>
      <c r="K1352" s="8">
        <v>1608.0</v>
      </c>
      <c r="L1352" s="8" t="s">
        <v>2627</v>
      </c>
      <c r="M1352" s="11">
        <v>0.3</v>
      </c>
      <c r="N1352" s="8" t="s">
        <v>3893</v>
      </c>
      <c r="O1352" s="8">
        <v>1608.0</v>
      </c>
      <c r="P1352" s="11">
        <v>25.2102</v>
      </c>
      <c r="Q1352" s="8" t="s">
        <v>3876</v>
      </c>
      <c r="R1352" s="11">
        <v>-3.5453</v>
      </c>
      <c r="S1352" s="12">
        <v>1795647.0</v>
      </c>
      <c r="T1352" s="12">
        <v>1.2212703723E10</v>
      </c>
      <c r="U1352" s="13">
        <v>2.1334</v>
      </c>
      <c r="V1352" s="13"/>
      <c r="W1352" s="13">
        <v>16.0229</v>
      </c>
      <c r="X1352" s="13">
        <v>9.2423</v>
      </c>
      <c r="Y1352" s="13"/>
      <c r="Z1352" s="13"/>
      <c r="AA1352" s="8" t="s">
        <v>2611</v>
      </c>
      <c r="AB1352" s="14">
        <f>IFERROR(__xludf.DUMMYFUNCTION("IFERROR(GOOGLEFINANCE(B1352,""price""),"""")"),79.01)</f>
        <v>79.01</v>
      </c>
    </row>
    <row r="1353">
      <c r="A1353" s="15">
        <v>46076.62754833001</v>
      </c>
      <c r="B1353" s="16" t="s">
        <v>2672</v>
      </c>
      <c r="C1353" s="16" t="s">
        <v>2673</v>
      </c>
      <c r="D1353" s="17">
        <v>46082.0</v>
      </c>
      <c r="E1353" s="18">
        <v>49.955</v>
      </c>
      <c r="F1353" s="16" t="s">
        <v>107</v>
      </c>
      <c r="G1353" s="21"/>
      <c r="H1353" s="21">
        <v>-1.865</v>
      </c>
      <c r="I1353" s="17">
        <v>46101.0</v>
      </c>
      <c r="J1353" s="18">
        <v>50.0</v>
      </c>
      <c r="K1353" s="16">
        <v>1579.0</v>
      </c>
      <c r="L1353" s="16" t="s">
        <v>2608</v>
      </c>
      <c r="M1353" s="19">
        <v>0.09</v>
      </c>
      <c r="N1353" s="16" t="s">
        <v>3894</v>
      </c>
      <c r="O1353" s="16">
        <v>1579.0</v>
      </c>
      <c r="P1353" s="19">
        <v>46.9768</v>
      </c>
      <c r="Q1353" s="16" t="s">
        <v>2675</v>
      </c>
      <c r="R1353" s="19">
        <v>-0.9026</v>
      </c>
      <c r="S1353" s="20">
        <v>1468197.0</v>
      </c>
      <c r="T1353" s="20">
        <v>2.0427791297E10</v>
      </c>
      <c r="U1353" s="21">
        <v>1.4296</v>
      </c>
      <c r="V1353" s="21">
        <v>-0.805</v>
      </c>
      <c r="W1353" s="21">
        <v>16.2067</v>
      </c>
      <c r="X1353" s="21">
        <v>-10.4796</v>
      </c>
      <c r="Y1353" s="21">
        <v>0.2451</v>
      </c>
      <c r="Z1353" s="21">
        <v>2.4187</v>
      </c>
      <c r="AA1353" s="16" t="s">
        <v>2620</v>
      </c>
      <c r="AB1353" s="22">
        <f>IFERROR(__xludf.DUMMYFUNCTION("IFERROR(GOOGLEFINANCE(B1353,""price""),"""")"),47.25)</f>
        <v>47.25</v>
      </c>
    </row>
    <row r="1354">
      <c r="A1354" s="7">
        <v>46076.62754833001</v>
      </c>
      <c r="B1354" s="8" t="s">
        <v>2663</v>
      </c>
      <c r="C1354" s="8" t="s">
        <v>2664</v>
      </c>
      <c r="D1354" s="9">
        <v>46082.0</v>
      </c>
      <c r="E1354" s="10">
        <v>123.859</v>
      </c>
      <c r="F1354" s="8" t="s">
        <v>335</v>
      </c>
      <c r="G1354" s="13">
        <v>19.3954</v>
      </c>
      <c r="H1354" s="13">
        <v>6.386</v>
      </c>
      <c r="I1354" s="9">
        <v>46080.0</v>
      </c>
      <c r="J1354" s="10">
        <v>125.0</v>
      </c>
      <c r="K1354" s="8">
        <v>1466.0</v>
      </c>
      <c r="L1354" s="8" t="s">
        <v>2608</v>
      </c>
      <c r="M1354" s="11">
        <v>0.92</v>
      </c>
      <c r="N1354" s="8" t="s">
        <v>3877</v>
      </c>
      <c r="O1354" s="8">
        <v>1466.0</v>
      </c>
      <c r="P1354" s="11">
        <v>17.1859</v>
      </c>
      <c r="Q1354" s="8" t="s">
        <v>2666</v>
      </c>
      <c r="R1354" s="11">
        <v>1.4157</v>
      </c>
      <c r="S1354" s="12">
        <v>6689635.0</v>
      </c>
      <c r="T1354" s="12">
        <v>1.34743015877E11</v>
      </c>
      <c r="U1354" s="13">
        <v>5.7245</v>
      </c>
      <c r="V1354" s="13">
        <v>22.2118</v>
      </c>
      <c r="W1354" s="13">
        <v>46.8525</v>
      </c>
      <c r="X1354" s="13">
        <v>18.5716</v>
      </c>
      <c r="Y1354" s="13">
        <v>0.1687</v>
      </c>
      <c r="Z1354" s="13">
        <v>2.2875</v>
      </c>
      <c r="AA1354" s="8" t="s">
        <v>2620</v>
      </c>
      <c r="AB1354" s="14">
        <f>IFERROR(__xludf.DUMMYFUNCTION("IFERROR(GOOGLEFINANCE(B1354,""price""),"""")"),120.9)</f>
        <v>120.9</v>
      </c>
    </row>
    <row r="1355">
      <c r="A1355" s="15">
        <v>46076.62754833001</v>
      </c>
      <c r="B1355" s="16" t="s">
        <v>2505</v>
      </c>
      <c r="C1355" s="16" t="s">
        <v>2506</v>
      </c>
      <c r="D1355" s="17">
        <v>46082.0</v>
      </c>
      <c r="E1355" s="18">
        <v>178.905</v>
      </c>
      <c r="F1355" s="16" t="s">
        <v>335</v>
      </c>
      <c r="G1355" s="21">
        <v>23.735</v>
      </c>
      <c r="H1355" s="21">
        <v>7.5376</v>
      </c>
      <c r="I1355" s="17">
        <v>46101.0</v>
      </c>
      <c r="J1355" s="18">
        <v>180.0</v>
      </c>
      <c r="K1355" s="16">
        <v>1466.0</v>
      </c>
      <c r="L1355" s="16" t="s">
        <v>2608</v>
      </c>
      <c r="M1355" s="19">
        <v>0.61</v>
      </c>
      <c r="N1355" s="16" t="s">
        <v>3895</v>
      </c>
      <c r="O1355" s="16">
        <v>1466.0</v>
      </c>
      <c r="P1355" s="19">
        <v>20.0187</v>
      </c>
      <c r="Q1355" s="16" t="s">
        <v>2507</v>
      </c>
      <c r="R1355" s="19">
        <v>-0.6139</v>
      </c>
      <c r="S1355" s="20">
        <v>1363818.0</v>
      </c>
      <c r="T1355" s="20">
        <v>4.0943956931E10</v>
      </c>
      <c r="U1355" s="21">
        <v>5.5255</v>
      </c>
      <c r="V1355" s="21">
        <v>8.4356</v>
      </c>
      <c r="W1355" s="21">
        <v>8.2261</v>
      </c>
      <c r="X1355" s="21">
        <v>5.7251</v>
      </c>
      <c r="Y1355" s="21">
        <v>0.3401</v>
      </c>
      <c r="Z1355" s="21">
        <v>2.9383</v>
      </c>
      <c r="AA1355" s="16" t="s">
        <v>2620</v>
      </c>
      <c r="AB1355" s="22">
        <f>IFERROR(__xludf.DUMMYFUNCTION("IFERROR(GOOGLEFINANCE(B1355,""price""),"""")"),186.12)</f>
        <v>186.12</v>
      </c>
    </row>
    <row r="1356">
      <c r="A1356" s="7">
        <v>46076.62754833001</v>
      </c>
      <c r="B1356" s="8" t="s">
        <v>2812</v>
      </c>
      <c r="C1356" s="8" t="s">
        <v>2813</v>
      </c>
      <c r="D1356" s="9">
        <v>46082.0</v>
      </c>
      <c r="E1356" s="10">
        <v>408.035</v>
      </c>
      <c r="F1356" s="8" t="s">
        <v>308</v>
      </c>
      <c r="G1356" s="13">
        <v>46.1437</v>
      </c>
      <c r="H1356" s="13">
        <v>8.8427</v>
      </c>
      <c r="I1356" s="9">
        <v>46080.0</v>
      </c>
      <c r="J1356" s="10">
        <v>400.0</v>
      </c>
      <c r="K1356" s="8">
        <v>1116.0</v>
      </c>
      <c r="L1356" s="8" t="s">
        <v>2627</v>
      </c>
      <c r="M1356" s="11">
        <v>1.97</v>
      </c>
      <c r="N1356" s="8" t="s">
        <v>3896</v>
      </c>
      <c r="O1356" s="8">
        <v>1116.0</v>
      </c>
      <c r="P1356" s="11">
        <v>27.603</v>
      </c>
      <c r="Q1356" s="8" t="s">
        <v>2815</v>
      </c>
      <c r="R1356" s="11">
        <v>-0.748</v>
      </c>
      <c r="S1356" s="12">
        <v>1929474.0</v>
      </c>
      <c r="T1356" s="12">
        <v>8.8981437492E10</v>
      </c>
      <c r="U1356" s="13">
        <v>26.467</v>
      </c>
      <c r="V1356" s="13"/>
      <c r="W1356" s="13">
        <v>25.6015</v>
      </c>
      <c r="X1356" s="13">
        <v>25.1773</v>
      </c>
      <c r="Y1356" s="13">
        <v>10.4662</v>
      </c>
      <c r="Z1356" s="13">
        <v>1.1191</v>
      </c>
      <c r="AA1356" s="8" t="s">
        <v>2611</v>
      </c>
      <c r="AB1356" s="14">
        <f>IFERROR(__xludf.DUMMYFUNCTION("IFERROR(GOOGLEFINANCE(B1356,""price""),"""")"),503.13)</f>
        <v>503.13</v>
      </c>
    </row>
    <row r="1357">
      <c r="A1357" s="15">
        <v>46076.62754833001</v>
      </c>
      <c r="B1357" s="16" t="s">
        <v>2438</v>
      </c>
      <c r="C1357" s="16" t="s">
        <v>2439</v>
      </c>
      <c r="D1357" s="17">
        <v>46082.0</v>
      </c>
      <c r="E1357" s="18">
        <v>220.25</v>
      </c>
      <c r="F1357" s="16" t="s">
        <v>308</v>
      </c>
      <c r="G1357" s="21">
        <v>40.447</v>
      </c>
      <c r="H1357" s="21">
        <v>5.4454</v>
      </c>
      <c r="I1357" s="17">
        <v>46080.0</v>
      </c>
      <c r="J1357" s="18">
        <v>220.0</v>
      </c>
      <c r="K1357" s="16">
        <v>1038.0</v>
      </c>
      <c r="L1357" s="16" t="s">
        <v>2608</v>
      </c>
      <c r="M1357" s="19">
        <v>0.11</v>
      </c>
      <c r="N1357" s="16" t="s">
        <v>3878</v>
      </c>
      <c r="O1357" s="16">
        <v>1038.0</v>
      </c>
      <c r="P1357" s="19">
        <v>49.5118</v>
      </c>
      <c r="Q1357" s="16" t="s">
        <v>2440</v>
      </c>
      <c r="R1357" s="19">
        <v>0.2367</v>
      </c>
      <c r="S1357" s="20">
        <v>5030550.0</v>
      </c>
      <c r="T1357" s="20">
        <v>1.9988804224E11</v>
      </c>
      <c r="U1357" s="21">
        <v>6.3178</v>
      </c>
      <c r="V1357" s="21">
        <v>29.9795</v>
      </c>
      <c r="W1357" s="21">
        <v>34.7246</v>
      </c>
      <c r="X1357" s="21">
        <v>13.049</v>
      </c>
      <c r="Y1357" s="21">
        <v>0.9082</v>
      </c>
      <c r="Z1357" s="21">
        <v>4.3526</v>
      </c>
      <c r="AA1357" s="16" t="s">
        <v>2611</v>
      </c>
      <c r="AB1357" s="22">
        <f>IFERROR(__xludf.DUMMYFUNCTION("IFERROR(GOOGLEFINANCE(B1357,""price""),"""")"),214.73)</f>
        <v>214.73</v>
      </c>
    </row>
    <row r="1358">
      <c r="A1358" s="7">
        <v>46076.62754833001</v>
      </c>
      <c r="B1358" s="8" t="s">
        <v>3237</v>
      </c>
      <c r="C1358" s="8" t="s">
        <v>3238</v>
      </c>
      <c r="D1358" s="9">
        <v>46082.0</v>
      </c>
      <c r="E1358" s="10">
        <v>334.315</v>
      </c>
      <c r="F1358" s="8" t="s">
        <v>149</v>
      </c>
      <c r="G1358" s="13">
        <v>27.9703</v>
      </c>
      <c r="H1358" s="13">
        <v>11.9525</v>
      </c>
      <c r="I1358" s="9">
        <v>46080.0</v>
      </c>
      <c r="J1358" s="10">
        <v>330.0</v>
      </c>
      <c r="K1358" s="8">
        <v>1005.0</v>
      </c>
      <c r="L1358" s="8" t="s">
        <v>2608</v>
      </c>
      <c r="M1358" s="11">
        <v>1.29</v>
      </c>
      <c r="N1358" s="8" t="s">
        <v>3879</v>
      </c>
      <c r="O1358" s="8">
        <v>1005.0</v>
      </c>
      <c r="P1358" s="11">
        <v>35.5092</v>
      </c>
      <c r="Q1358" s="8" t="s">
        <v>3240</v>
      </c>
      <c r="R1358" s="11">
        <v>1.5445</v>
      </c>
      <c r="S1358" s="12">
        <v>2741851.0</v>
      </c>
      <c r="T1358" s="12">
        <v>2.3808389211E11</v>
      </c>
      <c r="U1358" s="13">
        <v>5.7202</v>
      </c>
      <c r="V1358" s="13"/>
      <c r="W1358" s="13">
        <v>46.1038</v>
      </c>
      <c r="X1358" s="13">
        <v>3.723</v>
      </c>
      <c r="Y1358" s="13"/>
      <c r="Z1358" s="13">
        <v>0.9546</v>
      </c>
      <c r="AA1358" s="8" t="s">
        <v>2611</v>
      </c>
      <c r="AB1358" s="14">
        <f>IFERROR(__xludf.DUMMYFUNCTION("IFERROR(GOOGLEFINANCE(B1358,""price""),"""")"),305.68)</f>
        <v>305.68</v>
      </c>
    </row>
    <row r="1359">
      <c r="A1359" s="15">
        <v>46076.62754833001</v>
      </c>
      <c r="B1359" s="16" t="s">
        <v>2915</v>
      </c>
      <c r="C1359" s="16" t="s">
        <v>2916</v>
      </c>
      <c r="D1359" s="17">
        <v>46082.0</v>
      </c>
      <c r="E1359" s="18">
        <v>149.61</v>
      </c>
      <c r="F1359" s="16" t="s">
        <v>117</v>
      </c>
      <c r="G1359" s="21">
        <v>22.0664</v>
      </c>
      <c r="H1359" s="21">
        <v>6.78</v>
      </c>
      <c r="I1359" s="17">
        <v>46080.0</v>
      </c>
      <c r="J1359" s="18">
        <v>150.0</v>
      </c>
      <c r="K1359" s="16">
        <v>1004.0</v>
      </c>
      <c r="L1359" s="16" t="s">
        <v>2627</v>
      </c>
      <c r="M1359" s="19">
        <v>0.26</v>
      </c>
      <c r="N1359" s="16" t="s">
        <v>3880</v>
      </c>
      <c r="O1359" s="16">
        <v>1004.0</v>
      </c>
      <c r="P1359" s="19">
        <v>46.9415</v>
      </c>
      <c r="Q1359" s="16" t="s">
        <v>2918</v>
      </c>
      <c r="R1359" s="19">
        <v>-1.1823</v>
      </c>
      <c r="S1359" s="20">
        <v>4183063.0</v>
      </c>
      <c r="T1359" s="20">
        <v>1.85618062301E11</v>
      </c>
      <c r="U1359" s="21">
        <v>3.9789</v>
      </c>
      <c r="V1359" s="21">
        <v>40.574</v>
      </c>
      <c r="W1359" s="21">
        <v>40.0843</v>
      </c>
      <c r="X1359" s="21">
        <v>2.4054</v>
      </c>
      <c r="Y1359" s="21"/>
      <c r="Z1359" s="21">
        <v>1.6834</v>
      </c>
      <c r="AA1359" s="16" t="s">
        <v>2620</v>
      </c>
      <c r="AB1359" s="22">
        <f>IFERROR(__xludf.DUMMYFUNCTION("IFERROR(GOOGLEFINANCE(B1359,""price""),"""")"),139.03)</f>
        <v>139.03</v>
      </c>
    </row>
    <row r="1360">
      <c r="A1360" s="7">
        <v>46077.627080004895</v>
      </c>
      <c r="B1360" s="8" t="s">
        <v>2630</v>
      </c>
      <c r="C1360" s="8" t="s">
        <v>2631</v>
      </c>
      <c r="D1360" s="9">
        <v>46082.0</v>
      </c>
      <c r="E1360" s="10">
        <v>421.37</v>
      </c>
      <c r="F1360" s="8" t="s">
        <v>308</v>
      </c>
      <c r="G1360" s="13">
        <v>40.0542</v>
      </c>
      <c r="H1360" s="13">
        <v>10.52</v>
      </c>
      <c r="I1360" s="9">
        <v>46080.0</v>
      </c>
      <c r="J1360" s="10">
        <v>420.0</v>
      </c>
      <c r="K1360" s="8">
        <v>15047.0</v>
      </c>
      <c r="L1360" s="8" t="s">
        <v>2627</v>
      </c>
      <c r="M1360" s="11">
        <v>0.33</v>
      </c>
      <c r="N1360" s="8" t="s">
        <v>3897</v>
      </c>
      <c r="O1360" s="8">
        <v>37018.0</v>
      </c>
      <c r="P1360" s="11">
        <v>37.2419</v>
      </c>
      <c r="Q1360" s="8" t="s">
        <v>2633</v>
      </c>
      <c r="R1360" s="11">
        <v>0.095</v>
      </c>
      <c r="S1360" s="12">
        <v>2.9333625E7</v>
      </c>
      <c r="T1360" s="12">
        <v>4.74255845569E11</v>
      </c>
      <c r="U1360" s="13">
        <v>24.1471</v>
      </c>
      <c r="V1360" s="13">
        <v>22.5543</v>
      </c>
      <c r="W1360" s="13">
        <v>32.9221</v>
      </c>
      <c r="X1360" s="13">
        <v>45.432</v>
      </c>
      <c r="Y1360" s="13">
        <v>0.2124</v>
      </c>
      <c r="Z1360" s="13">
        <v>2.4598</v>
      </c>
      <c r="AA1360" s="8" t="s">
        <v>2611</v>
      </c>
      <c r="AB1360" s="14">
        <f>IFERROR(__xludf.DUMMYFUNCTION("IFERROR(GOOGLEFINANCE(B1360,""price""),"""")"),420.59)</f>
        <v>420.59</v>
      </c>
    </row>
    <row r="1361">
      <c r="A1361" s="15">
        <v>46077.627080004895</v>
      </c>
      <c r="B1361" s="16" t="s">
        <v>2399</v>
      </c>
      <c r="C1361" s="16" t="s">
        <v>2400</v>
      </c>
      <c r="D1361" s="17">
        <v>46082.0</v>
      </c>
      <c r="E1361" s="18">
        <v>18.785</v>
      </c>
      <c r="F1361" s="16" t="s">
        <v>270</v>
      </c>
      <c r="G1361" s="21">
        <v>15.5479</v>
      </c>
      <c r="H1361" s="21">
        <v>1.2082</v>
      </c>
      <c r="I1361" s="17">
        <v>46080.0</v>
      </c>
      <c r="J1361" s="18">
        <v>18.5</v>
      </c>
      <c r="K1361" s="16">
        <v>13860.0</v>
      </c>
      <c r="L1361" s="16" t="s">
        <v>2608</v>
      </c>
      <c r="M1361" s="19">
        <v>1.52</v>
      </c>
      <c r="N1361" s="16" t="s">
        <v>3898</v>
      </c>
      <c r="O1361" s="16">
        <v>20052.0</v>
      </c>
      <c r="P1361" s="19">
        <v>40.919</v>
      </c>
      <c r="Q1361" s="16" t="s">
        <v>2401</v>
      </c>
      <c r="R1361" s="19">
        <v>-0.186</v>
      </c>
      <c r="S1361" s="20">
        <v>1.1076603E7</v>
      </c>
      <c r="T1361" s="20">
        <v>6.4626305954E10</v>
      </c>
      <c r="U1361" s="21">
        <v>0.3545</v>
      </c>
      <c r="V1361" s="21">
        <v>12.7475</v>
      </c>
      <c r="W1361" s="21">
        <v>10.8866</v>
      </c>
      <c r="X1361" s="21">
        <v>3.4655</v>
      </c>
      <c r="Y1361" s="21">
        <v>2.0395</v>
      </c>
      <c r="Z1361" s="21">
        <v>1.2192</v>
      </c>
      <c r="AA1361" s="16" t="s">
        <v>2611</v>
      </c>
      <c r="AB1361" s="22">
        <f>IFERROR(__xludf.DUMMYFUNCTION("IFERROR(GOOGLEFINANCE(B1361,""price""),"""")"),19.19)</f>
        <v>19.19</v>
      </c>
    </row>
    <row r="1362">
      <c r="A1362" s="7">
        <v>46077.627080004895</v>
      </c>
      <c r="B1362" s="8" t="s">
        <v>2638</v>
      </c>
      <c r="C1362" s="8" t="s">
        <v>2639</v>
      </c>
      <c r="D1362" s="9">
        <v>46082.0</v>
      </c>
      <c r="E1362" s="10">
        <v>149.52</v>
      </c>
      <c r="F1362" s="8" t="s">
        <v>245</v>
      </c>
      <c r="G1362" s="13">
        <v>22.3338</v>
      </c>
      <c r="H1362" s="13">
        <v>6.6948</v>
      </c>
      <c r="I1362" s="9">
        <v>46080.0</v>
      </c>
      <c r="J1362" s="10">
        <v>147.0</v>
      </c>
      <c r="K1362" s="8">
        <v>6172.0</v>
      </c>
      <c r="L1362" s="8" t="s">
        <v>2627</v>
      </c>
      <c r="M1362" s="11">
        <v>1.69</v>
      </c>
      <c r="N1362" s="8" t="s">
        <v>3899</v>
      </c>
      <c r="O1362" s="8">
        <v>18865.0</v>
      </c>
      <c r="P1362" s="11">
        <v>47.2871</v>
      </c>
      <c r="Q1362" s="8" t="s">
        <v>2641</v>
      </c>
      <c r="R1362" s="11">
        <v>-0.8225</v>
      </c>
      <c r="S1362" s="12">
        <v>9208187.0</v>
      </c>
      <c r="T1362" s="12">
        <v>6.23014481518E11</v>
      </c>
      <c r="U1362" s="13">
        <v>3.5513</v>
      </c>
      <c r="V1362" s="13">
        <v>11.0283</v>
      </c>
      <c r="W1362" s="13">
        <v>10.3419</v>
      </c>
      <c r="X1362" s="13">
        <v>-4.856</v>
      </c>
      <c r="Y1362" s="13">
        <v>0.1871</v>
      </c>
      <c r="Z1362" s="13">
        <v>1.1528</v>
      </c>
      <c r="AA1362" s="8" t="s">
        <v>2611</v>
      </c>
      <c r="AB1362" s="14">
        <f>IFERROR(__xludf.DUMMYFUNCTION("IFERROR(GOOGLEFINANCE(B1362,""price""),"""")"),152.51)</f>
        <v>152.51</v>
      </c>
    </row>
    <row r="1363">
      <c r="A1363" s="15">
        <v>46077.627080004895</v>
      </c>
      <c r="B1363" s="16" t="s">
        <v>2625</v>
      </c>
      <c r="C1363" s="16" t="s">
        <v>2626</v>
      </c>
      <c r="D1363" s="17">
        <v>46082.0</v>
      </c>
      <c r="E1363" s="18">
        <v>126.63</v>
      </c>
      <c r="F1363" s="16" t="s">
        <v>137</v>
      </c>
      <c r="G1363" s="21">
        <v>46.3744</v>
      </c>
      <c r="H1363" s="21">
        <v>2.7306</v>
      </c>
      <c r="I1363" s="17">
        <v>46080.0</v>
      </c>
      <c r="J1363" s="18">
        <v>126.0</v>
      </c>
      <c r="K1363" s="16">
        <v>4270.0</v>
      </c>
      <c r="L1363" s="16" t="s">
        <v>2627</v>
      </c>
      <c r="M1363" s="19">
        <v>0.5</v>
      </c>
      <c r="N1363" s="16" t="s">
        <v>3900</v>
      </c>
      <c r="O1363" s="16">
        <v>18814.0</v>
      </c>
      <c r="P1363" s="19">
        <v>28.6114</v>
      </c>
      <c r="Q1363" s="16" t="s">
        <v>2629</v>
      </c>
      <c r="R1363" s="19">
        <v>0.6518</v>
      </c>
      <c r="S1363" s="20">
        <v>1.3304777E7</v>
      </c>
      <c r="T1363" s="20">
        <v>1.009262226636E12</v>
      </c>
      <c r="U1363" s="21">
        <v>3.4897</v>
      </c>
      <c r="V1363" s="21">
        <v>22.9691</v>
      </c>
      <c r="W1363" s="21">
        <v>4.1821</v>
      </c>
      <c r="X1363" s="21">
        <v>4.7252</v>
      </c>
      <c r="Y1363" s="21">
        <v>0.6735</v>
      </c>
      <c r="Z1363" s="21">
        <v>0.7898</v>
      </c>
      <c r="AA1363" s="16" t="s">
        <v>2611</v>
      </c>
      <c r="AB1363" s="22">
        <f>IFERROR(__xludf.DUMMYFUNCTION("IFERROR(GOOGLEFINANCE(B1363,""price""),"""")"),126.79)</f>
        <v>126.79</v>
      </c>
    </row>
    <row r="1364">
      <c r="A1364" s="7">
        <v>46077.627080004895</v>
      </c>
      <c r="B1364" s="8" t="s">
        <v>3269</v>
      </c>
      <c r="C1364" s="8" t="s">
        <v>3270</v>
      </c>
      <c r="D1364" s="9">
        <v>46082.0</v>
      </c>
      <c r="E1364" s="10">
        <v>272.0</v>
      </c>
      <c r="F1364" s="8" t="s">
        <v>308</v>
      </c>
      <c r="G1364" s="13">
        <v>34.4138</v>
      </c>
      <c r="H1364" s="13">
        <v>7.9038</v>
      </c>
      <c r="I1364" s="9">
        <v>46078.0</v>
      </c>
      <c r="J1364" s="10">
        <v>275.0</v>
      </c>
      <c r="K1364" s="8">
        <v>5078.0</v>
      </c>
      <c r="L1364" s="8" t="s">
        <v>2608</v>
      </c>
      <c r="M1364" s="11">
        <v>1.1</v>
      </c>
      <c r="N1364" s="8" t="s">
        <v>3901</v>
      </c>
      <c r="O1364" s="8">
        <v>17823.0</v>
      </c>
      <c r="P1364" s="11">
        <v>17.809</v>
      </c>
      <c r="Q1364" s="8" t="s">
        <v>3272</v>
      </c>
      <c r="R1364" s="11">
        <v>2.1865</v>
      </c>
      <c r="S1364" s="12">
        <v>3.1335774E7</v>
      </c>
      <c r="T1364" s="12">
        <v>3.993269874496E12</v>
      </c>
      <c r="U1364" s="13">
        <v>6.6363</v>
      </c>
      <c r="V1364" s="13">
        <v>152.0213</v>
      </c>
      <c r="W1364" s="13">
        <v>32.384</v>
      </c>
      <c r="X1364" s="13">
        <v>10.071</v>
      </c>
      <c r="Y1364" s="13">
        <v>1.0263</v>
      </c>
      <c r="Z1364" s="13">
        <v>0.9737</v>
      </c>
      <c r="AA1364" s="8" t="s">
        <v>2620</v>
      </c>
      <c r="AB1364" s="14">
        <f>IFERROR(__xludf.DUMMYFUNCTION("IFERROR(GOOGLEFINANCE(B1364,""price""),"""")"),260.48)</f>
        <v>260.48</v>
      </c>
    </row>
    <row r="1365">
      <c r="A1365" s="15">
        <v>46077.627080004895</v>
      </c>
      <c r="B1365" s="16" t="s">
        <v>2616</v>
      </c>
      <c r="C1365" s="16" t="s">
        <v>2617</v>
      </c>
      <c r="D1365" s="17">
        <v>46082.0</v>
      </c>
      <c r="E1365" s="18">
        <v>80.765</v>
      </c>
      <c r="F1365" s="16" t="s">
        <v>286</v>
      </c>
      <c r="G1365" s="21">
        <v>26.5805</v>
      </c>
      <c r="H1365" s="21">
        <v>3.0385</v>
      </c>
      <c r="I1365" s="17">
        <v>46080.0</v>
      </c>
      <c r="J1365" s="18">
        <v>80.0</v>
      </c>
      <c r="K1365" s="16">
        <v>7022.0</v>
      </c>
      <c r="L1365" s="16" t="s">
        <v>2608</v>
      </c>
      <c r="M1365" s="19">
        <v>0.95</v>
      </c>
      <c r="N1365" s="16" t="s">
        <v>3902</v>
      </c>
      <c r="O1365" s="16">
        <v>16868.0</v>
      </c>
      <c r="P1365" s="19">
        <v>40.0669</v>
      </c>
      <c r="Q1365" s="16" t="s">
        <v>2619</v>
      </c>
      <c r="R1365" s="19">
        <v>0.2545</v>
      </c>
      <c r="S1365" s="20">
        <v>1.139905E7</v>
      </c>
      <c r="T1365" s="20">
        <v>3.47347894242E11</v>
      </c>
      <c r="U1365" s="21">
        <v>1.272</v>
      </c>
      <c r="V1365" s="21">
        <v>45.9693</v>
      </c>
      <c r="W1365" s="21">
        <v>31.3688</v>
      </c>
      <c r="X1365" s="21">
        <v>3.4769</v>
      </c>
      <c r="Y1365" s="21">
        <v>1.4577</v>
      </c>
      <c r="Z1365" s="21">
        <v>1.4588</v>
      </c>
      <c r="AA1365" s="16" t="s">
        <v>2611</v>
      </c>
      <c r="AB1365" s="22">
        <f>IFERROR(__xludf.DUMMYFUNCTION("IFERROR(GOOGLEFINANCE(B1365,""price""),"""")"),77.47)</f>
        <v>77.47</v>
      </c>
    </row>
    <row r="1366">
      <c r="A1366" s="7">
        <v>46077.627080004895</v>
      </c>
      <c r="B1366" s="8" t="s">
        <v>3463</v>
      </c>
      <c r="C1366" s="8" t="s">
        <v>3464</v>
      </c>
      <c r="D1366" s="9">
        <v>46082.0</v>
      </c>
      <c r="E1366" s="10">
        <v>58.11</v>
      </c>
      <c r="F1366" s="8" t="s">
        <v>245</v>
      </c>
      <c r="G1366" s="13">
        <v>17.5363</v>
      </c>
      <c r="H1366" s="13">
        <v>3.3137</v>
      </c>
      <c r="I1366" s="9">
        <v>46080.0</v>
      </c>
      <c r="J1366" s="10">
        <v>58.0</v>
      </c>
      <c r="K1366" s="8">
        <v>7865.0</v>
      </c>
      <c r="L1366" s="8" t="s">
        <v>2608</v>
      </c>
      <c r="M1366" s="11">
        <v>0.19</v>
      </c>
      <c r="N1366" s="8" t="s">
        <v>3903</v>
      </c>
      <c r="O1366" s="8">
        <v>15598.0</v>
      </c>
      <c r="P1366" s="11">
        <v>23.5852</v>
      </c>
      <c r="Q1366" s="8" t="s">
        <v>3466</v>
      </c>
      <c r="R1366" s="11">
        <v>-1.5585</v>
      </c>
      <c r="S1366" s="12">
        <v>5028117.0</v>
      </c>
      <c r="T1366" s="12">
        <v>3.6276560624E10</v>
      </c>
      <c r="U1366" s="13">
        <v>2.0431</v>
      </c>
      <c r="V1366" s="13">
        <v>9.1961</v>
      </c>
      <c r="W1366" s="13">
        <v>35.6577</v>
      </c>
      <c r="X1366" s="13">
        <v>59.9561</v>
      </c>
      <c r="Y1366" s="13">
        <v>0.3357</v>
      </c>
      <c r="Z1366" s="13">
        <v>0.7627</v>
      </c>
      <c r="AA1366" s="8" t="s">
        <v>2611</v>
      </c>
      <c r="AB1366" s="14">
        <f>IFERROR(__xludf.DUMMYFUNCTION("IFERROR(GOOGLEFINANCE(B1366,""price""),"""")"),58.68)</f>
        <v>58.68</v>
      </c>
    </row>
    <row r="1367">
      <c r="A1367" s="15">
        <v>46077.627080004895</v>
      </c>
      <c r="B1367" s="16" t="s">
        <v>3385</v>
      </c>
      <c r="C1367" s="16" t="s">
        <v>3386</v>
      </c>
      <c r="D1367" s="17">
        <v>46082.0</v>
      </c>
      <c r="E1367" s="18">
        <v>45.445</v>
      </c>
      <c r="F1367" s="16" t="s">
        <v>129</v>
      </c>
      <c r="G1367" s="21">
        <v>41.5364</v>
      </c>
      <c r="H1367" s="21">
        <v>1.0941</v>
      </c>
      <c r="I1367" s="17">
        <v>46101.0</v>
      </c>
      <c r="J1367" s="18">
        <v>46.25</v>
      </c>
      <c r="K1367" s="16">
        <v>5723.0</v>
      </c>
      <c r="L1367" s="16" t="s">
        <v>2608</v>
      </c>
      <c r="M1367" s="19">
        <v>1.77</v>
      </c>
      <c r="N1367" s="16" t="s">
        <v>3904</v>
      </c>
      <c r="O1367" s="16">
        <v>10058.0</v>
      </c>
      <c r="P1367" s="19">
        <v>16.6288</v>
      </c>
      <c r="Q1367" s="16" t="s">
        <v>3388</v>
      </c>
      <c r="R1367" s="19">
        <v>0.8768</v>
      </c>
      <c r="S1367" s="20">
        <v>3308213.0</v>
      </c>
      <c r="T1367" s="20">
        <v>5.2179002825E10</v>
      </c>
      <c r="U1367" s="21">
        <v>1.1916</v>
      </c>
      <c r="V1367" s="21">
        <v>33.2967</v>
      </c>
      <c r="W1367" s="21">
        <v>20.1917</v>
      </c>
      <c r="X1367" s="21">
        <v>8.6721</v>
      </c>
      <c r="Y1367" s="21">
        <v>0.1121</v>
      </c>
      <c r="Z1367" s="21">
        <v>4.852</v>
      </c>
      <c r="AA1367" s="16" t="s">
        <v>2620</v>
      </c>
      <c r="AB1367" s="22">
        <f>IFERROR(__xludf.DUMMYFUNCTION("IFERROR(GOOGLEFINANCE(B1367,""price""),"""")"),49.17)</f>
        <v>49.17</v>
      </c>
    </row>
    <row r="1368">
      <c r="A1368" s="7">
        <v>46077.627080004895</v>
      </c>
      <c r="B1368" s="8" t="s">
        <v>3416</v>
      </c>
      <c r="C1368" s="8" t="s">
        <v>3417</v>
      </c>
      <c r="D1368" s="9">
        <v>46082.0</v>
      </c>
      <c r="E1368" s="10">
        <v>68.98</v>
      </c>
      <c r="F1368" s="8" t="s">
        <v>286</v>
      </c>
      <c r="G1368" s="13">
        <v>16.7561</v>
      </c>
      <c r="H1368" s="13">
        <v>4.1167</v>
      </c>
      <c r="I1368" s="9">
        <v>46080.0</v>
      </c>
      <c r="J1368" s="10">
        <v>70.0</v>
      </c>
      <c r="K1368" s="8">
        <v>5607.0</v>
      </c>
      <c r="L1368" s="8" t="s">
        <v>2608</v>
      </c>
      <c r="M1368" s="11">
        <v>1.48</v>
      </c>
      <c r="N1368" s="8" t="s">
        <v>3905</v>
      </c>
      <c r="O1368" s="8">
        <v>9031.0</v>
      </c>
      <c r="P1368" s="11">
        <v>31.2309</v>
      </c>
      <c r="Q1368" s="8" t="s">
        <v>3419</v>
      </c>
      <c r="R1368" s="11">
        <v>0.0</v>
      </c>
      <c r="S1368" s="12">
        <v>4405578.0</v>
      </c>
      <c r="T1368" s="12">
        <v>1.15794766311E11</v>
      </c>
      <c r="U1368" s="13">
        <v>1.4042</v>
      </c>
      <c r="V1368" s="13"/>
      <c r="W1368" s="13">
        <v>63.7221</v>
      </c>
      <c r="X1368" s="13">
        <v>-1.4919</v>
      </c>
      <c r="Y1368" s="13"/>
      <c r="Z1368" s="13">
        <v>0.648</v>
      </c>
      <c r="AA1368" s="8" t="s">
        <v>2620</v>
      </c>
      <c r="AB1368" s="14">
        <f>IFERROR(__xludf.DUMMYFUNCTION("IFERROR(GOOGLEFINANCE(B1368,""price""),"""")"),67.38)</f>
        <v>67.38</v>
      </c>
    </row>
    <row r="1369">
      <c r="A1369" s="15">
        <v>46077.627080004895</v>
      </c>
      <c r="B1369" s="16" t="s">
        <v>3802</v>
      </c>
      <c r="C1369" s="16" t="s">
        <v>3803</v>
      </c>
      <c r="D1369" s="17">
        <v>46082.0</v>
      </c>
      <c r="E1369" s="18">
        <v>45.02</v>
      </c>
      <c r="F1369" s="16" t="s">
        <v>270</v>
      </c>
      <c r="G1369" s="21"/>
      <c r="H1369" s="21"/>
      <c r="I1369" s="17">
        <v>46101.0</v>
      </c>
      <c r="J1369" s="18">
        <v>45.0</v>
      </c>
      <c r="K1369" s="16">
        <v>7953.0</v>
      </c>
      <c r="L1369" s="16" t="s">
        <v>2608</v>
      </c>
      <c r="M1369" s="19">
        <v>0.04</v>
      </c>
      <c r="N1369" s="16" t="s">
        <v>3906</v>
      </c>
      <c r="O1369" s="16">
        <v>7953.0</v>
      </c>
      <c r="P1369" s="19">
        <v>35.755</v>
      </c>
      <c r="Q1369" s="16" t="s">
        <v>3805</v>
      </c>
      <c r="R1369" s="19">
        <v>-0.8588</v>
      </c>
      <c r="S1369" s="20">
        <v>1040640.0</v>
      </c>
      <c r="T1369" s="20">
        <v>4.710103794E9</v>
      </c>
      <c r="U1369" s="21">
        <v>1.0867</v>
      </c>
      <c r="V1369" s="21">
        <v>2.9879</v>
      </c>
      <c r="W1369" s="21">
        <v>26.6004</v>
      </c>
      <c r="X1369" s="21">
        <v>19.1487</v>
      </c>
      <c r="Y1369" s="21">
        <v>1.0108</v>
      </c>
      <c r="Z1369" s="21">
        <v>1.3168</v>
      </c>
      <c r="AA1369" s="16" t="s">
        <v>2611</v>
      </c>
      <c r="AB1369" s="22">
        <f>IFERROR(__xludf.DUMMYFUNCTION("IFERROR(GOOGLEFINANCE(B1369,""price""),"""")"),53.28)</f>
        <v>53.28</v>
      </c>
    </row>
    <row r="1370">
      <c r="A1370" s="7">
        <v>46077.627080004895</v>
      </c>
      <c r="B1370" s="8" t="s">
        <v>2700</v>
      </c>
      <c r="C1370" s="8" t="s">
        <v>2701</v>
      </c>
      <c r="D1370" s="9">
        <v>46082.0</v>
      </c>
      <c r="E1370" s="10">
        <v>243.62</v>
      </c>
      <c r="F1370" s="8" t="s">
        <v>102</v>
      </c>
      <c r="G1370" s="13">
        <v>49.9293</v>
      </c>
      <c r="H1370" s="13">
        <v>4.8793</v>
      </c>
      <c r="I1370" s="9">
        <v>46080.0</v>
      </c>
      <c r="J1370" s="10">
        <v>245.0</v>
      </c>
      <c r="K1370" s="8">
        <v>2157.0</v>
      </c>
      <c r="L1370" s="8" t="s">
        <v>2627</v>
      </c>
      <c r="M1370" s="11">
        <v>0.57</v>
      </c>
      <c r="N1370" s="8" t="s">
        <v>3907</v>
      </c>
      <c r="O1370" s="8">
        <v>6462.0</v>
      </c>
      <c r="P1370" s="11">
        <v>32.446</v>
      </c>
      <c r="Q1370" s="8" t="s">
        <v>2703</v>
      </c>
      <c r="R1370" s="11">
        <v>0.5572</v>
      </c>
      <c r="S1370" s="12">
        <v>5490908.0</v>
      </c>
      <c r="T1370" s="12">
        <v>3.04225595433E11</v>
      </c>
      <c r="U1370" s="13">
        <v>11.3334</v>
      </c>
      <c r="V1370" s="13">
        <v>65.5649</v>
      </c>
      <c r="W1370" s="13">
        <v>33.7646</v>
      </c>
      <c r="X1370" s="13">
        <v>26.8457</v>
      </c>
      <c r="Y1370" s="13">
        <v>0.4419</v>
      </c>
      <c r="Z1370" s="13">
        <v>2.2562</v>
      </c>
      <c r="AA1370" s="8" t="s">
        <v>2620</v>
      </c>
      <c r="AB1370" s="14">
        <f>IFERROR(__xludf.DUMMYFUNCTION("IFERROR(GOOGLEFINANCE(B1370,""price""),"""")"),263.66)</f>
        <v>263.66</v>
      </c>
    </row>
    <row r="1371">
      <c r="A1371" s="15">
        <v>46077.627080004895</v>
      </c>
      <c r="B1371" s="16" t="s">
        <v>3713</v>
      </c>
      <c r="C1371" s="16" t="s">
        <v>3714</v>
      </c>
      <c r="D1371" s="17">
        <v>46082.0</v>
      </c>
      <c r="E1371" s="18">
        <v>158.27</v>
      </c>
      <c r="F1371" s="16" t="s">
        <v>149</v>
      </c>
      <c r="G1371" s="21"/>
      <c r="H1371" s="21">
        <v>-0.2349</v>
      </c>
      <c r="I1371" s="17">
        <v>46101.0</v>
      </c>
      <c r="J1371" s="18">
        <v>160.0</v>
      </c>
      <c r="K1371" s="16">
        <v>6270.0</v>
      </c>
      <c r="L1371" s="16" t="s">
        <v>2608</v>
      </c>
      <c r="M1371" s="19">
        <v>1.09</v>
      </c>
      <c r="N1371" s="16" t="s">
        <v>3908</v>
      </c>
      <c r="O1371" s="16">
        <v>6270.0</v>
      </c>
      <c r="P1371" s="19">
        <v>25.0153</v>
      </c>
      <c r="Q1371" s="16" t="s">
        <v>3716</v>
      </c>
      <c r="R1371" s="19">
        <v>-0.0063</v>
      </c>
      <c r="S1371" s="20">
        <v>1253815.0</v>
      </c>
      <c r="T1371" s="20">
        <v>3.6776921118E10</v>
      </c>
      <c r="U1371" s="21">
        <v>5.3634</v>
      </c>
      <c r="V1371" s="21">
        <v>-24.6827</v>
      </c>
      <c r="W1371" s="21">
        <v>5.9214</v>
      </c>
      <c r="X1371" s="21">
        <v>8.8349</v>
      </c>
      <c r="Y1371" s="21">
        <v>38.3916</v>
      </c>
      <c r="Z1371" s="21">
        <v>0.9951</v>
      </c>
      <c r="AA1371" s="16" t="s">
        <v>2620</v>
      </c>
      <c r="AB1371" s="22">
        <f>IFERROR(__xludf.DUMMYFUNCTION("IFERROR(GOOGLEFINANCE(B1371,""price""),"""")"),160.59)</f>
        <v>160.59</v>
      </c>
    </row>
    <row r="1372">
      <c r="A1372" s="7">
        <v>46077.627080004895</v>
      </c>
      <c r="B1372" s="8" t="s">
        <v>2634</v>
      </c>
      <c r="C1372" s="8" t="s">
        <v>2635</v>
      </c>
      <c r="D1372" s="9">
        <v>46082.0</v>
      </c>
      <c r="E1372" s="10">
        <v>185.62</v>
      </c>
      <c r="F1372" s="8" t="s">
        <v>245</v>
      </c>
      <c r="G1372" s="13">
        <v>27.909</v>
      </c>
      <c r="H1372" s="13">
        <v>6.6509</v>
      </c>
      <c r="I1372" s="9">
        <v>46080.0</v>
      </c>
      <c r="J1372" s="10">
        <v>185.0</v>
      </c>
      <c r="K1372" s="8">
        <v>3062.0</v>
      </c>
      <c r="L1372" s="8" t="s">
        <v>2608</v>
      </c>
      <c r="M1372" s="11">
        <v>0.33</v>
      </c>
      <c r="N1372" s="8" t="s">
        <v>3909</v>
      </c>
      <c r="O1372" s="8">
        <v>5885.0</v>
      </c>
      <c r="P1372" s="11">
        <v>51.8496</v>
      </c>
      <c r="Q1372" s="8" t="s">
        <v>2637</v>
      </c>
      <c r="R1372" s="11">
        <v>0.384</v>
      </c>
      <c r="S1372" s="12">
        <v>4194927.0</v>
      </c>
      <c r="T1372" s="12">
        <v>3.73749887991E11</v>
      </c>
      <c r="U1372" s="13">
        <v>3.3413</v>
      </c>
      <c r="V1372" s="13">
        <v>7.261</v>
      </c>
      <c r="W1372" s="13">
        <v>8.9022</v>
      </c>
      <c r="X1372" s="13">
        <v>-4.6053</v>
      </c>
      <c r="Y1372" s="13">
        <v>0.2186</v>
      </c>
      <c r="Z1372" s="13"/>
      <c r="AA1372" s="8" t="s">
        <v>2611</v>
      </c>
      <c r="AB1372" s="14">
        <f>IFERROR(__xludf.DUMMYFUNCTION("IFERROR(GOOGLEFINANCE(B1372,""price""),"""")"),188.55)</f>
        <v>188.55</v>
      </c>
    </row>
    <row r="1373">
      <c r="A1373" s="15">
        <v>46077.627080004895</v>
      </c>
      <c r="B1373" s="16" t="s">
        <v>2692</v>
      </c>
      <c r="C1373" s="16" t="s">
        <v>2693</v>
      </c>
      <c r="D1373" s="17">
        <v>46082.0</v>
      </c>
      <c r="E1373" s="18">
        <v>246.18</v>
      </c>
      <c r="F1373" s="16" t="s">
        <v>117</v>
      </c>
      <c r="G1373" s="21">
        <v>22.2872</v>
      </c>
      <c r="H1373" s="21">
        <v>11.0458</v>
      </c>
      <c r="I1373" s="17">
        <v>46080.0</v>
      </c>
      <c r="J1373" s="18">
        <v>245.0</v>
      </c>
      <c r="K1373" s="16">
        <v>2739.0</v>
      </c>
      <c r="L1373" s="16" t="s">
        <v>2608</v>
      </c>
      <c r="M1373" s="19">
        <v>0.48</v>
      </c>
      <c r="N1373" s="16" t="s">
        <v>3910</v>
      </c>
      <c r="O1373" s="16">
        <v>5007.0</v>
      </c>
      <c r="P1373" s="19">
        <v>42.1546</v>
      </c>
      <c r="Q1373" s="16" t="s">
        <v>2695</v>
      </c>
      <c r="R1373" s="19">
        <v>0.1383</v>
      </c>
      <c r="S1373" s="20">
        <v>4952848.0</v>
      </c>
      <c r="T1373" s="20">
        <v>5.93268908712E11</v>
      </c>
      <c r="U1373" s="21">
        <v>3.7495</v>
      </c>
      <c r="V1373" s="21">
        <v>35.0301</v>
      </c>
      <c r="W1373" s="21">
        <v>27.2081</v>
      </c>
      <c r="X1373" s="21">
        <v>6.046</v>
      </c>
      <c r="Y1373" s="21">
        <v>0.605</v>
      </c>
      <c r="Z1373" s="21">
        <v>1.0277</v>
      </c>
      <c r="AA1373" s="16" t="s">
        <v>2611</v>
      </c>
      <c r="AB1373" s="22">
        <f>IFERROR(__xludf.DUMMYFUNCTION("IFERROR(GOOGLEFINANCE(B1373,""price""),"""")"),238.46)</f>
        <v>238.46</v>
      </c>
    </row>
    <row r="1374">
      <c r="A1374" s="7">
        <v>46077.627080004895</v>
      </c>
      <c r="B1374" s="8" t="s">
        <v>2804</v>
      </c>
      <c r="C1374" s="8" t="s">
        <v>2805</v>
      </c>
      <c r="D1374" s="9">
        <v>46082.0</v>
      </c>
      <c r="E1374" s="10">
        <v>151.68</v>
      </c>
      <c r="F1374" s="8" t="s">
        <v>308</v>
      </c>
      <c r="G1374" s="13">
        <v>82.4841</v>
      </c>
      <c r="H1374" s="13">
        <v>1.8389</v>
      </c>
      <c r="I1374" s="9">
        <v>46080.0</v>
      </c>
      <c r="J1374" s="10">
        <v>150.0</v>
      </c>
      <c r="K1374" s="8">
        <v>4744.0</v>
      </c>
      <c r="L1374" s="8" t="s">
        <v>2608</v>
      </c>
      <c r="M1374" s="11">
        <v>1.11</v>
      </c>
      <c r="N1374" s="8" t="s">
        <v>3911</v>
      </c>
      <c r="O1374" s="8">
        <v>4744.0</v>
      </c>
      <c r="P1374" s="11">
        <v>47.4123</v>
      </c>
      <c r="Q1374" s="8" t="s">
        <v>2807</v>
      </c>
      <c r="R1374" s="11">
        <v>4.4269</v>
      </c>
      <c r="S1374" s="12">
        <v>1.2461589E7</v>
      </c>
      <c r="T1374" s="12">
        <v>1.30133570859E11</v>
      </c>
      <c r="U1374" s="13">
        <v>6.6979</v>
      </c>
      <c r="V1374" s="13">
        <v>14.1911</v>
      </c>
      <c r="W1374" s="13">
        <v>15.3241</v>
      </c>
      <c r="X1374" s="13">
        <v>19.1416</v>
      </c>
      <c r="Y1374" s="13">
        <v>0.7942</v>
      </c>
      <c r="Z1374" s="13">
        <v>1.5878</v>
      </c>
      <c r="AA1374" s="8" t="s">
        <v>2611</v>
      </c>
      <c r="AB1374" s="14">
        <f>IFERROR(__xludf.DUMMYFUNCTION("IFERROR(GOOGLEFINANCE(B1374,""price""),"""")"),171.24)</f>
        <v>171.24</v>
      </c>
    </row>
    <row r="1375">
      <c r="A1375" s="15">
        <v>46077.627080004895</v>
      </c>
      <c r="B1375" s="16" t="s">
        <v>3697</v>
      </c>
      <c r="C1375" s="16" t="s">
        <v>3698</v>
      </c>
      <c r="D1375" s="17">
        <v>46082.0</v>
      </c>
      <c r="E1375" s="18">
        <v>48.425</v>
      </c>
      <c r="F1375" s="16" t="s">
        <v>917</v>
      </c>
      <c r="G1375" s="21">
        <v>17.7063</v>
      </c>
      <c r="H1375" s="21">
        <v>2.7349</v>
      </c>
      <c r="I1375" s="17">
        <v>46101.0</v>
      </c>
      <c r="J1375" s="18">
        <v>49.0</v>
      </c>
      <c r="K1375" s="16">
        <v>3662.0</v>
      </c>
      <c r="L1375" s="16" t="s">
        <v>2608</v>
      </c>
      <c r="M1375" s="19">
        <v>1.19</v>
      </c>
      <c r="N1375" s="16" t="s">
        <v>3912</v>
      </c>
      <c r="O1375" s="16">
        <v>3662.0</v>
      </c>
      <c r="P1375" s="19">
        <v>29.8188</v>
      </c>
      <c r="Q1375" s="16" t="s">
        <v>3700</v>
      </c>
      <c r="R1375" s="19">
        <v>0.4668</v>
      </c>
      <c r="S1375" s="20">
        <v>3411093.0</v>
      </c>
      <c r="T1375" s="20">
        <v>4.953357388E10</v>
      </c>
      <c r="U1375" s="21">
        <v>1.034</v>
      </c>
      <c r="V1375" s="21">
        <v>9.9356</v>
      </c>
      <c r="W1375" s="21">
        <v>21.2054</v>
      </c>
      <c r="X1375" s="21">
        <v>5.3367</v>
      </c>
      <c r="Y1375" s="21">
        <v>1.7554</v>
      </c>
      <c r="Z1375" s="21">
        <v>0.924</v>
      </c>
      <c r="AA1375" s="16" t="s">
        <v>2620</v>
      </c>
      <c r="AB1375" s="22">
        <f>IFERROR(__xludf.DUMMYFUNCTION("IFERROR(GOOGLEFINANCE(B1375,""price""),"""")"),48.57)</f>
        <v>48.57</v>
      </c>
    </row>
    <row r="1376">
      <c r="A1376" s="7">
        <v>46077.627080004895</v>
      </c>
      <c r="B1376" s="8" t="s">
        <v>2606</v>
      </c>
      <c r="C1376" s="8" t="s">
        <v>2607</v>
      </c>
      <c r="D1376" s="9">
        <v>46082.0</v>
      </c>
      <c r="E1376" s="10">
        <v>50.23</v>
      </c>
      <c r="F1376" s="8" t="s">
        <v>93</v>
      </c>
      <c r="G1376" s="13">
        <v>14.2101</v>
      </c>
      <c r="H1376" s="13">
        <v>3.5348</v>
      </c>
      <c r="I1376" s="9">
        <v>46101.0</v>
      </c>
      <c r="J1376" s="10">
        <v>50.0</v>
      </c>
      <c r="K1376" s="8">
        <v>3546.0</v>
      </c>
      <c r="L1376" s="8" t="s">
        <v>2608</v>
      </c>
      <c r="M1376" s="11">
        <v>0.46</v>
      </c>
      <c r="N1376" s="8" t="s">
        <v>3913</v>
      </c>
      <c r="O1376" s="8">
        <v>3546.0</v>
      </c>
      <c r="P1376" s="11">
        <v>32.1164</v>
      </c>
      <c r="Q1376" s="8" t="s">
        <v>2610</v>
      </c>
      <c r="R1376" s="11">
        <v>-0.9466</v>
      </c>
      <c r="S1376" s="12">
        <v>5246163.0</v>
      </c>
      <c r="T1376" s="12">
        <v>4.5779153333E10</v>
      </c>
      <c r="U1376" s="13">
        <v>1.5446</v>
      </c>
      <c r="V1376" s="13">
        <v>12.1975</v>
      </c>
      <c r="W1376" s="13">
        <v>23.4205</v>
      </c>
      <c r="X1376" s="13">
        <v>2.2457</v>
      </c>
      <c r="Y1376" s="13">
        <v>0.6682</v>
      </c>
      <c r="Z1376" s="13">
        <v>0.2832</v>
      </c>
      <c r="AA1376" s="8" t="s">
        <v>2611</v>
      </c>
      <c r="AB1376" s="14">
        <f>IFERROR(__xludf.DUMMYFUNCTION("IFERROR(GOOGLEFINANCE(B1376,""price""),"""")"),49.31)</f>
        <v>49.31</v>
      </c>
    </row>
    <row r="1377">
      <c r="A1377" s="15">
        <v>46077.627080004895</v>
      </c>
      <c r="B1377" s="16" t="s">
        <v>2297</v>
      </c>
      <c r="C1377" s="16" t="s">
        <v>2298</v>
      </c>
      <c r="D1377" s="17">
        <v>46082.0</v>
      </c>
      <c r="E1377" s="18">
        <v>105.2</v>
      </c>
      <c r="F1377" s="16" t="s">
        <v>917</v>
      </c>
      <c r="G1377" s="21">
        <v>26.8889</v>
      </c>
      <c r="H1377" s="21">
        <v>3.9124</v>
      </c>
      <c r="I1377" s="17">
        <v>46101.0</v>
      </c>
      <c r="J1377" s="18">
        <v>105.0</v>
      </c>
      <c r="K1377" s="16">
        <v>3288.0</v>
      </c>
      <c r="L1377" s="16" t="s">
        <v>2608</v>
      </c>
      <c r="M1377" s="19">
        <v>0.19</v>
      </c>
      <c r="N1377" s="16" t="s">
        <v>3914</v>
      </c>
      <c r="O1377" s="16">
        <v>3288.0</v>
      </c>
      <c r="P1377" s="19">
        <v>34.0219</v>
      </c>
      <c r="Q1377" s="16" t="s">
        <v>2299</v>
      </c>
      <c r="R1377" s="19">
        <v>0.3147</v>
      </c>
      <c r="S1377" s="20">
        <v>1620590.0</v>
      </c>
      <c r="T1377" s="20">
        <v>4.7654532168E10</v>
      </c>
      <c r="U1377" s="21">
        <v>2.0659</v>
      </c>
      <c r="V1377" s="21">
        <v>10.931</v>
      </c>
      <c r="W1377" s="21">
        <v>22.9697</v>
      </c>
      <c r="X1377" s="21">
        <v>8.3782</v>
      </c>
      <c r="Y1377" s="21">
        <v>1.8276</v>
      </c>
      <c r="Z1377" s="21">
        <v>0.7243</v>
      </c>
      <c r="AA1377" s="16" t="s">
        <v>2611</v>
      </c>
      <c r="AB1377" s="22">
        <f>IFERROR(__xludf.DUMMYFUNCTION("IFERROR(GOOGLEFINANCE(B1377,""price""),"""")"),116.47)</f>
        <v>116.47</v>
      </c>
    </row>
    <row r="1378">
      <c r="A1378" s="7">
        <v>46077.627080004895</v>
      </c>
      <c r="B1378" s="8" t="s">
        <v>2710</v>
      </c>
      <c r="C1378" s="8" t="s">
        <v>2711</v>
      </c>
      <c r="D1378" s="9">
        <v>46082.0</v>
      </c>
      <c r="E1378" s="10">
        <v>132.14</v>
      </c>
      <c r="F1378" s="8" t="s">
        <v>917</v>
      </c>
      <c r="G1378" s="13">
        <v>19.8411</v>
      </c>
      <c r="H1378" s="13">
        <v>6.6599</v>
      </c>
      <c r="I1378" s="9">
        <v>46101.0</v>
      </c>
      <c r="J1378" s="10">
        <v>130.0</v>
      </c>
      <c r="K1378" s="8">
        <v>2818.0</v>
      </c>
      <c r="L1378" s="8" t="s">
        <v>2608</v>
      </c>
      <c r="M1378" s="11">
        <v>1.62</v>
      </c>
      <c r="N1378" s="8" t="s">
        <v>3915</v>
      </c>
      <c r="O1378" s="8">
        <v>2818.0</v>
      </c>
      <c r="P1378" s="11">
        <v>40.7397</v>
      </c>
      <c r="Q1378" s="8" t="s">
        <v>2713</v>
      </c>
      <c r="R1378" s="11">
        <v>0.0833</v>
      </c>
      <c r="S1378" s="12">
        <v>1739782.0</v>
      </c>
      <c r="T1378" s="12">
        <v>7.1469439434E10</v>
      </c>
      <c r="U1378" s="13">
        <v>2.5175</v>
      </c>
      <c r="V1378" s="13">
        <v>12.3274</v>
      </c>
      <c r="W1378" s="13">
        <v>25.0742</v>
      </c>
      <c r="X1378" s="13">
        <v>10.4587</v>
      </c>
      <c r="Y1378" s="13">
        <v>1.5949</v>
      </c>
      <c r="Z1378" s="13">
        <v>0.4546</v>
      </c>
      <c r="AA1378" s="8" t="s">
        <v>2611</v>
      </c>
      <c r="AB1378" s="14">
        <f>IFERROR(__xludf.DUMMYFUNCTION("IFERROR(GOOGLEFINANCE(B1378,""price""),"""")"),136.3)</f>
        <v>136.3</v>
      </c>
    </row>
    <row r="1379">
      <c r="A1379" s="15">
        <v>46077.627080004895</v>
      </c>
      <c r="B1379" s="16" t="s">
        <v>3834</v>
      </c>
      <c r="C1379" s="16" t="s">
        <v>3835</v>
      </c>
      <c r="D1379" s="17">
        <v>46082.0</v>
      </c>
      <c r="E1379" s="18">
        <v>183.545</v>
      </c>
      <c r="F1379" s="16" t="s">
        <v>917</v>
      </c>
      <c r="G1379" s="21">
        <v>26.8231</v>
      </c>
      <c r="H1379" s="21">
        <v>6.8428</v>
      </c>
      <c r="I1379" s="17">
        <v>46080.0</v>
      </c>
      <c r="J1379" s="18">
        <v>180.0</v>
      </c>
      <c r="K1379" s="16">
        <v>1760.0</v>
      </c>
      <c r="L1379" s="16" t="s">
        <v>2608</v>
      </c>
      <c r="M1379" s="19">
        <v>1.93</v>
      </c>
      <c r="N1379" s="16" t="s">
        <v>3916</v>
      </c>
      <c r="O1379" s="16">
        <v>2795.0</v>
      </c>
      <c r="P1379" s="19">
        <v>23.2473</v>
      </c>
      <c r="Q1379" s="16" t="s">
        <v>3837</v>
      </c>
      <c r="R1379" s="19">
        <v>3.9797</v>
      </c>
      <c r="S1379" s="20">
        <v>2872788.0</v>
      </c>
      <c r="T1379" s="20">
        <v>3.5174455313E10</v>
      </c>
      <c r="U1379" s="21">
        <v>7.5376</v>
      </c>
      <c r="V1379" s="21">
        <v>64.1871</v>
      </c>
      <c r="W1379" s="21">
        <v>5.3252</v>
      </c>
      <c r="X1379" s="21">
        <v>6.4026</v>
      </c>
      <c r="Y1379" s="21">
        <v>6.1477</v>
      </c>
      <c r="Z1379" s="21">
        <v>1.0533</v>
      </c>
      <c r="AA1379" s="16" t="s">
        <v>2611</v>
      </c>
      <c r="AB1379" s="22">
        <f>IFERROR(__xludf.DUMMYFUNCTION("IFERROR(GOOGLEFINANCE(B1379,""price""),"""")"),164.07)</f>
        <v>164.07</v>
      </c>
    </row>
    <row r="1380">
      <c r="A1380" s="7">
        <v>46077.627080004895</v>
      </c>
      <c r="B1380" s="8" t="s">
        <v>3845</v>
      </c>
      <c r="C1380" s="8" t="s">
        <v>3846</v>
      </c>
      <c r="D1380" s="9">
        <v>46082.0</v>
      </c>
      <c r="E1380" s="10">
        <v>89.915</v>
      </c>
      <c r="F1380" s="8" t="s">
        <v>129</v>
      </c>
      <c r="G1380" s="13">
        <v>24.1824</v>
      </c>
      <c r="H1380" s="13">
        <v>3.7182</v>
      </c>
      <c r="I1380" s="9">
        <v>46101.0</v>
      </c>
      <c r="J1380" s="10">
        <v>90.0</v>
      </c>
      <c r="K1380" s="8">
        <v>2684.0</v>
      </c>
      <c r="L1380" s="8" t="s">
        <v>2608</v>
      </c>
      <c r="M1380" s="11">
        <v>0.09</v>
      </c>
      <c r="N1380" s="8" t="s">
        <v>3917</v>
      </c>
      <c r="O1380" s="8">
        <v>2684.0</v>
      </c>
      <c r="P1380" s="11">
        <v>53.8586</v>
      </c>
      <c r="Q1380" s="8" t="s">
        <v>3848</v>
      </c>
      <c r="R1380" s="11">
        <v>0.5423</v>
      </c>
      <c r="S1380" s="12">
        <v>1475284.0</v>
      </c>
      <c r="T1380" s="12">
        <v>4.3063050806E10</v>
      </c>
      <c r="U1380" s="13">
        <v>1.824</v>
      </c>
      <c r="V1380" s="13">
        <v>83.6397</v>
      </c>
      <c r="W1380" s="13">
        <v>4.1986</v>
      </c>
      <c r="X1380" s="13">
        <v>2.576</v>
      </c>
      <c r="Y1380" s="13">
        <v>6.5567</v>
      </c>
      <c r="Z1380" s="13">
        <v>1.2955</v>
      </c>
      <c r="AA1380" s="8" t="s">
        <v>2620</v>
      </c>
      <c r="AB1380" s="14">
        <f>IFERROR(__xludf.DUMMYFUNCTION("IFERROR(GOOGLEFINANCE(B1380,""price""),"""")"),72.82)</f>
        <v>72.82</v>
      </c>
    </row>
    <row r="1381">
      <c r="A1381" s="15">
        <v>46077.627080004895</v>
      </c>
      <c r="B1381" s="16" t="s">
        <v>3684</v>
      </c>
      <c r="C1381" s="16" t="s">
        <v>3685</v>
      </c>
      <c r="D1381" s="17">
        <v>46082.0</v>
      </c>
      <c r="E1381" s="18">
        <v>37.955</v>
      </c>
      <c r="F1381" s="16" t="s">
        <v>917</v>
      </c>
      <c r="G1381" s="21">
        <v>23.9056</v>
      </c>
      <c r="H1381" s="21">
        <v>1.5877</v>
      </c>
      <c r="I1381" s="17">
        <v>46101.0</v>
      </c>
      <c r="J1381" s="18">
        <v>38.0</v>
      </c>
      <c r="K1381" s="16">
        <v>2564.0</v>
      </c>
      <c r="L1381" s="16" t="s">
        <v>2608</v>
      </c>
      <c r="M1381" s="19">
        <v>0.12</v>
      </c>
      <c r="N1381" s="16" t="s">
        <v>3918</v>
      </c>
      <c r="O1381" s="16">
        <v>2564.0</v>
      </c>
      <c r="P1381" s="19">
        <v>20.0841</v>
      </c>
      <c r="Q1381" s="16" t="s">
        <v>3687</v>
      </c>
      <c r="R1381" s="19">
        <v>1.8653</v>
      </c>
      <c r="S1381" s="20">
        <v>2.1462951E7</v>
      </c>
      <c r="T1381" s="20">
        <v>2.851584921E10</v>
      </c>
      <c r="U1381" s="21">
        <v>0.7656</v>
      </c>
      <c r="V1381" s="21">
        <v>8.1497</v>
      </c>
      <c r="W1381" s="21">
        <v>23.6452</v>
      </c>
      <c r="X1381" s="21">
        <v>6.8542</v>
      </c>
      <c r="Y1381" s="21">
        <v>1.3003</v>
      </c>
      <c r="Z1381" s="21">
        <v>0.8647</v>
      </c>
      <c r="AA1381" s="16" t="s">
        <v>2620</v>
      </c>
      <c r="AB1381" s="22">
        <f>IFERROR(__xludf.DUMMYFUNCTION("IFERROR(GOOGLEFINANCE(B1381,""price""),"""")"),39.65)</f>
        <v>39.65</v>
      </c>
    </row>
    <row r="1382">
      <c r="A1382" s="7">
        <v>46077.627080004895</v>
      </c>
      <c r="B1382" s="8" t="s">
        <v>2726</v>
      </c>
      <c r="C1382" s="8" t="s">
        <v>2727</v>
      </c>
      <c r="D1382" s="9">
        <v>46082.0</v>
      </c>
      <c r="E1382" s="10">
        <v>85.395</v>
      </c>
      <c r="F1382" s="8" t="s">
        <v>286</v>
      </c>
      <c r="G1382" s="13">
        <v>48.6138</v>
      </c>
      <c r="H1382" s="13">
        <v>1.7566</v>
      </c>
      <c r="I1382" s="9">
        <v>46101.0</v>
      </c>
      <c r="J1382" s="10">
        <v>85.0</v>
      </c>
      <c r="K1382" s="8">
        <v>2552.0</v>
      </c>
      <c r="L1382" s="8" t="s">
        <v>2608</v>
      </c>
      <c r="M1382" s="11">
        <v>0.46</v>
      </c>
      <c r="N1382" s="8" t="s">
        <v>3919</v>
      </c>
      <c r="O1382" s="8">
        <v>2552.0</v>
      </c>
      <c r="P1382" s="11">
        <v>35.4901</v>
      </c>
      <c r="Q1382" s="8" t="s">
        <v>2729</v>
      </c>
      <c r="R1382" s="11">
        <v>0.8324</v>
      </c>
      <c r="S1382" s="12">
        <v>3270486.0</v>
      </c>
      <c r="T1382" s="12">
        <v>8.3432726003E10</v>
      </c>
      <c r="U1382" s="13">
        <v>1.5372</v>
      </c>
      <c r="V1382" s="13">
        <v>25.538</v>
      </c>
      <c r="W1382" s="13">
        <v>29.9505</v>
      </c>
      <c r="X1382" s="13">
        <v>7.618</v>
      </c>
      <c r="Y1382" s="13">
        <v>0.0</v>
      </c>
      <c r="Z1382" s="13">
        <v>3.1855</v>
      </c>
      <c r="AA1382" s="8" t="s">
        <v>2611</v>
      </c>
      <c r="AB1382" s="14">
        <f>IFERROR(__xludf.DUMMYFUNCTION("IFERROR(GOOGLEFINANCE(B1382,""price""),"""")"),75.72)</f>
        <v>75.72</v>
      </c>
    </row>
    <row r="1383">
      <c r="A1383" s="15">
        <v>46077.627080004895</v>
      </c>
      <c r="B1383" s="16" t="s">
        <v>1570</v>
      </c>
      <c r="C1383" s="16" t="s">
        <v>1571</v>
      </c>
      <c r="D1383" s="17">
        <v>46082.0</v>
      </c>
      <c r="E1383" s="18">
        <v>50.565</v>
      </c>
      <c r="F1383" s="16" t="s">
        <v>917</v>
      </c>
      <c r="G1383" s="21">
        <v>28.6536</v>
      </c>
      <c r="H1383" s="21">
        <v>1.7647</v>
      </c>
      <c r="I1383" s="17">
        <v>46101.0</v>
      </c>
      <c r="J1383" s="18">
        <v>50.0</v>
      </c>
      <c r="K1383" s="16">
        <v>2351.0</v>
      </c>
      <c r="L1383" s="16" t="s">
        <v>2608</v>
      </c>
      <c r="M1383" s="19">
        <v>1.12</v>
      </c>
      <c r="N1383" s="16" t="s">
        <v>3920</v>
      </c>
      <c r="O1383" s="16">
        <v>2351.0</v>
      </c>
      <c r="P1383" s="19">
        <v>38.6046</v>
      </c>
      <c r="Q1383" s="16" t="s">
        <v>1572</v>
      </c>
      <c r="R1383" s="19">
        <v>0.2478</v>
      </c>
      <c r="S1383" s="20">
        <v>3331241.0</v>
      </c>
      <c r="T1383" s="20">
        <v>2.9223174338E10</v>
      </c>
      <c r="U1383" s="21">
        <v>0.9131</v>
      </c>
      <c r="V1383" s="21">
        <v>8.1714</v>
      </c>
      <c r="W1383" s="21">
        <v>18.774</v>
      </c>
      <c r="X1383" s="21">
        <v>12.0101</v>
      </c>
      <c r="Y1383" s="21">
        <v>2.1457</v>
      </c>
      <c r="Z1383" s="21">
        <v>0.5652</v>
      </c>
      <c r="AA1383" s="16" t="s">
        <v>2611</v>
      </c>
      <c r="AB1383" s="22">
        <f>IFERROR(__xludf.DUMMYFUNCTION("IFERROR(GOOGLEFINANCE(B1383,""price""),"""")"),51.43)</f>
        <v>51.43</v>
      </c>
    </row>
    <row r="1384">
      <c r="A1384" s="7">
        <v>46077.627080004895</v>
      </c>
      <c r="B1384" s="8" t="s">
        <v>3242</v>
      </c>
      <c r="C1384" s="8" t="s">
        <v>3243</v>
      </c>
      <c r="D1384" s="9">
        <v>46082.0</v>
      </c>
      <c r="E1384" s="10">
        <v>110.97</v>
      </c>
      <c r="F1384" s="8" t="s">
        <v>917</v>
      </c>
      <c r="G1384" s="13">
        <v>19.631</v>
      </c>
      <c r="H1384" s="13">
        <v>5.6528</v>
      </c>
      <c r="I1384" s="9">
        <v>46101.0</v>
      </c>
      <c r="J1384" s="10">
        <v>110.0</v>
      </c>
      <c r="K1384" s="8">
        <v>2062.0</v>
      </c>
      <c r="L1384" s="8" t="s">
        <v>2608</v>
      </c>
      <c r="M1384" s="11">
        <v>0.87</v>
      </c>
      <c r="N1384" s="8" t="s">
        <v>3921</v>
      </c>
      <c r="O1384" s="8">
        <v>2062.0</v>
      </c>
      <c r="P1384" s="11">
        <v>26.8065</v>
      </c>
      <c r="Q1384" s="8" t="s">
        <v>3245</v>
      </c>
      <c r="R1384" s="11">
        <v>-1.0433</v>
      </c>
      <c r="S1384" s="12">
        <v>5392652.0</v>
      </c>
      <c r="T1384" s="12">
        <v>4.0087627813E10</v>
      </c>
      <c r="U1384" s="13">
        <v>2.4792</v>
      </c>
      <c r="V1384" s="13">
        <v>8.7624</v>
      </c>
      <c r="W1384" s="13">
        <v>17.3247</v>
      </c>
      <c r="X1384" s="13">
        <v>10.8577</v>
      </c>
      <c r="Y1384" s="13">
        <v>1.173</v>
      </c>
      <c r="Z1384" s="13">
        <v>1.0206</v>
      </c>
      <c r="AA1384" s="8" t="s">
        <v>2611</v>
      </c>
      <c r="AB1384" s="14">
        <f>IFERROR(__xludf.DUMMYFUNCTION("IFERROR(GOOGLEFINANCE(B1384,""price""),"""")"),113.56)</f>
        <v>113.56</v>
      </c>
    </row>
    <row r="1385">
      <c r="A1385" s="15">
        <v>46077.627080004895</v>
      </c>
      <c r="B1385" s="16" t="s">
        <v>3922</v>
      </c>
      <c r="C1385" s="16" t="s">
        <v>3923</v>
      </c>
      <c r="D1385" s="17">
        <v>46082.0</v>
      </c>
      <c r="E1385" s="18">
        <v>83.75</v>
      </c>
      <c r="F1385" s="16" t="s">
        <v>917</v>
      </c>
      <c r="G1385" s="21">
        <v>24.4676</v>
      </c>
      <c r="H1385" s="21">
        <v>3.4229</v>
      </c>
      <c r="I1385" s="17">
        <v>46101.0</v>
      </c>
      <c r="J1385" s="18">
        <v>85.0</v>
      </c>
      <c r="K1385" s="16">
        <v>2021.0</v>
      </c>
      <c r="L1385" s="16" t="s">
        <v>2608</v>
      </c>
      <c r="M1385" s="19">
        <v>1.49</v>
      </c>
      <c r="N1385" s="16" t="s">
        <v>3924</v>
      </c>
      <c r="O1385" s="16">
        <v>2021.0</v>
      </c>
      <c r="P1385" s="19">
        <v>25.8803</v>
      </c>
      <c r="Q1385" s="16" t="s">
        <v>3925</v>
      </c>
      <c r="R1385" s="19">
        <v>0.4799</v>
      </c>
      <c r="S1385" s="20">
        <v>2683602.0</v>
      </c>
      <c r="T1385" s="20">
        <v>4.9541451806E10</v>
      </c>
      <c r="U1385" s="21">
        <v>1.5648</v>
      </c>
      <c r="V1385" s="21">
        <v>9.3575</v>
      </c>
      <c r="W1385" s="21">
        <v>19.7424</v>
      </c>
      <c r="X1385" s="21">
        <v>8.9546</v>
      </c>
      <c r="Y1385" s="21">
        <v>1.4352</v>
      </c>
      <c r="Z1385" s="21"/>
      <c r="AA1385" s="16" t="s">
        <v>2620</v>
      </c>
      <c r="AB1385" s="22">
        <f>IFERROR(__xludf.DUMMYFUNCTION("IFERROR(GOOGLEFINANCE(B1385,""price""),"""")"),82.38)</f>
        <v>82.38</v>
      </c>
    </row>
    <row r="1386">
      <c r="A1386" s="7">
        <v>46077.627080004895</v>
      </c>
      <c r="B1386" s="8" t="s">
        <v>2650</v>
      </c>
      <c r="C1386" s="8" t="s">
        <v>2651</v>
      </c>
      <c r="D1386" s="9">
        <v>46082.0</v>
      </c>
      <c r="E1386" s="10">
        <v>256.39</v>
      </c>
      <c r="F1386" s="8" t="s">
        <v>308</v>
      </c>
      <c r="G1386" s="13">
        <v>253.751</v>
      </c>
      <c r="H1386" s="13">
        <v>1.0104</v>
      </c>
      <c r="I1386" s="9">
        <v>46080.0</v>
      </c>
      <c r="J1386" s="10">
        <v>260.0</v>
      </c>
      <c r="K1386" s="8">
        <v>1993.0</v>
      </c>
      <c r="L1386" s="8" t="s">
        <v>2608</v>
      </c>
      <c r="M1386" s="11">
        <v>1.41</v>
      </c>
      <c r="N1386" s="8" t="s">
        <v>3926</v>
      </c>
      <c r="O1386" s="8">
        <v>1993.0</v>
      </c>
      <c r="P1386" s="11">
        <v>17.464</v>
      </c>
      <c r="Q1386" s="8" t="s">
        <v>2653</v>
      </c>
      <c r="R1386" s="11">
        <v>3.0134</v>
      </c>
      <c r="S1386" s="12">
        <v>3759480.0</v>
      </c>
      <c r="T1386" s="12">
        <v>4.8068473275E10</v>
      </c>
      <c r="U1386" s="13">
        <v>17.3375</v>
      </c>
      <c r="V1386" s="13">
        <v>3.6337</v>
      </c>
      <c r="W1386" s="13">
        <v>11.7943</v>
      </c>
      <c r="X1386" s="13">
        <v>18.6256</v>
      </c>
      <c r="Y1386" s="13">
        <v>0.4153</v>
      </c>
      <c r="Z1386" s="13">
        <v>2.2518</v>
      </c>
      <c r="AA1386" s="8" t="s">
        <v>2620</v>
      </c>
      <c r="AB1386" s="14">
        <f>IFERROR(__xludf.DUMMYFUNCTION("IFERROR(GOOGLEFINANCE(B1386,""price""),"""")"),307.5)</f>
        <v>307.5</v>
      </c>
    </row>
    <row r="1387">
      <c r="A1387" s="15">
        <v>46077.627080004895</v>
      </c>
      <c r="B1387" s="16" t="s">
        <v>2139</v>
      </c>
      <c r="C1387" s="16" t="s">
        <v>2140</v>
      </c>
      <c r="D1387" s="17">
        <v>46082.0</v>
      </c>
      <c r="E1387" s="18">
        <v>64.785</v>
      </c>
      <c r="F1387" s="16" t="s">
        <v>270</v>
      </c>
      <c r="G1387" s="21">
        <v>24.8695</v>
      </c>
      <c r="H1387" s="21">
        <v>2.605</v>
      </c>
      <c r="I1387" s="17">
        <v>46101.0</v>
      </c>
      <c r="J1387" s="18">
        <v>65.0</v>
      </c>
      <c r="K1387" s="16">
        <v>1712.0</v>
      </c>
      <c r="L1387" s="16" t="s">
        <v>2608</v>
      </c>
      <c r="M1387" s="19">
        <v>0.33</v>
      </c>
      <c r="N1387" s="16" t="s">
        <v>3927</v>
      </c>
      <c r="O1387" s="16">
        <v>1712.0</v>
      </c>
      <c r="P1387" s="19">
        <v>42.3017</v>
      </c>
      <c r="Q1387" s="16" t="s">
        <v>2141</v>
      </c>
      <c r="R1387" s="19">
        <v>1.7512</v>
      </c>
      <c r="S1387" s="20">
        <v>4829663.0</v>
      </c>
      <c r="T1387" s="20">
        <v>6.4022900539E10</v>
      </c>
      <c r="U1387" s="21">
        <v>1.7278</v>
      </c>
      <c r="V1387" s="21">
        <v>14.4868</v>
      </c>
      <c r="W1387" s="21">
        <v>12.8259</v>
      </c>
      <c r="X1387" s="21">
        <v>-0.345</v>
      </c>
      <c r="Y1387" s="21">
        <v>0.3558</v>
      </c>
      <c r="Z1387" s="21">
        <v>1.3568</v>
      </c>
      <c r="AA1387" s="16" t="s">
        <v>2620</v>
      </c>
      <c r="AB1387" s="22">
        <f>IFERROR(__xludf.DUMMYFUNCTION("IFERROR(GOOGLEFINANCE(B1387,""price""),"""")"),62.83)</f>
        <v>62.83</v>
      </c>
    </row>
    <row r="1388">
      <c r="A1388" s="7">
        <v>46077.627080004895</v>
      </c>
      <c r="B1388" s="8" t="s">
        <v>3873</v>
      </c>
      <c r="C1388" s="8" t="s">
        <v>3874</v>
      </c>
      <c r="D1388" s="9">
        <v>46082.0</v>
      </c>
      <c r="E1388" s="10">
        <v>75.61</v>
      </c>
      <c r="F1388" s="8" t="s">
        <v>149</v>
      </c>
      <c r="G1388" s="13">
        <v>36.1097</v>
      </c>
      <c r="H1388" s="13">
        <v>2.0939</v>
      </c>
      <c r="I1388" s="9">
        <v>46101.0</v>
      </c>
      <c r="J1388" s="10">
        <v>75.0</v>
      </c>
      <c r="K1388" s="8">
        <v>1618.0</v>
      </c>
      <c r="L1388" s="8" t="s">
        <v>2627</v>
      </c>
      <c r="M1388" s="11">
        <v>0.81</v>
      </c>
      <c r="N1388" s="8" t="s">
        <v>3928</v>
      </c>
      <c r="O1388" s="8">
        <v>1618.0</v>
      </c>
      <c r="P1388" s="11">
        <v>23.6177</v>
      </c>
      <c r="Q1388" s="8" t="s">
        <v>3876</v>
      </c>
      <c r="R1388" s="11">
        <v>0.425</v>
      </c>
      <c r="S1388" s="12">
        <v>1399779.0</v>
      </c>
      <c r="T1388" s="12">
        <v>1.2275208575E10</v>
      </c>
      <c r="U1388" s="13">
        <v>2.1423</v>
      </c>
      <c r="V1388" s="13"/>
      <c r="W1388" s="13">
        <v>16.0229</v>
      </c>
      <c r="X1388" s="13">
        <v>9.2423</v>
      </c>
      <c r="Y1388" s="13"/>
      <c r="Z1388" s="13"/>
      <c r="AA1388" s="8" t="s">
        <v>2611</v>
      </c>
      <c r="AB1388" s="14">
        <f>IFERROR(__xludf.DUMMYFUNCTION("IFERROR(GOOGLEFINANCE(B1388,""price""),"""")"),79.01)</f>
        <v>79.01</v>
      </c>
    </row>
    <row r="1389">
      <c r="A1389" s="15">
        <v>46077.627080004895</v>
      </c>
      <c r="B1389" s="16" t="s">
        <v>2672</v>
      </c>
      <c r="C1389" s="16" t="s">
        <v>2673</v>
      </c>
      <c r="D1389" s="17">
        <v>46082.0</v>
      </c>
      <c r="E1389" s="18">
        <v>50.955</v>
      </c>
      <c r="F1389" s="16" t="s">
        <v>107</v>
      </c>
      <c r="G1389" s="21"/>
      <c r="H1389" s="21">
        <v>-1.865</v>
      </c>
      <c r="I1389" s="17">
        <v>46101.0</v>
      </c>
      <c r="J1389" s="18">
        <v>50.0</v>
      </c>
      <c r="K1389" s="16">
        <v>1566.0</v>
      </c>
      <c r="L1389" s="16" t="s">
        <v>2608</v>
      </c>
      <c r="M1389" s="19">
        <v>1.87</v>
      </c>
      <c r="N1389" s="16" t="s">
        <v>3929</v>
      </c>
      <c r="O1389" s="16">
        <v>1566.0</v>
      </c>
      <c r="P1389" s="19">
        <v>47.0514</v>
      </c>
      <c r="Q1389" s="16" t="s">
        <v>2675</v>
      </c>
      <c r="R1389" s="19">
        <v>1.7472</v>
      </c>
      <c r="S1389" s="20">
        <v>1571923.0</v>
      </c>
      <c r="T1389" s="20">
        <v>2.0836715979E10</v>
      </c>
      <c r="U1389" s="21">
        <v>1.4072</v>
      </c>
      <c r="V1389" s="21">
        <v>-0.805</v>
      </c>
      <c r="W1389" s="21">
        <v>16.2067</v>
      </c>
      <c r="X1389" s="21">
        <v>-10.4796</v>
      </c>
      <c r="Y1389" s="21">
        <v>0.2451</v>
      </c>
      <c r="Z1389" s="21">
        <v>2.4187</v>
      </c>
      <c r="AA1389" s="16" t="s">
        <v>2611</v>
      </c>
      <c r="AB1389" s="22">
        <f>IFERROR(__xludf.DUMMYFUNCTION("IFERROR(GOOGLEFINANCE(B1389,""price""),"""")"),47.25)</f>
        <v>47.25</v>
      </c>
    </row>
    <row r="1390">
      <c r="A1390" s="7">
        <v>46077.627080004895</v>
      </c>
      <c r="B1390" s="8" t="s">
        <v>1074</v>
      </c>
      <c r="C1390" s="8" t="s">
        <v>1075</v>
      </c>
      <c r="D1390" s="9">
        <v>46082.0</v>
      </c>
      <c r="E1390" s="10">
        <v>19.7</v>
      </c>
      <c r="F1390" s="8" t="s">
        <v>88</v>
      </c>
      <c r="G1390" s="13">
        <v>20.0631</v>
      </c>
      <c r="H1390" s="13">
        <v>0.9819</v>
      </c>
      <c r="I1390" s="9">
        <v>46101.0</v>
      </c>
      <c r="J1390" s="10">
        <v>20.0</v>
      </c>
      <c r="K1390" s="8">
        <v>1302.0</v>
      </c>
      <c r="L1390" s="8" t="s">
        <v>2608</v>
      </c>
      <c r="M1390" s="11">
        <v>1.52</v>
      </c>
      <c r="N1390" s="8" t="s">
        <v>3930</v>
      </c>
      <c r="O1390" s="8">
        <v>1302.0</v>
      </c>
      <c r="P1390" s="11">
        <v>17.4327</v>
      </c>
      <c r="Q1390" s="8" t="s">
        <v>1076</v>
      </c>
      <c r="R1390" s="11">
        <v>6.6017</v>
      </c>
      <c r="S1390" s="12">
        <v>1436276.0</v>
      </c>
      <c r="T1390" s="12">
        <v>2.157350596E9</v>
      </c>
      <c r="U1390" s="13">
        <v>0.9024</v>
      </c>
      <c r="V1390" s="13">
        <v>25.3274</v>
      </c>
      <c r="W1390" s="13">
        <v>45.3727</v>
      </c>
      <c r="X1390" s="13">
        <v>17.9143</v>
      </c>
      <c r="Y1390" s="13">
        <v>0.889</v>
      </c>
      <c r="Z1390" s="13">
        <v>3.81</v>
      </c>
      <c r="AA1390" s="8" t="s">
        <v>2620</v>
      </c>
      <c r="AB1390" s="14">
        <f>IFERROR(__xludf.DUMMYFUNCTION("IFERROR(GOOGLEFINANCE(B1390,""price""),"""")"),26.87)</f>
        <v>26.87</v>
      </c>
    </row>
    <row r="1391">
      <c r="A1391" s="15">
        <v>46077.627080004895</v>
      </c>
      <c r="B1391" s="16" t="s">
        <v>2676</v>
      </c>
      <c r="C1391" s="16" t="s">
        <v>2677</v>
      </c>
      <c r="D1391" s="17">
        <v>46082.0</v>
      </c>
      <c r="E1391" s="18">
        <v>28.48</v>
      </c>
      <c r="F1391" s="16" t="s">
        <v>93</v>
      </c>
      <c r="G1391" s="21">
        <v>12.3972</v>
      </c>
      <c r="H1391" s="21">
        <v>2.2973</v>
      </c>
      <c r="I1391" s="17">
        <v>46101.0</v>
      </c>
      <c r="J1391" s="18">
        <v>28.0</v>
      </c>
      <c r="K1391" s="16">
        <v>1282.0</v>
      </c>
      <c r="L1391" s="16" t="s">
        <v>2627</v>
      </c>
      <c r="M1391" s="19">
        <v>1.69</v>
      </c>
      <c r="N1391" s="16" t="s">
        <v>3931</v>
      </c>
      <c r="O1391" s="16">
        <v>1282.0</v>
      </c>
      <c r="P1391" s="19">
        <v>21.9863</v>
      </c>
      <c r="Q1391" s="16" t="s">
        <v>2679</v>
      </c>
      <c r="R1391" s="19">
        <v>-0.8011</v>
      </c>
      <c r="S1391" s="20">
        <v>1.2368888E7</v>
      </c>
      <c r="T1391" s="20">
        <v>2.497344266E10</v>
      </c>
      <c r="U1391" s="21">
        <v>0.7909</v>
      </c>
      <c r="V1391" s="21">
        <v>11.6787</v>
      </c>
      <c r="W1391" s="21">
        <v>28.7373</v>
      </c>
      <c r="X1391" s="21">
        <v>2.137</v>
      </c>
      <c r="Y1391" s="21">
        <v>0.2565</v>
      </c>
      <c r="Z1391" s="21">
        <v>0.1084</v>
      </c>
      <c r="AA1391" s="16" t="s">
        <v>2611</v>
      </c>
      <c r="AB1391" s="22">
        <f>IFERROR(__xludf.DUMMYFUNCTION("IFERROR(GOOGLEFINANCE(B1391,""price""),"""")"),27.5)</f>
        <v>27.5</v>
      </c>
    </row>
    <row r="1392">
      <c r="A1392" s="7">
        <v>46077.627080004895</v>
      </c>
      <c r="B1392" s="8" t="s">
        <v>2663</v>
      </c>
      <c r="C1392" s="8" t="s">
        <v>2664</v>
      </c>
      <c r="D1392" s="9">
        <v>46082.0</v>
      </c>
      <c r="E1392" s="10">
        <v>124.18</v>
      </c>
      <c r="F1392" s="8" t="s">
        <v>335</v>
      </c>
      <c r="G1392" s="13">
        <v>19.4457</v>
      </c>
      <c r="H1392" s="13">
        <v>6.386</v>
      </c>
      <c r="I1392" s="9">
        <v>46080.0</v>
      </c>
      <c r="J1392" s="10">
        <v>125.0</v>
      </c>
      <c r="K1392" s="8">
        <v>1209.0</v>
      </c>
      <c r="L1392" s="8" t="s">
        <v>2608</v>
      </c>
      <c r="M1392" s="11">
        <v>0.66</v>
      </c>
      <c r="N1392" s="8" t="s">
        <v>3932</v>
      </c>
      <c r="O1392" s="8">
        <v>1209.0</v>
      </c>
      <c r="P1392" s="11">
        <v>16.3519</v>
      </c>
      <c r="Q1392" s="8" t="s">
        <v>2666</v>
      </c>
      <c r="R1392" s="11">
        <v>-0.0563</v>
      </c>
      <c r="S1392" s="12">
        <v>5447736.0</v>
      </c>
      <c r="T1392" s="12">
        <v>1.35092226548E11</v>
      </c>
      <c r="U1392" s="13">
        <v>5.7185</v>
      </c>
      <c r="V1392" s="13">
        <v>22.2118</v>
      </c>
      <c r="W1392" s="13">
        <v>46.8525</v>
      </c>
      <c r="X1392" s="13">
        <v>18.5716</v>
      </c>
      <c r="Y1392" s="13">
        <v>0.1687</v>
      </c>
      <c r="Z1392" s="13">
        <v>2.2875</v>
      </c>
      <c r="AA1392" s="8" t="s">
        <v>2620</v>
      </c>
      <c r="AB1392" s="14">
        <f>IFERROR(__xludf.DUMMYFUNCTION("IFERROR(GOOGLEFINANCE(B1392,""price""),"""")"),120.9)</f>
        <v>120.9</v>
      </c>
    </row>
    <row r="1393">
      <c r="A1393" s="15">
        <v>46077.627080004895</v>
      </c>
      <c r="B1393" s="16" t="s">
        <v>2438</v>
      </c>
      <c r="C1393" s="16" t="s">
        <v>2439</v>
      </c>
      <c r="D1393" s="17">
        <v>46082.0</v>
      </c>
      <c r="E1393" s="18">
        <v>213.5475</v>
      </c>
      <c r="F1393" s="16" t="s">
        <v>308</v>
      </c>
      <c r="G1393" s="21">
        <v>39.2161</v>
      </c>
      <c r="H1393" s="21">
        <v>5.4454</v>
      </c>
      <c r="I1393" s="17">
        <v>46080.0</v>
      </c>
      <c r="J1393" s="18">
        <v>217.5</v>
      </c>
      <c r="K1393" s="16">
        <v>1190.0</v>
      </c>
      <c r="L1393" s="16" t="s">
        <v>2627</v>
      </c>
      <c r="M1393" s="19">
        <v>1.85</v>
      </c>
      <c r="N1393" s="16" t="s">
        <v>3933</v>
      </c>
      <c r="O1393" s="16">
        <v>1190.0</v>
      </c>
      <c r="P1393" s="19">
        <v>46.9617</v>
      </c>
      <c r="Q1393" s="16" t="s">
        <v>2440</v>
      </c>
      <c r="R1393" s="19">
        <v>-2.8711</v>
      </c>
      <c r="S1393" s="20">
        <v>7504736.0</v>
      </c>
      <c r="T1393" s="20">
        <v>1.93805187963E11</v>
      </c>
      <c r="U1393" s="21">
        <v>6.908</v>
      </c>
      <c r="V1393" s="21">
        <v>29.9795</v>
      </c>
      <c r="W1393" s="21">
        <v>34.7246</v>
      </c>
      <c r="X1393" s="21">
        <v>13.049</v>
      </c>
      <c r="Y1393" s="21">
        <v>0.9082</v>
      </c>
      <c r="Z1393" s="21">
        <v>4.3526</v>
      </c>
      <c r="AA1393" s="16" t="s">
        <v>2620</v>
      </c>
      <c r="AB1393" s="22">
        <f>IFERROR(__xludf.DUMMYFUNCTION("IFERROR(GOOGLEFINANCE(B1393,""price""),"""")"),214.73)</f>
        <v>214.73</v>
      </c>
    </row>
    <row r="1394">
      <c r="A1394" s="7">
        <v>46077.627080004895</v>
      </c>
      <c r="B1394" s="8" t="s">
        <v>2812</v>
      </c>
      <c r="C1394" s="8" t="s">
        <v>2813</v>
      </c>
      <c r="D1394" s="9">
        <v>46082.0</v>
      </c>
      <c r="E1394" s="10">
        <v>396.555</v>
      </c>
      <c r="F1394" s="8" t="s">
        <v>308</v>
      </c>
      <c r="G1394" s="13">
        <v>44.8455</v>
      </c>
      <c r="H1394" s="13">
        <v>8.8427</v>
      </c>
      <c r="I1394" s="9">
        <v>46080.0</v>
      </c>
      <c r="J1394" s="10">
        <v>400.0</v>
      </c>
      <c r="K1394" s="8">
        <v>1160.0</v>
      </c>
      <c r="L1394" s="8" t="s">
        <v>2627</v>
      </c>
      <c r="M1394" s="11">
        <v>0.87</v>
      </c>
      <c r="N1394" s="8" t="s">
        <v>3934</v>
      </c>
      <c r="O1394" s="8">
        <v>1160.0</v>
      </c>
      <c r="P1394" s="11">
        <v>26.3195</v>
      </c>
      <c r="Q1394" s="8" t="s">
        <v>2815</v>
      </c>
      <c r="R1394" s="11">
        <v>-2.662</v>
      </c>
      <c r="S1394" s="12">
        <v>2192598.0</v>
      </c>
      <c r="T1394" s="12">
        <v>8.6477960649E10</v>
      </c>
      <c r="U1394" s="13">
        <v>25.9872</v>
      </c>
      <c r="V1394" s="13"/>
      <c r="W1394" s="13">
        <v>25.6015</v>
      </c>
      <c r="X1394" s="13">
        <v>25.1773</v>
      </c>
      <c r="Y1394" s="13">
        <v>10.4662</v>
      </c>
      <c r="Z1394" s="13">
        <v>1.1191</v>
      </c>
      <c r="AA1394" s="8" t="s">
        <v>2620</v>
      </c>
      <c r="AB1394" s="14">
        <f>IFERROR(__xludf.DUMMYFUNCTION("IFERROR(GOOGLEFINANCE(B1394,""price""),"""")"),503.13)</f>
        <v>503.13</v>
      </c>
    </row>
    <row r="1395">
      <c r="A1395" s="15">
        <v>46077.627080004895</v>
      </c>
      <c r="B1395" s="16" t="s">
        <v>2646</v>
      </c>
      <c r="C1395" s="16" t="s">
        <v>2647</v>
      </c>
      <c r="D1395" s="17">
        <v>46082.0</v>
      </c>
      <c r="E1395" s="18">
        <v>36.25</v>
      </c>
      <c r="F1395" s="16" t="s">
        <v>270</v>
      </c>
      <c r="G1395" s="21">
        <v>13.6509</v>
      </c>
      <c r="H1395" s="21">
        <v>2.6555</v>
      </c>
      <c r="I1395" s="17">
        <v>46080.0</v>
      </c>
      <c r="J1395" s="18">
        <v>36.5</v>
      </c>
      <c r="K1395" s="16">
        <v>1098.0</v>
      </c>
      <c r="L1395" s="16" t="s">
        <v>2608</v>
      </c>
      <c r="M1395" s="19">
        <v>0.69</v>
      </c>
      <c r="N1395" s="16" t="s">
        <v>3935</v>
      </c>
      <c r="O1395" s="16">
        <v>1098.0</v>
      </c>
      <c r="P1395" s="19">
        <v>42.7</v>
      </c>
      <c r="Q1395" s="16" t="s">
        <v>2649</v>
      </c>
      <c r="R1395" s="19">
        <v>-0.3025</v>
      </c>
      <c r="S1395" s="20">
        <v>2973820.0</v>
      </c>
      <c r="T1395" s="20">
        <v>7.8420389195E10</v>
      </c>
      <c r="U1395" s="21">
        <v>0.6865</v>
      </c>
      <c r="V1395" s="21"/>
      <c r="W1395" s="21">
        <v>13.037</v>
      </c>
      <c r="X1395" s="21">
        <v>-5.779</v>
      </c>
      <c r="Y1395" s="21"/>
      <c r="Z1395" s="21"/>
      <c r="AA1395" s="16" t="s">
        <v>2620</v>
      </c>
      <c r="AB1395" s="22">
        <f>IFERROR(__xludf.DUMMYFUNCTION("IFERROR(GOOGLEFINANCE(B1395,""price""),"""")"),37.35)</f>
        <v>37.35</v>
      </c>
    </row>
    <row r="1396">
      <c r="A1396" s="7">
        <v>46077.627080004895</v>
      </c>
      <c r="B1396" s="8" t="s">
        <v>2915</v>
      </c>
      <c r="C1396" s="8" t="s">
        <v>2916</v>
      </c>
      <c r="D1396" s="9">
        <v>46082.0</v>
      </c>
      <c r="E1396" s="10">
        <v>147.47</v>
      </c>
      <c r="F1396" s="8" t="s">
        <v>117</v>
      </c>
      <c r="G1396" s="13">
        <v>21.7507</v>
      </c>
      <c r="H1396" s="13">
        <v>6.78</v>
      </c>
      <c r="I1396" s="9">
        <v>46080.0</v>
      </c>
      <c r="J1396" s="10">
        <v>150.0</v>
      </c>
      <c r="K1396" s="8">
        <v>1009.0</v>
      </c>
      <c r="L1396" s="8" t="s">
        <v>2627</v>
      </c>
      <c r="M1396" s="11">
        <v>1.72</v>
      </c>
      <c r="N1396" s="8" t="s">
        <v>3936</v>
      </c>
      <c r="O1396" s="8">
        <v>1009.0</v>
      </c>
      <c r="P1396" s="11">
        <v>45.3339</v>
      </c>
      <c r="Q1396" s="8" t="s">
        <v>2918</v>
      </c>
      <c r="R1396" s="11">
        <v>-1.5751</v>
      </c>
      <c r="S1396" s="12">
        <v>4668623.0</v>
      </c>
      <c r="T1396" s="12">
        <v>1.8296301775E11</v>
      </c>
      <c r="U1396" s="13">
        <v>3.9112</v>
      </c>
      <c r="V1396" s="13">
        <v>40.574</v>
      </c>
      <c r="W1396" s="13">
        <v>40.0843</v>
      </c>
      <c r="X1396" s="13">
        <v>2.4054</v>
      </c>
      <c r="Y1396" s="13"/>
      <c r="Z1396" s="13">
        <v>1.6834</v>
      </c>
      <c r="AA1396" s="8" t="s">
        <v>2620</v>
      </c>
      <c r="AB1396" s="14">
        <f>IFERROR(__xludf.DUMMYFUNCTION("IFERROR(GOOGLEFINANCE(B1396,""price""),"""")"),139.03)</f>
        <v>139.03</v>
      </c>
    </row>
    <row r="1397">
      <c r="A1397" s="15">
        <v>46077.627080004895</v>
      </c>
      <c r="B1397" s="16" t="s">
        <v>2621</v>
      </c>
      <c r="C1397" s="16" t="s">
        <v>2622</v>
      </c>
      <c r="D1397" s="17">
        <v>46082.0</v>
      </c>
      <c r="E1397" s="18">
        <v>68.02</v>
      </c>
      <c r="F1397" s="16" t="s">
        <v>335</v>
      </c>
      <c r="G1397" s="21">
        <v>44.9273</v>
      </c>
      <c r="H1397" s="21">
        <v>1.514</v>
      </c>
      <c r="I1397" s="17">
        <v>46080.0</v>
      </c>
      <c r="J1397" s="18">
        <v>68.0</v>
      </c>
      <c r="K1397" s="16">
        <v>1006.0</v>
      </c>
      <c r="L1397" s="16" t="s">
        <v>2608</v>
      </c>
      <c r="M1397" s="19">
        <v>0.03</v>
      </c>
      <c r="N1397" s="16" t="s">
        <v>3937</v>
      </c>
      <c r="O1397" s="16">
        <v>1006.0</v>
      </c>
      <c r="P1397" s="19">
        <v>30.635</v>
      </c>
      <c r="Q1397" s="16" t="s">
        <v>2624</v>
      </c>
      <c r="R1397" s="19">
        <v>3.7681</v>
      </c>
      <c r="S1397" s="20">
        <v>1.5977642E7</v>
      </c>
      <c r="T1397" s="20">
        <v>9.7758461475E10</v>
      </c>
      <c r="U1397" s="21">
        <v>2.8925</v>
      </c>
      <c r="V1397" s="21">
        <v>11.9792</v>
      </c>
      <c r="W1397" s="21">
        <v>22.7913</v>
      </c>
      <c r="X1397" s="21">
        <v>-0.0477</v>
      </c>
      <c r="Y1397" s="21">
        <v>0.5552</v>
      </c>
      <c r="Z1397" s="21">
        <v>2.2911</v>
      </c>
      <c r="AA1397" s="16" t="s">
        <v>2611</v>
      </c>
      <c r="AB1397" s="22">
        <f>IFERROR(__xludf.DUMMYFUNCTION("IFERROR(GOOGLEFINANCE(B1397,""price""),"""")"),67.8)</f>
        <v>67.8</v>
      </c>
    </row>
    <row r="1398">
      <c r="A1398" s="7">
        <v>46078.628756456295</v>
      </c>
      <c r="B1398" s="8" t="s">
        <v>2630</v>
      </c>
      <c r="C1398" s="8" t="s">
        <v>2631</v>
      </c>
      <c r="D1398" s="9">
        <v>46082.0</v>
      </c>
      <c r="E1398" s="10">
        <v>428.57</v>
      </c>
      <c r="F1398" s="8" t="s">
        <v>308</v>
      </c>
      <c r="G1398" s="13">
        <v>40.7386</v>
      </c>
      <c r="H1398" s="13">
        <v>10.52</v>
      </c>
      <c r="I1398" s="9">
        <v>46080.0</v>
      </c>
      <c r="J1398" s="10">
        <v>420.0</v>
      </c>
      <c r="K1398" s="8">
        <v>14958.0</v>
      </c>
      <c r="L1398" s="8" t="s">
        <v>2627</v>
      </c>
      <c r="M1398" s="11">
        <v>2.0</v>
      </c>
      <c r="N1398" s="8" t="s">
        <v>3938</v>
      </c>
      <c r="O1398" s="8">
        <v>49672.0</v>
      </c>
      <c r="P1398" s="11">
        <v>37.5652</v>
      </c>
      <c r="Q1398" s="8" t="s">
        <v>2633</v>
      </c>
      <c r="R1398" s="11">
        <v>2.5263</v>
      </c>
      <c r="S1398" s="12">
        <v>2.3144966E7</v>
      </c>
      <c r="T1398" s="12">
        <v>4.8235952226E11</v>
      </c>
      <c r="U1398" s="13">
        <v>23.7709</v>
      </c>
      <c r="V1398" s="13">
        <v>22.5543</v>
      </c>
      <c r="W1398" s="13">
        <v>32.9221</v>
      </c>
      <c r="X1398" s="13">
        <v>45.432</v>
      </c>
      <c r="Y1398" s="13">
        <v>0.2124</v>
      </c>
      <c r="Z1398" s="13">
        <v>2.4598</v>
      </c>
      <c r="AA1398" s="8" t="s">
        <v>2611</v>
      </c>
      <c r="AB1398" s="14">
        <f>IFERROR(__xludf.DUMMYFUNCTION("IFERROR(GOOGLEFINANCE(B1398,""price""),"""")"),420.59)</f>
        <v>420.59</v>
      </c>
    </row>
    <row r="1399">
      <c r="A1399" s="15">
        <v>46078.628756456295</v>
      </c>
      <c r="B1399" s="16" t="s">
        <v>3269</v>
      </c>
      <c r="C1399" s="16" t="s">
        <v>3270</v>
      </c>
      <c r="D1399" s="17">
        <v>46082.0</v>
      </c>
      <c r="E1399" s="18">
        <v>274.27</v>
      </c>
      <c r="F1399" s="16" t="s">
        <v>308</v>
      </c>
      <c r="G1399" s="21">
        <v>34.701</v>
      </c>
      <c r="H1399" s="21">
        <v>7.9038</v>
      </c>
      <c r="I1399" s="17">
        <v>46078.0</v>
      </c>
      <c r="J1399" s="18">
        <v>275.0</v>
      </c>
      <c r="K1399" s="16">
        <v>9786.0</v>
      </c>
      <c r="L1399" s="16" t="s">
        <v>2608</v>
      </c>
      <c r="M1399" s="19">
        <v>0.27</v>
      </c>
      <c r="N1399" s="16" t="s">
        <v>3939</v>
      </c>
      <c r="O1399" s="16">
        <v>34594.0</v>
      </c>
      <c r="P1399" s="19">
        <v>17.0769</v>
      </c>
      <c r="Q1399" s="16" t="s">
        <v>3272</v>
      </c>
      <c r="R1399" s="19">
        <v>0.7827</v>
      </c>
      <c r="S1399" s="20">
        <v>2.1029973E7</v>
      </c>
      <c r="T1399" s="20">
        <v>4.026596388116E12</v>
      </c>
      <c r="U1399" s="21">
        <v>6.4401</v>
      </c>
      <c r="V1399" s="21">
        <v>152.0213</v>
      </c>
      <c r="W1399" s="21">
        <v>32.384</v>
      </c>
      <c r="X1399" s="21">
        <v>10.071</v>
      </c>
      <c r="Y1399" s="21">
        <v>1.0263</v>
      </c>
      <c r="Z1399" s="21">
        <v>0.9737</v>
      </c>
      <c r="AA1399" s="16" t="s">
        <v>2620</v>
      </c>
      <c r="AB1399" s="22">
        <f>IFERROR(__xludf.DUMMYFUNCTION("IFERROR(GOOGLEFINANCE(B1399,""price""),"""")"),260.48)</f>
        <v>260.48</v>
      </c>
    </row>
    <row r="1400">
      <c r="A1400" s="7">
        <v>46078.628756456295</v>
      </c>
      <c r="B1400" s="8" t="s">
        <v>2616</v>
      </c>
      <c r="C1400" s="8" t="s">
        <v>2617</v>
      </c>
      <c r="D1400" s="9">
        <v>46082.0</v>
      </c>
      <c r="E1400" s="10">
        <v>80.48</v>
      </c>
      <c r="F1400" s="8" t="s">
        <v>286</v>
      </c>
      <c r="G1400" s="13">
        <v>26.4868</v>
      </c>
      <c r="H1400" s="13">
        <v>3.0385</v>
      </c>
      <c r="I1400" s="9">
        <v>46080.0</v>
      </c>
      <c r="J1400" s="10">
        <v>80.0</v>
      </c>
      <c r="K1400" s="8">
        <v>6995.0</v>
      </c>
      <c r="L1400" s="8" t="s">
        <v>2608</v>
      </c>
      <c r="M1400" s="11">
        <v>0.6</v>
      </c>
      <c r="N1400" s="8" t="s">
        <v>3940</v>
      </c>
      <c r="O1400" s="8">
        <v>21628.0</v>
      </c>
      <c r="P1400" s="11">
        <v>40.1068</v>
      </c>
      <c r="Q1400" s="8" t="s">
        <v>2619</v>
      </c>
      <c r="R1400" s="11">
        <v>-0.2973</v>
      </c>
      <c r="S1400" s="12">
        <v>1.2309887E7</v>
      </c>
      <c r="T1400" s="12">
        <v>3.46122203906E11</v>
      </c>
      <c r="U1400" s="13">
        <v>1.2644</v>
      </c>
      <c r="V1400" s="13">
        <v>45.9693</v>
      </c>
      <c r="W1400" s="13">
        <v>31.3688</v>
      </c>
      <c r="X1400" s="13">
        <v>3.4769</v>
      </c>
      <c r="Y1400" s="13">
        <v>1.4577</v>
      </c>
      <c r="Z1400" s="13">
        <v>1.4588</v>
      </c>
      <c r="AA1400" s="8" t="s">
        <v>2611</v>
      </c>
      <c r="AB1400" s="14">
        <f>IFERROR(__xludf.DUMMYFUNCTION("IFERROR(GOOGLEFINANCE(B1400,""price""),"""")"),77.47)</f>
        <v>77.47</v>
      </c>
    </row>
    <row r="1401">
      <c r="A1401" s="15">
        <v>46078.628756456295</v>
      </c>
      <c r="B1401" s="16" t="s">
        <v>2625</v>
      </c>
      <c r="C1401" s="16" t="s">
        <v>2626</v>
      </c>
      <c r="D1401" s="17">
        <v>46082.0</v>
      </c>
      <c r="E1401" s="18">
        <v>126.015</v>
      </c>
      <c r="F1401" s="16" t="s">
        <v>137</v>
      </c>
      <c r="G1401" s="21">
        <v>46.1492</v>
      </c>
      <c r="H1401" s="21">
        <v>2.7306</v>
      </c>
      <c r="I1401" s="17">
        <v>46080.0</v>
      </c>
      <c r="J1401" s="18">
        <v>126.0</v>
      </c>
      <c r="K1401" s="16">
        <v>4480.0</v>
      </c>
      <c r="L1401" s="16" t="s">
        <v>2627</v>
      </c>
      <c r="M1401" s="19">
        <v>0.01</v>
      </c>
      <c r="N1401" s="16" t="s">
        <v>3941</v>
      </c>
      <c r="O1401" s="16">
        <v>20988.0</v>
      </c>
      <c r="P1401" s="19">
        <v>27.5193</v>
      </c>
      <c r="Q1401" s="16" t="s">
        <v>2629</v>
      </c>
      <c r="R1401" s="19">
        <v>-0.5799</v>
      </c>
      <c r="S1401" s="20">
        <v>1.0977222E7</v>
      </c>
      <c r="T1401" s="20">
        <v>1.004360593521E12</v>
      </c>
      <c r="U1401" s="21">
        <v>3.3818</v>
      </c>
      <c r="V1401" s="21">
        <v>22.9691</v>
      </c>
      <c r="W1401" s="21">
        <v>4.1821</v>
      </c>
      <c r="X1401" s="21">
        <v>4.7252</v>
      </c>
      <c r="Y1401" s="21">
        <v>0.6735</v>
      </c>
      <c r="Z1401" s="21">
        <v>0.7898</v>
      </c>
      <c r="AA1401" s="16" t="s">
        <v>2611</v>
      </c>
      <c r="AB1401" s="22">
        <f>IFERROR(__xludf.DUMMYFUNCTION("IFERROR(GOOGLEFINANCE(B1401,""price""),"""")"),126.79)</f>
        <v>126.79</v>
      </c>
    </row>
    <row r="1402">
      <c r="A1402" s="7">
        <v>46078.628756456295</v>
      </c>
      <c r="B1402" s="8" t="s">
        <v>2399</v>
      </c>
      <c r="C1402" s="8" t="s">
        <v>2400</v>
      </c>
      <c r="D1402" s="9">
        <v>46082.0</v>
      </c>
      <c r="E1402" s="10">
        <v>18.595</v>
      </c>
      <c r="F1402" s="8" t="s">
        <v>270</v>
      </c>
      <c r="G1402" s="13">
        <v>15.3907</v>
      </c>
      <c r="H1402" s="13">
        <v>1.2082</v>
      </c>
      <c r="I1402" s="9">
        <v>46080.0</v>
      </c>
      <c r="J1402" s="10">
        <v>18.5</v>
      </c>
      <c r="K1402" s="8">
        <v>14363.0</v>
      </c>
      <c r="L1402" s="8" t="s">
        <v>2608</v>
      </c>
      <c r="M1402" s="11">
        <v>0.51</v>
      </c>
      <c r="N1402" s="8" t="s">
        <v>3942</v>
      </c>
      <c r="O1402" s="8">
        <v>16708.0</v>
      </c>
      <c r="P1402" s="11">
        <v>39.4143</v>
      </c>
      <c r="Q1402" s="8" t="s">
        <v>2401</v>
      </c>
      <c r="R1402" s="11">
        <v>-1.0904</v>
      </c>
      <c r="S1402" s="12">
        <v>9048555.0</v>
      </c>
      <c r="T1402" s="12">
        <v>6.397264466E10</v>
      </c>
      <c r="U1402" s="13">
        <v>0.3592</v>
      </c>
      <c r="V1402" s="13">
        <v>12.7475</v>
      </c>
      <c r="W1402" s="13">
        <v>10.8866</v>
      </c>
      <c r="X1402" s="13">
        <v>3.4655</v>
      </c>
      <c r="Y1402" s="13">
        <v>2.0395</v>
      </c>
      <c r="Z1402" s="13">
        <v>1.2192</v>
      </c>
      <c r="AA1402" s="8" t="s">
        <v>2611</v>
      </c>
      <c r="AB1402" s="14">
        <f>IFERROR(__xludf.DUMMYFUNCTION("IFERROR(GOOGLEFINANCE(B1402,""price""),"""")"),19.19)</f>
        <v>19.19</v>
      </c>
    </row>
    <row r="1403">
      <c r="A1403" s="15">
        <v>46078.628756456295</v>
      </c>
      <c r="B1403" s="16" t="s">
        <v>2638</v>
      </c>
      <c r="C1403" s="16" t="s">
        <v>2639</v>
      </c>
      <c r="D1403" s="17">
        <v>46082.0</v>
      </c>
      <c r="E1403" s="18">
        <v>149.26</v>
      </c>
      <c r="F1403" s="16" t="s">
        <v>245</v>
      </c>
      <c r="G1403" s="21">
        <v>22.2949</v>
      </c>
      <c r="H1403" s="21">
        <v>6.6948</v>
      </c>
      <c r="I1403" s="17">
        <v>46080.0</v>
      </c>
      <c r="J1403" s="18">
        <v>147.0</v>
      </c>
      <c r="K1403" s="16">
        <v>7884.0</v>
      </c>
      <c r="L1403" s="16" t="s">
        <v>2627</v>
      </c>
      <c r="M1403" s="19">
        <v>1.51</v>
      </c>
      <c r="N1403" s="16" t="s">
        <v>3943</v>
      </c>
      <c r="O1403" s="16">
        <v>16396.0</v>
      </c>
      <c r="P1403" s="19">
        <v>45.306</v>
      </c>
      <c r="Q1403" s="16" t="s">
        <v>2641</v>
      </c>
      <c r="R1403" s="19">
        <v>0.0</v>
      </c>
      <c r="S1403" s="20">
        <v>9178384.0</v>
      </c>
      <c r="T1403" s="20">
        <v>6.21931122775E11</v>
      </c>
      <c r="U1403" s="21">
        <v>3.5012</v>
      </c>
      <c r="V1403" s="21">
        <v>11.0283</v>
      </c>
      <c r="W1403" s="21">
        <v>10.3419</v>
      </c>
      <c r="X1403" s="21">
        <v>-4.856</v>
      </c>
      <c r="Y1403" s="21">
        <v>0.1871</v>
      </c>
      <c r="Z1403" s="21">
        <v>1.1528</v>
      </c>
      <c r="AA1403" s="16" t="s">
        <v>2611</v>
      </c>
      <c r="AB1403" s="22">
        <f>IFERROR(__xludf.DUMMYFUNCTION("IFERROR(GOOGLEFINANCE(B1403,""price""),"""")"),152.51)</f>
        <v>152.51</v>
      </c>
    </row>
    <row r="1404">
      <c r="A1404" s="7">
        <v>46078.628756456295</v>
      </c>
      <c r="B1404" s="8" t="s">
        <v>3944</v>
      </c>
      <c r="C1404" s="8" t="s">
        <v>3945</v>
      </c>
      <c r="D1404" s="9">
        <v>46082.0</v>
      </c>
      <c r="E1404" s="10">
        <v>128.891</v>
      </c>
      <c r="F1404" s="8" t="s">
        <v>917</v>
      </c>
      <c r="G1404" s="13">
        <v>20.419</v>
      </c>
      <c r="H1404" s="13">
        <v>6.3123</v>
      </c>
      <c r="I1404" s="9">
        <v>46101.0</v>
      </c>
      <c r="J1404" s="10">
        <v>130.0</v>
      </c>
      <c r="K1404" s="8">
        <v>9102.0</v>
      </c>
      <c r="L1404" s="8" t="s">
        <v>2608</v>
      </c>
      <c r="M1404" s="11">
        <v>0.86</v>
      </c>
      <c r="N1404" s="8" t="s">
        <v>3946</v>
      </c>
      <c r="O1404" s="8">
        <v>9102.0</v>
      </c>
      <c r="P1404" s="11">
        <v>27.042</v>
      </c>
      <c r="Q1404" s="8" t="s">
        <v>3947</v>
      </c>
      <c r="R1404" s="11">
        <v>0.3355</v>
      </c>
      <c r="S1404" s="12">
        <v>2665165.0</v>
      </c>
      <c r="T1404" s="12">
        <v>1.00233542041E11</v>
      </c>
      <c r="U1404" s="13">
        <v>2.1743</v>
      </c>
      <c r="V1404" s="13">
        <v>9.7422</v>
      </c>
      <c r="W1404" s="13">
        <v>26.6061</v>
      </c>
      <c r="X1404" s="13">
        <v>6.193</v>
      </c>
      <c r="Y1404" s="13">
        <v>1.7528</v>
      </c>
      <c r="Z1404" s="13">
        <v>0.5518</v>
      </c>
      <c r="AA1404" s="8" t="s">
        <v>2620</v>
      </c>
      <c r="AB1404" s="14">
        <f>IFERROR(__xludf.DUMMYFUNCTION("IFERROR(GOOGLEFINANCE(B1404,""price""),"""")"),131.79)</f>
        <v>131.79</v>
      </c>
    </row>
    <row r="1405">
      <c r="A1405" s="15">
        <v>46078.628756456295</v>
      </c>
      <c r="B1405" s="16" t="s">
        <v>2700</v>
      </c>
      <c r="C1405" s="16" t="s">
        <v>2701</v>
      </c>
      <c r="D1405" s="17">
        <v>46082.0</v>
      </c>
      <c r="E1405" s="18">
        <v>249.025</v>
      </c>
      <c r="F1405" s="16" t="s">
        <v>102</v>
      </c>
      <c r="G1405" s="21">
        <v>51.037</v>
      </c>
      <c r="H1405" s="21">
        <v>4.8793</v>
      </c>
      <c r="I1405" s="17">
        <v>46080.0</v>
      </c>
      <c r="J1405" s="18">
        <v>250.0</v>
      </c>
      <c r="K1405" s="16">
        <v>2923.0</v>
      </c>
      <c r="L1405" s="16" t="s">
        <v>2608</v>
      </c>
      <c r="M1405" s="19">
        <v>0.39</v>
      </c>
      <c r="N1405" s="16" t="s">
        <v>3948</v>
      </c>
      <c r="O1405" s="16">
        <v>7791.0</v>
      </c>
      <c r="P1405" s="19">
        <v>33.2299</v>
      </c>
      <c r="Q1405" s="16" t="s">
        <v>2703</v>
      </c>
      <c r="R1405" s="19">
        <v>1.955</v>
      </c>
      <c r="S1405" s="20">
        <v>5570980.0</v>
      </c>
      <c r="T1405" s="20">
        <v>3.10975197302E11</v>
      </c>
      <c r="U1405" s="21">
        <v>11.4117</v>
      </c>
      <c r="V1405" s="21">
        <v>65.5649</v>
      </c>
      <c r="W1405" s="21">
        <v>33.7646</v>
      </c>
      <c r="X1405" s="21">
        <v>26.8457</v>
      </c>
      <c r="Y1405" s="21">
        <v>0.4419</v>
      </c>
      <c r="Z1405" s="21">
        <v>2.2562</v>
      </c>
      <c r="AA1405" s="16" t="s">
        <v>2620</v>
      </c>
      <c r="AB1405" s="22">
        <f>IFERROR(__xludf.DUMMYFUNCTION("IFERROR(GOOGLEFINANCE(B1405,""price""),"""")"),263.66)</f>
        <v>263.66</v>
      </c>
    </row>
    <row r="1406">
      <c r="A1406" s="7">
        <v>46078.628756456295</v>
      </c>
      <c r="B1406" s="8" t="s">
        <v>3416</v>
      </c>
      <c r="C1406" s="8" t="s">
        <v>3417</v>
      </c>
      <c r="D1406" s="9">
        <v>46082.0</v>
      </c>
      <c r="E1406" s="10">
        <v>69.785</v>
      </c>
      <c r="F1406" s="8" t="s">
        <v>286</v>
      </c>
      <c r="G1406" s="13">
        <v>16.9517</v>
      </c>
      <c r="H1406" s="13">
        <v>4.1167</v>
      </c>
      <c r="I1406" s="9">
        <v>46080.0</v>
      </c>
      <c r="J1406" s="10">
        <v>70.0</v>
      </c>
      <c r="K1406" s="8">
        <v>5357.0</v>
      </c>
      <c r="L1406" s="8" t="s">
        <v>2608</v>
      </c>
      <c r="M1406" s="11">
        <v>0.31</v>
      </c>
      <c r="N1406" s="8" t="s">
        <v>3949</v>
      </c>
      <c r="O1406" s="8">
        <v>6631.0</v>
      </c>
      <c r="P1406" s="11">
        <v>32.634</v>
      </c>
      <c r="Q1406" s="8" t="s">
        <v>3419</v>
      </c>
      <c r="R1406" s="11">
        <v>0.7726</v>
      </c>
      <c r="S1406" s="12">
        <v>4434775.0</v>
      </c>
      <c r="T1406" s="12">
        <v>1.17146091241E11</v>
      </c>
      <c r="U1406" s="13">
        <v>1.421</v>
      </c>
      <c r="V1406" s="13"/>
      <c r="W1406" s="13">
        <v>63.7221</v>
      </c>
      <c r="X1406" s="13">
        <v>-1.4919</v>
      </c>
      <c r="Y1406" s="13"/>
      <c r="Z1406" s="13">
        <v>0.648</v>
      </c>
      <c r="AA1406" s="8" t="s">
        <v>2620</v>
      </c>
      <c r="AB1406" s="14">
        <f>IFERROR(__xludf.DUMMYFUNCTION("IFERROR(GOOGLEFINANCE(B1406,""price""),"""")"),67.38)</f>
        <v>67.38</v>
      </c>
    </row>
    <row r="1407">
      <c r="A1407" s="15">
        <v>46078.628756456295</v>
      </c>
      <c r="B1407" s="16" t="s">
        <v>3463</v>
      </c>
      <c r="C1407" s="16" t="s">
        <v>3464</v>
      </c>
      <c r="D1407" s="17">
        <v>46082.0</v>
      </c>
      <c r="E1407" s="18">
        <v>59.29</v>
      </c>
      <c r="F1407" s="16" t="s">
        <v>245</v>
      </c>
      <c r="G1407" s="21">
        <v>17.8924</v>
      </c>
      <c r="H1407" s="21">
        <v>3.3137</v>
      </c>
      <c r="I1407" s="17">
        <v>46080.0</v>
      </c>
      <c r="J1407" s="18">
        <v>59.0</v>
      </c>
      <c r="K1407" s="16">
        <v>5376.0</v>
      </c>
      <c r="L1407" s="16" t="s">
        <v>2608</v>
      </c>
      <c r="M1407" s="19">
        <v>0.49</v>
      </c>
      <c r="N1407" s="16" t="s">
        <v>3950</v>
      </c>
      <c r="O1407" s="16">
        <v>6615.0</v>
      </c>
      <c r="P1407" s="19">
        <v>23.557</v>
      </c>
      <c r="Q1407" s="16" t="s">
        <v>3466</v>
      </c>
      <c r="R1407" s="19">
        <v>1.5066</v>
      </c>
      <c r="S1407" s="20">
        <v>5703047.0</v>
      </c>
      <c r="T1407" s="20">
        <v>3.7013204582E10</v>
      </c>
      <c r="U1407" s="21">
        <v>1.9822</v>
      </c>
      <c r="V1407" s="21">
        <v>9.1961</v>
      </c>
      <c r="W1407" s="21">
        <v>35.6577</v>
      </c>
      <c r="X1407" s="21">
        <v>59.9561</v>
      </c>
      <c r="Y1407" s="21">
        <v>0.3357</v>
      </c>
      <c r="Z1407" s="21">
        <v>0.7627</v>
      </c>
      <c r="AA1407" s="16" t="s">
        <v>2611</v>
      </c>
      <c r="AB1407" s="22">
        <f>IFERROR(__xludf.DUMMYFUNCTION("IFERROR(GOOGLEFINANCE(B1407,""price""),"""")"),58.68)</f>
        <v>58.68</v>
      </c>
    </row>
    <row r="1408">
      <c r="A1408" s="7">
        <v>46078.628756456295</v>
      </c>
      <c r="B1408" s="8" t="s">
        <v>3951</v>
      </c>
      <c r="C1408" s="8" t="s">
        <v>3952</v>
      </c>
      <c r="D1408" s="9">
        <v>46082.0</v>
      </c>
      <c r="E1408" s="10">
        <v>17.235</v>
      </c>
      <c r="F1408" s="8" t="s">
        <v>1119</v>
      </c>
      <c r="G1408" s="13">
        <v>23.1996</v>
      </c>
      <c r="H1408" s="13">
        <v>0.7429</v>
      </c>
      <c r="I1408" s="9">
        <v>46101.0</v>
      </c>
      <c r="J1408" s="10">
        <v>17.5</v>
      </c>
      <c r="K1408" s="8">
        <v>6114.0</v>
      </c>
      <c r="L1408" s="8" t="s">
        <v>2608</v>
      </c>
      <c r="M1408" s="11">
        <v>1.54</v>
      </c>
      <c r="N1408" s="8" t="s">
        <v>3953</v>
      </c>
      <c r="O1408" s="8">
        <v>6114.0</v>
      </c>
      <c r="P1408" s="11">
        <v>28.4246</v>
      </c>
      <c r="Q1408" s="8" t="s">
        <v>3954</v>
      </c>
      <c r="R1408" s="11">
        <v>3.2654</v>
      </c>
      <c r="S1408" s="12">
        <v>1350772.0</v>
      </c>
      <c r="T1408" s="12">
        <v>2.425224354E9</v>
      </c>
      <c r="U1408" s="13">
        <v>0.6154</v>
      </c>
      <c r="V1408" s="13">
        <v>26.6892</v>
      </c>
      <c r="W1408" s="13">
        <v>36.2303</v>
      </c>
      <c r="X1408" s="13">
        <v>15.4338</v>
      </c>
      <c r="Y1408" s="13">
        <v>2.3203</v>
      </c>
      <c r="Z1408" s="13">
        <v>1.7456</v>
      </c>
      <c r="AA1408" s="8" t="s">
        <v>2620</v>
      </c>
      <c r="AB1408" s="14">
        <f>IFERROR(__xludf.DUMMYFUNCTION("IFERROR(GOOGLEFINANCE(B1408,""price""),"""")"),15.84)</f>
        <v>15.84</v>
      </c>
    </row>
    <row r="1409">
      <c r="A1409" s="15">
        <v>46078.628756456295</v>
      </c>
      <c r="B1409" s="16" t="s">
        <v>2634</v>
      </c>
      <c r="C1409" s="16" t="s">
        <v>2635</v>
      </c>
      <c r="D1409" s="17">
        <v>46082.0</v>
      </c>
      <c r="E1409" s="18">
        <v>184.26</v>
      </c>
      <c r="F1409" s="16" t="s">
        <v>245</v>
      </c>
      <c r="G1409" s="21">
        <v>27.7166</v>
      </c>
      <c r="H1409" s="21">
        <v>6.648</v>
      </c>
      <c r="I1409" s="17">
        <v>46080.0</v>
      </c>
      <c r="J1409" s="18">
        <v>187.5</v>
      </c>
      <c r="K1409" s="16">
        <v>3013.0</v>
      </c>
      <c r="L1409" s="16" t="s">
        <v>2608</v>
      </c>
      <c r="M1409" s="19">
        <v>1.76</v>
      </c>
      <c r="N1409" s="16" t="s">
        <v>3955</v>
      </c>
      <c r="O1409" s="16">
        <v>5962.0</v>
      </c>
      <c r="P1409" s="19">
        <v>50.3553</v>
      </c>
      <c r="Q1409" s="16" t="s">
        <v>2637</v>
      </c>
      <c r="R1409" s="19">
        <v>-0.5827</v>
      </c>
      <c r="S1409" s="20">
        <v>4993037.0</v>
      </c>
      <c r="T1409" s="20">
        <v>3.71011483873E11</v>
      </c>
      <c r="U1409" s="21">
        <v>3.3505</v>
      </c>
      <c r="V1409" s="21">
        <v>7.261</v>
      </c>
      <c r="W1409" s="21">
        <v>8.8802</v>
      </c>
      <c r="X1409" s="21">
        <v>-4.6193</v>
      </c>
      <c r="Y1409" s="21">
        <v>0.2507</v>
      </c>
      <c r="Z1409" s="21">
        <v>1.1547</v>
      </c>
      <c r="AA1409" s="16" t="s">
        <v>2620</v>
      </c>
      <c r="AB1409" s="22">
        <f>IFERROR(__xludf.DUMMYFUNCTION("IFERROR(GOOGLEFINANCE(B1409,""price""),"""")"),188.55)</f>
        <v>188.55</v>
      </c>
    </row>
    <row r="1410">
      <c r="A1410" s="7">
        <v>46078.628756456295</v>
      </c>
      <c r="B1410" s="8" t="s">
        <v>2692</v>
      </c>
      <c r="C1410" s="8" t="s">
        <v>2693</v>
      </c>
      <c r="D1410" s="9">
        <v>46082.0</v>
      </c>
      <c r="E1410" s="10">
        <v>245.37</v>
      </c>
      <c r="F1410" s="8" t="s">
        <v>117</v>
      </c>
      <c r="G1410" s="13">
        <v>22.2139</v>
      </c>
      <c r="H1410" s="13">
        <v>11.0458</v>
      </c>
      <c r="I1410" s="9">
        <v>46080.0</v>
      </c>
      <c r="J1410" s="10">
        <v>245.0</v>
      </c>
      <c r="K1410" s="8">
        <v>2637.0</v>
      </c>
      <c r="L1410" s="8" t="s">
        <v>2608</v>
      </c>
      <c r="M1410" s="11">
        <v>0.15</v>
      </c>
      <c r="N1410" s="8" t="s">
        <v>3956</v>
      </c>
      <c r="O1410" s="8">
        <v>5142.0</v>
      </c>
      <c r="P1410" s="11">
        <v>41.4689</v>
      </c>
      <c r="Q1410" s="8" t="s">
        <v>2695</v>
      </c>
      <c r="R1410" s="11">
        <v>-0.3695</v>
      </c>
      <c r="S1410" s="12">
        <v>4633481.0</v>
      </c>
      <c r="T1410" s="12">
        <v>5.91316896488E11</v>
      </c>
      <c r="U1410" s="13">
        <v>3.7338</v>
      </c>
      <c r="V1410" s="13">
        <v>35.0301</v>
      </c>
      <c r="W1410" s="13">
        <v>27.2081</v>
      </c>
      <c r="X1410" s="13">
        <v>6.046</v>
      </c>
      <c r="Y1410" s="13">
        <v>0.605</v>
      </c>
      <c r="Z1410" s="13">
        <v>1.0277</v>
      </c>
      <c r="AA1410" s="8" t="s">
        <v>2611</v>
      </c>
      <c r="AB1410" s="14">
        <f>IFERROR(__xludf.DUMMYFUNCTION("IFERROR(GOOGLEFINANCE(B1410,""price""),"""")"),238.46)</f>
        <v>238.46</v>
      </c>
    </row>
    <row r="1411">
      <c r="A1411" s="15">
        <v>46078.628756456295</v>
      </c>
      <c r="B1411" s="16" t="s">
        <v>2710</v>
      </c>
      <c r="C1411" s="16" t="s">
        <v>2711</v>
      </c>
      <c r="D1411" s="17">
        <v>46082.0</v>
      </c>
      <c r="E1411" s="18">
        <v>132.565</v>
      </c>
      <c r="F1411" s="16" t="s">
        <v>917</v>
      </c>
      <c r="G1411" s="21">
        <v>19.905</v>
      </c>
      <c r="H1411" s="21">
        <v>6.6599</v>
      </c>
      <c r="I1411" s="17">
        <v>46101.0</v>
      </c>
      <c r="J1411" s="18">
        <v>130.0</v>
      </c>
      <c r="K1411" s="16">
        <v>2815.0</v>
      </c>
      <c r="L1411" s="16" t="s">
        <v>2608</v>
      </c>
      <c r="M1411" s="19">
        <v>1.93</v>
      </c>
      <c r="N1411" s="16" t="s">
        <v>3957</v>
      </c>
      <c r="O1411" s="16">
        <v>4972.0</v>
      </c>
      <c r="P1411" s="19">
        <v>42.1466</v>
      </c>
      <c r="Q1411" s="16" t="s">
        <v>2713</v>
      </c>
      <c r="R1411" s="19">
        <v>0.1322</v>
      </c>
      <c r="S1411" s="20">
        <v>1810990.0</v>
      </c>
      <c r="T1411" s="20">
        <v>7.1699305906E10</v>
      </c>
      <c r="U1411" s="21">
        <v>2.5339</v>
      </c>
      <c r="V1411" s="21">
        <v>12.3274</v>
      </c>
      <c r="W1411" s="21">
        <v>25.0742</v>
      </c>
      <c r="X1411" s="21">
        <v>10.4587</v>
      </c>
      <c r="Y1411" s="21">
        <v>1.5949</v>
      </c>
      <c r="Z1411" s="21">
        <v>0.4546</v>
      </c>
      <c r="AA1411" s="16" t="s">
        <v>2611</v>
      </c>
      <c r="AB1411" s="22">
        <f>IFERROR(__xludf.DUMMYFUNCTION("IFERROR(GOOGLEFINANCE(B1411,""price""),"""")"),136.3)</f>
        <v>136.3</v>
      </c>
    </row>
    <row r="1412">
      <c r="A1412" s="7">
        <v>46078.628756456295</v>
      </c>
      <c r="B1412" s="8" t="s">
        <v>3802</v>
      </c>
      <c r="C1412" s="8" t="s">
        <v>3803</v>
      </c>
      <c r="D1412" s="9">
        <v>46082.0</v>
      </c>
      <c r="E1412" s="10">
        <v>42.64</v>
      </c>
      <c r="F1412" s="8" t="s">
        <v>270</v>
      </c>
      <c r="G1412" s="13"/>
      <c r="H1412" s="13"/>
      <c r="I1412" s="9">
        <v>46101.0</v>
      </c>
      <c r="J1412" s="10">
        <v>42.0</v>
      </c>
      <c r="K1412" s="8">
        <v>2978.0</v>
      </c>
      <c r="L1412" s="8" t="s">
        <v>2608</v>
      </c>
      <c r="M1412" s="11">
        <v>1.5</v>
      </c>
      <c r="N1412" s="8" t="s">
        <v>3958</v>
      </c>
      <c r="O1412" s="8">
        <v>4608.0</v>
      </c>
      <c r="P1412" s="11">
        <v>33.586</v>
      </c>
      <c r="Q1412" s="8" t="s">
        <v>3805</v>
      </c>
      <c r="R1412" s="11">
        <v>-4.9699</v>
      </c>
      <c r="S1412" s="12">
        <v>2675393.0</v>
      </c>
      <c r="T1412" s="12">
        <v>4.461102214E9</v>
      </c>
      <c r="U1412" s="13">
        <v>1.2373</v>
      </c>
      <c r="V1412" s="13">
        <v>2.9879</v>
      </c>
      <c r="W1412" s="13">
        <v>26.6004</v>
      </c>
      <c r="X1412" s="13">
        <v>19.1487</v>
      </c>
      <c r="Y1412" s="13">
        <v>1.0108</v>
      </c>
      <c r="Z1412" s="13">
        <v>1.3168</v>
      </c>
      <c r="AA1412" s="8" t="s">
        <v>2611</v>
      </c>
      <c r="AB1412" s="14">
        <f>IFERROR(__xludf.DUMMYFUNCTION("IFERROR(GOOGLEFINANCE(B1412,""price""),"""")"),53.28)</f>
        <v>53.28</v>
      </c>
    </row>
    <row r="1413">
      <c r="A1413" s="15">
        <v>46078.628756456295</v>
      </c>
      <c r="B1413" s="16" t="s">
        <v>2621</v>
      </c>
      <c r="C1413" s="16" t="s">
        <v>2622</v>
      </c>
      <c r="D1413" s="17">
        <v>46082.0</v>
      </c>
      <c r="E1413" s="18">
        <v>68.905</v>
      </c>
      <c r="F1413" s="16" t="s">
        <v>335</v>
      </c>
      <c r="G1413" s="21">
        <v>45.5119</v>
      </c>
      <c r="H1413" s="21">
        <v>1.514</v>
      </c>
      <c r="I1413" s="17">
        <v>46080.0</v>
      </c>
      <c r="J1413" s="18">
        <v>70.0</v>
      </c>
      <c r="K1413" s="16">
        <v>2039.0</v>
      </c>
      <c r="L1413" s="16" t="s">
        <v>2627</v>
      </c>
      <c r="M1413" s="19">
        <v>1.59</v>
      </c>
      <c r="N1413" s="16" t="s">
        <v>3959</v>
      </c>
      <c r="O1413" s="16">
        <v>4541.0</v>
      </c>
      <c r="P1413" s="19">
        <v>31.0893</v>
      </c>
      <c r="Q1413" s="16" t="s">
        <v>2624</v>
      </c>
      <c r="R1413" s="19">
        <v>1.51</v>
      </c>
      <c r="S1413" s="20">
        <v>1.1649358E7</v>
      </c>
      <c r="T1413" s="20">
        <v>9.9030376386E10</v>
      </c>
      <c r="U1413" s="21">
        <v>2.8195</v>
      </c>
      <c r="V1413" s="21">
        <v>11.9792</v>
      </c>
      <c r="W1413" s="21">
        <v>22.7913</v>
      </c>
      <c r="X1413" s="21">
        <v>-0.0477</v>
      </c>
      <c r="Y1413" s="21">
        <v>0.5552</v>
      </c>
      <c r="Z1413" s="21">
        <v>2.2911</v>
      </c>
      <c r="AA1413" s="16" t="s">
        <v>2620</v>
      </c>
      <c r="AB1413" s="22">
        <f>IFERROR(__xludf.DUMMYFUNCTION("IFERROR(GOOGLEFINANCE(B1413,""price""),"""")"),67.8)</f>
        <v>67.8</v>
      </c>
    </row>
    <row r="1414">
      <c r="A1414" s="7">
        <v>46078.628756456295</v>
      </c>
      <c r="B1414" s="8" t="s">
        <v>3684</v>
      </c>
      <c r="C1414" s="8" t="s">
        <v>3685</v>
      </c>
      <c r="D1414" s="9">
        <v>46082.0</v>
      </c>
      <c r="E1414" s="10">
        <v>38.275</v>
      </c>
      <c r="F1414" s="8" t="s">
        <v>917</v>
      </c>
      <c r="G1414" s="13">
        <v>24.1072</v>
      </c>
      <c r="H1414" s="13">
        <v>1.5877</v>
      </c>
      <c r="I1414" s="9">
        <v>46101.0</v>
      </c>
      <c r="J1414" s="10">
        <v>38.0</v>
      </c>
      <c r="K1414" s="8">
        <v>2595.0</v>
      </c>
      <c r="L1414" s="8" t="s">
        <v>2608</v>
      </c>
      <c r="M1414" s="11">
        <v>0.72</v>
      </c>
      <c r="N1414" s="8" t="s">
        <v>3960</v>
      </c>
      <c r="O1414" s="8">
        <v>4487.0</v>
      </c>
      <c r="P1414" s="11">
        <v>21.1823</v>
      </c>
      <c r="Q1414" s="8" t="s">
        <v>3687</v>
      </c>
      <c r="R1414" s="11">
        <v>0.4066</v>
      </c>
      <c r="S1414" s="12">
        <v>9128108.0</v>
      </c>
      <c r="T1414" s="12">
        <v>2.8756267872E10</v>
      </c>
      <c r="U1414" s="13">
        <v>0.7837</v>
      </c>
      <c r="V1414" s="13">
        <v>8.1497</v>
      </c>
      <c r="W1414" s="13">
        <v>23.6452</v>
      </c>
      <c r="X1414" s="13">
        <v>6.8542</v>
      </c>
      <c r="Y1414" s="13">
        <v>1.3003</v>
      </c>
      <c r="Z1414" s="13">
        <v>0.8647</v>
      </c>
      <c r="AA1414" s="8" t="s">
        <v>2611</v>
      </c>
      <c r="AB1414" s="14">
        <f>IFERROR(__xludf.DUMMYFUNCTION("IFERROR(GOOGLEFINANCE(B1414,""price""),"""")"),39.65)</f>
        <v>39.65</v>
      </c>
    </row>
    <row r="1415">
      <c r="A1415" s="15">
        <v>46078.628756456295</v>
      </c>
      <c r="B1415" s="16" t="s">
        <v>3385</v>
      </c>
      <c r="C1415" s="16" t="s">
        <v>3386</v>
      </c>
      <c r="D1415" s="17">
        <v>46082.0</v>
      </c>
      <c r="E1415" s="18">
        <v>44.56</v>
      </c>
      <c r="F1415" s="16" t="s">
        <v>129</v>
      </c>
      <c r="G1415" s="21">
        <v>40.7275</v>
      </c>
      <c r="H1415" s="21">
        <v>1.0941</v>
      </c>
      <c r="I1415" s="17">
        <v>46101.0</v>
      </c>
      <c r="J1415" s="18">
        <v>45.0</v>
      </c>
      <c r="K1415" s="16">
        <v>2361.0</v>
      </c>
      <c r="L1415" s="16" t="s">
        <v>2608</v>
      </c>
      <c r="M1415" s="19">
        <v>0.99</v>
      </c>
      <c r="N1415" s="16" t="s">
        <v>3961</v>
      </c>
      <c r="O1415" s="16">
        <v>4334.0</v>
      </c>
      <c r="P1415" s="19">
        <v>15.9231</v>
      </c>
      <c r="Q1415" s="16" t="s">
        <v>3388</v>
      </c>
      <c r="R1415" s="19">
        <v>-1.9798</v>
      </c>
      <c r="S1415" s="20">
        <v>3525271.0</v>
      </c>
      <c r="T1415" s="20">
        <v>5.1162864087E10</v>
      </c>
      <c r="U1415" s="21">
        <v>1.1856</v>
      </c>
      <c r="V1415" s="21">
        <v>33.2967</v>
      </c>
      <c r="W1415" s="21">
        <v>20.1917</v>
      </c>
      <c r="X1415" s="21">
        <v>8.6721</v>
      </c>
      <c r="Y1415" s="21">
        <v>0.1121</v>
      </c>
      <c r="Z1415" s="21">
        <v>4.852</v>
      </c>
      <c r="AA1415" s="16" t="s">
        <v>2620</v>
      </c>
      <c r="AB1415" s="22">
        <f>IFERROR(__xludf.DUMMYFUNCTION("IFERROR(GOOGLEFINANCE(B1415,""price""),"""")"),49.17)</f>
        <v>49.17</v>
      </c>
    </row>
    <row r="1416">
      <c r="A1416" s="7">
        <v>46078.628756456295</v>
      </c>
      <c r="B1416" s="8" t="s">
        <v>3697</v>
      </c>
      <c r="C1416" s="8" t="s">
        <v>3698</v>
      </c>
      <c r="D1416" s="9">
        <v>46082.0</v>
      </c>
      <c r="E1416" s="10">
        <v>48.775</v>
      </c>
      <c r="F1416" s="8" t="s">
        <v>917</v>
      </c>
      <c r="G1416" s="13">
        <v>17.8343</v>
      </c>
      <c r="H1416" s="13">
        <v>2.7349</v>
      </c>
      <c r="I1416" s="9">
        <v>46101.0</v>
      </c>
      <c r="J1416" s="10">
        <v>49.0</v>
      </c>
      <c r="K1416" s="8">
        <v>3652.0</v>
      </c>
      <c r="L1416" s="8" t="s">
        <v>2608</v>
      </c>
      <c r="M1416" s="11">
        <v>0.46</v>
      </c>
      <c r="N1416" s="8" t="s">
        <v>3962</v>
      </c>
      <c r="O1416" s="8">
        <v>3652.0</v>
      </c>
      <c r="P1416" s="11">
        <v>31.3303</v>
      </c>
      <c r="Q1416" s="8" t="s">
        <v>3700</v>
      </c>
      <c r="R1416" s="11">
        <v>0.3807</v>
      </c>
      <c r="S1416" s="12">
        <v>3915785.0</v>
      </c>
      <c r="T1416" s="12">
        <v>4.9891585655E10</v>
      </c>
      <c r="U1416" s="13">
        <v>1.0316</v>
      </c>
      <c r="V1416" s="13">
        <v>9.9356</v>
      </c>
      <c r="W1416" s="13">
        <v>21.2054</v>
      </c>
      <c r="X1416" s="13">
        <v>5.3367</v>
      </c>
      <c r="Y1416" s="13">
        <v>1.7554</v>
      </c>
      <c r="Z1416" s="13">
        <v>0.924</v>
      </c>
      <c r="AA1416" s="8" t="s">
        <v>2620</v>
      </c>
      <c r="AB1416" s="14">
        <f>IFERROR(__xludf.DUMMYFUNCTION("IFERROR(GOOGLEFINANCE(B1416,""price""),"""")"),48.57)</f>
        <v>48.57</v>
      </c>
    </row>
    <row r="1417">
      <c r="A1417" s="15">
        <v>46078.628756456295</v>
      </c>
      <c r="B1417" s="16" t="s">
        <v>2297</v>
      </c>
      <c r="C1417" s="16" t="s">
        <v>2298</v>
      </c>
      <c r="D1417" s="17">
        <v>46082.0</v>
      </c>
      <c r="E1417" s="18">
        <v>106.35</v>
      </c>
      <c r="F1417" s="16" t="s">
        <v>917</v>
      </c>
      <c r="G1417" s="21">
        <v>27.1828</v>
      </c>
      <c r="H1417" s="21">
        <v>3.9124</v>
      </c>
      <c r="I1417" s="17">
        <v>46101.0</v>
      </c>
      <c r="J1417" s="18">
        <v>105.0</v>
      </c>
      <c r="K1417" s="16">
        <v>3258.0</v>
      </c>
      <c r="L1417" s="16" t="s">
        <v>2608</v>
      </c>
      <c r="M1417" s="19">
        <v>1.27</v>
      </c>
      <c r="N1417" s="16" t="s">
        <v>3963</v>
      </c>
      <c r="O1417" s="16">
        <v>3258.0</v>
      </c>
      <c r="P1417" s="19">
        <v>35.5209</v>
      </c>
      <c r="Q1417" s="16" t="s">
        <v>2299</v>
      </c>
      <c r="R1417" s="19">
        <v>1.0932</v>
      </c>
      <c r="S1417" s="20">
        <v>1430546.0</v>
      </c>
      <c r="T1417" s="20">
        <v>4.8175467836E10</v>
      </c>
      <c r="U1417" s="21">
        <v>2.0976</v>
      </c>
      <c r="V1417" s="21">
        <v>10.931</v>
      </c>
      <c r="W1417" s="21">
        <v>22.9697</v>
      </c>
      <c r="X1417" s="21">
        <v>8.3782</v>
      </c>
      <c r="Y1417" s="21">
        <v>1.8276</v>
      </c>
      <c r="Z1417" s="21">
        <v>0.7243</v>
      </c>
      <c r="AA1417" s="16" t="s">
        <v>2611</v>
      </c>
      <c r="AB1417" s="22">
        <f>IFERROR(__xludf.DUMMYFUNCTION("IFERROR(GOOGLEFINANCE(B1417,""price""),"""")"),116.47)</f>
        <v>116.47</v>
      </c>
    </row>
    <row r="1418">
      <c r="A1418" s="7">
        <v>46078.628756456295</v>
      </c>
      <c r="B1418" s="8" t="s">
        <v>3845</v>
      </c>
      <c r="C1418" s="8" t="s">
        <v>3846</v>
      </c>
      <c r="D1418" s="9">
        <v>46082.0</v>
      </c>
      <c r="E1418" s="10">
        <v>88.94</v>
      </c>
      <c r="F1418" s="8" t="s">
        <v>129</v>
      </c>
      <c r="G1418" s="13">
        <v>23.9202</v>
      </c>
      <c r="H1418" s="13">
        <v>3.7182</v>
      </c>
      <c r="I1418" s="9">
        <v>46101.0</v>
      </c>
      <c r="J1418" s="10">
        <v>90.0</v>
      </c>
      <c r="K1418" s="8">
        <v>2689.0</v>
      </c>
      <c r="L1418" s="8" t="s">
        <v>2608</v>
      </c>
      <c r="M1418" s="11">
        <v>1.19</v>
      </c>
      <c r="N1418" s="8" t="s">
        <v>3964</v>
      </c>
      <c r="O1418" s="8">
        <v>2689.0</v>
      </c>
      <c r="P1418" s="11">
        <v>53.9014</v>
      </c>
      <c r="Q1418" s="8" t="s">
        <v>3848</v>
      </c>
      <c r="R1418" s="11">
        <v>-1.0348</v>
      </c>
      <c r="S1418" s="12">
        <v>1397440.0</v>
      </c>
      <c r="T1418" s="12">
        <v>4.2596094564E10</v>
      </c>
      <c r="U1418" s="13">
        <v>1.8319</v>
      </c>
      <c r="V1418" s="13">
        <v>83.6397</v>
      </c>
      <c r="W1418" s="13">
        <v>4.1986</v>
      </c>
      <c r="X1418" s="13">
        <v>2.576</v>
      </c>
      <c r="Y1418" s="13">
        <v>6.5567</v>
      </c>
      <c r="Z1418" s="13">
        <v>1.2955</v>
      </c>
      <c r="AA1418" s="8" t="s">
        <v>2620</v>
      </c>
      <c r="AB1418" s="14">
        <f>IFERROR(__xludf.DUMMYFUNCTION("IFERROR(GOOGLEFINANCE(B1418,""price""),"""")"),72.82)</f>
        <v>72.82</v>
      </c>
    </row>
    <row r="1419">
      <c r="A1419" s="15">
        <v>46078.628756456295</v>
      </c>
      <c r="B1419" s="16" t="s">
        <v>3825</v>
      </c>
      <c r="C1419" s="16" t="s">
        <v>3826</v>
      </c>
      <c r="D1419" s="17">
        <v>46082.0</v>
      </c>
      <c r="E1419" s="18">
        <v>59.23</v>
      </c>
      <c r="F1419" s="16" t="s">
        <v>102</v>
      </c>
      <c r="G1419" s="21">
        <v>48.914</v>
      </c>
      <c r="H1419" s="21">
        <v>1.2109</v>
      </c>
      <c r="I1419" s="17">
        <v>46101.0</v>
      </c>
      <c r="J1419" s="18">
        <v>60.0</v>
      </c>
      <c r="K1419" s="16">
        <v>2322.0</v>
      </c>
      <c r="L1419" s="16" t="s">
        <v>2627</v>
      </c>
      <c r="M1419" s="19">
        <v>1.3</v>
      </c>
      <c r="N1419" s="16" t="s">
        <v>3965</v>
      </c>
      <c r="O1419" s="16">
        <v>2322.0</v>
      </c>
      <c r="P1419" s="19">
        <v>41.7009</v>
      </c>
      <c r="Q1419" s="16" t="s">
        <v>3828</v>
      </c>
      <c r="R1419" s="19">
        <v>0.6457</v>
      </c>
      <c r="S1419" s="20">
        <v>1715322.0</v>
      </c>
      <c r="T1419" s="20">
        <v>1.2263498156E10</v>
      </c>
      <c r="U1419" s="21">
        <v>2.2002</v>
      </c>
      <c r="V1419" s="21">
        <v>5.0483</v>
      </c>
      <c r="W1419" s="21">
        <v>9.5907</v>
      </c>
      <c r="X1419" s="21">
        <v>1.6545</v>
      </c>
      <c r="Y1419" s="21">
        <v>0.7455</v>
      </c>
      <c r="Z1419" s="21">
        <v>2.0704</v>
      </c>
      <c r="AA1419" s="16" t="s">
        <v>2620</v>
      </c>
      <c r="AB1419" s="22">
        <f>IFERROR(__xludf.DUMMYFUNCTION("IFERROR(GOOGLEFINANCE(B1419,""price""),"""")"),54.48)</f>
        <v>54.48</v>
      </c>
    </row>
    <row r="1420">
      <c r="A1420" s="7">
        <v>46078.628756456295</v>
      </c>
      <c r="B1420" s="8" t="s">
        <v>1570</v>
      </c>
      <c r="C1420" s="8" t="s">
        <v>1571</v>
      </c>
      <c r="D1420" s="9">
        <v>46082.0</v>
      </c>
      <c r="E1420" s="10">
        <v>50.685</v>
      </c>
      <c r="F1420" s="8" t="s">
        <v>917</v>
      </c>
      <c r="G1420" s="13">
        <v>28.7216</v>
      </c>
      <c r="H1420" s="13">
        <v>1.7647</v>
      </c>
      <c r="I1420" s="9">
        <v>46101.0</v>
      </c>
      <c r="J1420" s="10">
        <v>50.0</v>
      </c>
      <c r="K1420" s="8">
        <v>2276.0</v>
      </c>
      <c r="L1420" s="8" t="s">
        <v>2608</v>
      </c>
      <c r="M1420" s="11">
        <v>1.35</v>
      </c>
      <c r="N1420" s="8" t="s">
        <v>3966</v>
      </c>
      <c r="O1420" s="8">
        <v>2276.0</v>
      </c>
      <c r="P1420" s="11">
        <v>38.9955</v>
      </c>
      <c r="Q1420" s="8" t="s">
        <v>1572</v>
      </c>
      <c r="R1420" s="11">
        <v>0.0889</v>
      </c>
      <c r="S1420" s="12">
        <v>2465658.0</v>
      </c>
      <c r="T1420" s="12">
        <v>2.9292526723E10</v>
      </c>
      <c r="U1420" s="13">
        <v>0.9351</v>
      </c>
      <c r="V1420" s="13">
        <v>8.1714</v>
      </c>
      <c r="W1420" s="13">
        <v>18.774</v>
      </c>
      <c r="X1420" s="13">
        <v>12.0101</v>
      </c>
      <c r="Y1420" s="13">
        <v>2.1457</v>
      </c>
      <c r="Z1420" s="13">
        <v>0.5652</v>
      </c>
      <c r="AA1420" s="8" t="s">
        <v>2611</v>
      </c>
      <c r="AB1420" s="14">
        <f>IFERROR(__xludf.DUMMYFUNCTION("IFERROR(GOOGLEFINANCE(B1420,""price""),"""")"),51.43)</f>
        <v>51.43</v>
      </c>
    </row>
    <row r="1421">
      <c r="A1421" s="15">
        <v>46078.628756456295</v>
      </c>
      <c r="B1421" s="16" t="s">
        <v>3505</v>
      </c>
      <c r="C1421" s="16" t="s">
        <v>3506</v>
      </c>
      <c r="D1421" s="17">
        <v>46082.0</v>
      </c>
      <c r="E1421" s="18">
        <v>278.55</v>
      </c>
      <c r="F1421" s="16" t="s">
        <v>102</v>
      </c>
      <c r="G1421" s="21">
        <v>43.3291</v>
      </c>
      <c r="H1421" s="21">
        <v>6.4287</v>
      </c>
      <c r="I1421" s="17">
        <v>46101.0</v>
      </c>
      <c r="J1421" s="18">
        <v>280.0</v>
      </c>
      <c r="K1421" s="16">
        <v>2221.0</v>
      </c>
      <c r="L1421" s="16" t="s">
        <v>2608</v>
      </c>
      <c r="M1421" s="19">
        <v>0.52</v>
      </c>
      <c r="N1421" s="16" t="s">
        <v>3967</v>
      </c>
      <c r="O1421" s="16">
        <v>2221.0</v>
      </c>
      <c r="P1421" s="19">
        <v>28.4391</v>
      </c>
      <c r="Q1421" s="16" t="s">
        <v>3508</v>
      </c>
      <c r="R1421" s="19">
        <v>4.6158</v>
      </c>
      <c r="S1421" s="20">
        <v>1004783.0</v>
      </c>
      <c r="T1421" s="20">
        <v>2.9413563049E10</v>
      </c>
      <c r="U1421" s="21">
        <v>11.3275</v>
      </c>
      <c r="V1421" s="21">
        <v>47.872</v>
      </c>
      <c r="W1421" s="21">
        <v>5.014</v>
      </c>
      <c r="X1421" s="21">
        <v>13.1793</v>
      </c>
      <c r="Y1421" s="21">
        <v>2.506</v>
      </c>
      <c r="Z1421" s="21">
        <v>0.9887</v>
      </c>
      <c r="AA1421" s="16" t="s">
        <v>2620</v>
      </c>
      <c r="AB1421" s="22">
        <f>IFERROR(__xludf.DUMMYFUNCTION("IFERROR(GOOGLEFINANCE(B1421,""price""),"""")"),299.5)</f>
        <v>299.5</v>
      </c>
    </row>
    <row r="1422">
      <c r="A1422" s="7">
        <v>46078.628756456295</v>
      </c>
      <c r="B1422" s="8" t="s">
        <v>3829</v>
      </c>
      <c r="C1422" s="8" t="s">
        <v>3830</v>
      </c>
      <c r="D1422" s="9">
        <v>46082.0</v>
      </c>
      <c r="E1422" s="10">
        <v>109.67</v>
      </c>
      <c r="F1422" s="8" t="s">
        <v>308</v>
      </c>
      <c r="G1422" s="13">
        <v>65.2526</v>
      </c>
      <c r="H1422" s="13">
        <v>1.6807</v>
      </c>
      <c r="I1422" s="9">
        <v>46101.0</v>
      </c>
      <c r="J1422" s="10">
        <v>110.0</v>
      </c>
      <c r="K1422" s="8">
        <v>2082.0</v>
      </c>
      <c r="L1422" s="8" t="s">
        <v>2608</v>
      </c>
      <c r="M1422" s="11">
        <v>0.3</v>
      </c>
      <c r="N1422" s="8" t="s">
        <v>3968</v>
      </c>
      <c r="O1422" s="8">
        <v>2082.0</v>
      </c>
      <c r="P1422" s="11">
        <v>24.0737</v>
      </c>
      <c r="Q1422" s="8" t="s">
        <v>3832</v>
      </c>
      <c r="R1422" s="11">
        <v>2.7835</v>
      </c>
      <c r="S1422" s="12">
        <v>1424379.0</v>
      </c>
      <c r="T1422" s="12">
        <v>1.1340417525E10</v>
      </c>
      <c r="U1422" s="13">
        <v>7.0062</v>
      </c>
      <c r="V1422" s="13">
        <v>10.6701</v>
      </c>
      <c r="W1422" s="13">
        <v>9.0659</v>
      </c>
      <c r="X1422" s="13">
        <v>18.9783</v>
      </c>
      <c r="Y1422" s="13">
        <v>0.5842</v>
      </c>
      <c r="Z1422" s="13">
        <v>1.9283</v>
      </c>
      <c r="AA1422" s="8" t="s">
        <v>2620</v>
      </c>
      <c r="AB1422" s="14">
        <f>IFERROR(__xludf.DUMMYFUNCTION("IFERROR(GOOGLEFINANCE(B1422,""price""),"""")"),121.49)</f>
        <v>121.49</v>
      </c>
    </row>
    <row r="1423">
      <c r="A1423" s="15">
        <v>46078.628756456295</v>
      </c>
      <c r="B1423" s="16" t="s">
        <v>3242</v>
      </c>
      <c r="C1423" s="16" t="s">
        <v>3243</v>
      </c>
      <c r="D1423" s="17">
        <v>46082.0</v>
      </c>
      <c r="E1423" s="18">
        <v>111.11</v>
      </c>
      <c r="F1423" s="16" t="s">
        <v>917</v>
      </c>
      <c r="G1423" s="21">
        <v>19.6557</v>
      </c>
      <c r="H1423" s="21">
        <v>5.6528</v>
      </c>
      <c r="I1423" s="17">
        <v>46101.0</v>
      </c>
      <c r="J1423" s="18">
        <v>110.0</v>
      </c>
      <c r="K1423" s="16">
        <v>2061.0</v>
      </c>
      <c r="L1423" s="16" t="s">
        <v>2608</v>
      </c>
      <c r="M1423" s="19">
        <v>1.0</v>
      </c>
      <c r="N1423" s="16" t="s">
        <v>3969</v>
      </c>
      <c r="O1423" s="16">
        <v>2061.0</v>
      </c>
      <c r="P1423" s="19">
        <v>25.6906</v>
      </c>
      <c r="Q1423" s="16" t="s">
        <v>3245</v>
      </c>
      <c r="R1423" s="19">
        <v>0.0901</v>
      </c>
      <c r="S1423" s="20">
        <v>1748426.0</v>
      </c>
      <c r="T1423" s="20">
        <v>4.0144340807E10</v>
      </c>
      <c r="U1423" s="21">
        <v>2.4178</v>
      </c>
      <c r="V1423" s="21">
        <v>8.7624</v>
      </c>
      <c r="W1423" s="21">
        <v>17.3247</v>
      </c>
      <c r="X1423" s="21">
        <v>10.8577</v>
      </c>
      <c r="Y1423" s="21">
        <v>1.173</v>
      </c>
      <c r="Z1423" s="21">
        <v>1.0206</v>
      </c>
      <c r="AA1423" s="16" t="s">
        <v>2611</v>
      </c>
      <c r="AB1423" s="22">
        <f>IFERROR(__xludf.DUMMYFUNCTION("IFERROR(GOOGLEFINANCE(B1423,""price""),"""")"),113.56)</f>
        <v>113.56</v>
      </c>
    </row>
    <row r="1424">
      <c r="A1424" s="7">
        <v>46078.628756456295</v>
      </c>
      <c r="B1424" s="8" t="s">
        <v>3922</v>
      </c>
      <c r="C1424" s="8" t="s">
        <v>3923</v>
      </c>
      <c r="D1424" s="9">
        <v>46082.0</v>
      </c>
      <c r="E1424" s="10">
        <v>83.51</v>
      </c>
      <c r="F1424" s="8" t="s">
        <v>917</v>
      </c>
      <c r="G1424" s="13">
        <v>24.3974</v>
      </c>
      <c r="H1424" s="13">
        <v>3.4229</v>
      </c>
      <c r="I1424" s="9">
        <v>46101.0</v>
      </c>
      <c r="J1424" s="10">
        <v>85.0</v>
      </c>
      <c r="K1424" s="8">
        <v>2033.0</v>
      </c>
      <c r="L1424" s="8" t="s">
        <v>2608</v>
      </c>
      <c r="M1424" s="11">
        <v>1.78</v>
      </c>
      <c r="N1424" s="8" t="s">
        <v>3970</v>
      </c>
      <c r="O1424" s="8">
        <v>2033.0</v>
      </c>
      <c r="P1424" s="11">
        <v>26.7852</v>
      </c>
      <c r="Q1424" s="8" t="s">
        <v>3925</v>
      </c>
      <c r="R1424" s="11">
        <v>-0.4767</v>
      </c>
      <c r="S1424" s="12">
        <v>2042941.0</v>
      </c>
      <c r="T1424" s="12">
        <v>4.9399485333E10</v>
      </c>
      <c r="U1424" s="13">
        <v>1.5906</v>
      </c>
      <c r="V1424" s="13">
        <v>9.3575</v>
      </c>
      <c r="W1424" s="13">
        <v>19.7424</v>
      </c>
      <c r="X1424" s="13">
        <v>8.9546</v>
      </c>
      <c r="Y1424" s="13">
        <v>1.4352</v>
      </c>
      <c r="Z1424" s="13"/>
      <c r="AA1424" s="8" t="s">
        <v>2620</v>
      </c>
      <c r="AB1424" s="14">
        <f>IFERROR(__xludf.DUMMYFUNCTION("IFERROR(GOOGLEFINANCE(B1424,""price""),"""")"),82.38)</f>
        <v>82.38</v>
      </c>
    </row>
    <row r="1425">
      <c r="A1425" s="15">
        <v>46078.628756456295</v>
      </c>
      <c r="B1425" s="16" t="s">
        <v>2139</v>
      </c>
      <c r="C1425" s="16" t="s">
        <v>2140</v>
      </c>
      <c r="D1425" s="17">
        <v>46082.0</v>
      </c>
      <c r="E1425" s="18">
        <v>64.935</v>
      </c>
      <c r="F1425" s="16" t="s">
        <v>270</v>
      </c>
      <c r="G1425" s="21">
        <v>24.9271</v>
      </c>
      <c r="H1425" s="21">
        <v>2.605</v>
      </c>
      <c r="I1425" s="17">
        <v>46101.0</v>
      </c>
      <c r="J1425" s="18">
        <v>65.0</v>
      </c>
      <c r="K1425" s="16">
        <v>1714.0</v>
      </c>
      <c r="L1425" s="16" t="s">
        <v>2608</v>
      </c>
      <c r="M1425" s="19">
        <v>0.1</v>
      </c>
      <c r="N1425" s="16" t="s">
        <v>3971</v>
      </c>
      <c r="O1425" s="16">
        <v>1714.0</v>
      </c>
      <c r="P1425" s="19">
        <v>42.9782</v>
      </c>
      <c r="Q1425" s="16" t="s">
        <v>2141</v>
      </c>
      <c r="R1425" s="19">
        <v>0.3322</v>
      </c>
      <c r="S1425" s="20">
        <v>4592566.0</v>
      </c>
      <c r="T1425" s="20">
        <v>6.4171139067E10</v>
      </c>
      <c r="U1425" s="21">
        <v>1.7008</v>
      </c>
      <c r="V1425" s="21">
        <v>14.4868</v>
      </c>
      <c r="W1425" s="21">
        <v>12.8259</v>
      </c>
      <c r="X1425" s="21">
        <v>-0.345</v>
      </c>
      <c r="Y1425" s="21">
        <v>0.3558</v>
      </c>
      <c r="Z1425" s="21">
        <v>1.3568</v>
      </c>
      <c r="AA1425" s="16" t="s">
        <v>2620</v>
      </c>
      <c r="AB1425" s="22">
        <f>IFERROR(__xludf.DUMMYFUNCTION("IFERROR(GOOGLEFINANCE(B1425,""price""),"""")"),62.83)</f>
        <v>62.83</v>
      </c>
    </row>
    <row r="1426">
      <c r="A1426" s="7">
        <v>46078.628756456295</v>
      </c>
      <c r="B1426" s="8" t="s">
        <v>2726</v>
      </c>
      <c r="C1426" s="8" t="s">
        <v>2727</v>
      </c>
      <c r="D1426" s="9">
        <v>46082.0</v>
      </c>
      <c r="E1426" s="10">
        <v>85.58</v>
      </c>
      <c r="F1426" s="8" t="s">
        <v>286</v>
      </c>
      <c r="G1426" s="13">
        <v>48.7191</v>
      </c>
      <c r="H1426" s="13">
        <v>1.7566</v>
      </c>
      <c r="I1426" s="9">
        <v>46101.0</v>
      </c>
      <c r="J1426" s="10">
        <v>85.0</v>
      </c>
      <c r="K1426" s="8">
        <v>1660.0</v>
      </c>
      <c r="L1426" s="8" t="s">
        <v>2608</v>
      </c>
      <c r="M1426" s="11">
        <v>0.68</v>
      </c>
      <c r="N1426" s="8" t="s">
        <v>3972</v>
      </c>
      <c r="O1426" s="8">
        <v>1660.0</v>
      </c>
      <c r="P1426" s="11">
        <v>36.4097</v>
      </c>
      <c r="Q1426" s="8" t="s">
        <v>2729</v>
      </c>
      <c r="R1426" s="11">
        <v>0.0468</v>
      </c>
      <c r="S1426" s="12">
        <v>4326214.0</v>
      </c>
      <c r="T1426" s="12">
        <v>8.3613473411E10</v>
      </c>
      <c r="U1426" s="13">
        <v>1.5371</v>
      </c>
      <c r="V1426" s="13">
        <v>25.538</v>
      </c>
      <c r="W1426" s="13">
        <v>29.9505</v>
      </c>
      <c r="X1426" s="13">
        <v>7.618</v>
      </c>
      <c r="Y1426" s="13">
        <v>0.0</v>
      </c>
      <c r="Z1426" s="13">
        <v>3.1855</v>
      </c>
      <c r="AA1426" s="8" t="s">
        <v>2611</v>
      </c>
      <c r="AB1426" s="14">
        <f>IFERROR(__xludf.DUMMYFUNCTION("IFERROR(GOOGLEFINANCE(B1426,""price""),"""")"),75.72)</f>
        <v>75.72</v>
      </c>
    </row>
    <row r="1427">
      <c r="A1427" s="15">
        <v>46078.628756456295</v>
      </c>
      <c r="B1427" s="16" t="s">
        <v>2672</v>
      </c>
      <c r="C1427" s="16" t="s">
        <v>2673</v>
      </c>
      <c r="D1427" s="17">
        <v>46082.0</v>
      </c>
      <c r="E1427" s="18">
        <v>50.675</v>
      </c>
      <c r="F1427" s="16" t="s">
        <v>107</v>
      </c>
      <c r="G1427" s="21"/>
      <c r="H1427" s="21">
        <v>-1.865</v>
      </c>
      <c r="I1427" s="17">
        <v>46101.0</v>
      </c>
      <c r="J1427" s="18">
        <v>50.0</v>
      </c>
      <c r="K1427" s="16">
        <v>1627.0</v>
      </c>
      <c r="L1427" s="16" t="s">
        <v>2608</v>
      </c>
      <c r="M1427" s="19">
        <v>1.33</v>
      </c>
      <c r="N1427" s="16" t="s">
        <v>3973</v>
      </c>
      <c r="O1427" s="16">
        <v>1627.0</v>
      </c>
      <c r="P1427" s="19">
        <v>46.743</v>
      </c>
      <c r="Q1427" s="16" t="s">
        <v>2675</v>
      </c>
      <c r="R1427" s="19">
        <v>-0.7734</v>
      </c>
      <c r="S1427" s="20">
        <v>1984957.0</v>
      </c>
      <c r="T1427" s="20">
        <v>2.0722216413E10</v>
      </c>
      <c r="U1427" s="21">
        <v>1.4131</v>
      </c>
      <c r="V1427" s="21">
        <v>-0.805</v>
      </c>
      <c r="W1427" s="21">
        <v>16.2067</v>
      </c>
      <c r="X1427" s="21">
        <v>-10.4796</v>
      </c>
      <c r="Y1427" s="21">
        <v>0.2451</v>
      </c>
      <c r="Z1427" s="21">
        <v>2.4187</v>
      </c>
      <c r="AA1427" s="16" t="s">
        <v>2611</v>
      </c>
      <c r="AB1427" s="22">
        <f>IFERROR(__xludf.DUMMYFUNCTION("IFERROR(GOOGLEFINANCE(B1427,""price""),"""")"),47.25)</f>
        <v>47.25</v>
      </c>
    </row>
    <row r="1428">
      <c r="A1428" s="7">
        <v>46078.628756456295</v>
      </c>
      <c r="B1428" s="8" t="s">
        <v>2521</v>
      </c>
      <c r="C1428" s="8" t="s">
        <v>2522</v>
      </c>
      <c r="D1428" s="9">
        <v>46082.0</v>
      </c>
      <c r="E1428" s="10">
        <v>360.715</v>
      </c>
      <c r="F1428" s="8" t="s">
        <v>308</v>
      </c>
      <c r="G1428" s="13">
        <v>65.8912</v>
      </c>
      <c r="H1428" s="13">
        <v>5.4744</v>
      </c>
      <c r="I1428" s="9">
        <v>46080.0</v>
      </c>
      <c r="J1428" s="10">
        <v>367.5</v>
      </c>
      <c r="K1428" s="8">
        <v>1591.0</v>
      </c>
      <c r="L1428" s="8" t="s">
        <v>2608</v>
      </c>
      <c r="M1428" s="11">
        <v>1.88</v>
      </c>
      <c r="N1428" s="8" t="s">
        <v>3974</v>
      </c>
      <c r="O1428" s="8">
        <v>1591.0</v>
      </c>
      <c r="P1428" s="11">
        <v>55.3656</v>
      </c>
      <c r="Q1428" s="8" t="s">
        <v>2523</v>
      </c>
      <c r="R1428" s="11">
        <v>1.2988</v>
      </c>
      <c r="S1428" s="12">
        <v>1670779.0</v>
      </c>
      <c r="T1428" s="12">
        <v>1.76102562701E11</v>
      </c>
      <c r="U1428" s="13">
        <v>9.8326</v>
      </c>
      <c r="V1428" s="13">
        <v>7.8622</v>
      </c>
      <c r="W1428" s="13">
        <v>29.7854</v>
      </c>
      <c r="X1428" s="13">
        <v>25.9077</v>
      </c>
      <c r="Y1428" s="13">
        <v>0.257</v>
      </c>
      <c r="Z1428" s="13">
        <v>1.7555</v>
      </c>
      <c r="AA1428" s="8" t="s">
        <v>2620</v>
      </c>
      <c r="AB1428" s="14">
        <f>IFERROR(__xludf.DUMMYFUNCTION("IFERROR(GOOGLEFINANCE(B1428,""price""),"""")"),350.14)</f>
        <v>350.14</v>
      </c>
    </row>
    <row r="1429">
      <c r="A1429" s="15">
        <v>46078.628756456295</v>
      </c>
      <c r="B1429" s="16" t="s">
        <v>2684</v>
      </c>
      <c r="C1429" s="16" t="s">
        <v>2685</v>
      </c>
      <c r="D1429" s="17">
        <v>46082.0</v>
      </c>
      <c r="E1429" s="18">
        <v>394.5</v>
      </c>
      <c r="F1429" s="16" t="s">
        <v>102</v>
      </c>
      <c r="G1429" s="21">
        <v>40.4085</v>
      </c>
      <c r="H1429" s="21">
        <v>9.7628</v>
      </c>
      <c r="I1429" s="17">
        <v>46080.0</v>
      </c>
      <c r="J1429" s="18">
        <v>400.0</v>
      </c>
      <c r="K1429" s="16">
        <v>1541.0</v>
      </c>
      <c r="L1429" s="16" t="s">
        <v>2608</v>
      </c>
      <c r="M1429" s="19">
        <v>1.39</v>
      </c>
      <c r="N1429" s="16" t="s">
        <v>3975</v>
      </c>
      <c r="O1429" s="16">
        <v>1541.0</v>
      </c>
      <c r="P1429" s="19">
        <v>39.1564</v>
      </c>
      <c r="Q1429" s="16" t="s">
        <v>2687</v>
      </c>
      <c r="R1429" s="19">
        <v>4.3844</v>
      </c>
      <c r="S1429" s="20">
        <v>5973002.0</v>
      </c>
      <c r="T1429" s="20">
        <v>3.13079084997E11</v>
      </c>
      <c r="U1429" s="21">
        <v>15.6096</v>
      </c>
      <c r="V1429" s="21">
        <v>38.8627</v>
      </c>
      <c r="W1429" s="21">
        <v>29.7406</v>
      </c>
      <c r="X1429" s="21">
        <v>2.1543</v>
      </c>
      <c r="Y1429" s="21">
        <v>0.3311</v>
      </c>
      <c r="Z1429" s="21">
        <v>2.7149</v>
      </c>
      <c r="AA1429" s="16" t="s">
        <v>2620</v>
      </c>
      <c r="AB1429" s="22">
        <f>IFERROR(__xludf.DUMMYFUNCTION("IFERROR(GOOGLEFINANCE(B1429,""price""),"""")"),399.5)</f>
        <v>399.5</v>
      </c>
    </row>
    <row r="1430">
      <c r="A1430" s="7">
        <v>46078.628756456295</v>
      </c>
      <c r="B1430" s="8" t="s">
        <v>3100</v>
      </c>
      <c r="C1430" s="8" t="s">
        <v>3101</v>
      </c>
      <c r="D1430" s="9">
        <v>46082.0</v>
      </c>
      <c r="E1430" s="10">
        <v>353.92</v>
      </c>
      <c r="F1430" s="8" t="s">
        <v>308</v>
      </c>
      <c r="G1430" s="13">
        <v>416.6706</v>
      </c>
      <c r="H1430" s="13">
        <v>0.8494</v>
      </c>
      <c r="I1430" s="9">
        <v>46080.0</v>
      </c>
      <c r="J1430" s="10">
        <v>357.5</v>
      </c>
      <c r="K1430" s="8">
        <v>1517.0</v>
      </c>
      <c r="L1430" s="8" t="s">
        <v>2608</v>
      </c>
      <c r="M1430" s="11">
        <v>1.01</v>
      </c>
      <c r="N1430" s="8" t="s">
        <v>3976</v>
      </c>
      <c r="O1430" s="8">
        <v>1517.0</v>
      </c>
      <c r="P1430" s="11">
        <v>24.7691</v>
      </c>
      <c r="Q1430" s="8" t="s">
        <v>3103</v>
      </c>
      <c r="R1430" s="11">
        <v>3.274</v>
      </c>
      <c r="S1430" s="12">
        <v>1888258.0</v>
      </c>
      <c r="T1430" s="12">
        <v>5.0066747848E10</v>
      </c>
      <c r="U1430" s="13">
        <v>20.0135</v>
      </c>
      <c r="V1430" s="13">
        <v>4.4483</v>
      </c>
      <c r="W1430" s="13">
        <v>6.5162</v>
      </c>
      <c r="X1430" s="13">
        <v>18.7935</v>
      </c>
      <c r="Y1430" s="13">
        <v>0.5956</v>
      </c>
      <c r="Z1430" s="13">
        <v>2.6962</v>
      </c>
      <c r="AA1430" s="8" t="s">
        <v>2620</v>
      </c>
      <c r="AB1430" s="14">
        <f>IFERROR(__xludf.DUMMYFUNCTION("IFERROR(GOOGLEFINANCE(B1430,""price""),"""")"),496.02)</f>
        <v>496.02</v>
      </c>
    </row>
    <row r="1431">
      <c r="A1431" s="15">
        <v>46078.628756456295</v>
      </c>
      <c r="B1431" s="16" t="s">
        <v>2663</v>
      </c>
      <c r="C1431" s="16" t="s">
        <v>2664</v>
      </c>
      <c r="D1431" s="17">
        <v>46082.0</v>
      </c>
      <c r="E1431" s="18">
        <v>125.05</v>
      </c>
      <c r="F1431" s="16" t="s">
        <v>335</v>
      </c>
      <c r="G1431" s="21">
        <v>19.5819</v>
      </c>
      <c r="H1431" s="21">
        <v>6.386</v>
      </c>
      <c r="I1431" s="17">
        <v>46080.0</v>
      </c>
      <c r="J1431" s="18">
        <v>125.0</v>
      </c>
      <c r="K1431" s="16">
        <v>1450.0</v>
      </c>
      <c r="L1431" s="16" t="s">
        <v>2608</v>
      </c>
      <c r="M1431" s="19">
        <v>0.04</v>
      </c>
      <c r="N1431" s="16" t="s">
        <v>3977</v>
      </c>
      <c r="O1431" s="16">
        <v>1450.0</v>
      </c>
      <c r="P1431" s="19">
        <v>15.2528</v>
      </c>
      <c r="Q1431" s="16" t="s">
        <v>2666</v>
      </c>
      <c r="R1431" s="19">
        <v>0.7736</v>
      </c>
      <c r="S1431" s="20">
        <v>5445067.0</v>
      </c>
      <c r="T1431" s="20">
        <v>1.36038673146E11</v>
      </c>
      <c r="U1431" s="21">
        <v>5.5825</v>
      </c>
      <c r="V1431" s="21">
        <v>22.2118</v>
      </c>
      <c r="W1431" s="21">
        <v>46.8525</v>
      </c>
      <c r="X1431" s="21">
        <v>18.5716</v>
      </c>
      <c r="Y1431" s="21">
        <v>0.1687</v>
      </c>
      <c r="Z1431" s="21">
        <v>2.2875</v>
      </c>
      <c r="AA1431" s="16" t="s">
        <v>2611</v>
      </c>
      <c r="AB1431" s="22">
        <f>IFERROR(__xludf.DUMMYFUNCTION("IFERROR(GOOGLEFINANCE(B1431,""price""),"""")"),120.9)</f>
        <v>120.9</v>
      </c>
    </row>
    <row r="1432">
      <c r="A1432" s="7">
        <v>46078.628756456295</v>
      </c>
      <c r="B1432" s="8" t="s">
        <v>3713</v>
      </c>
      <c r="C1432" s="8" t="s">
        <v>3714</v>
      </c>
      <c r="D1432" s="9">
        <v>46082.0</v>
      </c>
      <c r="E1432" s="10">
        <v>155.3525</v>
      </c>
      <c r="F1432" s="8" t="s">
        <v>149</v>
      </c>
      <c r="G1432" s="13"/>
      <c r="H1432" s="13">
        <v>-0.2349</v>
      </c>
      <c r="I1432" s="9">
        <v>46101.0</v>
      </c>
      <c r="J1432" s="10">
        <v>155.0</v>
      </c>
      <c r="K1432" s="8">
        <v>1409.0</v>
      </c>
      <c r="L1432" s="8" t="s">
        <v>2608</v>
      </c>
      <c r="M1432" s="11">
        <v>0.23</v>
      </c>
      <c r="N1432" s="8" t="s">
        <v>3978</v>
      </c>
      <c r="O1432" s="8">
        <v>1409.0</v>
      </c>
      <c r="P1432" s="11">
        <v>25.129</v>
      </c>
      <c r="Q1432" s="8" t="s">
        <v>3716</v>
      </c>
      <c r="R1432" s="11">
        <v>-1.6632</v>
      </c>
      <c r="S1432" s="12">
        <v>2144845.0</v>
      </c>
      <c r="T1432" s="12">
        <v>3.6098986084E10</v>
      </c>
      <c r="U1432" s="13">
        <v>5.3664</v>
      </c>
      <c r="V1432" s="13">
        <v>-24.6827</v>
      </c>
      <c r="W1432" s="13">
        <v>5.9214</v>
      </c>
      <c r="X1432" s="13">
        <v>8.8349</v>
      </c>
      <c r="Y1432" s="13">
        <v>38.3916</v>
      </c>
      <c r="Z1432" s="13">
        <v>0.9951</v>
      </c>
      <c r="AA1432" s="8" t="s">
        <v>2611</v>
      </c>
      <c r="AB1432" s="14">
        <f>IFERROR(__xludf.DUMMYFUNCTION("IFERROR(GOOGLEFINANCE(B1432,""price""),"""")"),160.59)</f>
        <v>160.59</v>
      </c>
    </row>
    <row r="1433">
      <c r="A1433" s="15">
        <v>46078.628756456295</v>
      </c>
      <c r="B1433" s="16" t="s">
        <v>2646</v>
      </c>
      <c r="C1433" s="16" t="s">
        <v>2647</v>
      </c>
      <c r="D1433" s="17">
        <v>46082.0</v>
      </c>
      <c r="E1433" s="18">
        <v>35.95</v>
      </c>
      <c r="F1433" s="16" t="s">
        <v>270</v>
      </c>
      <c r="G1433" s="21">
        <v>13.5379</v>
      </c>
      <c r="H1433" s="21">
        <v>2.6555</v>
      </c>
      <c r="I1433" s="17">
        <v>46080.0</v>
      </c>
      <c r="J1433" s="18">
        <v>36.5</v>
      </c>
      <c r="K1433" s="16">
        <v>1351.0</v>
      </c>
      <c r="L1433" s="16" t="s">
        <v>2608</v>
      </c>
      <c r="M1433" s="19">
        <v>1.53</v>
      </c>
      <c r="N1433" s="16" t="s">
        <v>3979</v>
      </c>
      <c r="O1433" s="16">
        <v>1351.0</v>
      </c>
      <c r="P1433" s="19">
        <v>42.3622</v>
      </c>
      <c r="Q1433" s="16" t="s">
        <v>2649</v>
      </c>
      <c r="R1433" s="19">
        <v>-0.9369</v>
      </c>
      <c r="S1433" s="20">
        <v>2333724.0</v>
      </c>
      <c r="T1433" s="20">
        <v>7.7771393527E10</v>
      </c>
      <c r="U1433" s="21">
        <v>0.6724</v>
      </c>
      <c r="V1433" s="21"/>
      <c r="W1433" s="21">
        <v>13.037</v>
      </c>
      <c r="X1433" s="21">
        <v>-5.779</v>
      </c>
      <c r="Y1433" s="21"/>
      <c r="Z1433" s="21"/>
      <c r="AA1433" s="16" t="s">
        <v>2620</v>
      </c>
      <c r="AB1433" s="22">
        <f>IFERROR(__xludf.DUMMYFUNCTION("IFERROR(GOOGLEFINANCE(B1433,""price""),"""")"),37.35)</f>
        <v>37.35</v>
      </c>
    </row>
    <row r="1434">
      <c r="A1434" s="7">
        <v>46078.628756456295</v>
      </c>
      <c r="B1434" s="8" t="s">
        <v>3980</v>
      </c>
      <c r="C1434" s="8" t="s">
        <v>3981</v>
      </c>
      <c r="D1434" s="9">
        <v>46082.0</v>
      </c>
      <c r="E1434" s="10">
        <v>44.88</v>
      </c>
      <c r="F1434" s="8" t="s">
        <v>117</v>
      </c>
      <c r="G1434" s="13">
        <v>16.1224</v>
      </c>
      <c r="H1434" s="13">
        <v>2.7837</v>
      </c>
      <c r="I1434" s="9">
        <v>46101.0</v>
      </c>
      <c r="J1434" s="10">
        <v>45.0</v>
      </c>
      <c r="K1434" s="8">
        <v>1240.0</v>
      </c>
      <c r="L1434" s="8" t="s">
        <v>2608</v>
      </c>
      <c r="M1434" s="11">
        <v>0.27</v>
      </c>
      <c r="N1434" s="8" t="s">
        <v>3982</v>
      </c>
      <c r="O1434" s="8">
        <v>1240.0</v>
      </c>
      <c r="P1434" s="11">
        <v>16.9281</v>
      </c>
      <c r="Q1434" s="8" t="s">
        <v>3983</v>
      </c>
      <c r="R1434" s="11">
        <v>-0.576</v>
      </c>
      <c r="S1434" s="12">
        <v>1655830.0</v>
      </c>
      <c r="T1434" s="12">
        <v>1.1655725365E10</v>
      </c>
      <c r="U1434" s="13">
        <v>1.377</v>
      </c>
      <c r="V1434" s="13">
        <v>35.5268</v>
      </c>
      <c r="W1434" s="13">
        <v>38.4764</v>
      </c>
      <c r="X1434" s="13">
        <v>6.9823</v>
      </c>
      <c r="Y1434" s="13">
        <v>0.093</v>
      </c>
      <c r="Z1434" s="13">
        <v>3.558</v>
      </c>
      <c r="AA1434" s="8" t="s">
        <v>2620</v>
      </c>
      <c r="AB1434" s="14">
        <f>IFERROR(__xludf.DUMMYFUNCTION("IFERROR(GOOGLEFINANCE(B1434,""price""),"""")"),44.27)</f>
        <v>44.27</v>
      </c>
    </row>
    <row r="1435">
      <c r="A1435" s="15">
        <v>46078.628756456295</v>
      </c>
      <c r="B1435" s="16" t="s">
        <v>2438</v>
      </c>
      <c r="C1435" s="16" t="s">
        <v>2439</v>
      </c>
      <c r="D1435" s="17">
        <v>46082.0</v>
      </c>
      <c r="E1435" s="18">
        <v>213.825</v>
      </c>
      <c r="F1435" s="16" t="s">
        <v>308</v>
      </c>
      <c r="G1435" s="21">
        <v>39.2671</v>
      </c>
      <c r="H1435" s="21">
        <v>5.4454</v>
      </c>
      <c r="I1435" s="17">
        <v>46080.0</v>
      </c>
      <c r="J1435" s="18">
        <v>217.5</v>
      </c>
      <c r="K1435" s="16">
        <v>1214.0</v>
      </c>
      <c r="L1435" s="16" t="s">
        <v>2627</v>
      </c>
      <c r="M1435" s="19">
        <v>1.72</v>
      </c>
      <c r="N1435" s="16" t="s">
        <v>3984</v>
      </c>
      <c r="O1435" s="16">
        <v>1214.0</v>
      </c>
      <c r="P1435" s="19">
        <v>44.5937</v>
      </c>
      <c r="Q1435" s="16" t="s">
        <v>2440</v>
      </c>
      <c r="R1435" s="19">
        <v>0.2226</v>
      </c>
      <c r="S1435" s="20">
        <v>4208687.0</v>
      </c>
      <c r="T1435" s="20">
        <v>1.94057038301E11</v>
      </c>
      <c r="U1435" s="21">
        <v>6.8195</v>
      </c>
      <c r="V1435" s="21">
        <v>29.9795</v>
      </c>
      <c r="W1435" s="21">
        <v>34.7246</v>
      </c>
      <c r="X1435" s="21">
        <v>13.049</v>
      </c>
      <c r="Y1435" s="21">
        <v>0.9082</v>
      </c>
      <c r="Z1435" s="21">
        <v>4.3526</v>
      </c>
      <c r="AA1435" s="16" t="s">
        <v>2620</v>
      </c>
      <c r="AB1435" s="22">
        <f>IFERROR(__xludf.DUMMYFUNCTION("IFERROR(GOOGLEFINANCE(B1435,""price""),"""")"),214.73)</f>
        <v>214.73</v>
      </c>
    </row>
    <row r="1436">
      <c r="A1436" s="7">
        <v>46078.628756456295</v>
      </c>
      <c r="B1436" s="8" t="s">
        <v>3516</v>
      </c>
      <c r="C1436" s="8" t="s">
        <v>3517</v>
      </c>
      <c r="D1436" s="9">
        <v>46082.0</v>
      </c>
      <c r="E1436" s="10">
        <v>264.15</v>
      </c>
      <c r="F1436" s="8" t="s">
        <v>137</v>
      </c>
      <c r="G1436" s="13">
        <v>21.8984</v>
      </c>
      <c r="H1436" s="13">
        <v>12.0625</v>
      </c>
      <c r="I1436" s="9">
        <v>46080.0</v>
      </c>
      <c r="J1436" s="10">
        <v>260.0</v>
      </c>
      <c r="K1436" s="8">
        <v>1115.0</v>
      </c>
      <c r="L1436" s="8" t="s">
        <v>2627</v>
      </c>
      <c r="M1436" s="11">
        <v>1.57</v>
      </c>
      <c r="N1436" s="8" t="s">
        <v>3985</v>
      </c>
      <c r="O1436" s="8">
        <v>1115.0</v>
      </c>
      <c r="P1436" s="11">
        <v>24.4278</v>
      </c>
      <c r="Q1436" s="8" t="s">
        <v>3519</v>
      </c>
      <c r="R1436" s="11">
        <v>-5.1832</v>
      </c>
      <c r="S1436" s="12">
        <v>4142393.0</v>
      </c>
      <c r="T1436" s="12">
        <v>1.48175314593E11</v>
      </c>
      <c r="U1436" s="13">
        <v>7.6327</v>
      </c>
      <c r="V1436" s="13"/>
      <c r="W1436" s="13">
        <v>12.099</v>
      </c>
      <c r="X1436" s="13">
        <v>0.6366</v>
      </c>
      <c r="Y1436" s="13"/>
      <c r="Z1436" s="13">
        <v>1.0395</v>
      </c>
      <c r="AA1436" s="8" t="s">
        <v>2611</v>
      </c>
      <c r="AB1436" s="14">
        <f>IFERROR(__xludf.DUMMYFUNCTION("IFERROR(GOOGLEFINANCE(B1436,""price""),"""")"),244.22)</f>
        <v>244.22</v>
      </c>
    </row>
    <row r="1437">
      <c r="A1437" s="15">
        <v>46078.628756456295</v>
      </c>
      <c r="B1437" s="16" t="s">
        <v>3986</v>
      </c>
      <c r="C1437" s="16" t="s">
        <v>3987</v>
      </c>
      <c r="D1437" s="17">
        <v>46082.0</v>
      </c>
      <c r="E1437" s="18">
        <v>157.1</v>
      </c>
      <c r="F1437" s="16" t="s">
        <v>102</v>
      </c>
      <c r="G1437" s="21"/>
      <c r="H1437" s="21">
        <v>-1.0092</v>
      </c>
      <c r="I1437" s="17">
        <v>46101.0</v>
      </c>
      <c r="J1437" s="18">
        <v>155.0</v>
      </c>
      <c r="K1437" s="16">
        <v>1100.0</v>
      </c>
      <c r="L1437" s="16" t="s">
        <v>2627</v>
      </c>
      <c r="M1437" s="19">
        <v>1.34</v>
      </c>
      <c r="N1437" s="16" t="s">
        <v>3988</v>
      </c>
      <c r="O1437" s="16">
        <v>1100.0</v>
      </c>
      <c r="P1437" s="19">
        <v>16.495</v>
      </c>
      <c r="Q1437" s="16" t="s">
        <v>3989</v>
      </c>
      <c r="R1437" s="19">
        <v>-4.1255</v>
      </c>
      <c r="S1437" s="20">
        <v>1063312.0</v>
      </c>
      <c r="T1437" s="20">
        <v>8.164702367E9</v>
      </c>
      <c r="U1437" s="21">
        <v>5.2703</v>
      </c>
      <c r="V1437" s="21">
        <v>-1.6545</v>
      </c>
      <c r="W1437" s="21">
        <v>7.7893</v>
      </c>
      <c r="X1437" s="21">
        <v>120.0801</v>
      </c>
      <c r="Y1437" s="21">
        <v>0.4216</v>
      </c>
      <c r="Z1437" s="21">
        <v>0.9752</v>
      </c>
      <c r="AA1437" s="16" t="s">
        <v>2611</v>
      </c>
      <c r="AB1437" s="22">
        <f>IFERROR(__xludf.DUMMYFUNCTION("IFERROR(GOOGLEFINANCE(B1437,""price""),"""")"),128.55)</f>
        <v>128.55</v>
      </c>
    </row>
    <row r="1438">
      <c r="A1438" s="7">
        <v>46078.628756456295</v>
      </c>
      <c r="B1438" s="8" t="s">
        <v>3834</v>
      </c>
      <c r="C1438" s="8" t="s">
        <v>3835</v>
      </c>
      <c r="D1438" s="9">
        <v>46082.0</v>
      </c>
      <c r="E1438" s="10">
        <v>184.215</v>
      </c>
      <c r="F1438" s="8" t="s">
        <v>917</v>
      </c>
      <c r="G1438" s="13">
        <v>46.6556</v>
      </c>
      <c r="H1438" s="13">
        <v>3.9484</v>
      </c>
      <c r="I1438" s="9">
        <v>46080.0</v>
      </c>
      <c r="J1438" s="10">
        <v>185.0</v>
      </c>
      <c r="K1438" s="8">
        <v>1083.0</v>
      </c>
      <c r="L1438" s="8" t="s">
        <v>2608</v>
      </c>
      <c r="M1438" s="11">
        <v>0.43</v>
      </c>
      <c r="N1438" s="8" t="s">
        <v>3990</v>
      </c>
      <c r="O1438" s="8">
        <v>1083.0</v>
      </c>
      <c r="P1438" s="11">
        <v>23.3104</v>
      </c>
      <c r="Q1438" s="8" t="s">
        <v>3837</v>
      </c>
      <c r="R1438" s="11">
        <v>0.1005</v>
      </c>
      <c r="S1438" s="12">
        <v>1804574.0</v>
      </c>
      <c r="T1438" s="12">
        <v>3.5302852629E10</v>
      </c>
      <c r="U1438" s="13">
        <v>7.6891</v>
      </c>
      <c r="V1438" s="13">
        <v>41.5484</v>
      </c>
      <c r="W1438" s="13">
        <v>4.7925</v>
      </c>
      <c r="X1438" s="13">
        <v>9.1566</v>
      </c>
      <c r="Y1438" s="13">
        <v>9.8882</v>
      </c>
      <c r="Z1438" s="13">
        <v>1.6374</v>
      </c>
      <c r="AA1438" s="8" t="s">
        <v>2620</v>
      </c>
      <c r="AB1438" s="14">
        <f>IFERROR(__xludf.DUMMYFUNCTION("IFERROR(GOOGLEFINANCE(B1438,""price""),"""")"),164.07)</f>
        <v>164.07</v>
      </c>
    </row>
    <row r="1439">
      <c r="A1439" s="15">
        <v>46078.628756456295</v>
      </c>
      <c r="B1439" s="16" t="s">
        <v>3208</v>
      </c>
      <c r="C1439" s="16" t="s">
        <v>3209</v>
      </c>
      <c r="D1439" s="17">
        <v>46082.0</v>
      </c>
      <c r="E1439" s="18">
        <v>201.25</v>
      </c>
      <c r="F1439" s="16" t="s">
        <v>137</v>
      </c>
      <c r="G1439" s="21">
        <v>31.4492</v>
      </c>
      <c r="H1439" s="21">
        <v>6.3992</v>
      </c>
      <c r="I1439" s="17">
        <v>46080.0</v>
      </c>
      <c r="J1439" s="18">
        <v>202.5</v>
      </c>
      <c r="K1439" s="16">
        <v>1058.0</v>
      </c>
      <c r="L1439" s="16" t="s">
        <v>2608</v>
      </c>
      <c r="M1439" s="19">
        <v>0.62</v>
      </c>
      <c r="N1439" s="16" t="s">
        <v>3991</v>
      </c>
      <c r="O1439" s="16">
        <v>1058.0</v>
      </c>
      <c r="P1439" s="19">
        <v>41.1188</v>
      </c>
      <c r="Q1439" s="16" t="s">
        <v>3211</v>
      </c>
      <c r="R1439" s="19">
        <v>0.349</v>
      </c>
      <c r="S1439" s="20">
        <v>1189551.0</v>
      </c>
      <c r="T1439" s="20">
        <v>6.5093296431E10</v>
      </c>
      <c r="U1439" s="21">
        <v>3.6344</v>
      </c>
      <c r="V1439" s="21">
        <v>37.4252</v>
      </c>
      <c r="W1439" s="21">
        <v>11.9137</v>
      </c>
      <c r="X1439" s="21">
        <v>3.7096</v>
      </c>
      <c r="Y1439" s="21">
        <v>0.8818</v>
      </c>
      <c r="Z1439" s="21">
        <v>1.5199</v>
      </c>
      <c r="AA1439" s="16" t="s">
        <v>2620</v>
      </c>
      <c r="AB1439" s="22">
        <f>IFERROR(__xludf.DUMMYFUNCTION("IFERROR(GOOGLEFINANCE(B1439,""price""),"""")"),221.16)</f>
        <v>221.16</v>
      </c>
    </row>
    <row r="1440">
      <c r="A1440" s="7">
        <v>46078.628756456295</v>
      </c>
      <c r="B1440" s="8" t="s">
        <v>2658</v>
      </c>
      <c r="C1440" s="8" t="s">
        <v>2659</v>
      </c>
      <c r="D1440" s="9">
        <v>46082.0</v>
      </c>
      <c r="E1440" s="10">
        <v>95.12</v>
      </c>
      <c r="F1440" s="8" t="s">
        <v>917</v>
      </c>
      <c r="G1440" s="13">
        <v>28.8216</v>
      </c>
      <c r="H1440" s="13">
        <v>3.3003</v>
      </c>
      <c r="I1440" s="9">
        <v>46080.0</v>
      </c>
      <c r="J1440" s="10">
        <v>95.0</v>
      </c>
      <c r="K1440" s="8">
        <v>1042.0</v>
      </c>
      <c r="L1440" s="8" t="s">
        <v>2608</v>
      </c>
      <c r="M1440" s="11">
        <v>0.13</v>
      </c>
      <c r="N1440" s="8" t="s">
        <v>3992</v>
      </c>
      <c r="O1440" s="8">
        <v>1042.0</v>
      </c>
      <c r="P1440" s="11">
        <v>44.1245</v>
      </c>
      <c r="Q1440" s="8" t="s">
        <v>2661</v>
      </c>
      <c r="R1440" s="11">
        <v>-0.5853</v>
      </c>
      <c r="S1440" s="12">
        <v>5725724.0</v>
      </c>
      <c r="T1440" s="12">
        <v>1.98184610672E11</v>
      </c>
      <c r="U1440" s="13">
        <v>2.0142</v>
      </c>
      <c r="V1440" s="13">
        <v>13.0533</v>
      </c>
      <c r="W1440" s="13">
        <v>26.8934</v>
      </c>
      <c r="X1440" s="13">
        <v>8.6905</v>
      </c>
      <c r="Y1440" s="13">
        <v>1.7594</v>
      </c>
      <c r="Z1440" s="13">
        <v>0.5953</v>
      </c>
      <c r="AA1440" s="8" t="s">
        <v>2611</v>
      </c>
      <c r="AB1440" s="14">
        <f>IFERROR(__xludf.DUMMYFUNCTION("IFERROR(GOOGLEFINANCE(B1440,""price""),"""")"),94.08)</f>
        <v>94.08</v>
      </c>
    </row>
    <row r="1441">
      <c r="A1441" s="15">
        <v>46078.628756456295</v>
      </c>
      <c r="B1441" s="16" t="s">
        <v>3237</v>
      </c>
      <c r="C1441" s="16" t="s">
        <v>3238</v>
      </c>
      <c r="D1441" s="17">
        <v>46082.0</v>
      </c>
      <c r="E1441" s="18">
        <v>332.9617</v>
      </c>
      <c r="F1441" s="16" t="s">
        <v>149</v>
      </c>
      <c r="G1441" s="21">
        <v>27.8571</v>
      </c>
      <c r="H1441" s="21">
        <v>11.9525</v>
      </c>
      <c r="I1441" s="17">
        <v>46080.0</v>
      </c>
      <c r="J1441" s="18">
        <v>332.5</v>
      </c>
      <c r="K1441" s="16">
        <v>1013.0</v>
      </c>
      <c r="L1441" s="16" t="s">
        <v>2608</v>
      </c>
      <c r="M1441" s="19">
        <v>0.14</v>
      </c>
      <c r="N1441" s="16" t="s">
        <v>3993</v>
      </c>
      <c r="O1441" s="16">
        <v>1013.0</v>
      </c>
      <c r="P1441" s="19">
        <v>36.9834</v>
      </c>
      <c r="Q1441" s="16" t="s">
        <v>3240</v>
      </c>
      <c r="R1441" s="19">
        <v>-0.0265</v>
      </c>
      <c r="S1441" s="20">
        <v>1579504.0</v>
      </c>
      <c r="T1441" s="20">
        <v>2.37120116982E11</v>
      </c>
      <c r="U1441" s="21">
        <v>5.472</v>
      </c>
      <c r="V1441" s="21"/>
      <c r="W1441" s="21">
        <v>46.1001</v>
      </c>
      <c r="X1441" s="21">
        <v>3.723</v>
      </c>
      <c r="Y1441" s="21"/>
      <c r="Z1441" s="21">
        <v>0.9546</v>
      </c>
      <c r="AA1441" s="16" t="s">
        <v>2611</v>
      </c>
      <c r="AB1441" s="22">
        <f>IFERROR(__xludf.DUMMYFUNCTION("IFERROR(GOOGLEFINANCE(B1441,""price""),"""")"),305.68)</f>
        <v>305.68</v>
      </c>
    </row>
    <row r="1442">
      <c r="A1442" s="7">
        <v>46079.628067798956</v>
      </c>
      <c r="B1442" s="8" t="s">
        <v>3269</v>
      </c>
      <c r="C1442" s="8" t="s">
        <v>3270</v>
      </c>
      <c r="D1442" s="9">
        <v>46082.0</v>
      </c>
      <c r="E1442" s="10">
        <v>272.5</v>
      </c>
      <c r="F1442" s="8" t="s">
        <v>308</v>
      </c>
      <c r="G1442" s="13">
        <v>34.4771</v>
      </c>
      <c r="H1442" s="13">
        <v>7.9038</v>
      </c>
      <c r="I1442" s="9">
        <v>46080.0</v>
      </c>
      <c r="J1442" s="10">
        <v>275.0</v>
      </c>
      <c r="K1442" s="8">
        <v>30310.0</v>
      </c>
      <c r="L1442" s="8" t="s">
        <v>2608</v>
      </c>
      <c r="M1442" s="11">
        <v>0.92</v>
      </c>
      <c r="N1442" s="8" t="s">
        <v>3994</v>
      </c>
      <c r="O1442" s="8">
        <v>80440.0</v>
      </c>
      <c r="P1442" s="11">
        <v>16.5668</v>
      </c>
      <c r="Q1442" s="8" t="s">
        <v>3272</v>
      </c>
      <c r="R1442" s="11">
        <v>-0.6309</v>
      </c>
      <c r="S1442" s="12">
        <v>2.2027507E7</v>
      </c>
      <c r="T1442" s="12">
        <v>4.000610714474E12</v>
      </c>
      <c r="U1442" s="13">
        <v>6.3597</v>
      </c>
      <c r="V1442" s="13">
        <v>152.0213</v>
      </c>
      <c r="W1442" s="13">
        <v>32.384</v>
      </c>
      <c r="X1442" s="13">
        <v>10.071</v>
      </c>
      <c r="Y1442" s="13">
        <v>1.0263</v>
      </c>
      <c r="Z1442" s="13">
        <v>0.9737</v>
      </c>
      <c r="AA1442" s="8" t="s">
        <v>2620</v>
      </c>
      <c r="AB1442" s="14">
        <f>IFERROR(__xludf.DUMMYFUNCTION("IFERROR(GOOGLEFINANCE(B1442,""price""),"""")"),260.48)</f>
        <v>260.48</v>
      </c>
    </row>
    <row r="1443">
      <c r="A1443" s="15">
        <v>46079.628067798956</v>
      </c>
      <c r="B1443" s="16" t="s">
        <v>2630</v>
      </c>
      <c r="C1443" s="16" t="s">
        <v>2631</v>
      </c>
      <c r="D1443" s="17">
        <v>46082.0</v>
      </c>
      <c r="E1443" s="18">
        <v>414.3641</v>
      </c>
      <c r="F1443" s="16" t="s">
        <v>308</v>
      </c>
      <c r="G1443" s="21">
        <v>39.3882</v>
      </c>
      <c r="H1443" s="21">
        <v>10.52</v>
      </c>
      <c r="I1443" s="17">
        <v>46080.0</v>
      </c>
      <c r="J1443" s="18">
        <v>420.0</v>
      </c>
      <c r="K1443" s="16">
        <v>14978.0</v>
      </c>
      <c r="L1443" s="16" t="s">
        <v>2627</v>
      </c>
      <c r="M1443" s="19">
        <v>1.36</v>
      </c>
      <c r="N1443" s="16" t="s">
        <v>3995</v>
      </c>
      <c r="O1443" s="16">
        <v>34641.0</v>
      </c>
      <c r="P1443" s="19">
        <v>36.3371</v>
      </c>
      <c r="Q1443" s="16" t="s">
        <v>2633</v>
      </c>
      <c r="R1443" s="19">
        <v>-3.4116</v>
      </c>
      <c r="S1443" s="20">
        <v>3.0665865E7</v>
      </c>
      <c r="T1443" s="20">
        <v>4.66370638748E11</v>
      </c>
      <c r="U1443" s="21">
        <v>24.3615</v>
      </c>
      <c r="V1443" s="21">
        <v>22.5543</v>
      </c>
      <c r="W1443" s="21">
        <v>32.9221</v>
      </c>
      <c r="X1443" s="21">
        <v>45.432</v>
      </c>
      <c r="Y1443" s="21">
        <v>0.2124</v>
      </c>
      <c r="Z1443" s="21">
        <v>2.4598</v>
      </c>
      <c r="AA1443" s="16" t="s">
        <v>2620</v>
      </c>
      <c r="AB1443" s="22">
        <f>IFERROR(__xludf.DUMMYFUNCTION("IFERROR(GOOGLEFINANCE(B1443,""price""),"""")"),420.59)</f>
        <v>420.59</v>
      </c>
    </row>
    <row r="1444">
      <c r="A1444" s="7">
        <v>46079.628067798956</v>
      </c>
      <c r="B1444" s="8" t="s">
        <v>2616</v>
      </c>
      <c r="C1444" s="8" t="s">
        <v>2617</v>
      </c>
      <c r="D1444" s="9">
        <v>46082.0</v>
      </c>
      <c r="E1444" s="10">
        <v>80.425</v>
      </c>
      <c r="F1444" s="8" t="s">
        <v>286</v>
      </c>
      <c r="G1444" s="13">
        <v>26.4687</v>
      </c>
      <c r="H1444" s="13">
        <v>3.0385</v>
      </c>
      <c r="I1444" s="9">
        <v>46080.0</v>
      </c>
      <c r="J1444" s="10">
        <v>80.0</v>
      </c>
      <c r="K1444" s="8">
        <v>6975.0</v>
      </c>
      <c r="L1444" s="8" t="s">
        <v>2608</v>
      </c>
      <c r="M1444" s="11">
        <v>0.53</v>
      </c>
      <c r="N1444" s="8" t="s">
        <v>3996</v>
      </c>
      <c r="O1444" s="8">
        <v>22879.0</v>
      </c>
      <c r="P1444" s="11">
        <v>40.2507</v>
      </c>
      <c r="Q1444" s="8" t="s">
        <v>2619</v>
      </c>
      <c r="R1444" s="11">
        <v>-0.0559</v>
      </c>
      <c r="S1444" s="12">
        <v>7941376.0</v>
      </c>
      <c r="T1444" s="12">
        <v>3.45885664146E11</v>
      </c>
      <c r="U1444" s="13">
        <v>1.2361</v>
      </c>
      <c r="V1444" s="13">
        <v>45.9693</v>
      </c>
      <c r="W1444" s="13">
        <v>31.3688</v>
      </c>
      <c r="X1444" s="13">
        <v>3.4769</v>
      </c>
      <c r="Y1444" s="13">
        <v>1.4577</v>
      </c>
      <c r="Z1444" s="13">
        <v>1.4588</v>
      </c>
      <c r="AA1444" s="8" t="s">
        <v>2611</v>
      </c>
      <c r="AB1444" s="14">
        <f>IFERROR(__xludf.DUMMYFUNCTION("IFERROR(GOOGLEFINANCE(B1444,""price""),"""")"),77.47)</f>
        <v>77.47</v>
      </c>
    </row>
    <row r="1445">
      <c r="A1445" s="15">
        <v>46079.628067798956</v>
      </c>
      <c r="B1445" s="16" t="s">
        <v>2399</v>
      </c>
      <c r="C1445" s="16" t="s">
        <v>2400</v>
      </c>
      <c r="D1445" s="17">
        <v>46082.0</v>
      </c>
      <c r="E1445" s="18">
        <v>18.73</v>
      </c>
      <c r="F1445" s="16" t="s">
        <v>270</v>
      </c>
      <c r="G1445" s="21">
        <v>15.5024</v>
      </c>
      <c r="H1445" s="21">
        <v>1.2082</v>
      </c>
      <c r="I1445" s="17">
        <v>46080.0</v>
      </c>
      <c r="J1445" s="18">
        <v>18.5</v>
      </c>
      <c r="K1445" s="16">
        <v>14529.0</v>
      </c>
      <c r="L1445" s="16" t="s">
        <v>2608</v>
      </c>
      <c r="M1445" s="19">
        <v>1.23</v>
      </c>
      <c r="N1445" s="16" t="s">
        <v>3997</v>
      </c>
      <c r="O1445" s="16">
        <v>22590.0</v>
      </c>
      <c r="P1445" s="19">
        <v>37.5677</v>
      </c>
      <c r="Q1445" s="16" t="s">
        <v>2401</v>
      </c>
      <c r="R1445" s="19">
        <v>0.7531</v>
      </c>
      <c r="S1445" s="20">
        <v>8685189.0</v>
      </c>
      <c r="T1445" s="20">
        <v>6.4437090236E10</v>
      </c>
      <c r="U1445" s="21">
        <v>0.365</v>
      </c>
      <c r="V1445" s="21">
        <v>12.7475</v>
      </c>
      <c r="W1445" s="21">
        <v>10.8866</v>
      </c>
      <c r="X1445" s="21">
        <v>3.4655</v>
      </c>
      <c r="Y1445" s="21">
        <v>2.0395</v>
      </c>
      <c r="Z1445" s="21">
        <v>1.2192</v>
      </c>
      <c r="AA1445" s="16" t="s">
        <v>2611</v>
      </c>
      <c r="AB1445" s="22">
        <f>IFERROR(__xludf.DUMMYFUNCTION("IFERROR(GOOGLEFINANCE(B1445,""price""),"""")"),19.19)</f>
        <v>19.19</v>
      </c>
    </row>
    <row r="1446">
      <c r="A1446" s="7">
        <v>46079.628067798956</v>
      </c>
      <c r="B1446" s="8" t="s">
        <v>2625</v>
      </c>
      <c r="C1446" s="8" t="s">
        <v>2626</v>
      </c>
      <c r="D1446" s="9">
        <v>46082.0</v>
      </c>
      <c r="E1446" s="10">
        <v>124.025</v>
      </c>
      <c r="F1446" s="8" t="s">
        <v>137</v>
      </c>
      <c r="G1446" s="13">
        <v>45.4204</v>
      </c>
      <c r="H1446" s="13">
        <v>2.7306</v>
      </c>
      <c r="I1446" s="9">
        <v>46080.0</v>
      </c>
      <c r="J1446" s="10">
        <v>126.0</v>
      </c>
      <c r="K1446" s="8">
        <v>4258.0</v>
      </c>
      <c r="L1446" s="8" t="s">
        <v>2627</v>
      </c>
      <c r="M1446" s="11">
        <v>1.59</v>
      </c>
      <c r="N1446" s="8" t="s">
        <v>3998</v>
      </c>
      <c r="O1446" s="8">
        <v>19844.0</v>
      </c>
      <c r="P1446" s="11">
        <v>26.0153</v>
      </c>
      <c r="Q1446" s="8" t="s">
        <v>2629</v>
      </c>
      <c r="R1446" s="11">
        <v>-1.3718</v>
      </c>
      <c r="S1446" s="12">
        <v>1.1324591E7</v>
      </c>
      <c r="T1446" s="12">
        <v>9.88499961206E11</v>
      </c>
      <c r="U1446" s="13">
        <v>3.3763</v>
      </c>
      <c r="V1446" s="13">
        <v>22.9691</v>
      </c>
      <c r="W1446" s="13">
        <v>4.1821</v>
      </c>
      <c r="X1446" s="13">
        <v>4.7252</v>
      </c>
      <c r="Y1446" s="13">
        <v>0.6735</v>
      </c>
      <c r="Z1446" s="13">
        <v>0.7898</v>
      </c>
      <c r="AA1446" s="8" t="s">
        <v>2620</v>
      </c>
      <c r="AB1446" s="14">
        <f>IFERROR(__xludf.DUMMYFUNCTION("IFERROR(GOOGLEFINANCE(B1446,""price""),"""")"),126.79)</f>
        <v>126.79</v>
      </c>
    </row>
    <row r="1447">
      <c r="A1447" s="15">
        <v>46079.628067798956</v>
      </c>
      <c r="B1447" s="16" t="s">
        <v>2638</v>
      </c>
      <c r="C1447" s="16" t="s">
        <v>2639</v>
      </c>
      <c r="D1447" s="17">
        <v>46082.0</v>
      </c>
      <c r="E1447" s="18">
        <v>149.23</v>
      </c>
      <c r="F1447" s="16" t="s">
        <v>245</v>
      </c>
      <c r="G1447" s="21">
        <v>22.2904</v>
      </c>
      <c r="H1447" s="21">
        <v>6.6948</v>
      </c>
      <c r="I1447" s="17">
        <v>46080.0</v>
      </c>
      <c r="J1447" s="18">
        <v>147.0</v>
      </c>
      <c r="K1447" s="16">
        <v>9649.0</v>
      </c>
      <c r="L1447" s="16" t="s">
        <v>2627</v>
      </c>
      <c r="M1447" s="19">
        <v>1.49</v>
      </c>
      <c r="N1447" s="16" t="s">
        <v>3999</v>
      </c>
      <c r="O1447" s="16">
        <v>18563.0</v>
      </c>
      <c r="P1447" s="19">
        <v>43.6456</v>
      </c>
      <c r="Q1447" s="16" t="s">
        <v>2641</v>
      </c>
      <c r="R1447" s="19">
        <v>0.114</v>
      </c>
      <c r="S1447" s="20">
        <v>1.1443371E7</v>
      </c>
      <c r="T1447" s="20">
        <v>6.2180613257E11</v>
      </c>
      <c r="U1447" s="21">
        <v>3.5504</v>
      </c>
      <c r="V1447" s="21">
        <v>11.0283</v>
      </c>
      <c r="W1447" s="21">
        <v>10.3419</v>
      </c>
      <c r="X1447" s="21">
        <v>-4.856</v>
      </c>
      <c r="Y1447" s="21">
        <v>0.1871</v>
      </c>
      <c r="Z1447" s="21">
        <v>1.1528</v>
      </c>
      <c r="AA1447" s="16" t="s">
        <v>2611</v>
      </c>
      <c r="AB1447" s="22">
        <f>IFERROR(__xludf.DUMMYFUNCTION("IFERROR(GOOGLEFINANCE(B1447,""price""),"""")"),152.51)</f>
        <v>152.51</v>
      </c>
    </row>
    <row r="1448">
      <c r="A1448" s="7">
        <v>46079.628067798956</v>
      </c>
      <c r="B1448" s="8" t="s">
        <v>3385</v>
      </c>
      <c r="C1448" s="8" t="s">
        <v>3386</v>
      </c>
      <c r="D1448" s="9">
        <v>46082.0</v>
      </c>
      <c r="E1448" s="10">
        <v>45.615</v>
      </c>
      <c r="F1448" s="8" t="s">
        <v>129</v>
      </c>
      <c r="G1448" s="13">
        <v>41.6918</v>
      </c>
      <c r="H1448" s="13">
        <v>1.0941</v>
      </c>
      <c r="I1448" s="9">
        <v>46101.0</v>
      </c>
      <c r="J1448" s="10">
        <v>46.25</v>
      </c>
      <c r="K1448" s="8">
        <v>5739.0</v>
      </c>
      <c r="L1448" s="8" t="s">
        <v>2608</v>
      </c>
      <c r="M1448" s="11">
        <v>1.39</v>
      </c>
      <c r="N1448" s="8" t="s">
        <v>4000</v>
      </c>
      <c r="O1448" s="8">
        <v>10076.0</v>
      </c>
      <c r="P1448" s="11">
        <v>15.1951</v>
      </c>
      <c r="Q1448" s="8" t="s">
        <v>3388</v>
      </c>
      <c r="R1448" s="11">
        <v>2.207</v>
      </c>
      <c r="S1448" s="12">
        <v>3977556.0</v>
      </c>
      <c r="T1448" s="12">
        <v>5.2374195426E10</v>
      </c>
      <c r="U1448" s="13">
        <v>1.1784</v>
      </c>
      <c r="V1448" s="13">
        <v>33.2967</v>
      </c>
      <c r="W1448" s="13">
        <v>20.1917</v>
      </c>
      <c r="X1448" s="13">
        <v>8.6721</v>
      </c>
      <c r="Y1448" s="13">
        <v>0.1121</v>
      </c>
      <c r="Z1448" s="13">
        <v>4.852</v>
      </c>
      <c r="AA1448" s="8" t="s">
        <v>2620</v>
      </c>
      <c r="AB1448" s="14">
        <f>IFERROR(__xludf.DUMMYFUNCTION("IFERROR(GOOGLEFINANCE(B1448,""price""),"""")"),49.17)</f>
        <v>49.17</v>
      </c>
    </row>
    <row r="1449">
      <c r="A1449" s="15">
        <v>46079.628067798956</v>
      </c>
      <c r="B1449" s="16" t="s">
        <v>3944</v>
      </c>
      <c r="C1449" s="16" t="s">
        <v>3945</v>
      </c>
      <c r="D1449" s="17">
        <v>46082.0</v>
      </c>
      <c r="E1449" s="18">
        <v>129.53</v>
      </c>
      <c r="F1449" s="16" t="s">
        <v>917</v>
      </c>
      <c r="G1449" s="21">
        <v>20.5203</v>
      </c>
      <c r="H1449" s="21">
        <v>6.3123</v>
      </c>
      <c r="I1449" s="17">
        <v>46101.0</v>
      </c>
      <c r="J1449" s="18">
        <v>130.0</v>
      </c>
      <c r="K1449" s="16">
        <v>9202.0</v>
      </c>
      <c r="L1449" s="16" t="s">
        <v>2608</v>
      </c>
      <c r="M1449" s="19">
        <v>0.36</v>
      </c>
      <c r="N1449" s="16" t="s">
        <v>4001</v>
      </c>
      <c r="O1449" s="16">
        <v>9202.0</v>
      </c>
      <c r="P1449" s="19">
        <v>28.2116</v>
      </c>
      <c r="Q1449" s="16" t="s">
        <v>3947</v>
      </c>
      <c r="R1449" s="19">
        <v>0.4654</v>
      </c>
      <c r="S1449" s="20">
        <v>2835020.0</v>
      </c>
      <c r="T1449" s="20">
        <v>1.00730456622E11</v>
      </c>
      <c r="U1449" s="21">
        <v>2.144</v>
      </c>
      <c r="V1449" s="21">
        <v>9.7422</v>
      </c>
      <c r="W1449" s="21">
        <v>26.6061</v>
      </c>
      <c r="X1449" s="21">
        <v>6.193</v>
      </c>
      <c r="Y1449" s="21">
        <v>1.7528</v>
      </c>
      <c r="Z1449" s="21">
        <v>0.5518</v>
      </c>
      <c r="AA1449" s="16" t="s">
        <v>2620</v>
      </c>
      <c r="AB1449" s="22">
        <f>IFERROR(__xludf.DUMMYFUNCTION("IFERROR(GOOGLEFINANCE(B1449,""price""),"""")"),131.79)</f>
        <v>131.79</v>
      </c>
    </row>
    <row r="1450">
      <c r="A1450" s="7">
        <v>46079.628067798956</v>
      </c>
      <c r="B1450" s="8" t="s">
        <v>3416</v>
      </c>
      <c r="C1450" s="8" t="s">
        <v>3417</v>
      </c>
      <c r="D1450" s="9">
        <v>46082.0</v>
      </c>
      <c r="E1450" s="10">
        <v>69.325</v>
      </c>
      <c r="F1450" s="8" t="s">
        <v>286</v>
      </c>
      <c r="G1450" s="13">
        <v>16.8399</v>
      </c>
      <c r="H1450" s="13">
        <v>4.1167</v>
      </c>
      <c r="I1450" s="9">
        <v>46080.0</v>
      </c>
      <c r="J1450" s="10">
        <v>70.0</v>
      </c>
      <c r="K1450" s="8">
        <v>4915.0</v>
      </c>
      <c r="L1450" s="8" t="s">
        <v>2608</v>
      </c>
      <c r="M1450" s="11">
        <v>0.97</v>
      </c>
      <c r="N1450" s="8" t="s">
        <v>4002</v>
      </c>
      <c r="O1450" s="8">
        <v>8791.0</v>
      </c>
      <c r="P1450" s="11">
        <v>34.0386</v>
      </c>
      <c r="Q1450" s="8" t="s">
        <v>3419</v>
      </c>
      <c r="R1450" s="11">
        <v>-0.538</v>
      </c>
      <c r="S1450" s="12">
        <v>4435572.0</v>
      </c>
      <c r="T1450" s="12">
        <v>1.16373897252E11</v>
      </c>
      <c r="U1450" s="13">
        <v>1.3971</v>
      </c>
      <c r="V1450" s="13"/>
      <c r="W1450" s="13">
        <v>63.7221</v>
      </c>
      <c r="X1450" s="13">
        <v>-1.4919</v>
      </c>
      <c r="Y1450" s="13"/>
      <c r="Z1450" s="13">
        <v>0.648</v>
      </c>
      <c r="AA1450" s="8" t="s">
        <v>2620</v>
      </c>
      <c r="AB1450" s="14">
        <f>IFERROR(__xludf.DUMMYFUNCTION("IFERROR(GOOGLEFINANCE(B1450,""price""),"""")"),67.38)</f>
        <v>67.38</v>
      </c>
    </row>
    <row r="1451">
      <c r="A1451" s="15">
        <v>46079.628067798956</v>
      </c>
      <c r="B1451" s="16" t="s">
        <v>3713</v>
      </c>
      <c r="C1451" s="16" t="s">
        <v>3714</v>
      </c>
      <c r="D1451" s="17">
        <v>46082.0</v>
      </c>
      <c r="E1451" s="18">
        <v>158.12</v>
      </c>
      <c r="F1451" s="16" t="s">
        <v>149</v>
      </c>
      <c r="G1451" s="21"/>
      <c r="H1451" s="21">
        <v>-0.2349</v>
      </c>
      <c r="I1451" s="17">
        <v>46101.0</v>
      </c>
      <c r="J1451" s="18">
        <v>160.0</v>
      </c>
      <c r="K1451" s="16">
        <v>6264.0</v>
      </c>
      <c r="L1451" s="16" t="s">
        <v>2608</v>
      </c>
      <c r="M1451" s="19">
        <v>1.19</v>
      </c>
      <c r="N1451" s="16" t="s">
        <v>4003</v>
      </c>
      <c r="O1451" s="16">
        <v>7691.0</v>
      </c>
      <c r="P1451" s="19">
        <v>25.092</v>
      </c>
      <c r="Q1451" s="16" t="s">
        <v>3716</v>
      </c>
      <c r="R1451" s="19">
        <v>1.8683</v>
      </c>
      <c r="S1451" s="20">
        <v>1195621.0</v>
      </c>
      <c r="T1451" s="20">
        <v>3.6742066454E10</v>
      </c>
      <c r="U1451" s="21">
        <v>5.3181</v>
      </c>
      <c r="V1451" s="21">
        <v>-24.6827</v>
      </c>
      <c r="W1451" s="21">
        <v>5.9214</v>
      </c>
      <c r="X1451" s="21">
        <v>8.8349</v>
      </c>
      <c r="Y1451" s="21">
        <v>38.3916</v>
      </c>
      <c r="Z1451" s="21">
        <v>0.9951</v>
      </c>
      <c r="AA1451" s="16" t="s">
        <v>2620</v>
      </c>
      <c r="AB1451" s="22">
        <f>IFERROR(__xludf.DUMMYFUNCTION("IFERROR(GOOGLEFINANCE(B1451,""price""),"""")"),160.59)</f>
        <v>160.59</v>
      </c>
    </row>
    <row r="1452">
      <c r="A1452" s="7">
        <v>46079.628067798956</v>
      </c>
      <c r="B1452" s="8" t="s">
        <v>2634</v>
      </c>
      <c r="C1452" s="8" t="s">
        <v>2635</v>
      </c>
      <c r="D1452" s="9">
        <v>46082.0</v>
      </c>
      <c r="E1452" s="10">
        <v>184.54</v>
      </c>
      <c r="F1452" s="8" t="s">
        <v>245</v>
      </c>
      <c r="G1452" s="13">
        <v>27.7587</v>
      </c>
      <c r="H1452" s="13">
        <v>6.648</v>
      </c>
      <c r="I1452" s="9">
        <v>46080.0</v>
      </c>
      <c r="J1452" s="10">
        <v>187.5</v>
      </c>
      <c r="K1452" s="8">
        <v>3750.0</v>
      </c>
      <c r="L1452" s="8" t="s">
        <v>2608</v>
      </c>
      <c r="M1452" s="11">
        <v>1.6</v>
      </c>
      <c r="N1452" s="8" t="s">
        <v>4004</v>
      </c>
      <c r="O1452" s="8">
        <v>6771.0</v>
      </c>
      <c r="P1452" s="11">
        <v>48.6464</v>
      </c>
      <c r="Q1452" s="8" t="s">
        <v>2637</v>
      </c>
      <c r="R1452" s="11">
        <v>0.1737</v>
      </c>
      <c r="S1452" s="12">
        <v>4872069.0</v>
      </c>
      <c r="T1452" s="12">
        <v>3.6822844225E11</v>
      </c>
      <c r="U1452" s="13">
        <v>3.4326</v>
      </c>
      <c r="V1452" s="13">
        <v>7.261</v>
      </c>
      <c r="W1452" s="13">
        <v>8.8802</v>
      </c>
      <c r="X1452" s="13">
        <v>-4.6193</v>
      </c>
      <c r="Y1452" s="13">
        <v>0.2507</v>
      </c>
      <c r="Z1452" s="13">
        <v>1.1547</v>
      </c>
      <c r="AA1452" s="8" t="s">
        <v>2620</v>
      </c>
      <c r="AB1452" s="14">
        <f>IFERROR(__xludf.DUMMYFUNCTION("IFERROR(GOOGLEFINANCE(B1452,""price""),"""")"),188.55)</f>
        <v>188.55</v>
      </c>
    </row>
    <row r="1453">
      <c r="A1453" s="15">
        <v>46079.628067798956</v>
      </c>
      <c r="B1453" s="16" t="s">
        <v>3463</v>
      </c>
      <c r="C1453" s="16" t="s">
        <v>3464</v>
      </c>
      <c r="D1453" s="17">
        <v>46082.0</v>
      </c>
      <c r="E1453" s="18">
        <v>59.75</v>
      </c>
      <c r="F1453" s="16" t="s">
        <v>245</v>
      </c>
      <c r="G1453" s="21">
        <v>18.0312</v>
      </c>
      <c r="H1453" s="21">
        <v>3.3137</v>
      </c>
      <c r="I1453" s="17">
        <v>46080.0</v>
      </c>
      <c r="J1453" s="18">
        <v>59.0</v>
      </c>
      <c r="K1453" s="16">
        <v>5373.0</v>
      </c>
      <c r="L1453" s="16" t="s">
        <v>2608</v>
      </c>
      <c r="M1453" s="19">
        <v>1.26</v>
      </c>
      <c r="N1453" s="16" t="s">
        <v>4005</v>
      </c>
      <c r="O1453" s="16">
        <v>6613.0</v>
      </c>
      <c r="P1453" s="19">
        <v>23.7357</v>
      </c>
      <c r="Q1453" s="16" t="s">
        <v>3466</v>
      </c>
      <c r="R1453" s="19">
        <v>0.6231</v>
      </c>
      <c r="S1453" s="20">
        <v>7544100.0</v>
      </c>
      <c r="T1453" s="20">
        <v>3.7300371383E10</v>
      </c>
      <c r="U1453" s="21">
        <v>1.9456</v>
      </c>
      <c r="V1453" s="21">
        <v>9.1961</v>
      </c>
      <c r="W1453" s="21">
        <v>35.6577</v>
      </c>
      <c r="X1453" s="21">
        <v>59.9561</v>
      </c>
      <c r="Y1453" s="21">
        <v>0.3357</v>
      </c>
      <c r="Z1453" s="21">
        <v>0.7627</v>
      </c>
      <c r="AA1453" s="16" t="s">
        <v>2611</v>
      </c>
      <c r="AB1453" s="22">
        <f>IFERROR(__xludf.DUMMYFUNCTION("IFERROR(GOOGLEFINANCE(B1453,""price""),"""")"),58.68)</f>
        <v>58.68</v>
      </c>
    </row>
    <row r="1454">
      <c r="A1454" s="7">
        <v>46079.628067798956</v>
      </c>
      <c r="B1454" s="8" t="s">
        <v>2735</v>
      </c>
      <c r="C1454" s="8" t="s">
        <v>2736</v>
      </c>
      <c r="D1454" s="9">
        <v>46082.0</v>
      </c>
      <c r="E1454" s="10">
        <v>24.57</v>
      </c>
      <c r="F1454" s="8" t="s">
        <v>335</v>
      </c>
      <c r="G1454" s="13">
        <v>50.7435</v>
      </c>
      <c r="H1454" s="13">
        <v>0.4842</v>
      </c>
      <c r="I1454" s="9">
        <v>46080.0</v>
      </c>
      <c r="J1454" s="10">
        <v>25.0</v>
      </c>
      <c r="K1454" s="8">
        <v>3479.0</v>
      </c>
      <c r="L1454" s="8" t="s">
        <v>2608</v>
      </c>
      <c r="M1454" s="11">
        <v>1.75</v>
      </c>
      <c r="N1454" s="8" t="s">
        <v>4006</v>
      </c>
      <c r="O1454" s="8">
        <v>6241.0</v>
      </c>
      <c r="P1454" s="11">
        <v>15.0045</v>
      </c>
      <c r="Q1454" s="8" t="s">
        <v>2738</v>
      </c>
      <c r="R1454" s="11">
        <v>5.4054</v>
      </c>
      <c r="S1454" s="12">
        <v>1.621303E7</v>
      </c>
      <c r="T1454" s="12">
        <v>1.6470494024E10</v>
      </c>
      <c r="U1454" s="13">
        <v>1.9141</v>
      </c>
      <c r="V1454" s="13">
        <v>13.8934</v>
      </c>
      <c r="W1454" s="13">
        <v>37.2072</v>
      </c>
      <c r="X1454" s="13">
        <v>53.0251</v>
      </c>
      <c r="Y1454" s="13">
        <v>0.1111</v>
      </c>
      <c r="Z1454" s="13">
        <v>2.7178</v>
      </c>
      <c r="AA1454" s="8" t="s">
        <v>2620</v>
      </c>
      <c r="AB1454" s="14">
        <f>IFERROR(__xludf.DUMMYFUNCTION("IFERROR(GOOGLEFINANCE(B1454,""price""),"""")"),19.46)</f>
        <v>19.46</v>
      </c>
    </row>
    <row r="1455">
      <c r="A1455" s="15">
        <v>46079.628067798956</v>
      </c>
      <c r="B1455" s="16" t="s">
        <v>3951</v>
      </c>
      <c r="C1455" s="16" t="s">
        <v>3952</v>
      </c>
      <c r="D1455" s="17">
        <v>46082.0</v>
      </c>
      <c r="E1455" s="18">
        <v>17.3</v>
      </c>
      <c r="F1455" s="16" t="s">
        <v>1119</v>
      </c>
      <c r="G1455" s="21">
        <v>23.2871</v>
      </c>
      <c r="H1455" s="21">
        <v>0.7429</v>
      </c>
      <c r="I1455" s="17">
        <v>46101.0</v>
      </c>
      <c r="J1455" s="18">
        <v>17.5</v>
      </c>
      <c r="K1455" s="16">
        <v>6120.0</v>
      </c>
      <c r="L1455" s="16" t="s">
        <v>2608</v>
      </c>
      <c r="M1455" s="19">
        <v>1.16</v>
      </c>
      <c r="N1455" s="16" t="s">
        <v>4007</v>
      </c>
      <c r="O1455" s="16">
        <v>6120.0</v>
      </c>
      <c r="P1455" s="19">
        <v>27.9076</v>
      </c>
      <c r="Q1455" s="16" t="s">
        <v>3954</v>
      </c>
      <c r="R1455" s="19">
        <v>-0.0578</v>
      </c>
      <c r="S1455" s="20">
        <v>1958957.0</v>
      </c>
      <c r="T1455" s="20">
        <v>2.434370681E9</v>
      </c>
      <c r="U1455" s="21">
        <v>0.6216</v>
      </c>
      <c r="V1455" s="21">
        <v>26.6892</v>
      </c>
      <c r="W1455" s="21">
        <v>36.2303</v>
      </c>
      <c r="X1455" s="21">
        <v>15.4338</v>
      </c>
      <c r="Y1455" s="21">
        <v>2.3203</v>
      </c>
      <c r="Z1455" s="21">
        <v>1.7456</v>
      </c>
      <c r="AA1455" s="16" t="s">
        <v>2620</v>
      </c>
      <c r="AB1455" s="22">
        <f>IFERROR(__xludf.DUMMYFUNCTION("IFERROR(GOOGLEFINANCE(B1455,""price""),"""")"),15.84)</f>
        <v>15.84</v>
      </c>
    </row>
    <row r="1456">
      <c r="A1456" s="7">
        <v>46079.628067798956</v>
      </c>
      <c r="B1456" s="8" t="s">
        <v>2700</v>
      </c>
      <c r="C1456" s="8" t="s">
        <v>2701</v>
      </c>
      <c r="D1456" s="9">
        <v>46082.0</v>
      </c>
      <c r="E1456" s="10">
        <v>236.9025</v>
      </c>
      <c r="F1456" s="8" t="s">
        <v>102</v>
      </c>
      <c r="G1456" s="13">
        <v>48.5526</v>
      </c>
      <c r="H1456" s="13">
        <v>4.8793</v>
      </c>
      <c r="I1456" s="9">
        <v>46080.0</v>
      </c>
      <c r="J1456" s="10">
        <v>237.5</v>
      </c>
      <c r="K1456" s="8">
        <v>2612.0</v>
      </c>
      <c r="L1456" s="8" t="s">
        <v>2627</v>
      </c>
      <c r="M1456" s="11">
        <v>0.25</v>
      </c>
      <c r="N1456" s="8" t="s">
        <v>4008</v>
      </c>
      <c r="O1456" s="8">
        <v>5602.0</v>
      </c>
      <c r="P1456" s="11">
        <v>31.9123</v>
      </c>
      <c r="Q1456" s="8" t="s">
        <v>2703</v>
      </c>
      <c r="R1456" s="11">
        <v>-5.0415</v>
      </c>
      <c r="S1456" s="12">
        <v>6898676.0</v>
      </c>
      <c r="T1456" s="12">
        <v>2.95836965836E11</v>
      </c>
      <c r="U1456" s="13">
        <v>11.938</v>
      </c>
      <c r="V1456" s="13">
        <v>65.5649</v>
      </c>
      <c r="W1456" s="13">
        <v>33.7646</v>
      </c>
      <c r="X1456" s="13">
        <v>26.8457</v>
      </c>
      <c r="Y1456" s="13">
        <v>0.4419</v>
      </c>
      <c r="Z1456" s="13">
        <v>2.2562</v>
      </c>
      <c r="AA1456" s="8" t="s">
        <v>2620</v>
      </c>
      <c r="AB1456" s="14">
        <f>IFERROR(__xludf.DUMMYFUNCTION("IFERROR(GOOGLEFINANCE(B1456,""price""),"""")"),263.66)</f>
        <v>263.66</v>
      </c>
    </row>
    <row r="1457">
      <c r="A1457" s="15">
        <v>46079.628067798956</v>
      </c>
      <c r="B1457" s="16" t="s">
        <v>2692</v>
      </c>
      <c r="C1457" s="16" t="s">
        <v>2693</v>
      </c>
      <c r="D1457" s="17">
        <v>46082.0</v>
      </c>
      <c r="E1457" s="18">
        <v>243.64</v>
      </c>
      <c r="F1457" s="16" t="s">
        <v>117</v>
      </c>
      <c r="G1457" s="21">
        <v>22.0573</v>
      </c>
      <c r="H1457" s="21">
        <v>11.0458</v>
      </c>
      <c r="I1457" s="17">
        <v>46080.0</v>
      </c>
      <c r="J1457" s="18">
        <v>245.0</v>
      </c>
      <c r="K1457" s="16">
        <v>2664.0</v>
      </c>
      <c r="L1457" s="16" t="s">
        <v>2608</v>
      </c>
      <c r="M1457" s="19">
        <v>0.56</v>
      </c>
      <c r="N1457" s="16" t="s">
        <v>4009</v>
      </c>
      <c r="O1457" s="16">
        <v>5196.0</v>
      </c>
      <c r="P1457" s="19">
        <v>40.1239</v>
      </c>
      <c r="Q1457" s="16" t="s">
        <v>2695</v>
      </c>
      <c r="R1457" s="19">
        <v>-0.6241</v>
      </c>
      <c r="S1457" s="20">
        <v>5009026.0</v>
      </c>
      <c r="T1457" s="20">
        <v>5.87147769892E11</v>
      </c>
      <c r="U1457" s="21">
        <v>3.7136</v>
      </c>
      <c r="V1457" s="21">
        <v>35.0301</v>
      </c>
      <c r="W1457" s="21">
        <v>27.2081</v>
      </c>
      <c r="X1457" s="21">
        <v>6.046</v>
      </c>
      <c r="Y1457" s="21">
        <v>0.605</v>
      </c>
      <c r="Z1457" s="21">
        <v>1.0277</v>
      </c>
      <c r="AA1457" s="16" t="s">
        <v>2620</v>
      </c>
      <c r="AB1457" s="22">
        <f>IFERROR(__xludf.DUMMYFUNCTION("IFERROR(GOOGLEFINANCE(B1457,""price""),"""")"),238.46)</f>
        <v>238.46</v>
      </c>
    </row>
    <row r="1458">
      <c r="A1458" s="7">
        <v>46079.628067798956</v>
      </c>
      <c r="B1458" s="8" t="s">
        <v>3684</v>
      </c>
      <c r="C1458" s="8" t="s">
        <v>3685</v>
      </c>
      <c r="D1458" s="9">
        <v>46082.0</v>
      </c>
      <c r="E1458" s="10">
        <v>38.61</v>
      </c>
      <c r="F1458" s="8" t="s">
        <v>917</v>
      </c>
      <c r="G1458" s="13">
        <v>24.3182</v>
      </c>
      <c r="H1458" s="13">
        <v>1.5877</v>
      </c>
      <c r="I1458" s="9">
        <v>46101.0</v>
      </c>
      <c r="J1458" s="10">
        <v>38.0</v>
      </c>
      <c r="K1458" s="8">
        <v>2672.0</v>
      </c>
      <c r="L1458" s="8" t="s">
        <v>2608</v>
      </c>
      <c r="M1458" s="11">
        <v>1.58</v>
      </c>
      <c r="N1458" s="8" t="s">
        <v>4010</v>
      </c>
      <c r="O1458" s="8">
        <v>4574.0</v>
      </c>
      <c r="P1458" s="11">
        <v>22.514</v>
      </c>
      <c r="Q1458" s="8" t="s">
        <v>3687</v>
      </c>
      <c r="R1458" s="11">
        <v>0.8621</v>
      </c>
      <c r="S1458" s="12">
        <v>8590858.0</v>
      </c>
      <c r="T1458" s="12">
        <v>2.9007955539E10</v>
      </c>
      <c r="U1458" s="13">
        <v>0.7731</v>
      </c>
      <c r="V1458" s="13">
        <v>8.1497</v>
      </c>
      <c r="W1458" s="13">
        <v>23.6452</v>
      </c>
      <c r="X1458" s="13">
        <v>6.8542</v>
      </c>
      <c r="Y1458" s="13">
        <v>1.3003</v>
      </c>
      <c r="Z1458" s="13">
        <v>0.8647</v>
      </c>
      <c r="AA1458" s="8" t="s">
        <v>2611</v>
      </c>
      <c r="AB1458" s="14">
        <f>IFERROR(__xludf.DUMMYFUNCTION("IFERROR(GOOGLEFINANCE(B1458,""price""),"""")"),39.65)</f>
        <v>39.65</v>
      </c>
    </row>
    <row r="1459">
      <c r="A1459" s="15">
        <v>46079.628067798956</v>
      </c>
      <c r="B1459" s="16" t="s">
        <v>3697</v>
      </c>
      <c r="C1459" s="16" t="s">
        <v>3698</v>
      </c>
      <c r="D1459" s="17">
        <v>46082.0</v>
      </c>
      <c r="E1459" s="18">
        <v>48.885</v>
      </c>
      <c r="F1459" s="16" t="s">
        <v>917</v>
      </c>
      <c r="G1459" s="21">
        <v>17.8745</v>
      </c>
      <c r="H1459" s="21">
        <v>2.7349</v>
      </c>
      <c r="I1459" s="17">
        <v>46101.0</v>
      </c>
      <c r="J1459" s="18">
        <v>49.0</v>
      </c>
      <c r="K1459" s="16">
        <v>3670.0</v>
      </c>
      <c r="L1459" s="16" t="s">
        <v>2608</v>
      </c>
      <c r="M1459" s="19">
        <v>0.24</v>
      </c>
      <c r="N1459" s="16" t="s">
        <v>4011</v>
      </c>
      <c r="O1459" s="16">
        <v>3670.0</v>
      </c>
      <c r="P1459" s="19">
        <v>32.67</v>
      </c>
      <c r="Q1459" s="16" t="s">
        <v>3700</v>
      </c>
      <c r="R1459" s="19">
        <v>0.3799</v>
      </c>
      <c r="S1459" s="20">
        <v>5066854.0</v>
      </c>
      <c r="T1459" s="20">
        <v>5.0004104465E10</v>
      </c>
      <c r="U1459" s="21">
        <v>0.9844</v>
      </c>
      <c r="V1459" s="21">
        <v>9.9356</v>
      </c>
      <c r="W1459" s="21">
        <v>21.2054</v>
      </c>
      <c r="X1459" s="21">
        <v>5.3367</v>
      </c>
      <c r="Y1459" s="21">
        <v>1.7554</v>
      </c>
      <c r="Z1459" s="21">
        <v>0.924</v>
      </c>
      <c r="AA1459" s="16" t="s">
        <v>2620</v>
      </c>
      <c r="AB1459" s="22">
        <f>IFERROR(__xludf.DUMMYFUNCTION("IFERROR(GOOGLEFINANCE(B1459,""price""),"""")"),48.57)</f>
        <v>48.57</v>
      </c>
    </row>
    <row r="1460">
      <c r="A1460" s="7">
        <v>46079.628067798956</v>
      </c>
      <c r="B1460" s="8" t="s">
        <v>2804</v>
      </c>
      <c r="C1460" s="8" t="s">
        <v>2805</v>
      </c>
      <c r="D1460" s="9">
        <v>46082.0</v>
      </c>
      <c r="E1460" s="10">
        <v>150.28</v>
      </c>
      <c r="F1460" s="8" t="s">
        <v>308</v>
      </c>
      <c r="G1460" s="13">
        <v>81.7228</v>
      </c>
      <c r="H1460" s="13">
        <v>1.8389</v>
      </c>
      <c r="I1460" s="9">
        <v>46080.0</v>
      </c>
      <c r="J1460" s="10">
        <v>150.0</v>
      </c>
      <c r="K1460" s="8">
        <v>3507.0</v>
      </c>
      <c r="L1460" s="8" t="s">
        <v>2608</v>
      </c>
      <c r="M1460" s="11">
        <v>0.19</v>
      </c>
      <c r="N1460" s="8" t="s">
        <v>4012</v>
      </c>
      <c r="O1460" s="8">
        <v>3507.0</v>
      </c>
      <c r="P1460" s="11">
        <v>49.1611</v>
      </c>
      <c r="Q1460" s="8" t="s">
        <v>2807</v>
      </c>
      <c r="R1460" s="11">
        <v>-6.3267</v>
      </c>
      <c r="S1460" s="12">
        <v>1.5487291E7</v>
      </c>
      <c r="T1460" s="12">
        <v>1.28932437605E11</v>
      </c>
      <c r="U1460" s="13">
        <v>7.3316</v>
      </c>
      <c r="V1460" s="13">
        <v>14.1911</v>
      </c>
      <c r="W1460" s="13">
        <v>15.3241</v>
      </c>
      <c r="X1460" s="13">
        <v>19.1416</v>
      </c>
      <c r="Y1460" s="13">
        <v>0.7942</v>
      </c>
      <c r="Z1460" s="13">
        <v>1.5878</v>
      </c>
      <c r="AA1460" s="8" t="s">
        <v>2611</v>
      </c>
      <c r="AB1460" s="14">
        <f>IFERROR(__xludf.DUMMYFUNCTION("IFERROR(GOOGLEFINANCE(B1460,""price""),"""")"),171.24)</f>
        <v>171.24</v>
      </c>
    </row>
    <row r="1461">
      <c r="A1461" s="15">
        <v>46079.628067798956</v>
      </c>
      <c r="B1461" s="16" t="s">
        <v>2297</v>
      </c>
      <c r="C1461" s="16" t="s">
        <v>2298</v>
      </c>
      <c r="D1461" s="17">
        <v>46082.0</v>
      </c>
      <c r="E1461" s="18">
        <v>105.77</v>
      </c>
      <c r="F1461" s="16" t="s">
        <v>917</v>
      </c>
      <c r="G1461" s="21">
        <v>27.0346</v>
      </c>
      <c r="H1461" s="21">
        <v>3.9124</v>
      </c>
      <c r="I1461" s="17">
        <v>46101.0</v>
      </c>
      <c r="J1461" s="18">
        <v>105.0</v>
      </c>
      <c r="K1461" s="16">
        <v>3242.0</v>
      </c>
      <c r="L1461" s="16" t="s">
        <v>2608</v>
      </c>
      <c r="M1461" s="19">
        <v>0.73</v>
      </c>
      <c r="N1461" s="16" t="s">
        <v>4013</v>
      </c>
      <c r="O1461" s="16">
        <v>3242.0</v>
      </c>
      <c r="P1461" s="19">
        <v>37.0422</v>
      </c>
      <c r="Q1461" s="16" t="s">
        <v>2299</v>
      </c>
      <c r="R1461" s="19">
        <v>-0.4611</v>
      </c>
      <c r="S1461" s="20">
        <v>1289624.0</v>
      </c>
      <c r="T1461" s="20">
        <v>4.7912736091E10</v>
      </c>
      <c r="U1461" s="21">
        <v>2.061</v>
      </c>
      <c r="V1461" s="21">
        <v>10.931</v>
      </c>
      <c r="W1461" s="21">
        <v>22.9697</v>
      </c>
      <c r="X1461" s="21">
        <v>8.3782</v>
      </c>
      <c r="Y1461" s="21">
        <v>1.8276</v>
      </c>
      <c r="Z1461" s="21">
        <v>0.7243</v>
      </c>
      <c r="AA1461" s="16" t="s">
        <v>2611</v>
      </c>
      <c r="AB1461" s="22">
        <f>IFERROR(__xludf.DUMMYFUNCTION("IFERROR(GOOGLEFINANCE(B1461,""price""),"""")"),116.47)</f>
        <v>116.47</v>
      </c>
    </row>
    <row r="1462">
      <c r="A1462" s="7">
        <v>46079.628067798956</v>
      </c>
      <c r="B1462" s="8" t="s">
        <v>1080</v>
      </c>
      <c r="C1462" s="8" t="s">
        <v>1081</v>
      </c>
      <c r="D1462" s="9">
        <v>46082.0</v>
      </c>
      <c r="E1462" s="10">
        <v>39.65</v>
      </c>
      <c r="F1462" s="8" t="s">
        <v>308</v>
      </c>
      <c r="G1462" s="13"/>
      <c r="H1462" s="13">
        <v>-0.2955</v>
      </c>
      <c r="I1462" s="9">
        <v>46101.0</v>
      </c>
      <c r="J1462" s="10">
        <v>40.0</v>
      </c>
      <c r="K1462" s="8">
        <v>2848.0</v>
      </c>
      <c r="L1462" s="8" t="s">
        <v>2608</v>
      </c>
      <c r="M1462" s="11">
        <v>0.88</v>
      </c>
      <c r="N1462" s="8" t="s">
        <v>4014</v>
      </c>
      <c r="O1462" s="8">
        <v>2848.0</v>
      </c>
      <c r="P1462" s="11">
        <v>26.3038</v>
      </c>
      <c r="Q1462" s="8" t="s">
        <v>1082</v>
      </c>
      <c r="R1462" s="11">
        <v>-4.4118</v>
      </c>
      <c r="S1462" s="12">
        <v>2274145.0</v>
      </c>
      <c r="T1462" s="12">
        <v>1.214374105E9</v>
      </c>
      <c r="U1462" s="13">
        <v>3.5393</v>
      </c>
      <c r="V1462" s="13">
        <v>-6.9744</v>
      </c>
      <c r="W1462" s="13">
        <v>-22.8493</v>
      </c>
      <c r="X1462" s="13">
        <v>4.9552</v>
      </c>
      <c r="Y1462" s="13">
        <v>0.0777</v>
      </c>
      <c r="Z1462" s="13">
        <v>10.6188</v>
      </c>
      <c r="AA1462" s="8" t="s">
        <v>2620</v>
      </c>
      <c r="AB1462" s="14">
        <f>IFERROR(__xludf.DUMMYFUNCTION("IFERROR(GOOGLEFINANCE(B1462,""price""),"""")"),70.43)</f>
        <v>70.43</v>
      </c>
    </row>
    <row r="1463">
      <c r="A1463" s="15">
        <v>46079.628067798956</v>
      </c>
      <c r="B1463" s="16" t="s">
        <v>1077</v>
      </c>
      <c r="C1463" s="16" t="s">
        <v>1078</v>
      </c>
      <c r="D1463" s="17">
        <v>46082.0</v>
      </c>
      <c r="E1463" s="18">
        <v>9.01</v>
      </c>
      <c r="F1463" s="16" t="s">
        <v>335</v>
      </c>
      <c r="G1463" s="21"/>
      <c r="H1463" s="21">
        <v>-0.041</v>
      </c>
      <c r="I1463" s="17">
        <v>46080.0</v>
      </c>
      <c r="J1463" s="18">
        <v>9.0</v>
      </c>
      <c r="K1463" s="16">
        <v>2813.0</v>
      </c>
      <c r="L1463" s="16" t="s">
        <v>2608</v>
      </c>
      <c r="M1463" s="19">
        <v>0.11</v>
      </c>
      <c r="N1463" s="16" t="s">
        <v>4015</v>
      </c>
      <c r="O1463" s="16">
        <v>2813.0</v>
      </c>
      <c r="P1463" s="19">
        <v>17.0187</v>
      </c>
      <c r="Q1463" s="16" t="s">
        <v>1079</v>
      </c>
      <c r="R1463" s="19">
        <v>-1.5301</v>
      </c>
      <c r="S1463" s="20">
        <v>8276030.0</v>
      </c>
      <c r="T1463" s="20">
        <v>1.26172083E9</v>
      </c>
      <c r="U1463" s="21">
        <v>0.9611</v>
      </c>
      <c r="V1463" s="21">
        <v>-10.5913</v>
      </c>
      <c r="W1463" s="21">
        <v>-18.9471</v>
      </c>
      <c r="X1463" s="21">
        <v>240.123</v>
      </c>
      <c r="Y1463" s="21">
        <v>0.0037</v>
      </c>
      <c r="Z1463" s="21">
        <v>5.0784</v>
      </c>
      <c r="AA1463" s="16" t="s">
        <v>2611</v>
      </c>
      <c r="AB1463" s="22">
        <f>IFERROR(__xludf.DUMMYFUNCTION("IFERROR(GOOGLEFINANCE(B1463,""price""),"""")"),8.36)</f>
        <v>8.36</v>
      </c>
    </row>
    <row r="1464">
      <c r="A1464" s="7">
        <v>46079.628067798956</v>
      </c>
      <c r="B1464" s="8" t="s">
        <v>2710</v>
      </c>
      <c r="C1464" s="8" t="s">
        <v>2711</v>
      </c>
      <c r="D1464" s="9">
        <v>46082.0</v>
      </c>
      <c r="E1464" s="10">
        <v>132.1</v>
      </c>
      <c r="F1464" s="8" t="s">
        <v>917</v>
      </c>
      <c r="G1464" s="13">
        <v>19.8351</v>
      </c>
      <c r="H1464" s="13">
        <v>6.6599</v>
      </c>
      <c r="I1464" s="9">
        <v>46101.0</v>
      </c>
      <c r="J1464" s="10">
        <v>130.0</v>
      </c>
      <c r="K1464" s="8">
        <v>2797.0</v>
      </c>
      <c r="L1464" s="8" t="s">
        <v>2608</v>
      </c>
      <c r="M1464" s="11">
        <v>1.59</v>
      </c>
      <c r="N1464" s="8" t="s">
        <v>4016</v>
      </c>
      <c r="O1464" s="8">
        <v>2797.0</v>
      </c>
      <c r="P1464" s="11">
        <v>43.4637</v>
      </c>
      <c r="Q1464" s="8" t="s">
        <v>2713</v>
      </c>
      <c r="R1464" s="11">
        <v>-0.2718</v>
      </c>
      <c r="S1464" s="12">
        <v>1892617.0</v>
      </c>
      <c r="T1464" s="12">
        <v>7.1447809255E10</v>
      </c>
      <c r="U1464" s="13">
        <v>2.4894</v>
      </c>
      <c r="V1464" s="13">
        <v>12.3274</v>
      </c>
      <c r="W1464" s="13">
        <v>25.0742</v>
      </c>
      <c r="X1464" s="13">
        <v>10.4587</v>
      </c>
      <c r="Y1464" s="13">
        <v>1.5949</v>
      </c>
      <c r="Z1464" s="13">
        <v>0.4546</v>
      </c>
      <c r="AA1464" s="8" t="s">
        <v>2611</v>
      </c>
      <c r="AB1464" s="14">
        <f>IFERROR(__xludf.DUMMYFUNCTION("IFERROR(GOOGLEFINANCE(B1464,""price""),"""")"),136.3)</f>
        <v>136.3</v>
      </c>
    </row>
    <row r="1465">
      <c r="A1465" s="15">
        <v>46079.628067798956</v>
      </c>
      <c r="B1465" s="16" t="s">
        <v>3553</v>
      </c>
      <c r="C1465" s="16" t="s">
        <v>3554</v>
      </c>
      <c r="D1465" s="17">
        <v>46082.0</v>
      </c>
      <c r="E1465" s="18">
        <v>158.44</v>
      </c>
      <c r="F1465" s="16" t="s">
        <v>137</v>
      </c>
      <c r="G1465" s="21">
        <v>32.5085</v>
      </c>
      <c r="H1465" s="21">
        <v>4.8738</v>
      </c>
      <c r="I1465" s="17">
        <v>46080.0</v>
      </c>
      <c r="J1465" s="18">
        <v>160.0</v>
      </c>
      <c r="K1465" s="16">
        <v>2716.0</v>
      </c>
      <c r="L1465" s="16" t="s">
        <v>2608</v>
      </c>
      <c r="M1465" s="19">
        <v>0.98</v>
      </c>
      <c r="N1465" s="16" t="s">
        <v>4017</v>
      </c>
      <c r="O1465" s="16">
        <v>2716.0</v>
      </c>
      <c r="P1465" s="19">
        <v>17.6163</v>
      </c>
      <c r="Q1465" s="16" t="s">
        <v>3556</v>
      </c>
      <c r="R1465" s="19">
        <v>1.6814</v>
      </c>
      <c r="S1465" s="20">
        <v>4419029.0</v>
      </c>
      <c r="T1465" s="20">
        <v>1.75942425589E11</v>
      </c>
      <c r="U1465" s="21">
        <v>3.2244</v>
      </c>
      <c r="V1465" s="21">
        <v>59.1293</v>
      </c>
      <c r="W1465" s="21">
        <v>12.0172</v>
      </c>
      <c r="X1465" s="21">
        <v>7.1185</v>
      </c>
      <c r="Y1465" s="21">
        <v>1.3237</v>
      </c>
      <c r="Z1465" s="21">
        <v>1.1378</v>
      </c>
      <c r="AA1465" s="16" t="s">
        <v>2620</v>
      </c>
      <c r="AB1465" s="22">
        <f>IFERROR(__xludf.DUMMYFUNCTION("IFERROR(GOOGLEFINANCE(B1465,""price""),"""")"),161.6)</f>
        <v>161.6</v>
      </c>
    </row>
    <row r="1466">
      <c r="A1466" s="7">
        <v>46079.628067798956</v>
      </c>
      <c r="B1466" s="8" t="s">
        <v>3845</v>
      </c>
      <c r="C1466" s="8" t="s">
        <v>3846</v>
      </c>
      <c r="D1466" s="9">
        <v>46082.0</v>
      </c>
      <c r="E1466" s="10">
        <v>88.995</v>
      </c>
      <c r="F1466" s="8" t="s">
        <v>129</v>
      </c>
      <c r="G1466" s="13">
        <v>23.935</v>
      </c>
      <c r="H1466" s="13">
        <v>3.7182</v>
      </c>
      <c r="I1466" s="9">
        <v>46101.0</v>
      </c>
      <c r="J1466" s="10">
        <v>90.0</v>
      </c>
      <c r="K1466" s="8">
        <v>2688.0</v>
      </c>
      <c r="L1466" s="8" t="s">
        <v>2608</v>
      </c>
      <c r="M1466" s="11">
        <v>1.13</v>
      </c>
      <c r="N1466" s="8" t="s">
        <v>4018</v>
      </c>
      <c r="O1466" s="8">
        <v>2688.0</v>
      </c>
      <c r="P1466" s="11">
        <v>54.1752</v>
      </c>
      <c r="Q1466" s="8" t="s">
        <v>3848</v>
      </c>
      <c r="R1466" s="11">
        <v>-0.1515</v>
      </c>
      <c r="S1466" s="12">
        <v>1277391.0</v>
      </c>
      <c r="T1466" s="12">
        <v>4.2622433134E10</v>
      </c>
      <c r="U1466" s="13">
        <v>1.8068</v>
      </c>
      <c r="V1466" s="13">
        <v>83.6397</v>
      </c>
      <c r="W1466" s="13">
        <v>4.1986</v>
      </c>
      <c r="X1466" s="13">
        <v>2.576</v>
      </c>
      <c r="Y1466" s="13">
        <v>6.5567</v>
      </c>
      <c r="Z1466" s="13">
        <v>1.2955</v>
      </c>
      <c r="AA1466" s="8" t="s">
        <v>2620</v>
      </c>
      <c r="AB1466" s="14">
        <f>IFERROR(__xludf.DUMMYFUNCTION("IFERROR(GOOGLEFINANCE(B1466,""price""),"""")"),72.82)</f>
        <v>72.82</v>
      </c>
    </row>
    <row r="1467">
      <c r="A1467" s="15">
        <v>46079.628067798956</v>
      </c>
      <c r="B1467" s="16" t="s">
        <v>2621</v>
      </c>
      <c r="C1467" s="16" t="s">
        <v>2622</v>
      </c>
      <c r="D1467" s="17">
        <v>46082.0</v>
      </c>
      <c r="E1467" s="18">
        <v>68.585</v>
      </c>
      <c r="F1467" s="16" t="s">
        <v>335</v>
      </c>
      <c r="G1467" s="21">
        <v>45.3005</v>
      </c>
      <c r="H1467" s="21">
        <v>1.514</v>
      </c>
      <c r="I1467" s="17">
        <v>46080.0</v>
      </c>
      <c r="J1467" s="18">
        <v>69.0</v>
      </c>
      <c r="K1467" s="16">
        <v>1261.0</v>
      </c>
      <c r="L1467" s="16" t="s">
        <v>2627</v>
      </c>
      <c r="M1467" s="19">
        <v>0.61</v>
      </c>
      <c r="N1467" s="16" t="s">
        <v>4019</v>
      </c>
      <c r="O1467" s="16">
        <v>2355.0</v>
      </c>
      <c r="P1467" s="19">
        <v>30.5385</v>
      </c>
      <c r="Q1467" s="16" t="s">
        <v>2624</v>
      </c>
      <c r="R1467" s="19">
        <v>-0.3415</v>
      </c>
      <c r="S1467" s="20">
        <v>1.4863238E7</v>
      </c>
      <c r="T1467" s="20">
        <v>9.8570475424E10</v>
      </c>
      <c r="U1467" s="21">
        <v>2.8324</v>
      </c>
      <c r="V1467" s="21">
        <v>11.9792</v>
      </c>
      <c r="W1467" s="21">
        <v>22.7913</v>
      </c>
      <c r="X1467" s="21">
        <v>-0.0477</v>
      </c>
      <c r="Y1467" s="21">
        <v>0.5552</v>
      </c>
      <c r="Z1467" s="21">
        <v>2.2911</v>
      </c>
      <c r="AA1467" s="16" t="s">
        <v>2620</v>
      </c>
      <c r="AB1467" s="22">
        <f>IFERROR(__xludf.DUMMYFUNCTION("IFERROR(GOOGLEFINANCE(B1467,""price""),"""")"),67.8)</f>
        <v>67.8</v>
      </c>
    </row>
    <row r="1468">
      <c r="A1468" s="7">
        <v>46079.628067798956</v>
      </c>
      <c r="B1468" s="8" t="s">
        <v>1570</v>
      </c>
      <c r="C1468" s="8" t="s">
        <v>1571</v>
      </c>
      <c r="D1468" s="9">
        <v>46082.0</v>
      </c>
      <c r="E1468" s="10">
        <v>50.79</v>
      </c>
      <c r="F1468" s="8" t="s">
        <v>917</v>
      </c>
      <c r="G1468" s="13">
        <v>28.7811</v>
      </c>
      <c r="H1468" s="13">
        <v>1.7647</v>
      </c>
      <c r="I1468" s="9">
        <v>46101.0</v>
      </c>
      <c r="J1468" s="10">
        <v>50.0</v>
      </c>
      <c r="K1468" s="8">
        <v>2278.0</v>
      </c>
      <c r="L1468" s="8" t="s">
        <v>2608</v>
      </c>
      <c r="M1468" s="11">
        <v>1.56</v>
      </c>
      <c r="N1468" s="8" t="s">
        <v>4020</v>
      </c>
      <c r="O1468" s="8">
        <v>2278.0</v>
      </c>
      <c r="P1468" s="11">
        <v>39.5175</v>
      </c>
      <c r="Q1468" s="8" t="s">
        <v>1572</v>
      </c>
      <c r="R1468" s="11">
        <v>0.2962</v>
      </c>
      <c r="S1468" s="12">
        <v>1529960.0</v>
      </c>
      <c r="T1468" s="12">
        <v>2.9353209673E10</v>
      </c>
      <c r="U1468" s="13">
        <v>0.8973</v>
      </c>
      <c r="V1468" s="13">
        <v>8.1714</v>
      </c>
      <c r="W1468" s="13">
        <v>18.774</v>
      </c>
      <c r="X1468" s="13">
        <v>12.0101</v>
      </c>
      <c r="Y1468" s="13">
        <v>2.1457</v>
      </c>
      <c r="Z1468" s="13">
        <v>0.5652</v>
      </c>
      <c r="AA1468" s="8" t="s">
        <v>2611</v>
      </c>
      <c r="AB1468" s="14">
        <f>IFERROR(__xludf.DUMMYFUNCTION("IFERROR(GOOGLEFINANCE(B1468,""price""),"""")"),51.43)</f>
        <v>51.43</v>
      </c>
    </row>
    <row r="1469">
      <c r="A1469" s="15">
        <v>46079.628067798956</v>
      </c>
      <c r="B1469" s="16" t="s">
        <v>3242</v>
      </c>
      <c r="C1469" s="16" t="s">
        <v>3243</v>
      </c>
      <c r="D1469" s="17">
        <v>46082.0</v>
      </c>
      <c r="E1469" s="18">
        <v>110.69</v>
      </c>
      <c r="F1469" s="16" t="s">
        <v>917</v>
      </c>
      <c r="G1469" s="21">
        <v>19.5814</v>
      </c>
      <c r="H1469" s="21">
        <v>5.6528</v>
      </c>
      <c r="I1469" s="17">
        <v>46101.0</v>
      </c>
      <c r="J1469" s="18">
        <v>110.0</v>
      </c>
      <c r="K1469" s="16">
        <v>2062.0</v>
      </c>
      <c r="L1469" s="16" t="s">
        <v>2608</v>
      </c>
      <c r="M1469" s="19">
        <v>0.62</v>
      </c>
      <c r="N1469" s="16" t="s">
        <v>3921</v>
      </c>
      <c r="O1469" s="16">
        <v>2062.0</v>
      </c>
      <c r="P1469" s="19">
        <v>24.8115</v>
      </c>
      <c r="Q1469" s="16" t="s">
        <v>3245</v>
      </c>
      <c r="R1469" s="19">
        <v>-0.2793</v>
      </c>
      <c r="S1469" s="20">
        <v>1482520.0</v>
      </c>
      <c r="T1469" s="20">
        <v>3.9992592912E10</v>
      </c>
      <c r="U1469" s="21">
        <v>2.3351</v>
      </c>
      <c r="V1469" s="21">
        <v>8.7624</v>
      </c>
      <c r="W1469" s="21">
        <v>17.3247</v>
      </c>
      <c r="X1469" s="21">
        <v>10.8577</v>
      </c>
      <c r="Y1469" s="21">
        <v>1.173</v>
      </c>
      <c r="Z1469" s="21">
        <v>1.0206</v>
      </c>
      <c r="AA1469" s="16" t="s">
        <v>2611</v>
      </c>
      <c r="AB1469" s="22">
        <f>IFERROR(__xludf.DUMMYFUNCTION("IFERROR(GOOGLEFINANCE(B1469,""price""),"""")"),113.56)</f>
        <v>113.56</v>
      </c>
    </row>
    <row r="1470">
      <c r="A1470" s="7">
        <v>46079.628067798956</v>
      </c>
      <c r="B1470" s="8" t="s">
        <v>2139</v>
      </c>
      <c r="C1470" s="8" t="s">
        <v>2140</v>
      </c>
      <c r="D1470" s="9">
        <v>46082.0</v>
      </c>
      <c r="E1470" s="10">
        <v>65.15</v>
      </c>
      <c r="F1470" s="8" t="s">
        <v>270</v>
      </c>
      <c r="G1470" s="13">
        <v>25.0096</v>
      </c>
      <c r="H1470" s="13">
        <v>2.605</v>
      </c>
      <c r="I1470" s="9">
        <v>46101.0</v>
      </c>
      <c r="J1470" s="10">
        <v>65.0</v>
      </c>
      <c r="K1470" s="8">
        <v>1895.0</v>
      </c>
      <c r="L1470" s="8" t="s">
        <v>2608</v>
      </c>
      <c r="M1470" s="11">
        <v>0.23</v>
      </c>
      <c r="N1470" s="8" t="s">
        <v>4021</v>
      </c>
      <c r="O1470" s="8">
        <v>1895.0</v>
      </c>
      <c r="P1470" s="11">
        <v>43.2517</v>
      </c>
      <c r="Q1470" s="8" t="s">
        <v>2141</v>
      </c>
      <c r="R1470" s="11">
        <v>0.5246</v>
      </c>
      <c r="S1470" s="12">
        <v>4728197.0</v>
      </c>
      <c r="T1470" s="12">
        <v>6.4383606281E10</v>
      </c>
      <c r="U1470" s="13">
        <v>1.7147</v>
      </c>
      <c r="V1470" s="13">
        <v>14.4868</v>
      </c>
      <c r="W1470" s="13">
        <v>12.8259</v>
      </c>
      <c r="X1470" s="13">
        <v>-0.345</v>
      </c>
      <c r="Y1470" s="13">
        <v>0.3558</v>
      </c>
      <c r="Z1470" s="13">
        <v>1.3568</v>
      </c>
      <c r="AA1470" s="8" t="s">
        <v>2611</v>
      </c>
      <c r="AB1470" s="14">
        <f>IFERROR(__xludf.DUMMYFUNCTION("IFERROR(GOOGLEFINANCE(B1470,""price""),"""")"),62.83)</f>
        <v>62.83</v>
      </c>
    </row>
    <row r="1471">
      <c r="A1471" s="15">
        <v>46079.628067798956</v>
      </c>
      <c r="B1471" s="16" t="s">
        <v>2768</v>
      </c>
      <c r="C1471" s="16" t="s">
        <v>2769</v>
      </c>
      <c r="D1471" s="17">
        <v>46082.0</v>
      </c>
      <c r="E1471" s="18">
        <v>281.175</v>
      </c>
      <c r="F1471" s="16" t="s">
        <v>308</v>
      </c>
      <c r="G1471" s="21">
        <v>28.2284</v>
      </c>
      <c r="H1471" s="21">
        <v>9.9607</v>
      </c>
      <c r="I1471" s="17">
        <v>46080.0</v>
      </c>
      <c r="J1471" s="18">
        <v>280.0</v>
      </c>
      <c r="K1471" s="16">
        <v>1857.0</v>
      </c>
      <c r="L1471" s="16" t="s">
        <v>2627</v>
      </c>
      <c r="M1471" s="19">
        <v>0.42</v>
      </c>
      <c r="N1471" s="16" t="s">
        <v>4022</v>
      </c>
      <c r="O1471" s="16">
        <v>1857.0</v>
      </c>
      <c r="P1471" s="19">
        <v>32.9525</v>
      </c>
      <c r="Q1471" s="16" t="s">
        <v>2771</v>
      </c>
      <c r="R1471" s="19">
        <v>-3.3597</v>
      </c>
      <c r="S1471" s="20">
        <v>7101579.0</v>
      </c>
      <c r="T1471" s="20">
        <v>9.5328994909E10</v>
      </c>
      <c r="U1471" s="21">
        <v>21.1212</v>
      </c>
      <c r="V1471" s="21">
        <v>41.2731</v>
      </c>
      <c r="W1471" s="21">
        <v>27.8834</v>
      </c>
      <c r="X1471" s="21">
        <v>-31.1967</v>
      </c>
      <c r="Y1471" s="21">
        <v>0.7076</v>
      </c>
      <c r="Z1471" s="21">
        <v>1.455</v>
      </c>
      <c r="AA1471" s="16" t="s">
        <v>2611</v>
      </c>
      <c r="AB1471" s="22">
        <f>IFERROR(__xludf.DUMMYFUNCTION("IFERROR(GOOGLEFINANCE(B1471,""price""),"""")"),343.43)</f>
        <v>343.43</v>
      </c>
    </row>
    <row r="1472">
      <c r="A1472" s="7">
        <v>46079.628067798956</v>
      </c>
      <c r="B1472" s="8" t="s">
        <v>3802</v>
      </c>
      <c r="C1472" s="8" t="s">
        <v>3803</v>
      </c>
      <c r="D1472" s="9">
        <v>46082.0</v>
      </c>
      <c r="E1472" s="10">
        <v>43.34</v>
      </c>
      <c r="F1472" s="8" t="s">
        <v>270</v>
      </c>
      <c r="G1472" s="13"/>
      <c r="H1472" s="13"/>
      <c r="I1472" s="9">
        <v>46101.0</v>
      </c>
      <c r="J1472" s="10">
        <v>43.0</v>
      </c>
      <c r="K1472" s="8">
        <v>1777.0</v>
      </c>
      <c r="L1472" s="8" t="s">
        <v>2608</v>
      </c>
      <c r="M1472" s="11">
        <v>0.78</v>
      </c>
      <c r="N1472" s="8" t="s">
        <v>4023</v>
      </c>
      <c r="O1472" s="8">
        <v>1777.0</v>
      </c>
      <c r="P1472" s="11">
        <v>31.572</v>
      </c>
      <c r="Q1472" s="8" t="s">
        <v>3805</v>
      </c>
      <c r="R1472" s="11">
        <v>0.5568</v>
      </c>
      <c r="S1472" s="12">
        <v>1182144.0</v>
      </c>
      <c r="T1472" s="12">
        <v>4.534337892E9</v>
      </c>
      <c r="U1472" s="13">
        <v>1.2138</v>
      </c>
      <c r="V1472" s="13">
        <v>3.4054</v>
      </c>
      <c r="W1472" s="13">
        <v>34.4448</v>
      </c>
      <c r="X1472" s="13">
        <v>51.1384</v>
      </c>
      <c r="Y1472" s="13">
        <v>1.4965</v>
      </c>
      <c r="Z1472" s="13">
        <v>2.5453</v>
      </c>
      <c r="AA1472" s="8" t="s">
        <v>2611</v>
      </c>
      <c r="AB1472" s="14">
        <f>IFERROR(__xludf.DUMMYFUNCTION("IFERROR(GOOGLEFINANCE(B1472,""price""),"""")"),53.28)</f>
        <v>53.28</v>
      </c>
    </row>
    <row r="1473">
      <c r="A1473" s="15">
        <v>46079.628067798956</v>
      </c>
      <c r="B1473" s="16" t="s">
        <v>3000</v>
      </c>
      <c r="C1473" s="16" t="s">
        <v>3001</v>
      </c>
      <c r="D1473" s="17">
        <v>46082.0</v>
      </c>
      <c r="E1473" s="18">
        <v>132.735</v>
      </c>
      <c r="F1473" s="16" t="s">
        <v>93</v>
      </c>
      <c r="G1473" s="21">
        <v>14.1101</v>
      </c>
      <c r="H1473" s="21">
        <v>9.4071</v>
      </c>
      <c r="I1473" s="17">
        <v>46101.0</v>
      </c>
      <c r="J1473" s="18">
        <v>135.0</v>
      </c>
      <c r="K1473" s="16">
        <v>1741.0</v>
      </c>
      <c r="L1473" s="16" t="s">
        <v>2608</v>
      </c>
      <c r="M1473" s="19">
        <v>1.71</v>
      </c>
      <c r="N1473" s="16" t="s">
        <v>4024</v>
      </c>
      <c r="O1473" s="16">
        <v>1741.0</v>
      </c>
      <c r="P1473" s="19">
        <v>15.7509</v>
      </c>
      <c r="Q1473" s="16" t="s">
        <v>3003</v>
      </c>
      <c r="R1473" s="19">
        <v>0.8471</v>
      </c>
      <c r="S1473" s="20">
        <v>1136741.0</v>
      </c>
      <c r="T1473" s="20">
        <v>3.6996987641E10</v>
      </c>
      <c r="U1473" s="21">
        <v>3.9106</v>
      </c>
      <c r="V1473" s="21">
        <v>11.0708</v>
      </c>
      <c r="W1473" s="21">
        <v>17.41</v>
      </c>
      <c r="X1473" s="21">
        <v>1.9838</v>
      </c>
      <c r="Y1473" s="21">
        <v>1.1015</v>
      </c>
      <c r="Z1473" s="21">
        <v>4.1708</v>
      </c>
      <c r="AA1473" s="16" t="s">
        <v>2620</v>
      </c>
      <c r="AB1473" s="22">
        <f>IFERROR(__xludf.DUMMYFUNCTION("IFERROR(GOOGLEFINANCE(B1473,""price""),"""")"),139.42)</f>
        <v>139.42</v>
      </c>
    </row>
    <row r="1474">
      <c r="A1474" s="7">
        <v>46079.628067798956</v>
      </c>
      <c r="B1474" s="8" t="s">
        <v>1261</v>
      </c>
      <c r="C1474" s="8" t="s">
        <v>1262</v>
      </c>
      <c r="D1474" s="9">
        <v>46082.0</v>
      </c>
      <c r="E1474" s="10">
        <v>158.89</v>
      </c>
      <c r="F1474" s="8" t="s">
        <v>112</v>
      </c>
      <c r="G1474" s="13">
        <v>14.427</v>
      </c>
      <c r="H1474" s="13">
        <v>11.0134</v>
      </c>
      <c r="I1474" s="9">
        <v>46080.0</v>
      </c>
      <c r="J1474" s="10">
        <v>157.5</v>
      </c>
      <c r="K1474" s="8">
        <v>1670.0</v>
      </c>
      <c r="L1474" s="8" t="s">
        <v>2627</v>
      </c>
      <c r="M1474" s="11">
        <v>0.87</v>
      </c>
      <c r="N1474" s="8" t="s">
        <v>4025</v>
      </c>
      <c r="O1474" s="8">
        <v>1670.0</v>
      </c>
      <c r="P1474" s="11">
        <v>15.171</v>
      </c>
      <c r="Q1474" s="8" t="s">
        <v>1263</v>
      </c>
      <c r="R1474" s="11">
        <v>0.9082</v>
      </c>
      <c r="S1474" s="12">
        <v>1308363.0</v>
      </c>
      <c r="T1474" s="12">
        <v>4.6030975134E10</v>
      </c>
      <c r="U1474" s="13">
        <v>5.2884</v>
      </c>
      <c r="V1474" s="13">
        <v>13.6295</v>
      </c>
      <c r="W1474" s="13">
        <v>13.0729</v>
      </c>
      <c r="X1474" s="13">
        <v>-8.6242</v>
      </c>
      <c r="Y1474" s="13">
        <v>0.2341</v>
      </c>
      <c r="Z1474" s="13">
        <v>11.9208</v>
      </c>
      <c r="AA1474" s="8" t="s">
        <v>2611</v>
      </c>
      <c r="AB1474" s="14">
        <f>IFERROR(__xludf.DUMMYFUNCTION("IFERROR(GOOGLEFINANCE(B1474,""price""),"""")"),142.64)</f>
        <v>142.64</v>
      </c>
    </row>
    <row r="1475">
      <c r="A1475" s="15">
        <v>46079.628067798956</v>
      </c>
      <c r="B1475" s="16" t="s">
        <v>2672</v>
      </c>
      <c r="C1475" s="16" t="s">
        <v>2673</v>
      </c>
      <c r="D1475" s="17">
        <v>46082.0</v>
      </c>
      <c r="E1475" s="18">
        <v>50.425</v>
      </c>
      <c r="F1475" s="16" t="s">
        <v>107</v>
      </c>
      <c r="G1475" s="21"/>
      <c r="H1475" s="21">
        <v>-1.865</v>
      </c>
      <c r="I1475" s="17">
        <v>46101.0</v>
      </c>
      <c r="J1475" s="18">
        <v>50.0</v>
      </c>
      <c r="K1475" s="16">
        <v>1663.0</v>
      </c>
      <c r="L1475" s="16" t="s">
        <v>2608</v>
      </c>
      <c r="M1475" s="19">
        <v>0.84</v>
      </c>
      <c r="N1475" s="16" t="s">
        <v>4026</v>
      </c>
      <c r="O1475" s="16">
        <v>1663.0</v>
      </c>
      <c r="P1475" s="19">
        <v>46.1113</v>
      </c>
      <c r="Q1475" s="16" t="s">
        <v>2675</v>
      </c>
      <c r="R1475" s="19">
        <v>-0.6208</v>
      </c>
      <c r="S1475" s="20">
        <v>1934874.0</v>
      </c>
      <c r="T1475" s="20">
        <v>2.0619986254E10</v>
      </c>
      <c r="U1475" s="21">
        <v>1.4243</v>
      </c>
      <c r="V1475" s="21">
        <v>-0.805</v>
      </c>
      <c r="W1475" s="21">
        <v>16.2067</v>
      </c>
      <c r="X1475" s="21">
        <v>-10.4796</v>
      </c>
      <c r="Y1475" s="21">
        <v>0.2451</v>
      </c>
      <c r="Z1475" s="21">
        <v>2.4187</v>
      </c>
      <c r="AA1475" s="16" t="s">
        <v>2611</v>
      </c>
      <c r="AB1475" s="22">
        <f>IFERROR(__xludf.DUMMYFUNCTION("IFERROR(GOOGLEFINANCE(B1475,""price""),"""")"),47.25)</f>
        <v>47.25</v>
      </c>
    </row>
    <row r="1476">
      <c r="A1476" s="7">
        <v>46079.628067798956</v>
      </c>
      <c r="B1476" s="8" t="s">
        <v>3980</v>
      </c>
      <c r="C1476" s="8" t="s">
        <v>3981</v>
      </c>
      <c r="D1476" s="9">
        <v>46082.0</v>
      </c>
      <c r="E1476" s="10">
        <v>44.32</v>
      </c>
      <c r="F1476" s="8" t="s">
        <v>117</v>
      </c>
      <c r="G1476" s="13">
        <v>15.9213</v>
      </c>
      <c r="H1476" s="13">
        <v>2.7837</v>
      </c>
      <c r="I1476" s="9">
        <v>46101.0</v>
      </c>
      <c r="J1476" s="10">
        <v>45.0</v>
      </c>
      <c r="K1476" s="8">
        <v>1651.0</v>
      </c>
      <c r="L1476" s="8" t="s">
        <v>2608</v>
      </c>
      <c r="M1476" s="11">
        <v>1.53</v>
      </c>
      <c r="N1476" s="8" t="s">
        <v>4027</v>
      </c>
      <c r="O1476" s="8">
        <v>1651.0</v>
      </c>
      <c r="P1476" s="11">
        <v>16.152</v>
      </c>
      <c r="Q1476" s="8" t="s">
        <v>3983</v>
      </c>
      <c r="R1476" s="11">
        <v>-0.9609</v>
      </c>
      <c r="S1476" s="12">
        <v>1941114.0</v>
      </c>
      <c r="T1476" s="12">
        <v>1.1510288662E10</v>
      </c>
      <c r="U1476" s="13">
        <v>1.3475</v>
      </c>
      <c r="V1476" s="13">
        <v>35.5268</v>
      </c>
      <c r="W1476" s="13">
        <v>38.4764</v>
      </c>
      <c r="X1476" s="13">
        <v>6.9823</v>
      </c>
      <c r="Y1476" s="13">
        <v>0.093</v>
      </c>
      <c r="Z1476" s="13">
        <v>3.558</v>
      </c>
      <c r="AA1476" s="8" t="s">
        <v>2620</v>
      </c>
      <c r="AB1476" s="14">
        <f>IFERROR(__xludf.DUMMYFUNCTION("IFERROR(GOOGLEFINANCE(B1476,""price""),"""")"),44.27)</f>
        <v>44.27</v>
      </c>
    </row>
    <row r="1477">
      <c r="A1477" s="15">
        <v>46079.628067798956</v>
      </c>
      <c r="B1477" s="16" t="s">
        <v>2726</v>
      </c>
      <c r="C1477" s="16" t="s">
        <v>2727</v>
      </c>
      <c r="D1477" s="17">
        <v>46082.0</v>
      </c>
      <c r="E1477" s="18">
        <v>86.55</v>
      </c>
      <c r="F1477" s="16" t="s">
        <v>286</v>
      </c>
      <c r="G1477" s="21">
        <v>49.2713</v>
      </c>
      <c r="H1477" s="21">
        <v>1.7566</v>
      </c>
      <c r="I1477" s="17">
        <v>46101.0</v>
      </c>
      <c r="J1477" s="18">
        <v>85.0</v>
      </c>
      <c r="K1477" s="16">
        <v>1629.0</v>
      </c>
      <c r="L1477" s="16" t="s">
        <v>2608</v>
      </c>
      <c r="M1477" s="19">
        <v>1.79</v>
      </c>
      <c r="N1477" s="16" t="s">
        <v>4028</v>
      </c>
      <c r="O1477" s="16">
        <v>1629.0</v>
      </c>
      <c r="P1477" s="19">
        <v>37.5412</v>
      </c>
      <c r="Q1477" s="16" t="s">
        <v>2729</v>
      </c>
      <c r="R1477" s="19">
        <v>1.3347</v>
      </c>
      <c r="S1477" s="20">
        <v>6717747.0</v>
      </c>
      <c r="T1477" s="20">
        <v>8.4561186685E10</v>
      </c>
      <c r="U1477" s="21">
        <v>1.5102</v>
      </c>
      <c r="V1477" s="21">
        <v>25.538</v>
      </c>
      <c r="W1477" s="21">
        <v>29.9505</v>
      </c>
      <c r="X1477" s="21">
        <v>7.618</v>
      </c>
      <c r="Y1477" s="21">
        <v>0.0</v>
      </c>
      <c r="Z1477" s="21">
        <v>3.1855</v>
      </c>
      <c r="AA1477" s="16" t="s">
        <v>2611</v>
      </c>
      <c r="AB1477" s="22">
        <f>IFERROR(__xludf.DUMMYFUNCTION("IFERROR(GOOGLEFINANCE(B1477,""price""),"""")"),75.72)</f>
        <v>75.72</v>
      </c>
    </row>
    <row r="1478">
      <c r="A1478" s="7">
        <v>46079.628067798956</v>
      </c>
      <c r="B1478" s="8" t="s">
        <v>3834</v>
      </c>
      <c r="C1478" s="8" t="s">
        <v>3835</v>
      </c>
      <c r="D1478" s="9">
        <v>46082.0</v>
      </c>
      <c r="E1478" s="10">
        <v>183.02</v>
      </c>
      <c r="F1478" s="8" t="s">
        <v>917</v>
      </c>
      <c r="G1478" s="13">
        <v>46.353</v>
      </c>
      <c r="H1478" s="13">
        <v>3.9484</v>
      </c>
      <c r="I1478" s="9">
        <v>46080.0</v>
      </c>
      <c r="J1478" s="10">
        <v>180.0</v>
      </c>
      <c r="K1478" s="8">
        <v>1550.0</v>
      </c>
      <c r="L1478" s="8" t="s">
        <v>2608</v>
      </c>
      <c r="M1478" s="11">
        <v>1.65</v>
      </c>
      <c r="N1478" s="8" t="s">
        <v>4029</v>
      </c>
      <c r="O1478" s="8">
        <v>1550.0</v>
      </c>
      <c r="P1478" s="11">
        <v>22.1901</v>
      </c>
      <c r="Q1478" s="8" t="s">
        <v>3837</v>
      </c>
      <c r="R1478" s="11">
        <v>-0.3105</v>
      </c>
      <c r="S1478" s="12">
        <v>1438717.0</v>
      </c>
      <c r="T1478" s="12">
        <v>3.9290284649E10</v>
      </c>
      <c r="U1478" s="13">
        <v>7.8613</v>
      </c>
      <c r="V1478" s="13">
        <v>41.5484</v>
      </c>
      <c r="W1478" s="13">
        <v>4.7925</v>
      </c>
      <c r="X1478" s="13">
        <v>9.1566</v>
      </c>
      <c r="Y1478" s="13">
        <v>9.8882</v>
      </c>
      <c r="Z1478" s="13">
        <v>1.6374</v>
      </c>
      <c r="AA1478" s="8" t="s">
        <v>2611</v>
      </c>
      <c r="AB1478" s="14">
        <f>IFERROR(__xludf.DUMMYFUNCTION("IFERROR(GOOGLEFINANCE(B1478,""price""),"""")"),164.07)</f>
        <v>164.07</v>
      </c>
    </row>
    <row r="1479">
      <c r="A1479" s="15">
        <v>46079.628067798956</v>
      </c>
      <c r="B1479" s="16" t="s">
        <v>2684</v>
      </c>
      <c r="C1479" s="16" t="s">
        <v>2685</v>
      </c>
      <c r="D1479" s="17">
        <v>46082.0</v>
      </c>
      <c r="E1479" s="18">
        <v>374.645</v>
      </c>
      <c r="F1479" s="16" t="s">
        <v>102</v>
      </c>
      <c r="G1479" s="21">
        <v>38.3747</v>
      </c>
      <c r="H1479" s="21">
        <v>9.7628</v>
      </c>
      <c r="I1479" s="17">
        <v>46080.0</v>
      </c>
      <c r="J1479" s="18">
        <v>380.0</v>
      </c>
      <c r="K1479" s="16">
        <v>1549.0</v>
      </c>
      <c r="L1479" s="16" t="s">
        <v>2608</v>
      </c>
      <c r="M1479" s="19">
        <v>1.43</v>
      </c>
      <c r="N1479" s="16" t="s">
        <v>4030</v>
      </c>
      <c r="O1479" s="16">
        <v>1549.0</v>
      </c>
      <c r="P1479" s="19">
        <v>38.7428</v>
      </c>
      <c r="Q1479" s="16" t="s">
        <v>2687</v>
      </c>
      <c r="R1479" s="19">
        <v>-5.1412</v>
      </c>
      <c r="S1479" s="20">
        <v>5508657.0</v>
      </c>
      <c r="T1479" s="20">
        <v>2.97321976419E11</v>
      </c>
      <c r="U1479" s="21">
        <v>16.5318</v>
      </c>
      <c r="V1479" s="21">
        <v>38.8627</v>
      </c>
      <c r="W1479" s="21">
        <v>29.7406</v>
      </c>
      <c r="X1479" s="21">
        <v>2.1543</v>
      </c>
      <c r="Y1479" s="21">
        <v>0.3311</v>
      </c>
      <c r="Z1479" s="21">
        <v>2.7149</v>
      </c>
      <c r="AA1479" s="16" t="s">
        <v>2620</v>
      </c>
      <c r="AB1479" s="22">
        <f>IFERROR(__xludf.DUMMYFUNCTION("IFERROR(GOOGLEFINANCE(B1479,""price""),"""")"),399.5)</f>
        <v>399.5</v>
      </c>
    </row>
    <row r="1480">
      <c r="A1480" s="7">
        <v>46079.628067798956</v>
      </c>
      <c r="B1480" s="8" t="s">
        <v>2646</v>
      </c>
      <c r="C1480" s="8" t="s">
        <v>2647</v>
      </c>
      <c r="D1480" s="9">
        <v>46082.0</v>
      </c>
      <c r="E1480" s="10">
        <v>36.065</v>
      </c>
      <c r="F1480" s="8" t="s">
        <v>270</v>
      </c>
      <c r="G1480" s="13">
        <v>13.5812</v>
      </c>
      <c r="H1480" s="13">
        <v>2.6555</v>
      </c>
      <c r="I1480" s="9">
        <v>46080.0</v>
      </c>
      <c r="J1480" s="10">
        <v>36.5</v>
      </c>
      <c r="K1480" s="8">
        <v>1500.0</v>
      </c>
      <c r="L1480" s="8" t="s">
        <v>2608</v>
      </c>
      <c r="M1480" s="11">
        <v>1.21</v>
      </c>
      <c r="N1480" s="8" t="s">
        <v>4031</v>
      </c>
      <c r="O1480" s="8">
        <v>1500.0</v>
      </c>
      <c r="P1480" s="11">
        <v>40.9735</v>
      </c>
      <c r="Q1480" s="8" t="s">
        <v>2649</v>
      </c>
      <c r="R1480" s="11">
        <v>0.4037</v>
      </c>
      <c r="S1480" s="12">
        <v>4395352.0</v>
      </c>
      <c r="T1480" s="12">
        <v>7.8020169508E10</v>
      </c>
      <c r="U1480" s="13">
        <v>0.6765</v>
      </c>
      <c r="V1480" s="13"/>
      <c r="W1480" s="13">
        <v>13.037</v>
      </c>
      <c r="X1480" s="13">
        <v>-5.779</v>
      </c>
      <c r="Y1480" s="13"/>
      <c r="Z1480" s="13"/>
      <c r="AA1480" s="8" t="s">
        <v>2620</v>
      </c>
      <c r="AB1480" s="14">
        <f>IFERROR(__xludf.DUMMYFUNCTION("IFERROR(GOOGLEFINANCE(B1480,""price""),"""")"),37.35)</f>
        <v>37.35</v>
      </c>
    </row>
    <row r="1481">
      <c r="A1481" s="15">
        <v>46079.628067798956</v>
      </c>
      <c r="B1481" s="16" t="s">
        <v>2658</v>
      </c>
      <c r="C1481" s="16" t="s">
        <v>2659</v>
      </c>
      <c r="D1481" s="17">
        <v>46082.0</v>
      </c>
      <c r="E1481" s="18">
        <v>92.3</v>
      </c>
      <c r="F1481" s="16" t="s">
        <v>917</v>
      </c>
      <c r="G1481" s="21">
        <v>27.9672</v>
      </c>
      <c r="H1481" s="21">
        <v>3.3003</v>
      </c>
      <c r="I1481" s="17">
        <v>46080.0</v>
      </c>
      <c r="J1481" s="18">
        <v>91.0</v>
      </c>
      <c r="K1481" s="16">
        <v>1479.0</v>
      </c>
      <c r="L1481" s="16" t="s">
        <v>2627</v>
      </c>
      <c r="M1481" s="19">
        <v>1.41</v>
      </c>
      <c r="N1481" s="16" t="s">
        <v>4032</v>
      </c>
      <c r="O1481" s="16">
        <v>1479.0</v>
      </c>
      <c r="P1481" s="19">
        <v>43.5116</v>
      </c>
      <c r="Q1481" s="16" t="s">
        <v>2661</v>
      </c>
      <c r="R1481" s="19">
        <v>-2.9545</v>
      </c>
      <c r="S1481" s="20">
        <v>1.2188827E7</v>
      </c>
      <c r="T1481" s="20">
        <v>1.9230907931E11</v>
      </c>
      <c r="U1481" s="21">
        <v>2.0925</v>
      </c>
      <c r="V1481" s="21">
        <v>13.0533</v>
      </c>
      <c r="W1481" s="21">
        <v>26.8934</v>
      </c>
      <c r="X1481" s="21">
        <v>8.6905</v>
      </c>
      <c r="Y1481" s="21">
        <v>1.7594</v>
      </c>
      <c r="Z1481" s="21">
        <v>0.5953</v>
      </c>
      <c r="AA1481" s="16" t="s">
        <v>2611</v>
      </c>
      <c r="AB1481" s="22">
        <f>IFERROR(__xludf.DUMMYFUNCTION("IFERROR(GOOGLEFINANCE(B1481,""price""),"""")"),94.08)</f>
        <v>94.08</v>
      </c>
    </row>
    <row r="1482">
      <c r="A1482" s="7">
        <v>46079.628067798956</v>
      </c>
      <c r="B1482" s="8" t="s">
        <v>2812</v>
      </c>
      <c r="C1482" s="8" t="s">
        <v>2813</v>
      </c>
      <c r="D1482" s="9">
        <v>46082.0</v>
      </c>
      <c r="E1482" s="10">
        <v>408.0</v>
      </c>
      <c r="F1482" s="8" t="s">
        <v>308</v>
      </c>
      <c r="G1482" s="13">
        <v>46.1398</v>
      </c>
      <c r="H1482" s="13">
        <v>8.8427</v>
      </c>
      <c r="I1482" s="9">
        <v>46080.0</v>
      </c>
      <c r="J1482" s="10">
        <v>400.0</v>
      </c>
      <c r="K1482" s="8">
        <v>1186.0</v>
      </c>
      <c r="L1482" s="8" t="s">
        <v>2627</v>
      </c>
      <c r="M1482" s="11">
        <v>1.96</v>
      </c>
      <c r="N1482" s="8" t="s">
        <v>4033</v>
      </c>
      <c r="O1482" s="8">
        <v>1186.0</v>
      </c>
      <c r="P1482" s="11">
        <v>24.2191</v>
      </c>
      <c r="Q1482" s="8" t="s">
        <v>2815</v>
      </c>
      <c r="R1482" s="11">
        <v>-3.2832</v>
      </c>
      <c r="S1482" s="12">
        <v>2598130.0</v>
      </c>
      <c r="T1482" s="12">
        <v>8.8973809393E10</v>
      </c>
      <c r="U1482" s="13">
        <v>26.474</v>
      </c>
      <c r="V1482" s="13"/>
      <c r="W1482" s="13">
        <v>25.6015</v>
      </c>
      <c r="X1482" s="13">
        <v>25.1773</v>
      </c>
      <c r="Y1482" s="13">
        <v>10.4662</v>
      </c>
      <c r="Z1482" s="13">
        <v>1.1191</v>
      </c>
      <c r="AA1482" s="8" t="s">
        <v>2611</v>
      </c>
      <c r="AB1482" s="14">
        <f>IFERROR(__xludf.DUMMYFUNCTION("IFERROR(GOOGLEFINANCE(B1482,""price""),"""")"),503.13)</f>
        <v>503.13</v>
      </c>
    </row>
    <row r="1483">
      <c r="A1483" s="15">
        <v>46079.628067798956</v>
      </c>
      <c r="B1483" s="16" t="s">
        <v>1766</v>
      </c>
      <c r="C1483" s="16" t="s">
        <v>1767</v>
      </c>
      <c r="D1483" s="17">
        <v>46082.0</v>
      </c>
      <c r="E1483" s="18">
        <v>95.43</v>
      </c>
      <c r="F1483" s="16" t="s">
        <v>917</v>
      </c>
      <c r="G1483" s="21">
        <v>29.3839</v>
      </c>
      <c r="H1483" s="21">
        <v>3.2477</v>
      </c>
      <c r="I1483" s="17">
        <v>46101.0</v>
      </c>
      <c r="J1483" s="18">
        <v>95.0</v>
      </c>
      <c r="K1483" s="16">
        <v>1068.0</v>
      </c>
      <c r="L1483" s="16" t="s">
        <v>2608</v>
      </c>
      <c r="M1483" s="19">
        <v>0.45</v>
      </c>
      <c r="N1483" s="16" t="s">
        <v>4034</v>
      </c>
      <c r="O1483" s="16">
        <v>1068.0</v>
      </c>
      <c r="P1483" s="19">
        <v>31.2992</v>
      </c>
      <c r="Q1483" s="16" t="s">
        <v>1768</v>
      </c>
      <c r="R1483" s="19">
        <v>0.9841</v>
      </c>
      <c r="S1483" s="20">
        <v>3594846.0</v>
      </c>
      <c r="T1483" s="20">
        <v>6.2285397315E10</v>
      </c>
      <c r="U1483" s="21">
        <v>2.0573</v>
      </c>
      <c r="V1483" s="21">
        <v>7.0975</v>
      </c>
      <c r="W1483" s="21">
        <v>23.4727</v>
      </c>
      <c r="X1483" s="21">
        <v>9.067</v>
      </c>
      <c r="Y1483" s="21">
        <v>1.0777</v>
      </c>
      <c r="Z1483" s="21">
        <v>1.5873</v>
      </c>
      <c r="AA1483" s="16" t="s">
        <v>2611</v>
      </c>
      <c r="AB1483" s="22">
        <f>IFERROR(__xludf.DUMMYFUNCTION("IFERROR(GOOGLEFINANCE(B1483,""price""),"""")"),98.82)</f>
        <v>98.82</v>
      </c>
    </row>
    <row r="1484">
      <c r="A1484" s="7">
        <v>46079.628067798956</v>
      </c>
      <c r="B1484" s="8" t="s">
        <v>3022</v>
      </c>
      <c r="C1484" s="8" t="s">
        <v>3023</v>
      </c>
      <c r="D1484" s="9">
        <v>46082.0</v>
      </c>
      <c r="E1484" s="10">
        <v>751.44</v>
      </c>
      <c r="F1484" s="8" t="s">
        <v>102</v>
      </c>
      <c r="G1484" s="13">
        <v>39.914</v>
      </c>
      <c r="H1484" s="13">
        <v>18.8265</v>
      </c>
      <c r="I1484" s="9">
        <v>46080.0</v>
      </c>
      <c r="J1484" s="10">
        <v>750.0</v>
      </c>
      <c r="K1484" s="8">
        <v>1040.0</v>
      </c>
      <c r="L1484" s="8" t="s">
        <v>2627</v>
      </c>
      <c r="M1484" s="11">
        <v>0.19</v>
      </c>
      <c r="N1484" s="8" t="s">
        <v>4035</v>
      </c>
      <c r="O1484" s="8">
        <v>1040.0</v>
      </c>
      <c r="P1484" s="11">
        <v>38.0129</v>
      </c>
      <c r="Q1484" s="8" t="s">
        <v>3025</v>
      </c>
      <c r="R1484" s="11">
        <v>-1.9788</v>
      </c>
      <c r="S1484" s="12">
        <v>2689046.0</v>
      </c>
      <c r="T1484" s="12">
        <v>3.49635522245E11</v>
      </c>
      <c r="U1484" s="13">
        <v>24.7757</v>
      </c>
      <c r="V1484" s="13">
        <v>43.5394</v>
      </c>
      <c r="W1484" s="13">
        <v>17.1611</v>
      </c>
      <c r="X1484" s="13">
        <v>4.2895</v>
      </c>
      <c r="Y1484" s="13">
        <v>2.0667</v>
      </c>
      <c r="Z1484" s="13">
        <v>1.4357</v>
      </c>
      <c r="AA1484" s="8" t="s">
        <v>2611</v>
      </c>
      <c r="AB1484" s="14">
        <f>IFERROR(__xludf.DUMMYFUNCTION("IFERROR(GOOGLEFINANCE(B1484,""price""),"""")"),790.66)</f>
        <v>790.66</v>
      </c>
    </row>
    <row r="1485">
      <c r="A1485" s="15">
        <v>46079.628067798956</v>
      </c>
      <c r="B1485" s="16" t="s">
        <v>3237</v>
      </c>
      <c r="C1485" s="16" t="s">
        <v>3238</v>
      </c>
      <c r="D1485" s="17">
        <v>46082.0</v>
      </c>
      <c r="E1485" s="18">
        <v>334.73</v>
      </c>
      <c r="F1485" s="16" t="s">
        <v>149</v>
      </c>
      <c r="G1485" s="21">
        <v>28.005</v>
      </c>
      <c r="H1485" s="21">
        <v>11.9525</v>
      </c>
      <c r="I1485" s="17">
        <v>46080.0</v>
      </c>
      <c r="J1485" s="18">
        <v>332.5</v>
      </c>
      <c r="K1485" s="16">
        <v>1021.0</v>
      </c>
      <c r="L1485" s="16" t="s">
        <v>2608</v>
      </c>
      <c r="M1485" s="19">
        <v>0.67</v>
      </c>
      <c r="N1485" s="16" t="s">
        <v>4036</v>
      </c>
      <c r="O1485" s="16">
        <v>1021.0</v>
      </c>
      <c r="P1485" s="19">
        <v>37.6245</v>
      </c>
      <c r="Q1485" s="16" t="s">
        <v>3240</v>
      </c>
      <c r="R1485" s="19">
        <v>0.5165</v>
      </c>
      <c r="S1485" s="20">
        <v>1727391.0</v>
      </c>
      <c r="T1485" s="20">
        <v>2.37791737248E11</v>
      </c>
      <c r="U1485" s="21">
        <v>5.3619</v>
      </c>
      <c r="V1485" s="21"/>
      <c r="W1485" s="21">
        <v>46.1001</v>
      </c>
      <c r="X1485" s="21">
        <v>3.723</v>
      </c>
      <c r="Y1485" s="21"/>
      <c r="Z1485" s="21">
        <v>0.9546</v>
      </c>
      <c r="AA1485" s="16" t="s">
        <v>2611</v>
      </c>
      <c r="AB1485" s="22">
        <f>IFERROR(__xludf.DUMMYFUNCTION("IFERROR(GOOGLEFINANCE(B1485,""price""),"""")"),305.68)</f>
        <v>305.68</v>
      </c>
    </row>
    <row r="1486">
      <c r="A1486" s="7">
        <v>46080.62722809688</v>
      </c>
      <c r="B1486" s="8" t="s">
        <v>3269</v>
      </c>
      <c r="C1486" s="8" t="s">
        <v>3270</v>
      </c>
      <c r="D1486" s="9">
        <v>46082.0</v>
      </c>
      <c r="E1486" s="10">
        <v>265.125</v>
      </c>
      <c r="F1486" s="8" t="s">
        <v>308</v>
      </c>
      <c r="G1486" s="13">
        <v>33.544</v>
      </c>
      <c r="H1486" s="13">
        <v>7.9038</v>
      </c>
      <c r="I1486" s="9">
        <v>46080.0</v>
      </c>
      <c r="J1486" s="10">
        <v>260.0</v>
      </c>
      <c r="K1486" s="8">
        <v>18843.0</v>
      </c>
      <c r="L1486" s="8" t="s">
        <v>2608</v>
      </c>
      <c r="M1486" s="11">
        <v>1.93</v>
      </c>
      <c r="N1486" s="8" t="s">
        <v>4037</v>
      </c>
      <c r="O1486" s="8">
        <v>93471.0</v>
      </c>
      <c r="P1486" s="11">
        <v>15.6534</v>
      </c>
      <c r="Q1486" s="8" t="s">
        <v>3272</v>
      </c>
      <c r="R1486" s="11">
        <v>-2.8668</v>
      </c>
      <c r="S1486" s="12">
        <v>2.8169461E7</v>
      </c>
      <c r="T1486" s="12">
        <v>3.892337323367E12</v>
      </c>
      <c r="U1486" s="13">
        <v>6.4898</v>
      </c>
      <c r="V1486" s="13">
        <v>152.0213</v>
      </c>
      <c r="W1486" s="13">
        <v>32.384</v>
      </c>
      <c r="X1486" s="13">
        <v>10.071</v>
      </c>
      <c r="Y1486" s="13">
        <v>1.0263</v>
      </c>
      <c r="Z1486" s="13">
        <v>0.9737</v>
      </c>
      <c r="AA1486" s="8" t="s">
        <v>2611</v>
      </c>
      <c r="AB1486" s="14">
        <f>IFERROR(__xludf.DUMMYFUNCTION("IFERROR(GOOGLEFINANCE(B1486,""price""),"""")"),260.48)</f>
        <v>260.48</v>
      </c>
    </row>
    <row r="1487">
      <c r="A1487" s="15">
        <v>46080.62722809688</v>
      </c>
      <c r="B1487" s="16" t="s">
        <v>2625</v>
      </c>
      <c r="C1487" s="16" t="s">
        <v>2626</v>
      </c>
      <c r="D1487" s="17">
        <v>46082.0</v>
      </c>
      <c r="E1487" s="18">
        <v>127.53</v>
      </c>
      <c r="F1487" s="16" t="s">
        <v>137</v>
      </c>
      <c r="G1487" s="21">
        <v>46.704</v>
      </c>
      <c r="H1487" s="21">
        <v>2.7306</v>
      </c>
      <c r="I1487" s="17">
        <v>46080.0</v>
      </c>
      <c r="J1487" s="18">
        <v>126.0</v>
      </c>
      <c r="K1487" s="16">
        <v>5743.0</v>
      </c>
      <c r="L1487" s="16" t="s">
        <v>2627</v>
      </c>
      <c r="M1487" s="19">
        <v>1.2</v>
      </c>
      <c r="N1487" s="16" t="s">
        <v>4038</v>
      </c>
      <c r="O1487" s="16">
        <v>30196.0</v>
      </c>
      <c r="P1487" s="19">
        <v>24.7999</v>
      </c>
      <c r="Q1487" s="16" t="s">
        <v>2629</v>
      </c>
      <c r="R1487" s="19">
        <v>2.4996</v>
      </c>
      <c r="S1487" s="20">
        <v>1.42796E7</v>
      </c>
      <c r="T1487" s="20">
        <v>1.016435381555E12</v>
      </c>
      <c r="U1487" s="21">
        <v>3.4044</v>
      </c>
      <c r="V1487" s="21">
        <v>22.9691</v>
      </c>
      <c r="W1487" s="21">
        <v>4.1821</v>
      </c>
      <c r="X1487" s="21">
        <v>4.7252</v>
      </c>
      <c r="Y1487" s="21">
        <v>0.6735</v>
      </c>
      <c r="Z1487" s="21">
        <v>0.7898</v>
      </c>
      <c r="AA1487" s="16" t="s">
        <v>2611</v>
      </c>
      <c r="AB1487" s="22">
        <f>IFERROR(__xludf.DUMMYFUNCTION("IFERROR(GOOGLEFINANCE(B1487,""price""),"""")"),126.79)</f>
        <v>126.79</v>
      </c>
    </row>
    <row r="1488">
      <c r="A1488" s="7">
        <v>46080.62722809688</v>
      </c>
      <c r="B1488" s="8" t="s">
        <v>2630</v>
      </c>
      <c r="C1488" s="8" t="s">
        <v>2631</v>
      </c>
      <c r="D1488" s="9">
        <v>46082.0</v>
      </c>
      <c r="E1488" s="10">
        <v>410.24</v>
      </c>
      <c r="F1488" s="8" t="s">
        <v>308</v>
      </c>
      <c r="G1488" s="13">
        <v>38.9962</v>
      </c>
      <c r="H1488" s="13">
        <v>10.52</v>
      </c>
      <c r="I1488" s="9">
        <v>46080.0</v>
      </c>
      <c r="J1488" s="10">
        <v>410.0</v>
      </c>
      <c r="K1488" s="8">
        <v>7323.0</v>
      </c>
      <c r="L1488" s="8" t="s">
        <v>2627</v>
      </c>
      <c r="M1488" s="11">
        <v>0.06</v>
      </c>
      <c r="N1488" s="8" t="s">
        <v>4039</v>
      </c>
      <c r="O1488" s="8">
        <v>28155.0</v>
      </c>
      <c r="P1488" s="11">
        <v>35.1453</v>
      </c>
      <c r="Q1488" s="8" t="s">
        <v>2633</v>
      </c>
      <c r="R1488" s="11">
        <v>-1.2802</v>
      </c>
      <c r="S1488" s="12">
        <v>2.2072957E7</v>
      </c>
      <c r="T1488" s="12">
        <v>4.61728923225E11</v>
      </c>
      <c r="U1488" s="13">
        <v>23.8198</v>
      </c>
      <c r="V1488" s="13">
        <v>22.5543</v>
      </c>
      <c r="W1488" s="13">
        <v>32.9221</v>
      </c>
      <c r="X1488" s="13">
        <v>45.432</v>
      </c>
      <c r="Y1488" s="13">
        <v>0.2124</v>
      </c>
      <c r="Z1488" s="13">
        <v>2.4598</v>
      </c>
      <c r="AA1488" s="8" t="s">
        <v>2611</v>
      </c>
      <c r="AB1488" s="14">
        <f>IFERROR(__xludf.DUMMYFUNCTION("IFERROR(GOOGLEFINANCE(B1488,""price""),"""")"),420.59)</f>
        <v>420.59</v>
      </c>
    </row>
    <row r="1489">
      <c r="A1489" s="15">
        <v>46080.62722809688</v>
      </c>
      <c r="B1489" s="16" t="s">
        <v>2399</v>
      </c>
      <c r="C1489" s="16" t="s">
        <v>2400</v>
      </c>
      <c r="D1489" s="17">
        <v>46082.0</v>
      </c>
      <c r="E1489" s="18">
        <v>18.805</v>
      </c>
      <c r="F1489" s="16" t="s">
        <v>270</v>
      </c>
      <c r="G1489" s="21">
        <v>15.5645</v>
      </c>
      <c r="H1489" s="21">
        <v>1.2082</v>
      </c>
      <c r="I1489" s="17">
        <v>46080.0</v>
      </c>
      <c r="J1489" s="18">
        <v>18.5</v>
      </c>
      <c r="K1489" s="16">
        <v>14527.0</v>
      </c>
      <c r="L1489" s="16" t="s">
        <v>2608</v>
      </c>
      <c r="M1489" s="19">
        <v>1.62</v>
      </c>
      <c r="N1489" s="16" t="s">
        <v>4040</v>
      </c>
      <c r="O1489" s="16">
        <v>22541.0</v>
      </c>
      <c r="P1489" s="19">
        <v>36.0556</v>
      </c>
      <c r="Q1489" s="16" t="s">
        <v>2401</v>
      </c>
      <c r="R1489" s="19">
        <v>0.6153</v>
      </c>
      <c r="S1489" s="20">
        <v>8560785.0</v>
      </c>
      <c r="T1489" s="20">
        <v>6.4695115139E10</v>
      </c>
      <c r="U1489" s="21">
        <v>0.3518</v>
      </c>
      <c r="V1489" s="21">
        <v>12.7475</v>
      </c>
      <c r="W1489" s="21">
        <v>10.8866</v>
      </c>
      <c r="X1489" s="21">
        <v>3.4655</v>
      </c>
      <c r="Y1489" s="21">
        <v>2.0395</v>
      </c>
      <c r="Z1489" s="21">
        <v>1.2192</v>
      </c>
      <c r="AA1489" s="16" t="s">
        <v>2611</v>
      </c>
      <c r="AB1489" s="22">
        <f>IFERROR(__xludf.DUMMYFUNCTION("IFERROR(GOOGLEFINANCE(B1489,""price""),"""")"),19.19)</f>
        <v>19.19</v>
      </c>
    </row>
    <row r="1490">
      <c r="A1490" s="7">
        <v>46080.62722809688</v>
      </c>
      <c r="B1490" s="8" t="s">
        <v>2638</v>
      </c>
      <c r="C1490" s="8" t="s">
        <v>2639</v>
      </c>
      <c r="D1490" s="9">
        <v>46082.0</v>
      </c>
      <c r="E1490" s="10">
        <v>153.06</v>
      </c>
      <c r="F1490" s="8" t="s">
        <v>245</v>
      </c>
      <c r="G1490" s="13">
        <v>22.8625</v>
      </c>
      <c r="H1490" s="13">
        <v>6.6948</v>
      </c>
      <c r="I1490" s="9">
        <v>46080.0</v>
      </c>
      <c r="J1490" s="10">
        <v>152.5</v>
      </c>
      <c r="K1490" s="8">
        <v>9372.0</v>
      </c>
      <c r="L1490" s="8" t="s">
        <v>2608</v>
      </c>
      <c r="M1490" s="11">
        <v>0.37</v>
      </c>
      <c r="N1490" s="8" t="s">
        <v>4041</v>
      </c>
      <c r="O1490" s="8">
        <v>22477.0</v>
      </c>
      <c r="P1490" s="11">
        <v>42.6699</v>
      </c>
      <c r="Q1490" s="8" t="s">
        <v>2641</v>
      </c>
      <c r="R1490" s="11">
        <v>3.043</v>
      </c>
      <c r="S1490" s="12">
        <v>1.2584879E7</v>
      </c>
      <c r="T1490" s="12">
        <v>6.37764818791E11</v>
      </c>
      <c r="U1490" s="13">
        <v>3.6575</v>
      </c>
      <c r="V1490" s="13">
        <v>11.0283</v>
      </c>
      <c r="W1490" s="13">
        <v>10.3419</v>
      </c>
      <c r="X1490" s="13">
        <v>-4.856</v>
      </c>
      <c r="Y1490" s="13">
        <v>0.1871</v>
      </c>
      <c r="Z1490" s="13">
        <v>1.1528</v>
      </c>
      <c r="AA1490" s="8" t="s">
        <v>2611</v>
      </c>
      <c r="AB1490" s="14">
        <f>IFERROR(__xludf.DUMMYFUNCTION("IFERROR(GOOGLEFINANCE(B1490,""price""),"""")"),152.51)</f>
        <v>152.51</v>
      </c>
    </row>
    <row r="1491">
      <c r="A1491" s="15">
        <v>46080.62722809688</v>
      </c>
      <c r="B1491" s="16" t="s">
        <v>2616</v>
      </c>
      <c r="C1491" s="16" t="s">
        <v>2617</v>
      </c>
      <c r="D1491" s="17">
        <v>46082.0</v>
      </c>
      <c r="E1491" s="18">
        <v>81.42</v>
      </c>
      <c r="F1491" s="16" t="s">
        <v>286</v>
      </c>
      <c r="G1491" s="21">
        <v>26.7961</v>
      </c>
      <c r="H1491" s="21">
        <v>3.0385</v>
      </c>
      <c r="I1491" s="17">
        <v>46080.0</v>
      </c>
      <c r="J1491" s="18">
        <v>80.0</v>
      </c>
      <c r="K1491" s="16">
        <v>6929.0</v>
      </c>
      <c r="L1491" s="16" t="s">
        <v>2608</v>
      </c>
      <c r="M1491" s="19">
        <v>1.74</v>
      </c>
      <c r="N1491" s="16" t="s">
        <v>4042</v>
      </c>
      <c r="O1491" s="16">
        <v>18836.0</v>
      </c>
      <c r="P1491" s="19">
        <v>40.7885</v>
      </c>
      <c r="Q1491" s="16" t="s">
        <v>2619</v>
      </c>
      <c r="R1491" s="19">
        <v>1.1429</v>
      </c>
      <c r="S1491" s="20">
        <v>1.0111176E7</v>
      </c>
      <c r="T1491" s="20">
        <v>3.50164878428E11</v>
      </c>
      <c r="U1491" s="21">
        <v>1.2328</v>
      </c>
      <c r="V1491" s="21">
        <v>45.9693</v>
      </c>
      <c r="W1491" s="21">
        <v>31.3688</v>
      </c>
      <c r="X1491" s="21">
        <v>3.4769</v>
      </c>
      <c r="Y1491" s="21">
        <v>1.4577</v>
      </c>
      <c r="Z1491" s="21">
        <v>1.4588</v>
      </c>
      <c r="AA1491" s="16" t="s">
        <v>2611</v>
      </c>
      <c r="AB1491" s="22">
        <f>IFERROR(__xludf.DUMMYFUNCTION("IFERROR(GOOGLEFINANCE(B1491,""price""),"""")"),77.47)</f>
        <v>77.47</v>
      </c>
    </row>
    <row r="1492">
      <c r="A1492" s="7">
        <v>46080.62722809688</v>
      </c>
      <c r="B1492" s="8" t="s">
        <v>3697</v>
      </c>
      <c r="C1492" s="8" t="s">
        <v>3698</v>
      </c>
      <c r="D1492" s="9">
        <v>46082.0</v>
      </c>
      <c r="E1492" s="10">
        <v>49.685</v>
      </c>
      <c r="F1492" s="8" t="s">
        <v>917</v>
      </c>
      <c r="G1492" s="13">
        <v>18.167</v>
      </c>
      <c r="H1492" s="13">
        <v>2.7349</v>
      </c>
      <c r="I1492" s="9">
        <v>46101.0</v>
      </c>
      <c r="J1492" s="10">
        <v>50.0</v>
      </c>
      <c r="K1492" s="8">
        <v>8241.0</v>
      </c>
      <c r="L1492" s="8" t="s">
        <v>2608</v>
      </c>
      <c r="M1492" s="11">
        <v>0.63</v>
      </c>
      <c r="N1492" s="8" t="s">
        <v>4043</v>
      </c>
      <c r="O1492" s="8">
        <v>11909.0</v>
      </c>
      <c r="P1492" s="11">
        <v>34.4684</v>
      </c>
      <c r="Q1492" s="8" t="s">
        <v>3700</v>
      </c>
      <c r="R1492" s="11">
        <v>1.8135</v>
      </c>
      <c r="S1492" s="12">
        <v>5032517.0</v>
      </c>
      <c r="T1492" s="12">
        <v>5.0822416949E10</v>
      </c>
      <c r="U1492" s="13">
        <v>0.9909</v>
      </c>
      <c r="V1492" s="13">
        <v>9.9356</v>
      </c>
      <c r="W1492" s="13">
        <v>21.2054</v>
      </c>
      <c r="X1492" s="13">
        <v>5.3367</v>
      </c>
      <c r="Y1492" s="13">
        <v>1.7554</v>
      </c>
      <c r="Z1492" s="13">
        <v>0.924</v>
      </c>
      <c r="AA1492" s="8" t="s">
        <v>2620</v>
      </c>
      <c r="AB1492" s="14">
        <f>IFERROR(__xludf.DUMMYFUNCTION("IFERROR(GOOGLEFINANCE(B1492,""price""),"""")"),48.57)</f>
        <v>48.57</v>
      </c>
    </row>
    <row r="1493">
      <c r="A1493" s="15">
        <v>46080.62722809688</v>
      </c>
      <c r="B1493" s="16" t="s">
        <v>2634</v>
      </c>
      <c r="C1493" s="16" t="s">
        <v>2635</v>
      </c>
      <c r="D1493" s="17">
        <v>46082.0</v>
      </c>
      <c r="E1493" s="18">
        <v>187.12</v>
      </c>
      <c r="F1493" s="16" t="s">
        <v>245</v>
      </c>
      <c r="G1493" s="21">
        <v>28.1468</v>
      </c>
      <c r="H1493" s="21">
        <v>6.648</v>
      </c>
      <c r="I1493" s="17">
        <v>46080.0</v>
      </c>
      <c r="J1493" s="18">
        <v>187.5</v>
      </c>
      <c r="K1493" s="16">
        <v>5170.0</v>
      </c>
      <c r="L1493" s="16" t="s">
        <v>2608</v>
      </c>
      <c r="M1493" s="19">
        <v>0.2</v>
      </c>
      <c r="N1493" s="16" t="s">
        <v>4044</v>
      </c>
      <c r="O1493" s="16">
        <v>11854.0</v>
      </c>
      <c r="P1493" s="19">
        <v>47.337</v>
      </c>
      <c r="Q1493" s="16" t="s">
        <v>2637</v>
      </c>
      <c r="R1493" s="19">
        <v>1.6073</v>
      </c>
      <c r="S1493" s="20">
        <v>6427324.0</v>
      </c>
      <c r="T1493" s="20">
        <v>3.7337654182E11</v>
      </c>
      <c r="U1493" s="21">
        <v>3.446</v>
      </c>
      <c r="V1493" s="21">
        <v>7.261</v>
      </c>
      <c r="W1493" s="21">
        <v>8.8802</v>
      </c>
      <c r="X1493" s="21">
        <v>-4.6193</v>
      </c>
      <c r="Y1493" s="21">
        <v>0.2507</v>
      </c>
      <c r="Z1493" s="21">
        <v>1.1547</v>
      </c>
      <c r="AA1493" s="16" t="s">
        <v>2620</v>
      </c>
      <c r="AB1493" s="22">
        <f>IFERROR(__xludf.DUMMYFUNCTION("IFERROR(GOOGLEFINANCE(B1493,""price""),"""")"),188.55)</f>
        <v>188.55</v>
      </c>
    </row>
    <row r="1494">
      <c r="A1494" s="7">
        <v>46080.62722809688</v>
      </c>
      <c r="B1494" s="8" t="s">
        <v>3944</v>
      </c>
      <c r="C1494" s="8" t="s">
        <v>3945</v>
      </c>
      <c r="D1494" s="9">
        <v>46082.0</v>
      </c>
      <c r="E1494" s="10">
        <v>131.12</v>
      </c>
      <c r="F1494" s="8" t="s">
        <v>917</v>
      </c>
      <c r="G1494" s="13">
        <v>20.7721</v>
      </c>
      <c r="H1494" s="13">
        <v>6.3123</v>
      </c>
      <c r="I1494" s="9">
        <v>46101.0</v>
      </c>
      <c r="J1494" s="10">
        <v>130.0</v>
      </c>
      <c r="K1494" s="8">
        <v>9209.0</v>
      </c>
      <c r="L1494" s="8" t="s">
        <v>2608</v>
      </c>
      <c r="M1494" s="11">
        <v>0.85</v>
      </c>
      <c r="N1494" s="8" t="s">
        <v>4045</v>
      </c>
      <c r="O1494" s="8">
        <v>9209.0</v>
      </c>
      <c r="P1494" s="11">
        <v>29.8083</v>
      </c>
      <c r="Q1494" s="8" t="s">
        <v>3947</v>
      </c>
      <c r="R1494" s="11">
        <v>1.4625</v>
      </c>
      <c r="S1494" s="12">
        <v>2624738.0</v>
      </c>
      <c r="T1494" s="12">
        <v>1.01966940369E11</v>
      </c>
      <c r="U1494" s="13">
        <v>2.158</v>
      </c>
      <c r="V1494" s="13">
        <v>9.7422</v>
      </c>
      <c r="W1494" s="13">
        <v>26.6061</v>
      </c>
      <c r="X1494" s="13">
        <v>6.193</v>
      </c>
      <c r="Y1494" s="13">
        <v>1.7528</v>
      </c>
      <c r="Z1494" s="13">
        <v>0.5518</v>
      </c>
      <c r="AA1494" s="8" t="s">
        <v>2611</v>
      </c>
      <c r="AB1494" s="14">
        <f>IFERROR(__xludf.DUMMYFUNCTION("IFERROR(GOOGLEFINANCE(B1494,""price""),"""")"),131.79)</f>
        <v>131.79</v>
      </c>
    </row>
    <row r="1495">
      <c r="A1495" s="15">
        <v>46080.62722809688</v>
      </c>
      <c r="B1495" s="16" t="s">
        <v>3416</v>
      </c>
      <c r="C1495" s="16" t="s">
        <v>3417</v>
      </c>
      <c r="D1495" s="17">
        <v>46082.0</v>
      </c>
      <c r="E1495" s="18">
        <v>69.18</v>
      </c>
      <c r="F1495" s="16" t="s">
        <v>286</v>
      </c>
      <c r="G1495" s="21">
        <v>16.8047</v>
      </c>
      <c r="H1495" s="21">
        <v>4.1167</v>
      </c>
      <c r="I1495" s="17">
        <v>46080.0</v>
      </c>
      <c r="J1495" s="18">
        <v>70.0</v>
      </c>
      <c r="K1495" s="16">
        <v>4930.0</v>
      </c>
      <c r="L1495" s="16" t="s">
        <v>2608</v>
      </c>
      <c r="M1495" s="19">
        <v>1.19</v>
      </c>
      <c r="N1495" s="16" t="s">
        <v>4046</v>
      </c>
      <c r="O1495" s="16">
        <v>8581.0</v>
      </c>
      <c r="P1495" s="19">
        <v>35.4532</v>
      </c>
      <c r="Q1495" s="16" t="s">
        <v>3419</v>
      </c>
      <c r="R1495" s="19">
        <v>-0.4174</v>
      </c>
      <c r="S1495" s="20">
        <v>6913993.0</v>
      </c>
      <c r="T1495" s="20">
        <v>1.15661910604E11</v>
      </c>
      <c r="U1495" s="21">
        <v>1.4023</v>
      </c>
      <c r="V1495" s="21"/>
      <c r="W1495" s="21">
        <v>63.8109</v>
      </c>
      <c r="X1495" s="21">
        <v>-1.3989</v>
      </c>
      <c r="Y1495" s="21"/>
      <c r="Z1495" s="21">
        <v>0.648</v>
      </c>
      <c r="AA1495" s="16" t="s">
        <v>2620</v>
      </c>
      <c r="AB1495" s="22">
        <f>IFERROR(__xludf.DUMMYFUNCTION("IFERROR(GOOGLEFINANCE(B1495,""price""),"""")"),67.38)</f>
        <v>67.38</v>
      </c>
    </row>
    <row r="1496">
      <c r="A1496" s="7">
        <v>46080.62722809688</v>
      </c>
      <c r="B1496" s="8" t="s">
        <v>2804</v>
      </c>
      <c r="C1496" s="8" t="s">
        <v>2805</v>
      </c>
      <c r="D1496" s="9">
        <v>46082.0</v>
      </c>
      <c r="E1496" s="10">
        <v>150.67</v>
      </c>
      <c r="F1496" s="8" t="s">
        <v>308</v>
      </c>
      <c r="G1496" s="13">
        <v>81.9349</v>
      </c>
      <c r="H1496" s="13">
        <v>1.8389</v>
      </c>
      <c r="I1496" s="9">
        <v>46080.0</v>
      </c>
      <c r="J1496" s="10">
        <v>150.0</v>
      </c>
      <c r="K1496" s="8">
        <v>3765.0</v>
      </c>
      <c r="L1496" s="8" t="s">
        <v>2627</v>
      </c>
      <c r="M1496" s="11">
        <v>0.44</v>
      </c>
      <c r="N1496" s="8" t="s">
        <v>4047</v>
      </c>
      <c r="O1496" s="8">
        <v>7241.0</v>
      </c>
      <c r="P1496" s="11">
        <v>49.1666</v>
      </c>
      <c r="Q1496" s="8" t="s">
        <v>2807</v>
      </c>
      <c r="R1496" s="11">
        <v>0.2462</v>
      </c>
      <c r="S1496" s="12">
        <v>1.0406211E7</v>
      </c>
      <c r="T1496" s="12">
        <v>1.29267045883E11</v>
      </c>
      <c r="U1496" s="13">
        <v>7.3715</v>
      </c>
      <c r="V1496" s="13">
        <v>14.1911</v>
      </c>
      <c r="W1496" s="13">
        <v>15.3241</v>
      </c>
      <c r="X1496" s="13">
        <v>19.1416</v>
      </c>
      <c r="Y1496" s="13">
        <v>0.7942</v>
      </c>
      <c r="Z1496" s="13">
        <v>1.5878</v>
      </c>
      <c r="AA1496" s="8" t="s">
        <v>2611</v>
      </c>
      <c r="AB1496" s="14">
        <f>IFERROR(__xludf.DUMMYFUNCTION("IFERROR(GOOGLEFINANCE(B1496,""price""),"""")"),171.24)</f>
        <v>171.24</v>
      </c>
    </row>
    <row r="1497">
      <c r="A1497" s="15">
        <v>46080.62722809688</v>
      </c>
      <c r="B1497" s="16" t="s">
        <v>3713</v>
      </c>
      <c r="C1497" s="16" t="s">
        <v>3714</v>
      </c>
      <c r="D1497" s="17">
        <v>46082.0</v>
      </c>
      <c r="E1497" s="18">
        <v>163.1</v>
      </c>
      <c r="F1497" s="16" t="s">
        <v>149</v>
      </c>
      <c r="G1497" s="21"/>
      <c r="H1497" s="21">
        <v>-0.2349</v>
      </c>
      <c r="I1497" s="17">
        <v>46101.0</v>
      </c>
      <c r="J1497" s="18">
        <v>160.0</v>
      </c>
      <c r="K1497" s="16">
        <v>6280.0</v>
      </c>
      <c r="L1497" s="16" t="s">
        <v>2608</v>
      </c>
      <c r="M1497" s="19">
        <v>1.9</v>
      </c>
      <c r="N1497" s="16" t="s">
        <v>4048</v>
      </c>
      <c r="O1497" s="16">
        <v>6280.0</v>
      </c>
      <c r="P1497" s="19">
        <v>25.8756</v>
      </c>
      <c r="Q1497" s="16" t="s">
        <v>3716</v>
      </c>
      <c r="R1497" s="19">
        <v>3.2867</v>
      </c>
      <c r="S1497" s="20">
        <v>2866537.0</v>
      </c>
      <c r="T1497" s="20">
        <v>3.7899260881E10</v>
      </c>
      <c r="U1497" s="21">
        <v>5.4425</v>
      </c>
      <c r="V1497" s="21">
        <v>-24.6827</v>
      </c>
      <c r="W1497" s="21">
        <v>5.9214</v>
      </c>
      <c r="X1497" s="21">
        <v>8.8349</v>
      </c>
      <c r="Y1497" s="21">
        <v>38.3916</v>
      </c>
      <c r="Z1497" s="21">
        <v>0.9951</v>
      </c>
      <c r="AA1497" s="16" t="s">
        <v>2611</v>
      </c>
      <c r="AB1497" s="22">
        <f>IFERROR(__xludf.DUMMYFUNCTION("IFERROR(GOOGLEFINANCE(B1497,""price""),"""")"),160.59)</f>
        <v>160.59</v>
      </c>
    </row>
    <row r="1498">
      <c r="A1498" s="7">
        <v>46080.62722809688</v>
      </c>
      <c r="B1498" s="8" t="s">
        <v>3802</v>
      </c>
      <c r="C1498" s="8" t="s">
        <v>3803</v>
      </c>
      <c r="D1498" s="9">
        <v>46082.0</v>
      </c>
      <c r="E1498" s="10">
        <v>44.54</v>
      </c>
      <c r="F1498" s="8" t="s">
        <v>270</v>
      </c>
      <c r="G1498" s="13"/>
      <c r="H1498" s="13"/>
      <c r="I1498" s="9">
        <v>46101.0</v>
      </c>
      <c r="J1498" s="10">
        <v>45.0</v>
      </c>
      <c r="K1498" s="8">
        <v>6068.0</v>
      </c>
      <c r="L1498" s="8" t="s">
        <v>2608</v>
      </c>
      <c r="M1498" s="11">
        <v>1.03</v>
      </c>
      <c r="N1498" s="8" t="s">
        <v>4049</v>
      </c>
      <c r="O1498" s="8">
        <v>6068.0</v>
      </c>
      <c r="P1498" s="11">
        <v>29.8704</v>
      </c>
      <c r="Q1498" s="8" t="s">
        <v>3805</v>
      </c>
      <c r="R1498" s="11">
        <v>3.0303</v>
      </c>
      <c r="S1498" s="12">
        <v>1126264.0</v>
      </c>
      <c r="T1498" s="12">
        <v>4.659884972E9</v>
      </c>
      <c r="U1498" s="13">
        <v>1.2493</v>
      </c>
      <c r="V1498" s="13">
        <v>3.4054</v>
      </c>
      <c r="W1498" s="13">
        <v>34.4448</v>
      </c>
      <c r="X1498" s="13">
        <v>51.1384</v>
      </c>
      <c r="Y1498" s="13">
        <v>1.4965</v>
      </c>
      <c r="Z1498" s="13">
        <v>2.5453</v>
      </c>
      <c r="AA1498" s="8" t="s">
        <v>2620</v>
      </c>
      <c r="AB1498" s="14">
        <f>IFERROR(__xludf.DUMMYFUNCTION("IFERROR(GOOGLEFINANCE(B1498,""price""),"""")"),53.28)</f>
        <v>53.28</v>
      </c>
    </row>
    <row r="1499">
      <c r="A1499" s="15">
        <v>46080.62722809688</v>
      </c>
      <c r="B1499" s="16" t="s">
        <v>2692</v>
      </c>
      <c r="C1499" s="16" t="s">
        <v>2693</v>
      </c>
      <c r="D1499" s="17">
        <v>46082.0</v>
      </c>
      <c r="E1499" s="18">
        <v>247.78</v>
      </c>
      <c r="F1499" s="16" t="s">
        <v>117</v>
      </c>
      <c r="G1499" s="21">
        <v>22.4321</v>
      </c>
      <c r="H1499" s="21">
        <v>11.0458</v>
      </c>
      <c r="I1499" s="17">
        <v>46080.0</v>
      </c>
      <c r="J1499" s="18">
        <v>245.0</v>
      </c>
      <c r="K1499" s="16">
        <v>3139.0</v>
      </c>
      <c r="L1499" s="16" t="s">
        <v>2608</v>
      </c>
      <c r="M1499" s="19">
        <v>1.12</v>
      </c>
      <c r="N1499" s="16" t="s">
        <v>4050</v>
      </c>
      <c r="O1499" s="16">
        <v>5613.0</v>
      </c>
      <c r="P1499" s="19">
        <v>39.5827</v>
      </c>
      <c r="Q1499" s="16" t="s">
        <v>2695</v>
      </c>
      <c r="R1499" s="19">
        <v>1.7702</v>
      </c>
      <c r="S1499" s="20">
        <v>4437199.0</v>
      </c>
      <c r="T1499" s="20">
        <v>5.97124758824E11</v>
      </c>
      <c r="U1499" s="21">
        <v>3.8819</v>
      </c>
      <c r="V1499" s="21">
        <v>35.0301</v>
      </c>
      <c r="W1499" s="21">
        <v>27.2081</v>
      </c>
      <c r="X1499" s="21">
        <v>6.046</v>
      </c>
      <c r="Y1499" s="21">
        <v>0.605</v>
      </c>
      <c r="Z1499" s="21">
        <v>1.0277</v>
      </c>
      <c r="AA1499" s="16" t="s">
        <v>2611</v>
      </c>
      <c r="AB1499" s="22">
        <f>IFERROR(__xludf.DUMMYFUNCTION("IFERROR(GOOGLEFINANCE(B1499,""price""),"""")"),238.46)</f>
        <v>238.46</v>
      </c>
    </row>
    <row r="1500">
      <c r="A1500" s="7">
        <v>46080.62722809688</v>
      </c>
      <c r="B1500" s="8" t="s">
        <v>2700</v>
      </c>
      <c r="C1500" s="8" t="s">
        <v>2701</v>
      </c>
      <c r="D1500" s="9">
        <v>46082.0</v>
      </c>
      <c r="E1500" s="10">
        <v>237.52</v>
      </c>
      <c r="F1500" s="8" t="s">
        <v>102</v>
      </c>
      <c r="G1500" s="13">
        <v>48.6791</v>
      </c>
      <c r="H1500" s="13">
        <v>4.8793</v>
      </c>
      <c r="I1500" s="9">
        <v>46080.0</v>
      </c>
      <c r="J1500" s="10">
        <v>237.5</v>
      </c>
      <c r="K1500" s="8">
        <v>2582.0</v>
      </c>
      <c r="L1500" s="8" t="s">
        <v>2627</v>
      </c>
      <c r="M1500" s="11">
        <v>0.01</v>
      </c>
      <c r="N1500" s="8" t="s">
        <v>4051</v>
      </c>
      <c r="O1500" s="8">
        <v>5467.0</v>
      </c>
      <c r="P1500" s="11">
        <v>30.6888</v>
      </c>
      <c r="Q1500" s="8" t="s">
        <v>2703</v>
      </c>
      <c r="R1500" s="11">
        <v>-0.6483</v>
      </c>
      <c r="S1500" s="12">
        <v>4364285.0</v>
      </c>
      <c r="T1500" s="12">
        <v>2.96608096079E11</v>
      </c>
      <c r="U1500" s="13">
        <v>11.6153</v>
      </c>
      <c r="V1500" s="13">
        <v>65.5649</v>
      </c>
      <c r="W1500" s="13">
        <v>33.7646</v>
      </c>
      <c r="X1500" s="13">
        <v>26.8457</v>
      </c>
      <c r="Y1500" s="13">
        <v>0.4419</v>
      </c>
      <c r="Z1500" s="13">
        <v>2.2562</v>
      </c>
      <c r="AA1500" s="8" t="s">
        <v>2611</v>
      </c>
      <c r="AB1500" s="14">
        <f>IFERROR(__xludf.DUMMYFUNCTION("IFERROR(GOOGLEFINANCE(B1500,""price""),"""")"),263.66)</f>
        <v>263.66</v>
      </c>
    </row>
    <row r="1501">
      <c r="A1501" s="15">
        <v>46080.62722809688</v>
      </c>
      <c r="B1501" s="16" t="s">
        <v>2621</v>
      </c>
      <c r="C1501" s="16" t="s">
        <v>2622</v>
      </c>
      <c r="D1501" s="17">
        <v>46082.0</v>
      </c>
      <c r="E1501" s="18">
        <v>68.135</v>
      </c>
      <c r="F1501" s="16" t="s">
        <v>335</v>
      </c>
      <c r="G1501" s="21">
        <v>45.0033</v>
      </c>
      <c r="H1501" s="21">
        <v>1.514</v>
      </c>
      <c r="I1501" s="17">
        <v>46080.0</v>
      </c>
      <c r="J1501" s="18">
        <v>69.0</v>
      </c>
      <c r="K1501" s="16">
        <v>2459.0</v>
      </c>
      <c r="L1501" s="16" t="s">
        <v>2627</v>
      </c>
      <c r="M1501" s="19">
        <v>1.27</v>
      </c>
      <c r="N1501" s="16" t="s">
        <v>4052</v>
      </c>
      <c r="O1501" s="16">
        <v>5384.0</v>
      </c>
      <c r="P1501" s="19">
        <v>30.1091</v>
      </c>
      <c r="Q1501" s="16" t="s">
        <v>2624</v>
      </c>
      <c r="R1501" s="19">
        <v>-0.3583</v>
      </c>
      <c r="S1501" s="20">
        <v>1.1003878E7</v>
      </c>
      <c r="T1501" s="20">
        <v>9.7923731181E10</v>
      </c>
      <c r="U1501" s="21">
        <v>2.7776</v>
      </c>
      <c r="V1501" s="21">
        <v>11.9792</v>
      </c>
      <c r="W1501" s="21">
        <v>22.7913</v>
      </c>
      <c r="X1501" s="21">
        <v>-0.0477</v>
      </c>
      <c r="Y1501" s="21">
        <v>0.5552</v>
      </c>
      <c r="Z1501" s="21">
        <v>2.2911</v>
      </c>
      <c r="AA1501" s="16" t="s">
        <v>2620</v>
      </c>
      <c r="AB1501" s="22">
        <f>IFERROR(__xludf.DUMMYFUNCTION("IFERROR(GOOGLEFINANCE(B1501,""price""),"""")"),67.8)</f>
        <v>67.8</v>
      </c>
    </row>
    <row r="1502">
      <c r="A1502" s="7">
        <v>46080.62722809688</v>
      </c>
      <c r="B1502" s="8" t="s">
        <v>2672</v>
      </c>
      <c r="C1502" s="8" t="s">
        <v>2673</v>
      </c>
      <c r="D1502" s="9">
        <v>46082.0</v>
      </c>
      <c r="E1502" s="10">
        <v>50.115</v>
      </c>
      <c r="F1502" s="8" t="s">
        <v>107</v>
      </c>
      <c r="G1502" s="13"/>
      <c r="H1502" s="13">
        <v>-1.865</v>
      </c>
      <c r="I1502" s="9">
        <v>46101.0</v>
      </c>
      <c r="J1502" s="10">
        <v>50.0</v>
      </c>
      <c r="K1502" s="8">
        <v>2665.0</v>
      </c>
      <c r="L1502" s="8" t="s">
        <v>2608</v>
      </c>
      <c r="M1502" s="11">
        <v>0.23</v>
      </c>
      <c r="N1502" s="8" t="s">
        <v>4053</v>
      </c>
      <c r="O1502" s="8">
        <v>3789.0</v>
      </c>
      <c r="P1502" s="11">
        <v>45.3762</v>
      </c>
      <c r="Q1502" s="8" t="s">
        <v>2675</v>
      </c>
      <c r="R1502" s="11">
        <v>-0.4667</v>
      </c>
      <c r="S1502" s="12">
        <v>1442146.0</v>
      </c>
      <c r="T1502" s="12">
        <v>2.0493218555E10</v>
      </c>
      <c r="U1502" s="13">
        <v>1.3804</v>
      </c>
      <c r="V1502" s="13">
        <v>-0.805</v>
      </c>
      <c r="W1502" s="13">
        <v>16.2067</v>
      </c>
      <c r="X1502" s="13">
        <v>-10.4796</v>
      </c>
      <c r="Y1502" s="13">
        <v>0.2451</v>
      </c>
      <c r="Z1502" s="13">
        <v>2.4187</v>
      </c>
      <c r="AA1502" s="8" t="s">
        <v>2611</v>
      </c>
      <c r="AB1502" s="14">
        <f>IFERROR(__xludf.DUMMYFUNCTION("IFERROR(GOOGLEFINANCE(B1502,""price""),"""")"),47.25)</f>
        <v>47.25</v>
      </c>
    </row>
    <row r="1503">
      <c r="A1503" s="15">
        <v>46080.62722809688</v>
      </c>
      <c r="B1503" s="16" t="s">
        <v>3505</v>
      </c>
      <c r="C1503" s="16" t="s">
        <v>3506</v>
      </c>
      <c r="D1503" s="17">
        <v>46082.0</v>
      </c>
      <c r="E1503" s="18">
        <v>263.35</v>
      </c>
      <c r="F1503" s="16" t="s">
        <v>102</v>
      </c>
      <c r="G1503" s="21">
        <v>40.9647</v>
      </c>
      <c r="H1503" s="21">
        <v>6.4287</v>
      </c>
      <c r="I1503" s="17">
        <v>46101.0</v>
      </c>
      <c r="J1503" s="18">
        <v>260.0</v>
      </c>
      <c r="K1503" s="16">
        <v>2258.0</v>
      </c>
      <c r="L1503" s="16" t="s">
        <v>2627</v>
      </c>
      <c r="M1503" s="19">
        <v>1.27</v>
      </c>
      <c r="N1503" s="16" t="s">
        <v>4054</v>
      </c>
      <c r="O1503" s="16">
        <v>3336.0</v>
      </c>
      <c r="P1503" s="19">
        <v>30.1345</v>
      </c>
      <c r="Q1503" s="16" t="s">
        <v>3508</v>
      </c>
      <c r="R1503" s="19">
        <v>-3.1481</v>
      </c>
      <c r="S1503" s="20">
        <v>1017935.0</v>
      </c>
      <c r="T1503" s="20">
        <v>2.7808514268E10</v>
      </c>
      <c r="U1503" s="21">
        <v>11.5134</v>
      </c>
      <c r="V1503" s="21">
        <v>47.872</v>
      </c>
      <c r="W1503" s="21">
        <v>5.014</v>
      </c>
      <c r="X1503" s="21">
        <v>13.1793</v>
      </c>
      <c r="Y1503" s="21">
        <v>2.506</v>
      </c>
      <c r="Z1503" s="21">
        <v>0.9887</v>
      </c>
      <c r="AA1503" s="16" t="s">
        <v>2611</v>
      </c>
      <c r="AB1503" s="22">
        <f>IFERROR(__xludf.DUMMYFUNCTION("IFERROR(GOOGLEFINANCE(B1503,""price""),"""")"),299.5)</f>
        <v>299.5</v>
      </c>
    </row>
    <row r="1504">
      <c r="A1504" s="7">
        <v>46080.62722809688</v>
      </c>
      <c r="B1504" s="8" t="s">
        <v>2297</v>
      </c>
      <c r="C1504" s="8" t="s">
        <v>2298</v>
      </c>
      <c r="D1504" s="9">
        <v>46082.0</v>
      </c>
      <c r="E1504" s="10">
        <v>107.04</v>
      </c>
      <c r="F1504" s="8" t="s">
        <v>917</v>
      </c>
      <c r="G1504" s="13">
        <v>27.3592</v>
      </c>
      <c r="H1504" s="13">
        <v>3.9124</v>
      </c>
      <c r="I1504" s="9">
        <v>46101.0</v>
      </c>
      <c r="J1504" s="10">
        <v>105.0</v>
      </c>
      <c r="K1504" s="8">
        <v>3239.0</v>
      </c>
      <c r="L1504" s="8" t="s">
        <v>2608</v>
      </c>
      <c r="M1504" s="11">
        <v>1.91</v>
      </c>
      <c r="N1504" s="8" t="s">
        <v>4055</v>
      </c>
      <c r="O1504" s="8">
        <v>3239.0</v>
      </c>
      <c r="P1504" s="11">
        <v>38.262</v>
      </c>
      <c r="Q1504" s="8" t="s">
        <v>2299</v>
      </c>
      <c r="R1504" s="11">
        <v>1.239</v>
      </c>
      <c r="S1504" s="12">
        <v>1147133.0</v>
      </c>
      <c r="T1504" s="12">
        <v>4.8488033761E10</v>
      </c>
      <c r="U1504" s="13">
        <v>2.0416</v>
      </c>
      <c r="V1504" s="13">
        <v>10.931</v>
      </c>
      <c r="W1504" s="13">
        <v>22.9697</v>
      </c>
      <c r="X1504" s="13">
        <v>8.3782</v>
      </c>
      <c r="Y1504" s="13">
        <v>1.8276</v>
      </c>
      <c r="Z1504" s="13">
        <v>0.7243</v>
      </c>
      <c r="AA1504" s="8" t="s">
        <v>2611</v>
      </c>
      <c r="AB1504" s="14">
        <f>IFERROR(__xludf.DUMMYFUNCTION("IFERROR(GOOGLEFINANCE(B1504,""price""),"""")"),116.47)</f>
        <v>116.47</v>
      </c>
    </row>
    <row r="1505">
      <c r="A1505" s="15">
        <v>46080.62722809688</v>
      </c>
      <c r="B1505" s="16" t="s">
        <v>3845</v>
      </c>
      <c r="C1505" s="16" t="s">
        <v>3846</v>
      </c>
      <c r="D1505" s="17">
        <v>46082.0</v>
      </c>
      <c r="E1505" s="18">
        <v>90.94</v>
      </c>
      <c r="F1505" s="16" t="s">
        <v>129</v>
      </c>
      <c r="G1505" s="21">
        <v>24.4581</v>
      </c>
      <c r="H1505" s="21">
        <v>3.7182</v>
      </c>
      <c r="I1505" s="17">
        <v>46101.0</v>
      </c>
      <c r="J1505" s="18">
        <v>90.0</v>
      </c>
      <c r="K1505" s="16">
        <v>2975.0</v>
      </c>
      <c r="L1505" s="16" t="s">
        <v>2608</v>
      </c>
      <c r="M1505" s="19">
        <v>1.03</v>
      </c>
      <c r="N1505" s="16" t="s">
        <v>4056</v>
      </c>
      <c r="O1505" s="16">
        <v>2975.0</v>
      </c>
      <c r="P1505" s="19">
        <v>54.7141</v>
      </c>
      <c r="Q1505" s="16" t="s">
        <v>3848</v>
      </c>
      <c r="R1505" s="19">
        <v>2.0422</v>
      </c>
      <c r="S1505" s="20">
        <v>1519973.0</v>
      </c>
      <c r="T1505" s="20">
        <v>4.3553955932E10</v>
      </c>
      <c r="U1505" s="21">
        <v>1.8334</v>
      </c>
      <c r="V1505" s="21">
        <v>83.6397</v>
      </c>
      <c r="W1505" s="21">
        <v>4.1986</v>
      </c>
      <c r="X1505" s="21">
        <v>2.576</v>
      </c>
      <c r="Y1505" s="21">
        <v>6.5567</v>
      </c>
      <c r="Z1505" s="21">
        <v>1.2955</v>
      </c>
      <c r="AA1505" s="16" t="s">
        <v>2611</v>
      </c>
      <c r="AB1505" s="22">
        <f>IFERROR(__xludf.DUMMYFUNCTION("IFERROR(GOOGLEFINANCE(B1505,""price""),"""")"),72.82)</f>
        <v>72.82</v>
      </c>
    </row>
    <row r="1506">
      <c r="A1506" s="7">
        <v>46080.62722809688</v>
      </c>
      <c r="B1506" s="8" t="s">
        <v>1077</v>
      </c>
      <c r="C1506" s="8" t="s">
        <v>1078</v>
      </c>
      <c r="D1506" s="9">
        <v>46082.0</v>
      </c>
      <c r="E1506" s="10">
        <v>8.8898</v>
      </c>
      <c r="F1506" s="8" t="s">
        <v>335</v>
      </c>
      <c r="G1506" s="13"/>
      <c r="H1506" s="13">
        <v>-0.041</v>
      </c>
      <c r="I1506" s="9">
        <v>46080.0</v>
      </c>
      <c r="J1506" s="10">
        <v>9.0</v>
      </c>
      <c r="K1506" s="8">
        <v>2856.0</v>
      </c>
      <c r="L1506" s="8" t="s">
        <v>2608</v>
      </c>
      <c r="M1506" s="11">
        <v>1.24</v>
      </c>
      <c r="N1506" s="8" t="s">
        <v>4057</v>
      </c>
      <c r="O1506" s="8">
        <v>2856.0</v>
      </c>
      <c r="P1506" s="11">
        <v>18.0052</v>
      </c>
      <c r="Q1506" s="8" t="s">
        <v>1079</v>
      </c>
      <c r="R1506" s="11">
        <v>-0.2267</v>
      </c>
      <c r="S1506" s="12">
        <v>6577139.0</v>
      </c>
      <c r="T1506" s="12">
        <v>1.24488858E9</v>
      </c>
      <c r="U1506" s="13">
        <v>0.9224</v>
      </c>
      <c r="V1506" s="13">
        <v>-10.5913</v>
      </c>
      <c r="W1506" s="13">
        <v>-18.9471</v>
      </c>
      <c r="X1506" s="13">
        <v>240.123</v>
      </c>
      <c r="Y1506" s="13">
        <v>0.0037</v>
      </c>
      <c r="Z1506" s="13">
        <v>5.0784</v>
      </c>
      <c r="AA1506" s="8" t="s">
        <v>2620</v>
      </c>
      <c r="AB1506" s="14">
        <f>IFERROR(__xludf.DUMMYFUNCTION("IFERROR(GOOGLEFINANCE(B1506,""price""),"""")"),8.36)</f>
        <v>8.36</v>
      </c>
    </row>
    <row r="1507">
      <c r="A1507" s="15">
        <v>46080.62722809688</v>
      </c>
      <c r="B1507" s="16" t="s">
        <v>3834</v>
      </c>
      <c r="C1507" s="16" t="s">
        <v>3835</v>
      </c>
      <c r="D1507" s="17">
        <v>46082.0</v>
      </c>
      <c r="E1507" s="18">
        <v>177.97</v>
      </c>
      <c r="F1507" s="16" t="s">
        <v>917</v>
      </c>
      <c r="G1507" s="21">
        <v>45.074</v>
      </c>
      <c r="H1507" s="21">
        <v>3.9484</v>
      </c>
      <c r="I1507" s="17">
        <v>46080.0</v>
      </c>
      <c r="J1507" s="18">
        <v>180.0</v>
      </c>
      <c r="K1507" s="16">
        <v>1549.0</v>
      </c>
      <c r="L1507" s="16" t="s">
        <v>2608</v>
      </c>
      <c r="M1507" s="19">
        <v>1.14</v>
      </c>
      <c r="N1507" s="16" t="s">
        <v>4058</v>
      </c>
      <c r="O1507" s="16">
        <v>2776.0</v>
      </c>
      <c r="P1507" s="19">
        <v>21.1498</v>
      </c>
      <c r="Q1507" s="16" t="s">
        <v>3837</v>
      </c>
      <c r="R1507" s="19">
        <v>-1.8584</v>
      </c>
      <c r="S1507" s="20">
        <v>1398183.0</v>
      </c>
      <c r="T1507" s="20">
        <v>3.8206163028E10</v>
      </c>
      <c r="U1507" s="21">
        <v>7.8091</v>
      </c>
      <c r="V1507" s="21">
        <v>41.5484</v>
      </c>
      <c r="W1507" s="21">
        <v>4.7925</v>
      </c>
      <c r="X1507" s="21">
        <v>9.1566</v>
      </c>
      <c r="Y1507" s="21">
        <v>9.8882</v>
      </c>
      <c r="Z1507" s="21">
        <v>1.6374</v>
      </c>
      <c r="AA1507" s="16" t="s">
        <v>2620</v>
      </c>
      <c r="AB1507" s="22">
        <f>IFERROR(__xludf.DUMMYFUNCTION("IFERROR(GOOGLEFINANCE(B1507,""price""),"""")"),164.07)</f>
        <v>164.07</v>
      </c>
    </row>
    <row r="1508">
      <c r="A1508" s="7">
        <v>46080.62722809688</v>
      </c>
      <c r="B1508" s="8" t="s">
        <v>3553</v>
      </c>
      <c r="C1508" s="8" t="s">
        <v>3554</v>
      </c>
      <c r="D1508" s="9">
        <v>46082.0</v>
      </c>
      <c r="E1508" s="10">
        <v>160.98</v>
      </c>
      <c r="F1508" s="8" t="s">
        <v>137</v>
      </c>
      <c r="G1508" s="13">
        <v>33.0297</v>
      </c>
      <c r="H1508" s="13">
        <v>4.8738</v>
      </c>
      <c r="I1508" s="9">
        <v>46080.0</v>
      </c>
      <c r="J1508" s="10">
        <v>160.0</v>
      </c>
      <c r="K1508" s="8">
        <v>2363.0</v>
      </c>
      <c r="L1508" s="8" t="s">
        <v>2608</v>
      </c>
      <c r="M1508" s="11">
        <v>0.61</v>
      </c>
      <c r="N1508" s="8" t="s">
        <v>4059</v>
      </c>
      <c r="O1508" s="8">
        <v>2363.0</v>
      </c>
      <c r="P1508" s="11">
        <v>19.3682</v>
      </c>
      <c r="Q1508" s="8" t="s">
        <v>3556</v>
      </c>
      <c r="R1508" s="11">
        <v>1.4431</v>
      </c>
      <c r="S1508" s="12">
        <v>2786584.0</v>
      </c>
      <c r="T1508" s="12">
        <v>1.78763006664E11</v>
      </c>
      <c r="U1508" s="13">
        <v>3.183</v>
      </c>
      <c r="V1508" s="13">
        <v>59.1293</v>
      </c>
      <c r="W1508" s="13">
        <v>12.0172</v>
      </c>
      <c r="X1508" s="13">
        <v>7.1185</v>
      </c>
      <c r="Y1508" s="13">
        <v>1.3237</v>
      </c>
      <c r="Z1508" s="13">
        <v>1.1378</v>
      </c>
      <c r="AA1508" s="8" t="s">
        <v>2611</v>
      </c>
      <c r="AB1508" s="14">
        <f>IFERROR(__xludf.DUMMYFUNCTION("IFERROR(GOOGLEFINANCE(B1508,""price""),"""")"),161.6)</f>
        <v>161.6</v>
      </c>
    </row>
    <row r="1509">
      <c r="A1509" s="15">
        <v>46080.62722809688</v>
      </c>
      <c r="B1509" s="16" t="s">
        <v>2710</v>
      </c>
      <c r="C1509" s="16" t="s">
        <v>2711</v>
      </c>
      <c r="D1509" s="17">
        <v>46082.0</v>
      </c>
      <c r="E1509" s="18">
        <v>134.1</v>
      </c>
      <c r="F1509" s="16" t="s">
        <v>917</v>
      </c>
      <c r="G1509" s="21">
        <v>20.1354</v>
      </c>
      <c r="H1509" s="21">
        <v>6.6599</v>
      </c>
      <c r="I1509" s="17">
        <v>46101.0</v>
      </c>
      <c r="J1509" s="18">
        <v>135.0</v>
      </c>
      <c r="K1509" s="16">
        <v>2178.0</v>
      </c>
      <c r="L1509" s="16" t="s">
        <v>2608</v>
      </c>
      <c r="M1509" s="19">
        <v>0.67</v>
      </c>
      <c r="N1509" s="16" t="s">
        <v>4060</v>
      </c>
      <c r="O1509" s="16">
        <v>2178.0</v>
      </c>
      <c r="P1509" s="19">
        <v>44.9657</v>
      </c>
      <c r="Q1509" s="16" t="s">
        <v>2713</v>
      </c>
      <c r="R1509" s="19">
        <v>1.514</v>
      </c>
      <c r="S1509" s="20">
        <v>1530425.0</v>
      </c>
      <c r="T1509" s="20">
        <v>7.2529532007E10</v>
      </c>
      <c r="U1509" s="21">
        <v>2.4944</v>
      </c>
      <c r="V1509" s="21">
        <v>12.3274</v>
      </c>
      <c r="W1509" s="21">
        <v>25.0742</v>
      </c>
      <c r="X1509" s="21">
        <v>10.4587</v>
      </c>
      <c r="Y1509" s="21">
        <v>1.5949</v>
      </c>
      <c r="Z1509" s="21">
        <v>0.4546</v>
      </c>
      <c r="AA1509" s="16" t="s">
        <v>2620</v>
      </c>
      <c r="AB1509" s="22">
        <f>IFERROR(__xludf.DUMMYFUNCTION("IFERROR(GOOGLEFINANCE(B1509,""price""),"""")"),136.3)</f>
        <v>136.3</v>
      </c>
    </row>
    <row r="1510">
      <c r="A1510" s="7">
        <v>46080.62722809688</v>
      </c>
      <c r="B1510" s="8" t="s">
        <v>4061</v>
      </c>
      <c r="C1510" s="8" t="s">
        <v>4062</v>
      </c>
      <c r="D1510" s="9">
        <v>46082.0</v>
      </c>
      <c r="E1510" s="10">
        <v>1000.82</v>
      </c>
      <c r="F1510" s="8" t="s">
        <v>137</v>
      </c>
      <c r="G1510" s="13">
        <v>53.6107</v>
      </c>
      <c r="H1510" s="13">
        <v>18.6683</v>
      </c>
      <c r="I1510" s="9">
        <v>46080.0</v>
      </c>
      <c r="J1510" s="10">
        <v>1020.0</v>
      </c>
      <c r="K1510" s="8">
        <v>1099.0</v>
      </c>
      <c r="L1510" s="8" t="s">
        <v>2608</v>
      </c>
      <c r="M1510" s="11">
        <v>1.92</v>
      </c>
      <c r="N1510" s="8" t="s">
        <v>4063</v>
      </c>
      <c r="O1510" s="8">
        <v>2137.0</v>
      </c>
      <c r="P1510" s="11">
        <v>23.4166</v>
      </c>
      <c r="Q1510" s="8" t="s">
        <v>4064</v>
      </c>
      <c r="R1510" s="11">
        <v>1.4269</v>
      </c>
      <c r="S1510" s="12">
        <v>1285910.0</v>
      </c>
      <c r="T1510" s="12">
        <v>4.44233383807E11</v>
      </c>
      <c r="U1510" s="13">
        <v>19.0348</v>
      </c>
      <c r="V1510" s="13">
        <v>30.3247</v>
      </c>
      <c r="W1510" s="13">
        <v>3.7983</v>
      </c>
      <c r="X1510" s="13">
        <v>8.3406</v>
      </c>
      <c r="Y1510" s="13">
        <v>0.2697</v>
      </c>
      <c r="Z1510" s="13">
        <v>1.0384</v>
      </c>
      <c r="AA1510" s="8" t="s">
        <v>2620</v>
      </c>
      <c r="AB1510" s="14">
        <f>IFERROR(__xludf.DUMMYFUNCTION("IFERROR(GOOGLEFINANCE(B1510,""price""),"""")"),998.47)</f>
        <v>998.47</v>
      </c>
    </row>
    <row r="1511">
      <c r="A1511" s="15">
        <v>46080.62722809688</v>
      </c>
      <c r="B1511" s="16" t="s">
        <v>3291</v>
      </c>
      <c r="C1511" s="16" t="s">
        <v>3292</v>
      </c>
      <c r="D1511" s="17">
        <v>46082.0</v>
      </c>
      <c r="E1511" s="18">
        <v>240.79</v>
      </c>
      <c r="F1511" s="16" t="s">
        <v>270</v>
      </c>
      <c r="G1511" s="21">
        <v>35.9463</v>
      </c>
      <c r="H1511" s="21">
        <v>6.6986</v>
      </c>
      <c r="I1511" s="17">
        <v>46101.0</v>
      </c>
      <c r="J1511" s="18">
        <v>240.0</v>
      </c>
      <c r="K1511" s="16">
        <v>2121.0</v>
      </c>
      <c r="L1511" s="16" t="s">
        <v>2608</v>
      </c>
      <c r="M1511" s="19">
        <v>0.33</v>
      </c>
      <c r="N1511" s="16" t="s">
        <v>4065</v>
      </c>
      <c r="O1511" s="16">
        <v>2121.0</v>
      </c>
      <c r="P1511" s="19">
        <v>22.7582</v>
      </c>
      <c r="Q1511" s="16" t="s">
        <v>3294</v>
      </c>
      <c r="R1511" s="19">
        <v>2.9457</v>
      </c>
      <c r="S1511" s="20">
        <v>1260529.0</v>
      </c>
      <c r="T1511" s="20">
        <v>9.7119221115E10</v>
      </c>
      <c r="U1511" s="21">
        <v>4.7587</v>
      </c>
      <c r="V1511" s="21">
        <v>29.6897</v>
      </c>
      <c r="W1511" s="21">
        <v>18.2788</v>
      </c>
      <c r="X1511" s="21">
        <v>14.2365</v>
      </c>
      <c r="Y1511" s="21">
        <v>2.3941</v>
      </c>
      <c r="Z1511" s="21">
        <v>0.8888</v>
      </c>
      <c r="AA1511" s="16" t="s">
        <v>2611</v>
      </c>
      <c r="AB1511" s="22">
        <f>IFERROR(__xludf.DUMMYFUNCTION("IFERROR(GOOGLEFINANCE(B1511,""price""),"""")"),229.45)</f>
        <v>229.45</v>
      </c>
    </row>
    <row r="1512">
      <c r="A1512" s="7">
        <v>46080.62722809688</v>
      </c>
      <c r="B1512" s="8" t="s">
        <v>3922</v>
      </c>
      <c r="C1512" s="8" t="s">
        <v>3923</v>
      </c>
      <c r="D1512" s="9">
        <v>46082.0</v>
      </c>
      <c r="E1512" s="10">
        <v>83.42</v>
      </c>
      <c r="F1512" s="8" t="s">
        <v>917</v>
      </c>
      <c r="G1512" s="13">
        <v>24.3733</v>
      </c>
      <c r="H1512" s="13">
        <v>3.4226</v>
      </c>
      <c r="I1512" s="9">
        <v>46101.0</v>
      </c>
      <c r="J1512" s="10">
        <v>85.0</v>
      </c>
      <c r="K1512" s="8">
        <v>2049.0</v>
      </c>
      <c r="L1512" s="8" t="s">
        <v>2608</v>
      </c>
      <c r="M1512" s="11">
        <v>1.89</v>
      </c>
      <c r="N1512" s="8" t="s">
        <v>4066</v>
      </c>
      <c r="O1512" s="8">
        <v>2049.0</v>
      </c>
      <c r="P1512" s="11">
        <v>28.3579</v>
      </c>
      <c r="Q1512" s="8" t="s">
        <v>3925</v>
      </c>
      <c r="R1512" s="11">
        <v>-0.0599</v>
      </c>
      <c r="S1512" s="12">
        <v>3204788.0</v>
      </c>
      <c r="T1512" s="12">
        <v>5.2043806008E10</v>
      </c>
      <c r="U1512" s="13">
        <v>1.5033</v>
      </c>
      <c r="V1512" s="13">
        <v>9.3575</v>
      </c>
      <c r="W1512" s="13">
        <v>19.7928</v>
      </c>
      <c r="X1512" s="13">
        <v>8.9397</v>
      </c>
      <c r="Y1512" s="13">
        <v>1.5282</v>
      </c>
      <c r="Z1512" s="13">
        <v>0.7073</v>
      </c>
      <c r="AA1512" s="8" t="s">
        <v>2620</v>
      </c>
      <c r="AB1512" s="14">
        <f>IFERROR(__xludf.DUMMYFUNCTION("IFERROR(GOOGLEFINANCE(B1512,""price""),"""")"),82.38)</f>
        <v>82.38</v>
      </c>
    </row>
    <row r="1513">
      <c r="A1513" s="15">
        <v>46080.62722809688</v>
      </c>
      <c r="B1513" s="16" t="s">
        <v>2139</v>
      </c>
      <c r="C1513" s="16" t="s">
        <v>2140</v>
      </c>
      <c r="D1513" s="17">
        <v>46082.0</v>
      </c>
      <c r="E1513" s="18">
        <v>65.67</v>
      </c>
      <c r="F1513" s="16" t="s">
        <v>270</v>
      </c>
      <c r="G1513" s="21">
        <v>25.2092</v>
      </c>
      <c r="H1513" s="21">
        <v>2.605</v>
      </c>
      <c r="I1513" s="17">
        <v>46101.0</v>
      </c>
      <c r="J1513" s="18">
        <v>65.0</v>
      </c>
      <c r="K1513" s="16">
        <v>2040.0</v>
      </c>
      <c r="L1513" s="16" t="s">
        <v>2608</v>
      </c>
      <c r="M1513" s="19">
        <v>1.02</v>
      </c>
      <c r="N1513" s="16" t="s">
        <v>4067</v>
      </c>
      <c r="O1513" s="16">
        <v>2040.0</v>
      </c>
      <c r="P1513" s="19">
        <v>43.5444</v>
      </c>
      <c r="Q1513" s="16" t="s">
        <v>2141</v>
      </c>
      <c r="R1513" s="19">
        <v>1.1864</v>
      </c>
      <c r="S1513" s="20">
        <v>3585024.0</v>
      </c>
      <c r="T1513" s="20">
        <v>6.4897493219E10</v>
      </c>
      <c r="U1513" s="21">
        <v>1.6629</v>
      </c>
      <c r="V1513" s="21">
        <v>14.4868</v>
      </c>
      <c r="W1513" s="21">
        <v>12.8259</v>
      </c>
      <c r="X1513" s="21">
        <v>-0.345</v>
      </c>
      <c r="Y1513" s="21">
        <v>0.3558</v>
      </c>
      <c r="Z1513" s="21">
        <v>1.3568</v>
      </c>
      <c r="AA1513" s="16" t="s">
        <v>2611</v>
      </c>
      <c r="AB1513" s="22">
        <f>IFERROR(__xludf.DUMMYFUNCTION("IFERROR(GOOGLEFINANCE(B1513,""price""),"""")"),62.83)</f>
        <v>62.83</v>
      </c>
    </row>
    <row r="1514">
      <c r="A1514" s="7">
        <v>46080.62722809688</v>
      </c>
      <c r="B1514" s="8" t="s">
        <v>3684</v>
      </c>
      <c r="C1514" s="8" t="s">
        <v>3685</v>
      </c>
      <c r="D1514" s="9">
        <v>46082.0</v>
      </c>
      <c r="E1514" s="10">
        <v>38.93</v>
      </c>
      <c r="F1514" s="8" t="s">
        <v>917</v>
      </c>
      <c r="G1514" s="13">
        <v>24.5197</v>
      </c>
      <c r="H1514" s="13">
        <v>1.5877</v>
      </c>
      <c r="I1514" s="9">
        <v>46101.0</v>
      </c>
      <c r="J1514" s="10">
        <v>39.0</v>
      </c>
      <c r="K1514" s="8">
        <v>1988.0</v>
      </c>
      <c r="L1514" s="8" t="s">
        <v>2608</v>
      </c>
      <c r="M1514" s="11">
        <v>0.18</v>
      </c>
      <c r="N1514" s="8" t="s">
        <v>4068</v>
      </c>
      <c r="O1514" s="8">
        <v>1988.0</v>
      </c>
      <c r="P1514" s="11">
        <v>23.8495</v>
      </c>
      <c r="Q1514" s="8" t="s">
        <v>3687</v>
      </c>
      <c r="R1514" s="11">
        <v>0.8549</v>
      </c>
      <c r="S1514" s="12">
        <v>5109988.0</v>
      </c>
      <c r="T1514" s="12">
        <v>2.9248373492E10</v>
      </c>
      <c r="U1514" s="13">
        <v>0.7493</v>
      </c>
      <c r="V1514" s="13">
        <v>8.1497</v>
      </c>
      <c r="W1514" s="13">
        <v>23.6452</v>
      </c>
      <c r="X1514" s="13">
        <v>6.8542</v>
      </c>
      <c r="Y1514" s="13">
        <v>1.3003</v>
      </c>
      <c r="Z1514" s="13">
        <v>0.8647</v>
      </c>
      <c r="AA1514" s="8" t="s">
        <v>2620</v>
      </c>
      <c r="AB1514" s="14">
        <f>IFERROR(__xludf.DUMMYFUNCTION("IFERROR(GOOGLEFINANCE(B1514,""price""),"""")"),39.65)</f>
        <v>39.65</v>
      </c>
    </row>
    <row r="1515">
      <c r="A1515" s="15">
        <v>46080.62722809688</v>
      </c>
      <c r="B1515" s="16" t="s">
        <v>2768</v>
      </c>
      <c r="C1515" s="16" t="s">
        <v>2769</v>
      </c>
      <c r="D1515" s="17">
        <v>46082.0</v>
      </c>
      <c r="E1515" s="18">
        <v>284.3106</v>
      </c>
      <c r="F1515" s="16" t="s">
        <v>308</v>
      </c>
      <c r="G1515" s="21">
        <v>28.5432</v>
      </c>
      <c r="H1515" s="21">
        <v>9.9607</v>
      </c>
      <c r="I1515" s="17">
        <v>46080.0</v>
      </c>
      <c r="J1515" s="18">
        <v>280.0</v>
      </c>
      <c r="K1515" s="16">
        <v>1830.0</v>
      </c>
      <c r="L1515" s="16" t="s">
        <v>2627</v>
      </c>
      <c r="M1515" s="19">
        <v>1.52</v>
      </c>
      <c r="N1515" s="16" t="s">
        <v>4069</v>
      </c>
      <c r="O1515" s="16">
        <v>1830.0</v>
      </c>
      <c r="P1515" s="19">
        <v>31.8632</v>
      </c>
      <c r="Q1515" s="16" t="s">
        <v>2771</v>
      </c>
      <c r="R1515" s="19">
        <v>0.7301</v>
      </c>
      <c r="S1515" s="20">
        <v>5517267.0</v>
      </c>
      <c r="T1515" s="20">
        <v>9.6392078253E10</v>
      </c>
      <c r="U1515" s="21">
        <v>20.5932</v>
      </c>
      <c r="V1515" s="21">
        <v>41.2731</v>
      </c>
      <c r="W1515" s="21">
        <v>27.8834</v>
      </c>
      <c r="X1515" s="21">
        <v>-31.1967</v>
      </c>
      <c r="Y1515" s="21">
        <v>0.7076</v>
      </c>
      <c r="Z1515" s="21">
        <v>1.455</v>
      </c>
      <c r="AA1515" s="16" t="s">
        <v>2611</v>
      </c>
      <c r="AB1515" s="22">
        <f>IFERROR(__xludf.DUMMYFUNCTION("IFERROR(GOOGLEFINANCE(B1515,""price""),"""")"),343.43)</f>
        <v>343.43</v>
      </c>
    </row>
    <row r="1516">
      <c r="A1516" s="7">
        <v>46080.62722809688</v>
      </c>
      <c r="B1516" s="8" t="s">
        <v>2650</v>
      </c>
      <c r="C1516" s="8" t="s">
        <v>2651</v>
      </c>
      <c r="D1516" s="9">
        <v>46082.0</v>
      </c>
      <c r="E1516" s="10">
        <v>256.605</v>
      </c>
      <c r="F1516" s="8" t="s">
        <v>308</v>
      </c>
      <c r="G1516" s="13">
        <v>253.9638</v>
      </c>
      <c r="H1516" s="13">
        <v>1.0104</v>
      </c>
      <c r="I1516" s="9">
        <v>46080.0</v>
      </c>
      <c r="J1516" s="10">
        <v>260.0</v>
      </c>
      <c r="K1516" s="8">
        <v>1737.0</v>
      </c>
      <c r="L1516" s="8" t="s">
        <v>2608</v>
      </c>
      <c r="M1516" s="11">
        <v>1.32</v>
      </c>
      <c r="N1516" s="8" t="s">
        <v>4070</v>
      </c>
      <c r="O1516" s="8">
        <v>1737.0</v>
      </c>
      <c r="P1516" s="11">
        <v>19.0008</v>
      </c>
      <c r="Q1516" s="8" t="s">
        <v>2653</v>
      </c>
      <c r="R1516" s="11">
        <v>2.5846</v>
      </c>
      <c r="S1516" s="12">
        <v>4940423.0</v>
      </c>
      <c r="T1516" s="12">
        <v>4.8108781875E10</v>
      </c>
      <c r="U1516" s="13">
        <v>18.1635</v>
      </c>
      <c r="V1516" s="13">
        <v>3.6337</v>
      </c>
      <c r="W1516" s="13">
        <v>11.7943</v>
      </c>
      <c r="X1516" s="13">
        <v>18.6256</v>
      </c>
      <c r="Y1516" s="13">
        <v>0.4153</v>
      </c>
      <c r="Z1516" s="13">
        <v>2.2518</v>
      </c>
      <c r="AA1516" s="8" t="s">
        <v>2620</v>
      </c>
      <c r="AB1516" s="14">
        <f>IFERROR(__xludf.DUMMYFUNCTION("IFERROR(GOOGLEFINANCE(B1516,""price""),"""")"),307.5)</f>
        <v>307.5</v>
      </c>
    </row>
    <row r="1517">
      <c r="A1517" s="15">
        <v>46080.62722809688</v>
      </c>
      <c r="B1517" s="16" t="s">
        <v>1467</v>
      </c>
      <c r="C1517" s="16" t="s">
        <v>1468</v>
      </c>
      <c r="D1517" s="17">
        <v>46082.0</v>
      </c>
      <c r="E1517" s="18">
        <v>144.45</v>
      </c>
      <c r="F1517" s="16" t="s">
        <v>102</v>
      </c>
      <c r="G1517" s="21">
        <v>27.1737</v>
      </c>
      <c r="H1517" s="21">
        <v>5.3158</v>
      </c>
      <c r="I1517" s="17">
        <v>46101.0</v>
      </c>
      <c r="J1517" s="18">
        <v>145.0</v>
      </c>
      <c r="K1517" s="16">
        <v>1672.0</v>
      </c>
      <c r="L1517" s="16" t="s">
        <v>2608</v>
      </c>
      <c r="M1517" s="19">
        <v>0.38</v>
      </c>
      <c r="N1517" s="16" t="s">
        <v>4071</v>
      </c>
      <c r="O1517" s="16">
        <v>1672.0</v>
      </c>
      <c r="P1517" s="19">
        <v>51.4134</v>
      </c>
      <c r="Q1517" s="16" t="s">
        <v>1469</v>
      </c>
      <c r="R1517" s="19">
        <v>0.7182</v>
      </c>
      <c r="S1517" s="20">
        <v>2855419.0</v>
      </c>
      <c r="T1517" s="20">
        <v>8.8412955988E10</v>
      </c>
      <c r="U1517" s="21">
        <v>3.3514</v>
      </c>
      <c r="V1517" s="21">
        <v>13.146</v>
      </c>
      <c r="W1517" s="21">
        <v>13.0805</v>
      </c>
      <c r="X1517" s="21">
        <v>-6.3935</v>
      </c>
      <c r="Y1517" s="21">
        <v>0.735</v>
      </c>
      <c r="Z1517" s="21">
        <v>0.9638</v>
      </c>
      <c r="AA1517" s="16" t="s">
        <v>2620</v>
      </c>
      <c r="AB1517" s="22">
        <f>IFERROR(__xludf.DUMMYFUNCTION("IFERROR(GOOGLEFINANCE(B1517,""price""),"""")"),142.53)</f>
        <v>142.53</v>
      </c>
    </row>
    <row r="1518">
      <c r="A1518" s="7">
        <v>46080.62722809688</v>
      </c>
      <c r="B1518" s="8" t="s">
        <v>2684</v>
      </c>
      <c r="C1518" s="8" t="s">
        <v>2685</v>
      </c>
      <c r="D1518" s="9">
        <v>46082.0</v>
      </c>
      <c r="E1518" s="10">
        <v>374.515</v>
      </c>
      <c r="F1518" s="8" t="s">
        <v>102</v>
      </c>
      <c r="G1518" s="13">
        <v>38.3614</v>
      </c>
      <c r="H1518" s="13">
        <v>9.7628</v>
      </c>
      <c r="I1518" s="9">
        <v>46080.0</v>
      </c>
      <c r="J1518" s="10">
        <v>380.0</v>
      </c>
      <c r="K1518" s="8">
        <v>1647.0</v>
      </c>
      <c r="L1518" s="8" t="s">
        <v>2608</v>
      </c>
      <c r="M1518" s="11">
        <v>1.46</v>
      </c>
      <c r="N1518" s="8" t="s">
        <v>4072</v>
      </c>
      <c r="O1518" s="8">
        <v>1647.0</v>
      </c>
      <c r="P1518" s="11">
        <v>38.2791</v>
      </c>
      <c r="Q1518" s="8" t="s">
        <v>2687</v>
      </c>
      <c r="R1518" s="11">
        <v>-0.3207</v>
      </c>
      <c r="S1518" s="12">
        <v>2947576.0</v>
      </c>
      <c r="T1518" s="12">
        <v>2.97218798913E11</v>
      </c>
      <c r="U1518" s="13">
        <v>16.2773</v>
      </c>
      <c r="V1518" s="13">
        <v>38.8627</v>
      </c>
      <c r="W1518" s="13">
        <v>29.7406</v>
      </c>
      <c r="X1518" s="13">
        <v>2.1543</v>
      </c>
      <c r="Y1518" s="13">
        <v>0.3311</v>
      </c>
      <c r="Z1518" s="13">
        <v>2.7149</v>
      </c>
      <c r="AA1518" s="8" t="s">
        <v>2620</v>
      </c>
      <c r="AB1518" s="14">
        <f>IFERROR(__xludf.DUMMYFUNCTION("IFERROR(GOOGLEFINANCE(B1518,""price""),"""")"),399.5)</f>
        <v>399.5</v>
      </c>
    </row>
    <row r="1519">
      <c r="A1519" s="15">
        <v>46080.62722809688</v>
      </c>
      <c r="B1519" s="16" t="s">
        <v>2726</v>
      </c>
      <c r="C1519" s="16" t="s">
        <v>2727</v>
      </c>
      <c r="D1519" s="17">
        <v>46082.0</v>
      </c>
      <c r="E1519" s="18">
        <v>85.505</v>
      </c>
      <c r="F1519" s="16" t="s">
        <v>286</v>
      </c>
      <c r="G1519" s="21">
        <v>48.6764</v>
      </c>
      <c r="H1519" s="21">
        <v>1.7566</v>
      </c>
      <c r="I1519" s="17">
        <v>46101.0</v>
      </c>
      <c r="J1519" s="18">
        <v>85.0</v>
      </c>
      <c r="K1519" s="16">
        <v>1579.0</v>
      </c>
      <c r="L1519" s="16" t="s">
        <v>2608</v>
      </c>
      <c r="M1519" s="19">
        <v>0.59</v>
      </c>
      <c r="N1519" s="16" t="s">
        <v>4073</v>
      </c>
      <c r="O1519" s="16">
        <v>1579.0</v>
      </c>
      <c r="P1519" s="19">
        <v>37.8695</v>
      </c>
      <c r="Q1519" s="16" t="s">
        <v>2729</v>
      </c>
      <c r="R1519" s="19">
        <v>-1.3328</v>
      </c>
      <c r="S1519" s="20">
        <v>7738533.0</v>
      </c>
      <c r="T1519" s="20">
        <v>8.3540199457E10</v>
      </c>
      <c r="U1519" s="21">
        <v>1.6097</v>
      </c>
      <c r="V1519" s="21">
        <v>25.538</v>
      </c>
      <c r="W1519" s="21">
        <v>29.9505</v>
      </c>
      <c r="X1519" s="21">
        <v>7.618</v>
      </c>
      <c r="Y1519" s="21">
        <v>0.0</v>
      </c>
      <c r="Z1519" s="21">
        <v>3.1855</v>
      </c>
      <c r="AA1519" s="16" t="s">
        <v>2611</v>
      </c>
      <c r="AB1519" s="22">
        <f>IFERROR(__xludf.DUMMYFUNCTION("IFERROR(GOOGLEFINANCE(B1519,""price""),"""")"),75.72)</f>
        <v>75.72</v>
      </c>
    </row>
    <row r="1520">
      <c r="A1520" s="7">
        <v>46080.62722809688</v>
      </c>
      <c r="B1520" s="8" t="s">
        <v>3334</v>
      </c>
      <c r="C1520" s="8" t="s">
        <v>3335</v>
      </c>
      <c r="D1520" s="9">
        <v>46082.0</v>
      </c>
      <c r="E1520" s="10">
        <v>209.76</v>
      </c>
      <c r="F1520" s="8" t="s">
        <v>162</v>
      </c>
      <c r="G1520" s="13">
        <v>79.3073</v>
      </c>
      <c r="H1520" s="13">
        <v>2.6449</v>
      </c>
      <c r="I1520" s="9">
        <v>46101.0</v>
      </c>
      <c r="J1520" s="10">
        <v>210.0</v>
      </c>
      <c r="K1520" s="8">
        <v>1555.0</v>
      </c>
      <c r="L1520" s="8" t="s">
        <v>2608</v>
      </c>
      <c r="M1520" s="11">
        <v>0.11</v>
      </c>
      <c r="N1520" s="8" t="s">
        <v>4074</v>
      </c>
      <c r="O1520" s="8">
        <v>1555.0</v>
      </c>
      <c r="P1520" s="11">
        <v>39.0071</v>
      </c>
      <c r="Q1520" s="8" t="s">
        <v>3337</v>
      </c>
      <c r="R1520" s="11">
        <v>2.2571</v>
      </c>
      <c r="S1520" s="12">
        <v>1158517.0</v>
      </c>
      <c r="T1520" s="12">
        <v>2.4572831187E10</v>
      </c>
      <c r="U1520" s="13">
        <v>8.4163</v>
      </c>
      <c r="V1520" s="13">
        <v>18.2553</v>
      </c>
      <c r="W1520" s="13">
        <v>8.9505</v>
      </c>
      <c r="X1520" s="13">
        <v>1.0532</v>
      </c>
      <c r="Y1520" s="13">
        <v>2.1977</v>
      </c>
      <c r="Z1520" s="13">
        <v>1.0482</v>
      </c>
      <c r="AA1520" s="8" t="s">
        <v>2620</v>
      </c>
      <c r="AB1520" s="14">
        <f>IFERROR(__xludf.DUMMYFUNCTION("IFERROR(GOOGLEFINANCE(B1520,""price""),"""")"),212.74)</f>
        <v>212.74</v>
      </c>
    </row>
    <row r="1521">
      <c r="A1521" s="15">
        <v>46080.62722809688</v>
      </c>
      <c r="B1521" s="16" t="s">
        <v>2646</v>
      </c>
      <c r="C1521" s="16" t="s">
        <v>2647</v>
      </c>
      <c r="D1521" s="17">
        <v>46082.0</v>
      </c>
      <c r="E1521" s="18">
        <v>36.125</v>
      </c>
      <c r="F1521" s="16" t="s">
        <v>270</v>
      </c>
      <c r="G1521" s="21">
        <v>13.6038</v>
      </c>
      <c r="H1521" s="21">
        <v>2.6555</v>
      </c>
      <c r="I1521" s="17">
        <v>46080.0</v>
      </c>
      <c r="J1521" s="18">
        <v>36.5</v>
      </c>
      <c r="K1521" s="16">
        <v>1449.0</v>
      </c>
      <c r="L1521" s="16" t="s">
        <v>2608</v>
      </c>
      <c r="M1521" s="19">
        <v>1.04</v>
      </c>
      <c r="N1521" s="16" t="s">
        <v>4075</v>
      </c>
      <c r="O1521" s="16">
        <v>1449.0</v>
      </c>
      <c r="P1521" s="19">
        <v>39.9297</v>
      </c>
      <c r="Q1521" s="16" t="s">
        <v>2649</v>
      </c>
      <c r="R1521" s="19">
        <v>0.403</v>
      </c>
      <c r="S1521" s="20">
        <v>2256935.0</v>
      </c>
      <c r="T1521" s="20">
        <v>7.8149971754E10</v>
      </c>
      <c r="U1521" s="21">
        <v>0.6604</v>
      </c>
      <c r="V1521" s="21"/>
      <c r="W1521" s="21">
        <v>13.037</v>
      </c>
      <c r="X1521" s="21">
        <v>-5.779</v>
      </c>
      <c r="Y1521" s="21"/>
      <c r="Z1521" s="21"/>
      <c r="AA1521" s="16" t="s">
        <v>2620</v>
      </c>
      <c r="AB1521" s="22">
        <f>IFERROR(__xludf.DUMMYFUNCTION("IFERROR(GOOGLEFINANCE(B1521,""price""),"""")"),37.35)</f>
        <v>37.35</v>
      </c>
    </row>
    <row r="1522">
      <c r="A1522" s="7">
        <v>46080.62722809688</v>
      </c>
      <c r="B1522" s="8" t="s">
        <v>3022</v>
      </c>
      <c r="C1522" s="8" t="s">
        <v>3023</v>
      </c>
      <c r="D1522" s="9">
        <v>46082.0</v>
      </c>
      <c r="E1522" s="10">
        <v>741.48</v>
      </c>
      <c r="F1522" s="8" t="s">
        <v>102</v>
      </c>
      <c r="G1522" s="13">
        <v>39.3849</v>
      </c>
      <c r="H1522" s="13">
        <v>18.8265</v>
      </c>
      <c r="I1522" s="9">
        <v>46080.0</v>
      </c>
      <c r="J1522" s="10">
        <v>740.0</v>
      </c>
      <c r="K1522" s="8">
        <v>1352.0</v>
      </c>
      <c r="L1522" s="8" t="s">
        <v>2627</v>
      </c>
      <c r="M1522" s="11">
        <v>0.2</v>
      </c>
      <c r="N1522" s="8" t="s">
        <v>4076</v>
      </c>
      <c r="O1522" s="8">
        <v>1352.0</v>
      </c>
      <c r="P1522" s="11">
        <v>36.8971</v>
      </c>
      <c r="Q1522" s="8" t="s">
        <v>3025</v>
      </c>
      <c r="R1522" s="11">
        <v>-1.5207</v>
      </c>
      <c r="S1522" s="12">
        <v>1935085.0</v>
      </c>
      <c r="T1522" s="12">
        <v>3.45001263529E11</v>
      </c>
      <c r="U1522" s="13">
        <v>24.5696</v>
      </c>
      <c r="V1522" s="13">
        <v>43.5394</v>
      </c>
      <c r="W1522" s="13">
        <v>17.1611</v>
      </c>
      <c r="X1522" s="13">
        <v>4.2895</v>
      </c>
      <c r="Y1522" s="13">
        <v>2.0667</v>
      </c>
      <c r="Z1522" s="13">
        <v>1.4357</v>
      </c>
      <c r="AA1522" s="8" t="s">
        <v>2611</v>
      </c>
      <c r="AB1522" s="14">
        <f>IFERROR(__xludf.DUMMYFUNCTION("IFERROR(GOOGLEFINANCE(B1522,""price""),"""")"),790.66)</f>
        <v>790.66</v>
      </c>
    </row>
    <row r="1523">
      <c r="A1523" s="15">
        <v>46080.62722809688</v>
      </c>
      <c r="B1523" s="16" t="s">
        <v>3667</v>
      </c>
      <c r="C1523" s="16" t="s">
        <v>3668</v>
      </c>
      <c r="D1523" s="17">
        <v>46082.0</v>
      </c>
      <c r="E1523" s="18">
        <v>50.87</v>
      </c>
      <c r="F1523" s="16" t="s">
        <v>335</v>
      </c>
      <c r="G1523" s="21">
        <v>128.622</v>
      </c>
      <c r="H1523" s="21">
        <v>0.3955</v>
      </c>
      <c r="I1523" s="17">
        <v>46101.0</v>
      </c>
      <c r="J1523" s="18">
        <v>50.0</v>
      </c>
      <c r="K1523" s="16">
        <v>1307.0</v>
      </c>
      <c r="L1523" s="16" t="s">
        <v>2608</v>
      </c>
      <c r="M1523" s="19">
        <v>1.71</v>
      </c>
      <c r="N1523" s="16" t="s">
        <v>4077</v>
      </c>
      <c r="O1523" s="16">
        <v>1307.0</v>
      </c>
      <c r="P1523" s="19">
        <v>26.1685</v>
      </c>
      <c r="Q1523" s="16" t="s">
        <v>3670</v>
      </c>
      <c r="R1523" s="19">
        <v>-2.5666</v>
      </c>
      <c r="S1523" s="20">
        <v>1346773.0</v>
      </c>
      <c r="T1523" s="20">
        <v>4.74830605E9</v>
      </c>
      <c r="U1523" s="21">
        <v>3.5357</v>
      </c>
      <c r="V1523" s="21">
        <v>5.5</v>
      </c>
      <c r="W1523" s="21">
        <v>6.5548</v>
      </c>
      <c r="X1523" s="21">
        <v>13.8489</v>
      </c>
      <c r="Y1523" s="21">
        <v>0.6641</v>
      </c>
      <c r="Z1523" s="21">
        <v>1.9696</v>
      </c>
      <c r="AA1523" s="16" t="s">
        <v>2611</v>
      </c>
      <c r="AB1523" s="22">
        <f>IFERROR(__xludf.DUMMYFUNCTION("IFERROR(GOOGLEFINANCE(B1523,""price""),"""")"),66.96)</f>
        <v>66.96</v>
      </c>
    </row>
    <row r="1524">
      <c r="A1524" s="7">
        <v>46080.62722809688</v>
      </c>
      <c r="B1524" s="8" t="s">
        <v>3141</v>
      </c>
      <c r="C1524" s="8" t="s">
        <v>3142</v>
      </c>
      <c r="D1524" s="9">
        <v>46082.0</v>
      </c>
      <c r="E1524" s="10">
        <v>341.61</v>
      </c>
      <c r="F1524" s="8" t="s">
        <v>93</v>
      </c>
      <c r="G1524" s="13">
        <v>13.2811</v>
      </c>
      <c r="H1524" s="13">
        <v>25.7215</v>
      </c>
      <c r="I1524" s="9">
        <v>46101.0</v>
      </c>
      <c r="J1524" s="10">
        <v>340.0</v>
      </c>
      <c r="K1524" s="8">
        <v>1087.0</v>
      </c>
      <c r="L1524" s="8" t="s">
        <v>2608</v>
      </c>
      <c r="M1524" s="11">
        <v>0.47</v>
      </c>
      <c r="N1524" s="8" t="s">
        <v>4078</v>
      </c>
      <c r="O1524" s="8">
        <v>1087.0</v>
      </c>
      <c r="P1524" s="11">
        <v>33.5985</v>
      </c>
      <c r="Q1524" s="8" t="s">
        <v>3144</v>
      </c>
      <c r="R1524" s="11">
        <v>1.092</v>
      </c>
      <c r="S1524" s="12">
        <v>1096211.0</v>
      </c>
      <c r="T1524" s="12">
        <v>1.34440908575E11</v>
      </c>
      <c r="U1524" s="13">
        <v>6.2476</v>
      </c>
      <c r="V1524" s="13">
        <v>14.9661</v>
      </c>
      <c r="W1524" s="13">
        <v>21.2322</v>
      </c>
      <c r="X1524" s="13">
        <v>6.9142</v>
      </c>
      <c r="Y1524" s="13"/>
      <c r="Z1524" s="13">
        <v>0.2721</v>
      </c>
      <c r="AA1524" s="8" t="s">
        <v>2611</v>
      </c>
      <c r="AB1524" s="14">
        <f>IFERROR(__xludf.DUMMYFUNCTION("IFERROR(GOOGLEFINANCE(B1524,""price""),"""")"),327.91)</f>
        <v>327.91</v>
      </c>
    </row>
    <row r="1525">
      <c r="A1525" s="15">
        <v>46080.62722809688</v>
      </c>
      <c r="B1525" s="16" t="s">
        <v>1766</v>
      </c>
      <c r="C1525" s="16" t="s">
        <v>1767</v>
      </c>
      <c r="D1525" s="17">
        <v>46082.0</v>
      </c>
      <c r="E1525" s="18">
        <v>96.075</v>
      </c>
      <c r="F1525" s="16" t="s">
        <v>917</v>
      </c>
      <c r="G1525" s="21">
        <v>29.5825</v>
      </c>
      <c r="H1525" s="21">
        <v>3.2477</v>
      </c>
      <c r="I1525" s="17">
        <v>46101.0</v>
      </c>
      <c r="J1525" s="18">
        <v>95.0</v>
      </c>
      <c r="K1525" s="16">
        <v>1065.0</v>
      </c>
      <c r="L1525" s="16" t="s">
        <v>2608</v>
      </c>
      <c r="M1525" s="19">
        <v>1.12</v>
      </c>
      <c r="N1525" s="16" t="s">
        <v>4079</v>
      </c>
      <c r="O1525" s="16">
        <v>1065.0</v>
      </c>
      <c r="P1525" s="19">
        <v>32.4537</v>
      </c>
      <c r="Q1525" s="16" t="s">
        <v>1768</v>
      </c>
      <c r="R1525" s="19">
        <v>0.9191</v>
      </c>
      <c r="S1525" s="20">
        <v>2403630.0</v>
      </c>
      <c r="T1525" s="20">
        <v>6.2706374885E10</v>
      </c>
      <c r="U1525" s="21">
        <v>2.0418</v>
      </c>
      <c r="V1525" s="21">
        <v>7.0975</v>
      </c>
      <c r="W1525" s="21">
        <v>23.4727</v>
      </c>
      <c r="X1525" s="21">
        <v>9.067</v>
      </c>
      <c r="Y1525" s="21">
        <v>1.0777</v>
      </c>
      <c r="Z1525" s="21">
        <v>1.5873</v>
      </c>
      <c r="AA1525" s="16" t="s">
        <v>2611</v>
      </c>
      <c r="AB1525" s="22">
        <f>IFERROR(__xludf.DUMMYFUNCTION("IFERROR(GOOGLEFINANCE(B1525,""price""),"""")"),98.82)</f>
        <v>98.82</v>
      </c>
    </row>
    <row r="1526">
      <c r="A1526" s="7">
        <v>46080.62722809688</v>
      </c>
      <c r="B1526" s="8" t="s">
        <v>3237</v>
      </c>
      <c r="C1526" s="8" t="s">
        <v>3238</v>
      </c>
      <c r="D1526" s="9">
        <v>46082.0</v>
      </c>
      <c r="E1526" s="10">
        <v>341.04</v>
      </c>
      <c r="F1526" s="8" t="s">
        <v>149</v>
      </c>
      <c r="G1526" s="13">
        <v>28.5329</v>
      </c>
      <c r="H1526" s="13">
        <v>11.9525</v>
      </c>
      <c r="I1526" s="9">
        <v>46080.0</v>
      </c>
      <c r="J1526" s="10">
        <v>342.5</v>
      </c>
      <c r="K1526" s="8">
        <v>1047.0</v>
      </c>
      <c r="L1526" s="8" t="s">
        <v>2608</v>
      </c>
      <c r="M1526" s="11">
        <v>0.43</v>
      </c>
      <c r="N1526" s="8" t="s">
        <v>4080</v>
      </c>
      <c r="O1526" s="8">
        <v>1047.0</v>
      </c>
      <c r="P1526" s="11">
        <v>38.6956</v>
      </c>
      <c r="Q1526" s="8" t="s">
        <v>3240</v>
      </c>
      <c r="R1526" s="11">
        <v>1.946</v>
      </c>
      <c r="S1526" s="12">
        <v>2419336.0</v>
      </c>
      <c r="T1526" s="12">
        <v>2.42274344687E11</v>
      </c>
      <c r="U1526" s="13">
        <v>5.4553</v>
      </c>
      <c r="V1526" s="13"/>
      <c r="W1526" s="13">
        <v>46.1001</v>
      </c>
      <c r="X1526" s="13">
        <v>3.723</v>
      </c>
      <c r="Y1526" s="13"/>
      <c r="Z1526" s="13">
        <v>0.9546</v>
      </c>
      <c r="AA1526" s="8" t="s">
        <v>2620</v>
      </c>
      <c r="AB1526" s="14">
        <f>IFERROR(__xludf.DUMMYFUNCTION("IFERROR(GOOGLEFINANCE(B1526,""price""),"""")"),305.68)</f>
        <v>305.68</v>
      </c>
    </row>
    <row r="1527">
      <c r="A1527" s="15">
        <v>46080.62722809688</v>
      </c>
      <c r="B1527" s="16" t="s">
        <v>2658</v>
      </c>
      <c r="C1527" s="16" t="s">
        <v>2659</v>
      </c>
      <c r="D1527" s="17">
        <v>46082.0</v>
      </c>
      <c r="E1527" s="18">
        <v>93.845</v>
      </c>
      <c r="F1527" s="16" t="s">
        <v>917</v>
      </c>
      <c r="G1527" s="21">
        <v>28.4353</v>
      </c>
      <c r="H1527" s="21">
        <v>3.3003</v>
      </c>
      <c r="I1527" s="17">
        <v>46080.0</v>
      </c>
      <c r="J1527" s="18">
        <v>92.0</v>
      </c>
      <c r="K1527" s="16">
        <v>1009.0</v>
      </c>
      <c r="L1527" s="16" t="s">
        <v>2608</v>
      </c>
      <c r="M1527" s="19">
        <v>1.97</v>
      </c>
      <c r="N1527" s="16" t="s">
        <v>4081</v>
      </c>
      <c r="O1527" s="16">
        <v>1009.0</v>
      </c>
      <c r="P1527" s="19">
        <v>41.8821</v>
      </c>
      <c r="Q1527" s="16" t="s">
        <v>2661</v>
      </c>
      <c r="R1527" s="19">
        <v>2.0165</v>
      </c>
      <c r="S1527" s="20">
        <v>1.7395094E7</v>
      </c>
      <c r="T1527" s="20">
        <v>1.95528114984E11</v>
      </c>
      <c r="U1527" s="21">
        <v>2.183</v>
      </c>
      <c r="V1527" s="21">
        <v>13.0533</v>
      </c>
      <c r="W1527" s="21">
        <v>26.8934</v>
      </c>
      <c r="X1527" s="21">
        <v>8.6905</v>
      </c>
      <c r="Y1527" s="21">
        <v>1.7594</v>
      </c>
      <c r="Z1527" s="21">
        <v>0.5953</v>
      </c>
      <c r="AA1527" s="16" t="s">
        <v>2611</v>
      </c>
      <c r="AB1527" s="22">
        <f>IFERROR(__xludf.DUMMYFUNCTION("IFERROR(GOOGLEFINANCE(B1527,""price""),"""")"),94.08)</f>
        <v>94.08</v>
      </c>
    </row>
    <row r="1528">
      <c r="A1528" s="7">
        <v>46080.62722809688</v>
      </c>
      <c r="B1528" s="8" t="s">
        <v>2428</v>
      </c>
      <c r="C1528" s="8" t="s">
        <v>2429</v>
      </c>
      <c r="D1528" s="9">
        <v>46082.0</v>
      </c>
      <c r="E1528" s="10">
        <v>125.72</v>
      </c>
      <c r="F1528" s="8" t="s">
        <v>102</v>
      </c>
      <c r="G1528" s="13">
        <v>27.8746</v>
      </c>
      <c r="H1528" s="13">
        <v>4.5102</v>
      </c>
      <c r="I1528" s="9">
        <v>46101.0</v>
      </c>
      <c r="J1528" s="10">
        <v>125.0</v>
      </c>
      <c r="K1528" s="8">
        <v>1001.0</v>
      </c>
      <c r="L1528" s="8" t="s">
        <v>2608</v>
      </c>
      <c r="M1528" s="11">
        <v>0.57</v>
      </c>
      <c r="N1528" s="8" t="s">
        <v>4082</v>
      </c>
      <c r="O1528" s="8">
        <v>1001.0</v>
      </c>
      <c r="P1528" s="11">
        <v>29.6482</v>
      </c>
      <c r="Q1528" s="8" t="s">
        <v>2430</v>
      </c>
      <c r="R1528" s="11">
        <v>1.3217</v>
      </c>
      <c r="S1528" s="12">
        <v>2234779.0</v>
      </c>
      <c r="T1528" s="12">
        <v>6.6115446098E10</v>
      </c>
      <c r="U1528" s="13">
        <v>2.9985</v>
      </c>
      <c r="V1528" s="13">
        <v>12.9222</v>
      </c>
      <c r="W1528" s="13">
        <v>11.0749</v>
      </c>
      <c r="X1528" s="13">
        <v>-15.5032</v>
      </c>
      <c r="Y1528" s="13">
        <v>0.815</v>
      </c>
      <c r="Z1528" s="13">
        <v>1.0282</v>
      </c>
      <c r="AA1528" s="8" t="s">
        <v>2611</v>
      </c>
      <c r="AB1528" s="14">
        <f>IFERROR(__xludf.DUMMYFUNCTION("IFERROR(GOOGLEFINANCE(B1528,""price""),"""")"),127.19)</f>
        <v>127.19</v>
      </c>
    </row>
    <row r="1529">
      <c r="A1529" s="7">
        <v>46083.628642543794</v>
      </c>
      <c r="B1529" s="8" t="s">
        <v>3269</v>
      </c>
      <c r="C1529" s="8" t="s">
        <v>3270</v>
      </c>
      <c r="D1529" s="9">
        <v>46089.0</v>
      </c>
      <c r="E1529" s="10">
        <v>263.81</v>
      </c>
      <c r="F1529" s="8" t="s">
        <v>308</v>
      </c>
      <c r="G1529" s="13">
        <v>33.3776</v>
      </c>
      <c r="H1529" s="13">
        <v>7.9038</v>
      </c>
      <c r="I1529" s="9">
        <v>46083.0</v>
      </c>
      <c r="J1529" s="10">
        <v>267.5</v>
      </c>
      <c r="K1529" s="8">
        <v>6994.0</v>
      </c>
      <c r="L1529" s="8" t="s">
        <v>2627</v>
      </c>
      <c r="M1529" s="11">
        <v>1.4</v>
      </c>
      <c r="N1529" s="8" t="s">
        <v>4083</v>
      </c>
      <c r="O1529" s="8">
        <v>25618.0</v>
      </c>
      <c r="P1529" s="11">
        <v>15.6631</v>
      </c>
      <c r="Q1529" s="8" t="s">
        <v>3272</v>
      </c>
      <c r="R1529" s="11">
        <v>-0.1401</v>
      </c>
      <c r="S1529" s="12">
        <v>2.5965838E7</v>
      </c>
      <c r="T1529" s="12">
        <v>3.873031343277E12</v>
      </c>
      <c r="U1529" s="13">
        <v>6.603</v>
      </c>
      <c r="V1529" s="13">
        <v>152.0213</v>
      </c>
      <c r="W1529" s="13">
        <v>32.384</v>
      </c>
      <c r="X1529" s="13">
        <v>10.071</v>
      </c>
      <c r="Y1529" s="13">
        <v>1.0263</v>
      </c>
      <c r="Z1529" s="13">
        <v>0.9737</v>
      </c>
      <c r="AA1529" s="8" t="s">
        <v>2620</v>
      </c>
      <c r="AB1529" s="14">
        <f>IFERROR(__xludf.DUMMYFUNCTION("IFERROR(GOOGLEFINANCE(B1529,""price""),"""")"),260.48)</f>
        <v>260.48</v>
      </c>
    </row>
    <row r="1530">
      <c r="A1530" s="15">
        <v>46083.628642543794</v>
      </c>
      <c r="B1530" s="16" t="s">
        <v>2638</v>
      </c>
      <c r="C1530" s="16" t="s">
        <v>2639</v>
      </c>
      <c r="D1530" s="17">
        <v>46089.0</v>
      </c>
      <c r="E1530" s="18">
        <v>154.645</v>
      </c>
      <c r="F1530" s="16" t="s">
        <v>245</v>
      </c>
      <c r="G1530" s="21">
        <v>23.0993</v>
      </c>
      <c r="H1530" s="21">
        <v>6.6948</v>
      </c>
      <c r="I1530" s="17">
        <v>46087.0</v>
      </c>
      <c r="J1530" s="18">
        <v>155.0</v>
      </c>
      <c r="K1530" s="16">
        <v>10758.0</v>
      </c>
      <c r="L1530" s="16" t="s">
        <v>2608</v>
      </c>
      <c r="M1530" s="19">
        <v>0.23</v>
      </c>
      <c r="N1530" s="16" t="s">
        <v>4084</v>
      </c>
      <c r="O1530" s="16">
        <v>19612.0</v>
      </c>
      <c r="P1530" s="19">
        <v>42.7757</v>
      </c>
      <c r="Q1530" s="16" t="s">
        <v>2641</v>
      </c>
      <c r="R1530" s="19">
        <v>1.4066</v>
      </c>
      <c r="S1530" s="20">
        <v>2.5521256E7</v>
      </c>
      <c r="T1530" s="20">
        <v>6.44369168037E11</v>
      </c>
      <c r="U1530" s="21">
        <v>3.9077</v>
      </c>
      <c r="V1530" s="21">
        <v>11.0283</v>
      </c>
      <c r="W1530" s="21">
        <v>10.3419</v>
      </c>
      <c r="X1530" s="21">
        <v>-4.856</v>
      </c>
      <c r="Y1530" s="21">
        <v>0.1871</v>
      </c>
      <c r="Z1530" s="21">
        <v>1.1528</v>
      </c>
      <c r="AA1530" s="16" t="s">
        <v>2620</v>
      </c>
      <c r="AB1530" s="22">
        <f>IFERROR(__xludf.DUMMYFUNCTION("IFERROR(GOOGLEFINANCE(B1530,""price""),"""")"),152.51)</f>
        <v>152.51</v>
      </c>
    </row>
    <row r="1531">
      <c r="A1531" s="7">
        <v>46083.628642543794</v>
      </c>
      <c r="B1531" s="8" t="s">
        <v>2616</v>
      </c>
      <c r="C1531" s="8" t="s">
        <v>2617</v>
      </c>
      <c r="D1531" s="9">
        <v>46089.0</v>
      </c>
      <c r="E1531" s="10">
        <v>80.425</v>
      </c>
      <c r="F1531" s="8" t="s">
        <v>286</v>
      </c>
      <c r="G1531" s="13">
        <v>26.4687</v>
      </c>
      <c r="H1531" s="13">
        <v>3.0385</v>
      </c>
      <c r="I1531" s="9">
        <v>46087.0</v>
      </c>
      <c r="J1531" s="10">
        <v>82.0</v>
      </c>
      <c r="K1531" s="8">
        <v>6125.0</v>
      </c>
      <c r="L1531" s="8" t="s">
        <v>2608</v>
      </c>
      <c r="M1531" s="11">
        <v>1.96</v>
      </c>
      <c r="N1531" s="8" t="s">
        <v>4085</v>
      </c>
      <c r="O1531" s="8">
        <v>14419.0</v>
      </c>
      <c r="P1531" s="11">
        <v>40.8712</v>
      </c>
      <c r="Q1531" s="8" t="s">
        <v>2619</v>
      </c>
      <c r="R1531" s="11">
        <v>-1.3916</v>
      </c>
      <c r="S1531" s="12">
        <v>1.0081695E7</v>
      </c>
      <c r="T1531" s="12">
        <v>3.45885648545E11</v>
      </c>
      <c r="U1531" s="13">
        <v>1.2564</v>
      </c>
      <c r="V1531" s="13">
        <v>45.9693</v>
      </c>
      <c r="W1531" s="13">
        <v>31.3688</v>
      </c>
      <c r="X1531" s="13">
        <v>3.4769</v>
      </c>
      <c r="Y1531" s="13">
        <v>1.4577</v>
      </c>
      <c r="Z1531" s="13">
        <v>1.4588</v>
      </c>
      <c r="AA1531" s="8" t="s">
        <v>2620</v>
      </c>
      <c r="AB1531" s="14">
        <f>IFERROR(__xludf.DUMMYFUNCTION("IFERROR(GOOGLEFINANCE(B1531,""price""),"""")"),77.47)</f>
        <v>77.47</v>
      </c>
    </row>
    <row r="1532">
      <c r="A1532" s="15">
        <v>46083.628642543794</v>
      </c>
      <c r="B1532" s="16" t="s">
        <v>2634</v>
      </c>
      <c r="C1532" s="16" t="s">
        <v>2635</v>
      </c>
      <c r="D1532" s="17">
        <v>46089.0</v>
      </c>
      <c r="E1532" s="18">
        <v>189.7197</v>
      </c>
      <c r="F1532" s="16" t="s">
        <v>245</v>
      </c>
      <c r="G1532" s="21">
        <v>28.5379</v>
      </c>
      <c r="H1532" s="21">
        <v>6.648</v>
      </c>
      <c r="I1532" s="17">
        <v>46087.0</v>
      </c>
      <c r="J1532" s="18">
        <v>190.0</v>
      </c>
      <c r="K1532" s="16">
        <v>6004.0</v>
      </c>
      <c r="L1532" s="16" t="s">
        <v>2608</v>
      </c>
      <c r="M1532" s="19">
        <v>0.15</v>
      </c>
      <c r="N1532" s="16" t="s">
        <v>4086</v>
      </c>
      <c r="O1532" s="16">
        <v>13667.0</v>
      </c>
      <c r="P1532" s="19">
        <v>46.9949</v>
      </c>
      <c r="Q1532" s="16" t="s">
        <v>2637</v>
      </c>
      <c r="R1532" s="19">
        <v>1.5848</v>
      </c>
      <c r="S1532" s="20">
        <v>1.3450304E7</v>
      </c>
      <c r="T1532" s="20">
        <v>3.78563926939E11</v>
      </c>
      <c r="U1532" s="21">
        <v>3.5444</v>
      </c>
      <c r="V1532" s="21">
        <v>7.261</v>
      </c>
      <c r="W1532" s="21">
        <v>8.8802</v>
      </c>
      <c r="X1532" s="21">
        <v>-4.6193</v>
      </c>
      <c r="Y1532" s="21">
        <v>0.2507</v>
      </c>
      <c r="Z1532" s="21">
        <v>1.1547</v>
      </c>
      <c r="AA1532" s="16" t="s">
        <v>2620</v>
      </c>
      <c r="AB1532" s="22">
        <f>IFERROR(__xludf.DUMMYFUNCTION("IFERROR(GOOGLEFINANCE(B1532,""price""),"""")"),188.55)</f>
        <v>188.55</v>
      </c>
    </row>
    <row r="1533">
      <c r="A1533" s="7">
        <v>46083.628642543794</v>
      </c>
      <c r="B1533" s="8" t="s">
        <v>2630</v>
      </c>
      <c r="C1533" s="8" t="s">
        <v>2631</v>
      </c>
      <c r="D1533" s="9">
        <v>46089.0</v>
      </c>
      <c r="E1533" s="10">
        <v>412.345</v>
      </c>
      <c r="F1533" s="8" t="s">
        <v>308</v>
      </c>
      <c r="G1533" s="13">
        <v>39.1963</v>
      </c>
      <c r="H1533" s="13">
        <v>10.52</v>
      </c>
      <c r="I1533" s="9">
        <v>46087.0</v>
      </c>
      <c r="J1533" s="10">
        <v>420.0</v>
      </c>
      <c r="K1533" s="8">
        <v>6316.0</v>
      </c>
      <c r="L1533" s="8" t="s">
        <v>2608</v>
      </c>
      <c r="M1533" s="11">
        <v>1.86</v>
      </c>
      <c r="N1533" s="8" t="s">
        <v>4087</v>
      </c>
      <c r="O1533" s="8">
        <v>12204.0</v>
      </c>
      <c r="P1533" s="11">
        <v>33.753</v>
      </c>
      <c r="Q1533" s="8" t="s">
        <v>2633</v>
      </c>
      <c r="R1533" s="11">
        <v>-0.0061</v>
      </c>
      <c r="S1533" s="12">
        <v>2.4883772E7</v>
      </c>
      <c r="T1533" s="12">
        <v>4.64098117471E11</v>
      </c>
      <c r="U1533" s="13">
        <v>23.5906</v>
      </c>
      <c r="V1533" s="13">
        <v>22.5543</v>
      </c>
      <c r="W1533" s="13">
        <v>32.9221</v>
      </c>
      <c r="X1533" s="13">
        <v>45.432</v>
      </c>
      <c r="Y1533" s="13">
        <v>0.2124</v>
      </c>
      <c r="Z1533" s="13">
        <v>2.4598</v>
      </c>
      <c r="AA1533" s="8" t="s">
        <v>2620</v>
      </c>
      <c r="AB1533" s="14">
        <f>IFERROR(__xludf.DUMMYFUNCTION("IFERROR(GOOGLEFINANCE(B1533,""price""),"""")"),420.59)</f>
        <v>420.59</v>
      </c>
    </row>
    <row r="1534">
      <c r="A1534" s="15">
        <v>46083.628642543794</v>
      </c>
      <c r="B1534" s="16" t="s">
        <v>3697</v>
      </c>
      <c r="C1534" s="16" t="s">
        <v>3698</v>
      </c>
      <c r="D1534" s="17">
        <v>46089.0</v>
      </c>
      <c r="E1534" s="18">
        <v>49.285</v>
      </c>
      <c r="F1534" s="16" t="s">
        <v>917</v>
      </c>
      <c r="G1534" s="21">
        <v>18.0208</v>
      </c>
      <c r="H1534" s="21">
        <v>2.7349</v>
      </c>
      <c r="I1534" s="17">
        <v>46101.0</v>
      </c>
      <c r="J1534" s="18">
        <v>50.0</v>
      </c>
      <c r="K1534" s="16">
        <v>8237.0</v>
      </c>
      <c r="L1534" s="16" t="s">
        <v>2608</v>
      </c>
      <c r="M1534" s="19">
        <v>1.45</v>
      </c>
      <c r="N1534" s="16" t="s">
        <v>4088</v>
      </c>
      <c r="O1534" s="16">
        <v>11926.0</v>
      </c>
      <c r="P1534" s="19">
        <v>36.1383</v>
      </c>
      <c r="Q1534" s="16" t="s">
        <v>3700</v>
      </c>
      <c r="R1534" s="19">
        <v>-0.374</v>
      </c>
      <c r="S1534" s="20">
        <v>4123301.0</v>
      </c>
      <c r="T1534" s="20">
        <v>5.0413261956E10</v>
      </c>
      <c r="U1534" s="21">
        <v>0.954</v>
      </c>
      <c r="V1534" s="21">
        <v>9.9356</v>
      </c>
      <c r="W1534" s="21">
        <v>21.2054</v>
      </c>
      <c r="X1534" s="21">
        <v>5.3367</v>
      </c>
      <c r="Y1534" s="21">
        <v>1.7554</v>
      </c>
      <c r="Z1534" s="21">
        <v>0.924</v>
      </c>
      <c r="AA1534" s="16" t="s">
        <v>2620</v>
      </c>
      <c r="AB1534" s="22">
        <f>IFERROR(__xludf.DUMMYFUNCTION("IFERROR(GOOGLEFINANCE(B1534,""price""),"""")"),48.57)</f>
        <v>48.57</v>
      </c>
    </row>
    <row r="1535">
      <c r="A1535" s="7">
        <v>46083.628642543794</v>
      </c>
      <c r="B1535" s="8" t="s">
        <v>2625</v>
      </c>
      <c r="C1535" s="8" t="s">
        <v>2626</v>
      </c>
      <c r="D1535" s="9">
        <v>46089.0</v>
      </c>
      <c r="E1535" s="10">
        <v>127.735</v>
      </c>
      <c r="F1535" s="8" t="s">
        <v>137</v>
      </c>
      <c r="G1535" s="13">
        <v>46.7791</v>
      </c>
      <c r="H1535" s="13">
        <v>2.7306</v>
      </c>
      <c r="I1535" s="9">
        <v>46087.0</v>
      </c>
      <c r="J1535" s="10">
        <v>130.0</v>
      </c>
      <c r="K1535" s="8">
        <v>4733.0</v>
      </c>
      <c r="L1535" s="8" t="s">
        <v>2608</v>
      </c>
      <c r="M1535" s="11">
        <v>1.77</v>
      </c>
      <c r="N1535" s="8" t="s">
        <v>4089</v>
      </c>
      <c r="O1535" s="8">
        <v>10918.0</v>
      </c>
      <c r="P1535" s="11">
        <v>24.0108</v>
      </c>
      <c r="Q1535" s="8" t="s">
        <v>2629</v>
      </c>
      <c r="R1535" s="11">
        <v>-0.168</v>
      </c>
      <c r="S1535" s="12">
        <v>1.1377083E7</v>
      </c>
      <c r="T1535" s="12">
        <v>1.018069256465E12</v>
      </c>
      <c r="U1535" s="13">
        <v>3.3123</v>
      </c>
      <c r="V1535" s="13">
        <v>22.9691</v>
      </c>
      <c r="W1535" s="13">
        <v>4.1821</v>
      </c>
      <c r="X1535" s="13">
        <v>4.7252</v>
      </c>
      <c r="Y1535" s="13">
        <v>0.6735</v>
      </c>
      <c r="Z1535" s="13">
        <v>0.7898</v>
      </c>
      <c r="AA1535" s="8" t="s">
        <v>2620</v>
      </c>
      <c r="AB1535" s="14">
        <f>IFERROR(__xludf.DUMMYFUNCTION("IFERROR(GOOGLEFINANCE(B1535,""price""),"""")"),126.79)</f>
        <v>126.79</v>
      </c>
    </row>
    <row r="1536">
      <c r="A1536" s="15">
        <v>46083.628642543794</v>
      </c>
      <c r="B1536" s="16" t="s">
        <v>3944</v>
      </c>
      <c r="C1536" s="16" t="s">
        <v>3945</v>
      </c>
      <c r="D1536" s="17">
        <v>46089.0</v>
      </c>
      <c r="E1536" s="18">
        <v>132.05</v>
      </c>
      <c r="F1536" s="16" t="s">
        <v>917</v>
      </c>
      <c r="G1536" s="21">
        <v>20.9195</v>
      </c>
      <c r="H1536" s="21">
        <v>6.3123</v>
      </c>
      <c r="I1536" s="17">
        <v>46101.0</v>
      </c>
      <c r="J1536" s="18">
        <v>130.0</v>
      </c>
      <c r="K1536" s="16">
        <v>9202.0</v>
      </c>
      <c r="L1536" s="16" t="s">
        <v>2608</v>
      </c>
      <c r="M1536" s="19">
        <v>1.55</v>
      </c>
      <c r="N1536" s="16" t="s">
        <v>4090</v>
      </c>
      <c r="O1536" s="16">
        <v>9202.0</v>
      </c>
      <c r="P1536" s="19">
        <v>31.4479</v>
      </c>
      <c r="Q1536" s="16" t="s">
        <v>3947</v>
      </c>
      <c r="R1536" s="19">
        <v>0.9171</v>
      </c>
      <c r="S1536" s="20">
        <v>3405432.0</v>
      </c>
      <c r="T1536" s="20">
        <v>1.02691446929E11</v>
      </c>
      <c r="U1536" s="21">
        <v>2.1153</v>
      </c>
      <c r="V1536" s="21">
        <v>9.7422</v>
      </c>
      <c r="W1536" s="21">
        <v>26.6061</v>
      </c>
      <c r="X1536" s="21">
        <v>6.193</v>
      </c>
      <c r="Y1536" s="21">
        <v>1.7574</v>
      </c>
      <c r="Z1536" s="21">
        <v>0.5518</v>
      </c>
      <c r="AA1536" s="16" t="s">
        <v>2611</v>
      </c>
      <c r="AB1536" s="22">
        <f>IFERROR(__xludf.DUMMYFUNCTION("IFERROR(GOOGLEFINANCE(B1536,""price""),"""")"),131.79)</f>
        <v>131.79</v>
      </c>
    </row>
    <row r="1537">
      <c r="A1537" s="7">
        <v>46083.628642543794</v>
      </c>
      <c r="B1537" s="8" t="s">
        <v>2726</v>
      </c>
      <c r="C1537" s="8" t="s">
        <v>2727</v>
      </c>
      <c r="D1537" s="9">
        <v>46089.0</v>
      </c>
      <c r="E1537" s="10">
        <v>81.315</v>
      </c>
      <c r="F1537" s="8" t="s">
        <v>286</v>
      </c>
      <c r="G1537" s="13">
        <v>42.0059</v>
      </c>
      <c r="H1537" s="13">
        <v>1.9358</v>
      </c>
      <c r="I1537" s="9">
        <v>46101.0</v>
      </c>
      <c r="J1537" s="10">
        <v>82.5</v>
      </c>
      <c r="K1537" s="8">
        <v>7754.0</v>
      </c>
      <c r="L1537" s="8" t="s">
        <v>2627</v>
      </c>
      <c r="M1537" s="11">
        <v>1.46</v>
      </c>
      <c r="N1537" s="8" t="s">
        <v>4091</v>
      </c>
      <c r="O1537" s="8">
        <v>8819.0</v>
      </c>
      <c r="P1537" s="11">
        <v>35.2156</v>
      </c>
      <c r="Q1537" s="8" t="s">
        <v>2729</v>
      </c>
      <c r="R1537" s="11">
        <v>-4.6717</v>
      </c>
      <c r="S1537" s="12">
        <v>4587350.0</v>
      </c>
      <c r="T1537" s="12">
        <v>7.9446480029E10</v>
      </c>
      <c r="U1537" s="13">
        <v>1.7837</v>
      </c>
      <c r="V1537" s="13">
        <v>26.8147</v>
      </c>
      <c r="W1537" s="13">
        <v>29.1687</v>
      </c>
      <c r="X1537" s="13">
        <v>10.6989</v>
      </c>
      <c r="Y1537" s="13">
        <v>0.0</v>
      </c>
      <c r="Z1537" s="13">
        <v>3.703</v>
      </c>
      <c r="AA1537" s="8" t="s">
        <v>2620</v>
      </c>
      <c r="AB1537" s="14">
        <f>IFERROR(__xludf.DUMMYFUNCTION("IFERROR(GOOGLEFINANCE(B1537,""price""),"""")"),75.72)</f>
        <v>75.72</v>
      </c>
    </row>
    <row r="1538">
      <c r="A1538" s="15">
        <v>46083.628642543794</v>
      </c>
      <c r="B1538" s="16" t="s">
        <v>1261</v>
      </c>
      <c r="C1538" s="16" t="s">
        <v>1262</v>
      </c>
      <c r="D1538" s="17">
        <v>46089.0</v>
      </c>
      <c r="E1538" s="18">
        <v>154.84</v>
      </c>
      <c r="F1538" s="16" t="s">
        <v>112</v>
      </c>
      <c r="G1538" s="21">
        <v>14.0592</v>
      </c>
      <c r="H1538" s="21">
        <v>11.0134</v>
      </c>
      <c r="I1538" s="17">
        <v>46087.0</v>
      </c>
      <c r="J1538" s="18">
        <v>157.5</v>
      </c>
      <c r="K1538" s="16">
        <v>8613.0</v>
      </c>
      <c r="L1538" s="16" t="s">
        <v>2627</v>
      </c>
      <c r="M1538" s="19">
        <v>1.72</v>
      </c>
      <c r="N1538" s="16" t="s">
        <v>4092</v>
      </c>
      <c r="O1538" s="16">
        <v>8613.0</v>
      </c>
      <c r="P1538" s="19">
        <v>15.0046</v>
      </c>
      <c r="Q1538" s="16" t="s">
        <v>1263</v>
      </c>
      <c r="R1538" s="19">
        <v>-3.4603</v>
      </c>
      <c r="S1538" s="20">
        <v>1660907.0</v>
      </c>
      <c r="T1538" s="20">
        <v>4.4857674232E10</v>
      </c>
      <c r="U1538" s="21">
        <v>5.4245</v>
      </c>
      <c r="V1538" s="21">
        <v>13.6295</v>
      </c>
      <c r="W1538" s="21">
        <v>13.0729</v>
      </c>
      <c r="X1538" s="21">
        <v>-8.6242</v>
      </c>
      <c r="Y1538" s="21">
        <v>0.2341</v>
      </c>
      <c r="Z1538" s="21">
        <v>11.9208</v>
      </c>
      <c r="AA1538" s="16" t="s">
        <v>2620</v>
      </c>
      <c r="AB1538" s="22">
        <f>IFERROR(__xludf.DUMMYFUNCTION("IFERROR(GOOGLEFINANCE(B1538,""price""),"""")"),142.64)</f>
        <v>142.64</v>
      </c>
    </row>
    <row r="1539">
      <c r="A1539" s="7">
        <v>46083.628642543794</v>
      </c>
      <c r="B1539" s="8" t="s">
        <v>2621</v>
      </c>
      <c r="C1539" s="8" t="s">
        <v>2622</v>
      </c>
      <c r="D1539" s="9">
        <v>46089.0</v>
      </c>
      <c r="E1539" s="10">
        <v>68.215</v>
      </c>
      <c r="F1539" s="8" t="s">
        <v>335</v>
      </c>
      <c r="G1539" s="13">
        <v>45.0561</v>
      </c>
      <c r="H1539" s="13">
        <v>1.514</v>
      </c>
      <c r="I1539" s="9">
        <v>46087.0</v>
      </c>
      <c r="J1539" s="10">
        <v>67.0</v>
      </c>
      <c r="K1539" s="8">
        <v>2579.0</v>
      </c>
      <c r="L1539" s="8" t="s">
        <v>2627</v>
      </c>
      <c r="M1539" s="11">
        <v>1.78</v>
      </c>
      <c r="N1539" s="8" t="s">
        <v>4093</v>
      </c>
      <c r="O1539" s="8">
        <v>7189.0</v>
      </c>
      <c r="P1539" s="11">
        <v>29.5166</v>
      </c>
      <c r="Q1539" s="8" t="s">
        <v>2624</v>
      </c>
      <c r="R1539" s="11">
        <v>0.1983</v>
      </c>
      <c r="S1539" s="12">
        <v>1.334556E7</v>
      </c>
      <c r="T1539" s="12">
        <v>9.8038713884E10</v>
      </c>
      <c r="U1539" s="13">
        <v>2.7385</v>
      </c>
      <c r="V1539" s="13">
        <v>11.9792</v>
      </c>
      <c r="W1539" s="13">
        <v>22.7913</v>
      </c>
      <c r="X1539" s="13">
        <v>-0.0477</v>
      </c>
      <c r="Y1539" s="13">
        <v>0.5552</v>
      </c>
      <c r="Z1539" s="13">
        <v>2.2911</v>
      </c>
      <c r="AA1539" s="8" t="s">
        <v>2611</v>
      </c>
      <c r="AB1539" s="14">
        <f>IFERROR(__xludf.DUMMYFUNCTION("IFERROR(GOOGLEFINANCE(B1539,""price""),"""")"),67.8)</f>
        <v>67.8</v>
      </c>
    </row>
    <row r="1540">
      <c r="A1540" s="15">
        <v>46083.628642543794</v>
      </c>
      <c r="B1540" s="16" t="s">
        <v>3463</v>
      </c>
      <c r="C1540" s="16" t="s">
        <v>3464</v>
      </c>
      <c r="D1540" s="17">
        <v>46089.0</v>
      </c>
      <c r="E1540" s="18">
        <v>61.364</v>
      </c>
      <c r="F1540" s="16" t="s">
        <v>245</v>
      </c>
      <c r="G1540" s="21">
        <v>18.5183</v>
      </c>
      <c r="H1540" s="21">
        <v>3.3137</v>
      </c>
      <c r="I1540" s="17">
        <v>46087.0</v>
      </c>
      <c r="J1540" s="18">
        <v>61.0</v>
      </c>
      <c r="K1540" s="16">
        <v>4685.0</v>
      </c>
      <c r="L1540" s="16" t="s">
        <v>2608</v>
      </c>
      <c r="M1540" s="19">
        <v>0.59</v>
      </c>
      <c r="N1540" s="16" t="s">
        <v>4094</v>
      </c>
      <c r="O1540" s="16">
        <v>6882.0</v>
      </c>
      <c r="P1540" s="19">
        <v>25.9189</v>
      </c>
      <c r="Q1540" s="16" t="s">
        <v>3466</v>
      </c>
      <c r="R1540" s="19">
        <v>-0.0912</v>
      </c>
      <c r="S1540" s="20">
        <v>6583870.0</v>
      </c>
      <c r="T1540" s="20">
        <v>3.8307947785E10</v>
      </c>
      <c r="U1540" s="21">
        <v>1.9467</v>
      </c>
      <c r="V1540" s="21">
        <v>9.1961</v>
      </c>
      <c r="W1540" s="21">
        <v>35.6577</v>
      </c>
      <c r="X1540" s="21">
        <v>59.9561</v>
      </c>
      <c r="Y1540" s="21">
        <v>0.3357</v>
      </c>
      <c r="Z1540" s="21">
        <v>0.7627</v>
      </c>
      <c r="AA1540" s="16" t="s">
        <v>2611</v>
      </c>
      <c r="AB1540" s="22">
        <f>IFERROR(__xludf.DUMMYFUNCTION("IFERROR(GOOGLEFINANCE(B1540,""price""),"""")"),58.68)</f>
        <v>58.68</v>
      </c>
    </row>
    <row r="1541">
      <c r="A1541" s="7">
        <v>46083.628642543794</v>
      </c>
      <c r="B1541" s="8" t="s">
        <v>3951</v>
      </c>
      <c r="C1541" s="8" t="s">
        <v>3952</v>
      </c>
      <c r="D1541" s="9">
        <v>46089.0</v>
      </c>
      <c r="E1541" s="10">
        <v>17.445</v>
      </c>
      <c r="F1541" s="8" t="s">
        <v>1119</v>
      </c>
      <c r="G1541" s="13">
        <v>23.5076</v>
      </c>
      <c r="H1541" s="13">
        <v>0.7421</v>
      </c>
      <c r="I1541" s="9">
        <v>46101.0</v>
      </c>
      <c r="J1541" s="10">
        <v>17.5</v>
      </c>
      <c r="K1541" s="8">
        <v>6120.0</v>
      </c>
      <c r="L1541" s="8" t="s">
        <v>2608</v>
      </c>
      <c r="M1541" s="11">
        <v>0.32</v>
      </c>
      <c r="N1541" s="8" t="s">
        <v>4007</v>
      </c>
      <c r="O1541" s="8">
        <v>6120.0</v>
      </c>
      <c r="P1541" s="11">
        <v>27.4646</v>
      </c>
      <c r="Q1541" s="8" t="s">
        <v>3954</v>
      </c>
      <c r="R1541" s="11">
        <v>1.9579</v>
      </c>
      <c r="S1541" s="12">
        <v>2099154.0</v>
      </c>
      <c r="T1541" s="12">
        <v>2.470503406E9</v>
      </c>
      <c r="U1541" s="13">
        <v>0.6306</v>
      </c>
      <c r="V1541" s="13">
        <v>26.6421</v>
      </c>
      <c r="W1541" s="13">
        <v>36.2303</v>
      </c>
      <c r="X1541" s="13">
        <v>15.4338</v>
      </c>
      <c r="Y1541" s="13">
        <v>2.3124</v>
      </c>
      <c r="Z1541" s="13">
        <v>1.7456</v>
      </c>
      <c r="AA1541" s="8" t="s">
        <v>2620</v>
      </c>
      <c r="AB1541" s="14">
        <f>IFERROR(__xludf.DUMMYFUNCTION("IFERROR(GOOGLEFINANCE(B1541,""price""),"""")"),15.84)</f>
        <v>15.84</v>
      </c>
    </row>
    <row r="1542">
      <c r="A1542" s="15">
        <v>46083.628642543794</v>
      </c>
      <c r="B1542" s="16" t="s">
        <v>3713</v>
      </c>
      <c r="C1542" s="16" t="s">
        <v>3714</v>
      </c>
      <c r="D1542" s="17">
        <v>46089.0</v>
      </c>
      <c r="E1542" s="18">
        <v>161.275</v>
      </c>
      <c r="F1542" s="16" t="s">
        <v>149</v>
      </c>
      <c r="G1542" s="21"/>
      <c r="H1542" s="21">
        <v>-0.2349</v>
      </c>
      <c r="I1542" s="17">
        <v>46101.0</v>
      </c>
      <c r="J1542" s="18">
        <v>160.0</v>
      </c>
      <c r="K1542" s="16">
        <v>5421.0</v>
      </c>
      <c r="L1542" s="16" t="s">
        <v>2608</v>
      </c>
      <c r="M1542" s="19">
        <v>0.79</v>
      </c>
      <c r="N1542" s="16" t="s">
        <v>4095</v>
      </c>
      <c r="O1542" s="16">
        <v>5421.0</v>
      </c>
      <c r="P1542" s="19">
        <v>26.0324</v>
      </c>
      <c r="Q1542" s="16" t="s">
        <v>3716</v>
      </c>
      <c r="R1542" s="19">
        <v>-0.5335</v>
      </c>
      <c r="S1542" s="20">
        <v>2170342.0</v>
      </c>
      <c r="T1542" s="20">
        <v>3.7475187823E10</v>
      </c>
      <c r="U1542" s="21">
        <v>5.5388</v>
      </c>
      <c r="V1542" s="21">
        <v>-24.6827</v>
      </c>
      <c r="W1542" s="21">
        <v>5.9214</v>
      </c>
      <c r="X1542" s="21">
        <v>8.8349</v>
      </c>
      <c r="Y1542" s="21">
        <v>38.3916</v>
      </c>
      <c r="Z1542" s="21">
        <v>0.9951</v>
      </c>
      <c r="AA1542" s="16" t="s">
        <v>2611</v>
      </c>
      <c r="AB1542" s="22">
        <f>IFERROR(__xludf.DUMMYFUNCTION("IFERROR(GOOGLEFINANCE(B1542,""price""),"""")"),160.59)</f>
        <v>160.59</v>
      </c>
    </row>
    <row r="1543">
      <c r="A1543" s="7">
        <v>46083.628642543794</v>
      </c>
      <c r="B1543" s="8" t="s">
        <v>4096</v>
      </c>
      <c r="C1543" s="8" t="s">
        <v>4097</v>
      </c>
      <c r="D1543" s="9">
        <v>46089.0</v>
      </c>
      <c r="E1543" s="10">
        <v>13.365</v>
      </c>
      <c r="F1543" s="8" t="s">
        <v>112</v>
      </c>
      <c r="G1543" s="13"/>
      <c r="H1543" s="13">
        <v>-1.9158</v>
      </c>
      <c r="I1543" s="9">
        <v>46087.0</v>
      </c>
      <c r="J1543" s="10">
        <v>13.5</v>
      </c>
      <c r="K1543" s="8">
        <v>3000.0</v>
      </c>
      <c r="L1543" s="8" t="s">
        <v>2627</v>
      </c>
      <c r="M1543" s="11">
        <v>1.01</v>
      </c>
      <c r="N1543" s="8" t="s">
        <v>4098</v>
      </c>
      <c r="O1543" s="8">
        <v>4911.0</v>
      </c>
      <c r="P1543" s="11">
        <v>18.2343</v>
      </c>
      <c r="Q1543" s="8" t="s">
        <v>4099</v>
      </c>
      <c r="R1543" s="11">
        <v>-5.1455</v>
      </c>
      <c r="S1543" s="12">
        <v>9.7300851E7</v>
      </c>
      <c r="T1543" s="12">
        <v>5.3319338858E10</v>
      </c>
      <c r="U1543" s="13">
        <v>0.4023</v>
      </c>
      <c r="V1543" s="13">
        <v>-20.2557</v>
      </c>
      <c r="W1543" s="13">
        <v>0.7124</v>
      </c>
      <c r="X1543" s="13">
        <v>1.2298</v>
      </c>
      <c r="Y1543" s="13">
        <v>4.61</v>
      </c>
      <c r="Z1543" s="13">
        <v>1.0748</v>
      </c>
      <c r="AA1543" s="8" t="s">
        <v>2620</v>
      </c>
      <c r="AB1543" s="14">
        <f>IFERROR(__xludf.DUMMYFUNCTION("IFERROR(GOOGLEFINANCE(B1543,""price""),"""")"),12.13)</f>
        <v>12.13</v>
      </c>
    </row>
    <row r="1544">
      <c r="A1544" s="15">
        <v>46083.628642543794</v>
      </c>
      <c r="B1544" s="16" t="s">
        <v>2700</v>
      </c>
      <c r="C1544" s="16" t="s">
        <v>2701</v>
      </c>
      <c r="D1544" s="17">
        <v>46089.0</v>
      </c>
      <c r="E1544" s="18">
        <v>231.14</v>
      </c>
      <c r="F1544" s="16" t="s">
        <v>102</v>
      </c>
      <c r="G1544" s="21">
        <v>47.3715</v>
      </c>
      <c r="H1544" s="21">
        <v>4.8793</v>
      </c>
      <c r="I1544" s="17">
        <v>46087.0</v>
      </c>
      <c r="J1544" s="18">
        <v>232.5</v>
      </c>
      <c r="K1544" s="16">
        <v>2565.0</v>
      </c>
      <c r="L1544" s="16" t="s">
        <v>2627</v>
      </c>
      <c r="M1544" s="19">
        <v>0.59</v>
      </c>
      <c r="N1544" s="16" t="s">
        <v>4100</v>
      </c>
      <c r="O1544" s="16">
        <v>4038.0</v>
      </c>
      <c r="P1544" s="19">
        <v>29.0068</v>
      </c>
      <c r="Q1544" s="16" t="s">
        <v>2703</v>
      </c>
      <c r="R1544" s="19">
        <v>-1.1758</v>
      </c>
      <c r="S1544" s="20">
        <v>6679547.0</v>
      </c>
      <c r="T1544" s="20">
        <v>2.88640927284E11</v>
      </c>
      <c r="U1544" s="21">
        <v>11.2613</v>
      </c>
      <c r="V1544" s="21">
        <v>65.5649</v>
      </c>
      <c r="W1544" s="21">
        <v>33.7646</v>
      </c>
      <c r="X1544" s="21">
        <v>26.8457</v>
      </c>
      <c r="Y1544" s="21">
        <v>0.4419</v>
      </c>
      <c r="Z1544" s="21">
        <v>2.2562</v>
      </c>
      <c r="AA1544" s="16" t="s">
        <v>2620</v>
      </c>
      <c r="AB1544" s="22">
        <f>IFERROR(__xludf.DUMMYFUNCTION("IFERROR(GOOGLEFINANCE(B1544,""price""),"""")"),263.66)</f>
        <v>263.66</v>
      </c>
    </row>
    <row r="1545">
      <c r="A1545" s="7">
        <v>46083.628642543794</v>
      </c>
      <c r="B1545" s="8" t="s">
        <v>3812</v>
      </c>
      <c r="C1545" s="8" t="s">
        <v>3813</v>
      </c>
      <c r="D1545" s="9">
        <v>46089.0</v>
      </c>
      <c r="E1545" s="10">
        <v>100.69</v>
      </c>
      <c r="F1545" s="8" t="s">
        <v>308</v>
      </c>
      <c r="G1545" s="13">
        <v>19.6933</v>
      </c>
      <c r="H1545" s="13">
        <v>5.1129</v>
      </c>
      <c r="I1545" s="9">
        <v>46101.0</v>
      </c>
      <c r="J1545" s="10">
        <v>100.0</v>
      </c>
      <c r="K1545" s="8">
        <v>3938.0</v>
      </c>
      <c r="L1545" s="8" t="s">
        <v>2608</v>
      </c>
      <c r="M1545" s="11">
        <v>0.69</v>
      </c>
      <c r="N1545" s="8" t="s">
        <v>4101</v>
      </c>
      <c r="O1545" s="8">
        <v>3938.0</v>
      </c>
      <c r="P1545" s="11">
        <v>26.7165</v>
      </c>
      <c r="Q1545" s="8" t="s">
        <v>3815</v>
      </c>
      <c r="R1545" s="11">
        <v>2.0679</v>
      </c>
      <c r="S1545" s="12">
        <v>1133659.0</v>
      </c>
      <c r="T1545" s="12">
        <v>1.7536416865E10</v>
      </c>
      <c r="U1545" s="13">
        <v>2.5037</v>
      </c>
      <c r="V1545" s="13">
        <v>12.2422</v>
      </c>
      <c r="W1545" s="13">
        <v>6.764</v>
      </c>
      <c r="X1545" s="13">
        <v>8.0061</v>
      </c>
      <c r="Y1545" s="13">
        <v>0.5437</v>
      </c>
      <c r="Z1545" s="13">
        <v>1.8374</v>
      </c>
      <c r="AA1545" s="8" t="s">
        <v>2611</v>
      </c>
      <c r="AB1545" s="14">
        <f>IFERROR(__xludf.DUMMYFUNCTION("IFERROR(GOOGLEFINANCE(B1545,""price""),"""")"),91.39)</f>
        <v>91.39</v>
      </c>
    </row>
    <row r="1546">
      <c r="A1546" s="15">
        <v>46083.628642543794</v>
      </c>
      <c r="B1546" s="16" t="s">
        <v>2672</v>
      </c>
      <c r="C1546" s="16" t="s">
        <v>2673</v>
      </c>
      <c r="D1546" s="17">
        <v>46089.0</v>
      </c>
      <c r="E1546" s="18">
        <v>49.78</v>
      </c>
      <c r="F1546" s="16" t="s">
        <v>107</v>
      </c>
      <c r="G1546" s="21"/>
      <c r="H1546" s="21">
        <v>-1.865</v>
      </c>
      <c r="I1546" s="17">
        <v>46101.0</v>
      </c>
      <c r="J1546" s="18">
        <v>50.0</v>
      </c>
      <c r="K1546" s="16">
        <v>2680.0</v>
      </c>
      <c r="L1546" s="16" t="s">
        <v>2608</v>
      </c>
      <c r="M1546" s="19">
        <v>0.44</v>
      </c>
      <c r="N1546" s="16" t="s">
        <v>4102</v>
      </c>
      <c r="O1546" s="16">
        <v>3813.0</v>
      </c>
      <c r="P1546" s="19">
        <v>43.3301</v>
      </c>
      <c r="Q1546" s="16" t="s">
        <v>2675</v>
      </c>
      <c r="R1546" s="19">
        <v>-0.5196</v>
      </c>
      <c r="S1546" s="20">
        <v>2338383.0</v>
      </c>
      <c r="T1546" s="20">
        <v>2.0356230056E10</v>
      </c>
      <c r="U1546" s="21">
        <v>1.4111</v>
      </c>
      <c r="V1546" s="21">
        <v>-0.805</v>
      </c>
      <c r="W1546" s="21">
        <v>16.2067</v>
      </c>
      <c r="X1546" s="21">
        <v>-10.4796</v>
      </c>
      <c r="Y1546" s="21">
        <v>0.2451</v>
      </c>
      <c r="Z1546" s="21">
        <v>2.4187</v>
      </c>
      <c r="AA1546" s="16" t="s">
        <v>2620</v>
      </c>
      <c r="AB1546" s="22">
        <f>IFERROR(__xludf.DUMMYFUNCTION("IFERROR(GOOGLEFINANCE(B1546,""price""),"""")"),47.25)</f>
        <v>47.25</v>
      </c>
    </row>
    <row r="1547">
      <c r="A1547" s="7">
        <v>46083.628642543794</v>
      </c>
      <c r="B1547" s="8" t="s">
        <v>2399</v>
      </c>
      <c r="C1547" s="8" t="s">
        <v>2400</v>
      </c>
      <c r="D1547" s="9">
        <v>46089.0</v>
      </c>
      <c r="E1547" s="10">
        <v>19.155</v>
      </c>
      <c r="F1547" s="8" t="s">
        <v>270</v>
      </c>
      <c r="G1547" s="13">
        <v>15.8542</v>
      </c>
      <c r="H1547" s="13">
        <v>1.2082</v>
      </c>
      <c r="I1547" s="9">
        <v>46087.0</v>
      </c>
      <c r="J1547" s="10">
        <v>19.0</v>
      </c>
      <c r="K1547" s="8">
        <v>3527.0</v>
      </c>
      <c r="L1547" s="8" t="s">
        <v>2608</v>
      </c>
      <c r="M1547" s="11">
        <v>0.81</v>
      </c>
      <c r="N1547" s="8" t="s">
        <v>4103</v>
      </c>
      <c r="O1547" s="8">
        <v>3527.0</v>
      </c>
      <c r="P1547" s="11">
        <v>35.7834</v>
      </c>
      <c r="Q1547" s="8" t="s">
        <v>2401</v>
      </c>
      <c r="R1547" s="11">
        <v>1.672</v>
      </c>
      <c r="S1547" s="12">
        <v>1.5177001E7</v>
      </c>
      <c r="T1547" s="12">
        <v>6.5899223884E10</v>
      </c>
      <c r="U1547" s="13">
        <v>0.3548</v>
      </c>
      <c r="V1547" s="13">
        <v>12.7475</v>
      </c>
      <c r="W1547" s="13">
        <v>10.8866</v>
      </c>
      <c r="X1547" s="13">
        <v>3.4655</v>
      </c>
      <c r="Y1547" s="13">
        <v>2.0395</v>
      </c>
      <c r="Z1547" s="13">
        <v>1.2192</v>
      </c>
      <c r="AA1547" s="8" t="s">
        <v>2611</v>
      </c>
      <c r="AB1547" s="14">
        <f>IFERROR(__xludf.DUMMYFUNCTION("IFERROR(GOOGLEFINANCE(B1547,""price""),"""")"),19.19)</f>
        <v>19.19</v>
      </c>
    </row>
    <row r="1548">
      <c r="A1548" s="15">
        <v>46083.628642543794</v>
      </c>
      <c r="B1548" s="16" t="s">
        <v>2297</v>
      </c>
      <c r="C1548" s="16" t="s">
        <v>2298</v>
      </c>
      <c r="D1548" s="17">
        <v>46089.0</v>
      </c>
      <c r="E1548" s="18">
        <v>106.63</v>
      </c>
      <c r="F1548" s="16" t="s">
        <v>917</v>
      </c>
      <c r="G1548" s="21">
        <v>27.2544</v>
      </c>
      <c r="H1548" s="21">
        <v>3.9124</v>
      </c>
      <c r="I1548" s="17">
        <v>46101.0</v>
      </c>
      <c r="J1548" s="18">
        <v>105.0</v>
      </c>
      <c r="K1548" s="16">
        <v>3196.0</v>
      </c>
      <c r="L1548" s="16" t="s">
        <v>2608</v>
      </c>
      <c r="M1548" s="19">
        <v>1.53</v>
      </c>
      <c r="N1548" s="16" t="s">
        <v>4104</v>
      </c>
      <c r="O1548" s="16">
        <v>3196.0</v>
      </c>
      <c r="P1548" s="19">
        <v>39.5905</v>
      </c>
      <c r="Q1548" s="16" t="s">
        <v>2299</v>
      </c>
      <c r="R1548" s="19">
        <v>-0.4481</v>
      </c>
      <c r="S1548" s="20">
        <v>1283380.0</v>
      </c>
      <c r="T1548" s="20">
        <v>4.8302306664E10</v>
      </c>
      <c r="U1548" s="21">
        <v>2.012</v>
      </c>
      <c r="V1548" s="21">
        <v>10.931</v>
      </c>
      <c r="W1548" s="21">
        <v>22.9697</v>
      </c>
      <c r="X1548" s="21">
        <v>8.3782</v>
      </c>
      <c r="Y1548" s="21">
        <v>1.8276</v>
      </c>
      <c r="Z1548" s="21">
        <v>0.7243</v>
      </c>
      <c r="AA1548" s="16" t="s">
        <v>2611</v>
      </c>
      <c r="AB1548" s="22">
        <f>IFERROR(__xludf.DUMMYFUNCTION("IFERROR(GOOGLEFINANCE(B1548,""price""),"""")"),116.47)</f>
        <v>116.47</v>
      </c>
    </row>
    <row r="1549">
      <c r="A1549" s="7">
        <v>46083.628642543794</v>
      </c>
      <c r="B1549" s="8" t="s">
        <v>3845</v>
      </c>
      <c r="C1549" s="8" t="s">
        <v>3846</v>
      </c>
      <c r="D1549" s="9">
        <v>46089.0</v>
      </c>
      <c r="E1549" s="10">
        <v>90.56</v>
      </c>
      <c r="F1549" s="8" t="s">
        <v>129</v>
      </c>
      <c r="G1549" s="13">
        <v>24.3559</v>
      </c>
      <c r="H1549" s="13">
        <v>3.7182</v>
      </c>
      <c r="I1549" s="9">
        <v>46101.0</v>
      </c>
      <c r="J1549" s="10">
        <v>90.0</v>
      </c>
      <c r="K1549" s="8">
        <v>2972.0</v>
      </c>
      <c r="L1549" s="8" t="s">
        <v>2608</v>
      </c>
      <c r="M1549" s="11">
        <v>0.62</v>
      </c>
      <c r="N1549" s="8" t="s">
        <v>4105</v>
      </c>
      <c r="O1549" s="8">
        <v>2972.0</v>
      </c>
      <c r="P1549" s="11">
        <v>55.2991</v>
      </c>
      <c r="Q1549" s="8" t="s">
        <v>3848</v>
      </c>
      <c r="R1549" s="11">
        <v>-0.6582</v>
      </c>
      <c r="S1549" s="12">
        <v>1527415.0</v>
      </c>
      <c r="T1549" s="12">
        <v>4.337196268E10</v>
      </c>
      <c r="U1549" s="13">
        <v>1.8153</v>
      </c>
      <c r="V1549" s="13">
        <v>83.6397</v>
      </c>
      <c r="W1549" s="13">
        <v>4.1986</v>
      </c>
      <c r="X1549" s="13">
        <v>2.576</v>
      </c>
      <c r="Y1549" s="13">
        <v>6.5567</v>
      </c>
      <c r="Z1549" s="13">
        <v>1.2955</v>
      </c>
      <c r="AA1549" s="8" t="s">
        <v>2611</v>
      </c>
      <c r="AB1549" s="14">
        <f>IFERROR(__xludf.DUMMYFUNCTION("IFERROR(GOOGLEFINANCE(B1549,""price""),"""")"),72.82)</f>
        <v>72.82</v>
      </c>
    </row>
    <row r="1550">
      <c r="A1550" s="15">
        <v>46083.628642543794</v>
      </c>
      <c r="B1550" s="16" t="s">
        <v>4106</v>
      </c>
      <c r="C1550" s="16" t="s">
        <v>4107</v>
      </c>
      <c r="D1550" s="17">
        <v>46089.0</v>
      </c>
      <c r="E1550" s="18">
        <v>69.58</v>
      </c>
      <c r="F1550" s="16" t="s">
        <v>102</v>
      </c>
      <c r="G1550" s="21">
        <v>20.8411</v>
      </c>
      <c r="H1550" s="21">
        <v>3.3386</v>
      </c>
      <c r="I1550" s="17">
        <v>46101.0</v>
      </c>
      <c r="J1550" s="18">
        <v>70.0</v>
      </c>
      <c r="K1550" s="16">
        <v>2787.0</v>
      </c>
      <c r="L1550" s="16" t="s">
        <v>2608</v>
      </c>
      <c r="M1550" s="19">
        <v>0.6</v>
      </c>
      <c r="N1550" s="16" t="s">
        <v>4108</v>
      </c>
      <c r="O1550" s="16">
        <v>2787.0</v>
      </c>
      <c r="P1550" s="19">
        <v>21.5406</v>
      </c>
      <c r="Q1550" s="16" t="s">
        <v>4109</v>
      </c>
      <c r="R1550" s="19">
        <v>1.1484</v>
      </c>
      <c r="S1550" s="20">
        <v>1082633.0</v>
      </c>
      <c r="T1550" s="20">
        <v>7.911245893E9</v>
      </c>
      <c r="U1550" s="21">
        <v>2.9375</v>
      </c>
      <c r="V1550" s="21">
        <v>11.2554</v>
      </c>
      <c r="W1550" s="21">
        <v>8.7807</v>
      </c>
      <c r="X1550" s="21">
        <v>5.7302</v>
      </c>
      <c r="Y1550" s="21">
        <v>1.295</v>
      </c>
      <c r="Z1550" s="21">
        <v>2.2957</v>
      </c>
      <c r="AA1550" s="16" t="s">
        <v>2620</v>
      </c>
      <c r="AB1550" s="22">
        <f>IFERROR(__xludf.DUMMYFUNCTION("IFERROR(GOOGLEFINANCE(B1550,""price""),"""")"),63.18)</f>
        <v>63.18</v>
      </c>
    </row>
    <row r="1551">
      <c r="A1551" s="7">
        <v>46083.628642543794</v>
      </c>
      <c r="B1551" s="8" t="s">
        <v>2710</v>
      </c>
      <c r="C1551" s="8" t="s">
        <v>2711</v>
      </c>
      <c r="D1551" s="9">
        <v>46089.0</v>
      </c>
      <c r="E1551" s="10">
        <v>133.855</v>
      </c>
      <c r="F1551" s="8" t="s">
        <v>917</v>
      </c>
      <c r="G1551" s="13">
        <v>20.0987</v>
      </c>
      <c r="H1551" s="13">
        <v>6.6599</v>
      </c>
      <c r="I1551" s="9">
        <v>46101.0</v>
      </c>
      <c r="J1551" s="10">
        <v>135.0</v>
      </c>
      <c r="K1551" s="8">
        <v>2287.0</v>
      </c>
      <c r="L1551" s="8" t="s">
        <v>2608</v>
      </c>
      <c r="M1551" s="11">
        <v>0.86</v>
      </c>
      <c r="N1551" s="8" t="s">
        <v>4110</v>
      </c>
      <c r="O1551" s="8">
        <v>2287.0</v>
      </c>
      <c r="P1551" s="11">
        <v>46.3604</v>
      </c>
      <c r="Q1551" s="8" t="s">
        <v>2713</v>
      </c>
      <c r="R1551" s="11">
        <v>0.0262</v>
      </c>
      <c r="S1551" s="12">
        <v>1987939.0</v>
      </c>
      <c r="T1551" s="12">
        <v>7.2397021548E10</v>
      </c>
      <c r="U1551" s="13">
        <v>2.4034</v>
      </c>
      <c r="V1551" s="13">
        <v>12.3274</v>
      </c>
      <c r="W1551" s="13">
        <v>25.0742</v>
      </c>
      <c r="X1551" s="13">
        <v>10.4587</v>
      </c>
      <c r="Y1551" s="13">
        <v>1.5949</v>
      </c>
      <c r="Z1551" s="13">
        <v>0.4546</v>
      </c>
      <c r="AA1551" s="8" t="s">
        <v>2620</v>
      </c>
      <c r="AB1551" s="14">
        <f>IFERROR(__xludf.DUMMYFUNCTION("IFERROR(GOOGLEFINANCE(B1551,""price""),"""")"),136.3)</f>
        <v>136.3</v>
      </c>
    </row>
    <row r="1552">
      <c r="A1552" s="15">
        <v>46083.628642543794</v>
      </c>
      <c r="B1552" s="16" t="s">
        <v>3100</v>
      </c>
      <c r="C1552" s="16" t="s">
        <v>3101</v>
      </c>
      <c r="D1552" s="17">
        <v>46089.0</v>
      </c>
      <c r="E1552" s="18">
        <v>356.95</v>
      </c>
      <c r="F1552" s="16" t="s">
        <v>308</v>
      </c>
      <c r="G1552" s="21">
        <v>420.2378</v>
      </c>
      <c r="H1552" s="21">
        <v>0.8494</v>
      </c>
      <c r="I1552" s="17">
        <v>46087.0</v>
      </c>
      <c r="J1552" s="18">
        <v>352.5</v>
      </c>
      <c r="K1552" s="16">
        <v>1229.0</v>
      </c>
      <c r="L1552" s="16" t="s">
        <v>2627</v>
      </c>
      <c r="M1552" s="19">
        <v>1.25</v>
      </c>
      <c r="N1552" s="16" t="s">
        <v>4111</v>
      </c>
      <c r="O1552" s="16">
        <v>2233.0</v>
      </c>
      <c r="P1552" s="19">
        <v>26.0552</v>
      </c>
      <c r="Q1552" s="16" t="s">
        <v>3103</v>
      </c>
      <c r="R1552" s="19">
        <v>2.3659</v>
      </c>
      <c r="S1552" s="20">
        <v>2076502.0</v>
      </c>
      <c r="T1552" s="20">
        <v>5.0495382101E10</v>
      </c>
      <c r="U1552" s="21">
        <v>20.4349</v>
      </c>
      <c r="V1552" s="21">
        <v>4.4483</v>
      </c>
      <c r="W1552" s="21">
        <v>6.5162</v>
      </c>
      <c r="X1552" s="21">
        <v>18.7935</v>
      </c>
      <c r="Y1552" s="21">
        <v>0.5956</v>
      </c>
      <c r="Z1552" s="21">
        <v>2.6962</v>
      </c>
      <c r="AA1552" s="16" t="s">
        <v>2611</v>
      </c>
      <c r="AB1552" s="22">
        <f>IFERROR(__xludf.DUMMYFUNCTION("IFERROR(GOOGLEFINANCE(B1552,""price""),"""")"),496.02)</f>
        <v>496.02</v>
      </c>
    </row>
    <row r="1553">
      <c r="A1553" s="7">
        <v>46083.628642543794</v>
      </c>
      <c r="B1553" s="8" t="s">
        <v>3291</v>
      </c>
      <c r="C1553" s="8" t="s">
        <v>3292</v>
      </c>
      <c r="D1553" s="9">
        <v>46089.0</v>
      </c>
      <c r="E1553" s="10">
        <v>243.99</v>
      </c>
      <c r="F1553" s="8" t="s">
        <v>270</v>
      </c>
      <c r="G1553" s="13">
        <v>36.424</v>
      </c>
      <c r="H1553" s="13">
        <v>6.6986</v>
      </c>
      <c r="I1553" s="9">
        <v>46101.0</v>
      </c>
      <c r="J1553" s="10">
        <v>240.0</v>
      </c>
      <c r="K1553" s="8">
        <v>2124.0</v>
      </c>
      <c r="L1553" s="8" t="s">
        <v>2608</v>
      </c>
      <c r="M1553" s="11">
        <v>1.64</v>
      </c>
      <c r="N1553" s="8" t="s">
        <v>4112</v>
      </c>
      <c r="O1553" s="8">
        <v>2124.0</v>
      </c>
      <c r="P1553" s="11">
        <v>24.566</v>
      </c>
      <c r="Q1553" s="8" t="s">
        <v>3294</v>
      </c>
      <c r="R1553" s="11">
        <v>1.3079</v>
      </c>
      <c r="S1553" s="12">
        <v>1868128.0</v>
      </c>
      <c r="T1553" s="12">
        <v>9.8409896664E10</v>
      </c>
      <c r="U1553" s="13">
        <v>4.7505</v>
      </c>
      <c r="V1553" s="13">
        <v>29.6897</v>
      </c>
      <c r="W1553" s="13">
        <v>18.2788</v>
      </c>
      <c r="X1553" s="13">
        <v>14.2365</v>
      </c>
      <c r="Y1553" s="13">
        <v>2.3941</v>
      </c>
      <c r="Z1553" s="13">
        <v>0.8888</v>
      </c>
      <c r="AA1553" s="8" t="s">
        <v>2611</v>
      </c>
      <c r="AB1553" s="14">
        <f>IFERROR(__xludf.DUMMYFUNCTION("IFERROR(GOOGLEFINANCE(B1553,""price""),"""")"),229.45)</f>
        <v>229.45</v>
      </c>
    </row>
    <row r="1554">
      <c r="A1554" s="15">
        <v>46083.628642543794</v>
      </c>
      <c r="B1554" s="16" t="s">
        <v>2139</v>
      </c>
      <c r="C1554" s="16" t="s">
        <v>2140</v>
      </c>
      <c r="D1554" s="17">
        <v>46089.0</v>
      </c>
      <c r="E1554" s="18">
        <v>64.86</v>
      </c>
      <c r="F1554" s="16" t="s">
        <v>270</v>
      </c>
      <c r="G1554" s="21">
        <v>24.8983</v>
      </c>
      <c r="H1554" s="21">
        <v>2.605</v>
      </c>
      <c r="I1554" s="17">
        <v>46101.0</v>
      </c>
      <c r="J1554" s="18">
        <v>65.0</v>
      </c>
      <c r="K1554" s="16">
        <v>2097.0</v>
      </c>
      <c r="L1554" s="16" t="s">
        <v>2608</v>
      </c>
      <c r="M1554" s="19">
        <v>0.22</v>
      </c>
      <c r="N1554" s="16" t="s">
        <v>4113</v>
      </c>
      <c r="O1554" s="16">
        <v>2097.0</v>
      </c>
      <c r="P1554" s="19">
        <v>44.2454</v>
      </c>
      <c r="Q1554" s="16" t="s">
        <v>2141</v>
      </c>
      <c r="R1554" s="19">
        <v>-0.6129</v>
      </c>
      <c r="S1554" s="20">
        <v>6917500.0</v>
      </c>
      <c r="T1554" s="20">
        <v>6.4097022217E10</v>
      </c>
      <c r="U1554" s="21">
        <v>1.7391</v>
      </c>
      <c r="V1554" s="21">
        <v>14.4868</v>
      </c>
      <c r="W1554" s="21">
        <v>12.8259</v>
      </c>
      <c r="X1554" s="21">
        <v>-0.345</v>
      </c>
      <c r="Y1554" s="21">
        <v>0.3558</v>
      </c>
      <c r="Z1554" s="21">
        <v>1.3568</v>
      </c>
      <c r="AA1554" s="16" t="s">
        <v>2620</v>
      </c>
      <c r="AB1554" s="22">
        <f>IFERROR(__xludf.DUMMYFUNCTION("IFERROR(GOOGLEFINANCE(B1554,""price""),"""")"),62.83)</f>
        <v>62.83</v>
      </c>
    </row>
    <row r="1555">
      <c r="A1555" s="7">
        <v>46083.628642543794</v>
      </c>
      <c r="B1555" s="8" t="s">
        <v>3829</v>
      </c>
      <c r="C1555" s="8" t="s">
        <v>3830</v>
      </c>
      <c r="D1555" s="9">
        <v>46089.0</v>
      </c>
      <c r="E1555" s="10">
        <v>112.1</v>
      </c>
      <c r="F1555" s="8" t="s">
        <v>308</v>
      </c>
      <c r="G1555" s="13">
        <v>66.6984</v>
      </c>
      <c r="H1555" s="13">
        <v>1.6807</v>
      </c>
      <c r="I1555" s="9">
        <v>46101.0</v>
      </c>
      <c r="J1555" s="10">
        <v>110.0</v>
      </c>
      <c r="K1555" s="8">
        <v>2087.0</v>
      </c>
      <c r="L1555" s="8" t="s">
        <v>2608</v>
      </c>
      <c r="M1555" s="11">
        <v>1.87</v>
      </c>
      <c r="N1555" s="8" t="s">
        <v>4114</v>
      </c>
      <c r="O1555" s="8">
        <v>2087.0</v>
      </c>
      <c r="P1555" s="11">
        <v>23.0635</v>
      </c>
      <c r="Q1555" s="8" t="s">
        <v>3832</v>
      </c>
      <c r="R1555" s="11">
        <v>7.5403</v>
      </c>
      <c r="S1555" s="12">
        <v>1672236.0</v>
      </c>
      <c r="T1555" s="12">
        <v>1.1591691573E10</v>
      </c>
      <c r="U1555" s="13">
        <v>7.3683</v>
      </c>
      <c r="V1555" s="13">
        <v>10.6701</v>
      </c>
      <c r="W1555" s="13">
        <v>9.0659</v>
      </c>
      <c r="X1555" s="13">
        <v>18.9783</v>
      </c>
      <c r="Y1555" s="13">
        <v>0.5842</v>
      </c>
      <c r="Z1555" s="13">
        <v>1.9283</v>
      </c>
      <c r="AA1555" s="8" t="s">
        <v>2611</v>
      </c>
      <c r="AB1555" s="14">
        <f>IFERROR(__xludf.DUMMYFUNCTION("IFERROR(GOOGLEFINANCE(B1555,""price""),"""")"),121.49)</f>
        <v>121.49</v>
      </c>
    </row>
    <row r="1556">
      <c r="A1556" s="15">
        <v>46083.628642543794</v>
      </c>
      <c r="B1556" s="16" t="s">
        <v>3922</v>
      </c>
      <c r="C1556" s="16" t="s">
        <v>3923</v>
      </c>
      <c r="D1556" s="17">
        <v>46089.0</v>
      </c>
      <c r="E1556" s="18">
        <v>83.98</v>
      </c>
      <c r="F1556" s="16" t="s">
        <v>917</v>
      </c>
      <c r="G1556" s="21">
        <v>24.5369</v>
      </c>
      <c r="H1556" s="21">
        <v>3.4226</v>
      </c>
      <c r="I1556" s="17">
        <v>46101.0</v>
      </c>
      <c r="J1556" s="18">
        <v>85.0</v>
      </c>
      <c r="K1556" s="16">
        <v>2051.0</v>
      </c>
      <c r="L1556" s="16" t="s">
        <v>2608</v>
      </c>
      <c r="M1556" s="19">
        <v>1.21</v>
      </c>
      <c r="N1556" s="16" t="s">
        <v>4115</v>
      </c>
      <c r="O1556" s="16">
        <v>2051.0</v>
      </c>
      <c r="P1556" s="19">
        <v>29.0319</v>
      </c>
      <c r="Q1556" s="16" t="s">
        <v>3925</v>
      </c>
      <c r="R1556" s="19">
        <v>0.7438</v>
      </c>
      <c r="S1556" s="20">
        <v>2412955.0</v>
      </c>
      <c r="T1556" s="20">
        <v>5.2393176656E10</v>
      </c>
      <c r="U1556" s="21">
        <v>1.4537</v>
      </c>
      <c r="V1556" s="21">
        <v>9.3575</v>
      </c>
      <c r="W1556" s="21">
        <v>19.7928</v>
      </c>
      <c r="X1556" s="21">
        <v>8.9397</v>
      </c>
      <c r="Y1556" s="21">
        <v>1.5282</v>
      </c>
      <c r="Z1556" s="21">
        <v>0.7073</v>
      </c>
      <c r="AA1556" s="16" t="s">
        <v>2620</v>
      </c>
      <c r="AB1556" s="22">
        <f>IFERROR(__xludf.DUMMYFUNCTION("IFERROR(GOOGLEFINANCE(B1556,""price""),"""")"),82.38)</f>
        <v>82.38</v>
      </c>
    </row>
    <row r="1557">
      <c r="A1557" s="7">
        <v>46083.628642543794</v>
      </c>
      <c r="B1557" s="8" t="s">
        <v>3684</v>
      </c>
      <c r="C1557" s="8" t="s">
        <v>3685</v>
      </c>
      <c r="D1557" s="9">
        <v>46089.0</v>
      </c>
      <c r="E1557" s="10">
        <v>38.805</v>
      </c>
      <c r="F1557" s="8" t="s">
        <v>917</v>
      </c>
      <c r="G1557" s="13">
        <v>24.441</v>
      </c>
      <c r="H1557" s="13">
        <v>1.5877</v>
      </c>
      <c r="I1557" s="9">
        <v>46101.0</v>
      </c>
      <c r="J1557" s="10">
        <v>39.0</v>
      </c>
      <c r="K1557" s="8">
        <v>1991.0</v>
      </c>
      <c r="L1557" s="8" t="s">
        <v>2608</v>
      </c>
      <c r="M1557" s="11">
        <v>0.5</v>
      </c>
      <c r="N1557" s="8" t="s">
        <v>4116</v>
      </c>
      <c r="O1557" s="8">
        <v>1991.0</v>
      </c>
      <c r="P1557" s="11">
        <v>24.9515</v>
      </c>
      <c r="Q1557" s="8" t="s">
        <v>3687</v>
      </c>
      <c r="R1557" s="11">
        <v>-0.4489</v>
      </c>
      <c r="S1557" s="12">
        <v>4136407.0</v>
      </c>
      <c r="T1557" s="12">
        <v>2.9154460952E10</v>
      </c>
      <c r="U1557" s="13">
        <v>0.7351</v>
      </c>
      <c r="V1557" s="13">
        <v>8.1497</v>
      </c>
      <c r="W1557" s="13">
        <v>23.6452</v>
      </c>
      <c r="X1557" s="13">
        <v>6.8542</v>
      </c>
      <c r="Y1557" s="13">
        <v>1.3003</v>
      </c>
      <c r="Z1557" s="13">
        <v>0.8647</v>
      </c>
      <c r="AA1557" s="8" t="s">
        <v>2620</v>
      </c>
      <c r="AB1557" s="14">
        <f>IFERROR(__xludf.DUMMYFUNCTION("IFERROR(GOOGLEFINANCE(B1557,""price""),"""")"),39.65)</f>
        <v>39.65</v>
      </c>
    </row>
    <row r="1558">
      <c r="A1558" s="15">
        <v>46083.628642543794</v>
      </c>
      <c r="B1558" s="16" t="s">
        <v>2692</v>
      </c>
      <c r="C1558" s="16" t="s">
        <v>2693</v>
      </c>
      <c r="D1558" s="17">
        <v>46089.0</v>
      </c>
      <c r="E1558" s="18">
        <v>248.999</v>
      </c>
      <c r="F1558" s="16" t="s">
        <v>117</v>
      </c>
      <c r="G1558" s="21">
        <v>22.5424</v>
      </c>
      <c r="H1558" s="21">
        <v>11.0458</v>
      </c>
      <c r="I1558" s="17">
        <v>46087.0</v>
      </c>
      <c r="J1558" s="18">
        <v>250.0</v>
      </c>
      <c r="K1558" s="16">
        <v>1985.0</v>
      </c>
      <c r="L1558" s="16" t="s">
        <v>2608</v>
      </c>
      <c r="M1558" s="19">
        <v>0.4</v>
      </c>
      <c r="N1558" s="16" t="s">
        <v>4117</v>
      </c>
      <c r="O1558" s="16">
        <v>1985.0</v>
      </c>
      <c r="P1558" s="19">
        <v>39.7338</v>
      </c>
      <c r="Q1558" s="16" t="s">
        <v>2695</v>
      </c>
      <c r="R1558" s="19">
        <v>0.229</v>
      </c>
      <c r="S1558" s="20">
        <v>5383309.0</v>
      </c>
      <c r="T1558" s="20">
        <v>6.00062404929E11</v>
      </c>
      <c r="U1558" s="21">
        <v>3.9749</v>
      </c>
      <c r="V1558" s="21">
        <v>35.0301</v>
      </c>
      <c r="W1558" s="21">
        <v>27.2081</v>
      </c>
      <c r="X1558" s="21">
        <v>6.046</v>
      </c>
      <c r="Y1558" s="21">
        <v>0.605</v>
      </c>
      <c r="Z1558" s="21">
        <v>1.0277</v>
      </c>
      <c r="AA1558" s="16" t="s">
        <v>2620</v>
      </c>
      <c r="AB1558" s="22">
        <f>IFERROR(__xludf.DUMMYFUNCTION("IFERROR(GOOGLEFINANCE(B1558,""price""),"""")"),238.46)</f>
        <v>238.46</v>
      </c>
    </row>
    <row r="1559">
      <c r="A1559" s="7">
        <v>46083.628642543794</v>
      </c>
      <c r="B1559" s="8" t="s">
        <v>1467</v>
      </c>
      <c r="C1559" s="8" t="s">
        <v>1468</v>
      </c>
      <c r="D1559" s="9">
        <v>46089.0</v>
      </c>
      <c r="E1559" s="10">
        <v>145.71</v>
      </c>
      <c r="F1559" s="8" t="s">
        <v>102</v>
      </c>
      <c r="G1559" s="13">
        <v>27.4107</v>
      </c>
      <c r="H1559" s="13">
        <v>5.3158</v>
      </c>
      <c r="I1559" s="9">
        <v>46101.0</v>
      </c>
      <c r="J1559" s="10">
        <v>145.0</v>
      </c>
      <c r="K1559" s="8">
        <v>1727.0</v>
      </c>
      <c r="L1559" s="8" t="s">
        <v>2608</v>
      </c>
      <c r="M1559" s="11">
        <v>0.49</v>
      </c>
      <c r="N1559" s="8" t="s">
        <v>4118</v>
      </c>
      <c r="O1559" s="8">
        <v>1727.0</v>
      </c>
      <c r="P1559" s="11">
        <v>51.8201</v>
      </c>
      <c r="Q1559" s="8" t="s">
        <v>1469</v>
      </c>
      <c r="R1559" s="11">
        <v>0.9771</v>
      </c>
      <c r="S1559" s="12">
        <v>1831417.0</v>
      </c>
      <c r="T1559" s="12">
        <v>8.9184162367E10</v>
      </c>
      <c r="U1559" s="13">
        <v>3.3377</v>
      </c>
      <c r="V1559" s="13">
        <v>13.146</v>
      </c>
      <c r="W1559" s="13">
        <v>13.0805</v>
      </c>
      <c r="X1559" s="13">
        <v>-6.3935</v>
      </c>
      <c r="Y1559" s="13">
        <v>0.735</v>
      </c>
      <c r="Z1559" s="13">
        <v>0.9638</v>
      </c>
      <c r="AA1559" s="8" t="s">
        <v>2611</v>
      </c>
      <c r="AB1559" s="14">
        <f>IFERROR(__xludf.DUMMYFUNCTION("IFERROR(GOOGLEFINANCE(B1559,""price""),"""")"),142.53)</f>
        <v>142.53</v>
      </c>
    </row>
    <row r="1560">
      <c r="A1560" s="15">
        <v>46083.628642543794</v>
      </c>
      <c r="B1560" s="16" t="s">
        <v>3538</v>
      </c>
      <c r="C1560" s="16" t="s">
        <v>3539</v>
      </c>
      <c r="D1560" s="17">
        <v>46089.0</v>
      </c>
      <c r="E1560" s="18">
        <v>218.685</v>
      </c>
      <c r="F1560" s="16" t="s">
        <v>335</v>
      </c>
      <c r="G1560" s="21">
        <v>42.1018</v>
      </c>
      <c r="H1560" s="21">
        <v>5.1942</v>
      </c>
      <c r="I1560" s="17">
        <v>46087.0</v>
      </c>
      <c r="J1560" s="18">
        <v>215.0</v>
      </c>
      <c r="K1560" s="16">
        <v>1677.0</v>
      </c>
      <c r="L1560" s="16" t="s">
        <v>2627</v>
      </c>
      <c r="M1560" s="19">
        <v>1.69</v>
      </c>
      <c r="N1560" s="16" t="s">
        <v>4119</v>
      </c>
      <c r="O1560" s="16">
        <v>1677.0</v>
      </c>
      <c r="P1560" s="19">
        <v>33.1144</v>
      </c>
      <c r="Q1560" s="16" t="s">
        <v>3541</v>
      </c>
      <c r="R1560" s="19">
        <v>0.1764</v>
      </c>
      <c r="S1560" s="20">
        <v>1271487.0</v>
      </c>
      <c r="T1560" s="20">
        <v>1.80647453643E11</v>
      </c>
      <c r="U1560" s="21">
        <v>10.0346</v>
      </c>
      <c r="V1560" s="21">
        <v>42.8992</v>
      </c>
      <c r="W1560" s="21">
        <v>52.1736</v>
      </c>
      <c r="X1560" s="21">
        <v>17.3764</v>
      </c>
      <c r="Y1560" s="21">
        <v>0.6716</v>
      </c>
      <c r="Z1560" s="21">
        <v>3.8938</v>
      </c>
      <c r="AA1560" s="16" t="s">
        <v>2611</v>
      </c>
      <c r="AB1560" s="22">
        <f>IFERROR(__xludf.DUMMYFUNCTION("IFERROR(GOOGLEFINANCE(B1560,""price""),"""")"),192.56)</f>
        <v>192.56</v>
      </c>
    </row>
    <row r="1561">
      <c r="A1561" s="7">
        <v>46083.628642543794</v>
      </c>
      <c r="B1561" s="8" t="s">
        <v>2843</v>
      </c>
      <c r="C1561" s="8" t="s">
        <v>2844</v>
      </c>
      <c r="D1561" s="9">
        <v>46089.0</v>
      </c>
      <c r="E1561" s="10">
        <v>212.1</v>
      </c>
      <c r="F1561" s="8" t="s">
        <v>308</v>
      </c>
      <c r="G1561" s="13">
        <v>42.7414</v>
      </c>
      <c r="H1561" s="13">
        <v>4.9624</v>
      </c>
      <c r="I1561" s="9">
        <v>46087.0</v>
      </c>
      <c r="J1561" s="10">
        <v>210.0</v>
      </c>
      <c r="K1561" s="8">
        <v>1562.0</v>
      </c>
      <c r="L1561" s="8" t="s">
        <v>2608</v>
      </c>
      <c r="M1561" s="11">
        <v>0.99</v>
      </c>
      <c r="N1561" s="8" t="s">
        <v>4120</v>
      </c>
      <c r="O1561" s="8">
        <v>1562.0</v>
      </c>
      <c r="P1561" s="11">
        <v>27.004</v>
      </c>
      <c r="Q1561" s="8" t="s">
        <v>2846</v>
      </c>
      <c r="R1561" s="11">
        <v>4.6787</v>
      </c>
      <c r="S1561" s="12">
        <v>9599346.0</v>
      </c>
      <c r="T1561" s="12">
        <v>2.84699192602E11</v>
      </c>
      <c r="U1561" s="13">
        <v>5.135</v>
      </c>
      <c r="V1561" s="13">
        <v>10.7368</v>
      </c>
      <c r="W1561" s="13">
        <v>10.0301</v>
      </c>
      <c r="X1561" s="13">
        <v>9.7414</v>
      </c>
      <c r="Y1561" s="13">
        <v>0.6124</v>
      </c>
      <c r="Z1561" s="13">
        <v>0.9804</v>
      </c>
      <c r="AA1561" s="8" t="s">
        <v>2611</v>
      </c>
      <c r="AB1561" s="14">
        <f>IFERROR(__xludf.DUMMYFUNCTION("IFERROR(GOOGLEFINANCE(B1561,""price""),"""")"),201.56)</f>
        <v>201.56</v>
      </c>
    </row>
    <row r="1562">
      <c r="A1562" s="15">
        <v>46083.628642543794</v>
      </c>
      <c r="B1562" s="16" t="s">
        <v>2521</v>
      </c>
      <c r="C1562" s="16" t="s">
        <v>2522</v>
      </c>
      <c r="D1562" s="17">
        <v>46089.0</v>
      </c>
      <c r="E1562" s="18">
        <v>353.74</v>
      </c>
      <c r="F1562" s="16" t="s">
        <v>308</v>
      </c>
      <c r="G1562" s="21">
        <v>64.6171</v>
      </c>
      <c r="H1562" s="21">
        <v>5.4744</v>
      </c>
      <c r="I1562" s="17">
        <v>46087.0</v>
      </c>
      <c r="J1562" s="18">
        <v>360.0</v>
      </c>
      <c r="K1562" s="16">
        <v>1454.0</v>
      </c>
      <c r="L1562" s="16" t="s">
        <v>2627</v>
      </c>
      <c r="M1562" s="19">
        <v>1.77</v>
      </c>
      <c r="N1562" s="16" t="s">
        <v>4121</v>
      </c>
      <c r="O1562" s="16">
        <v>1454.0</v>
      </c>
      <c r="P1562" s="19">
        <v>52.8048</v>
      </c>
      <c r="Q1562" s="16" t="s">
        <v>2523</v>
      </c>
      <c r="R1562" s="19">
        <v>-0.5762</v>
      </c>
      <c r="S1562" s="20">
        <v>2299354.0</v>
      </c>
      <c r="T1562" s="20">
        <v>1.72697344625E11</v>
      </c>
      <c r="U1562" s="21">
        <v>9.7327</v>
      </c>
      <c r="V1562" s="21">
        <v>7.8622</v>
      </c>
      <c r="W1562" s="21">
        <v>29.7854</v>
      </c>
      <c r="X1562" s="21">
        <v>25.9077</v>
      </c>
      <c r="Y1562" s="21">
        <v>0.257</v>
      </c>
      <c r="Z1562" s="21">
        <v>1.7555</v>
      </c>
      <c r="AA1562" s="16" t="s">
        <v>2620</v>
      </c>
      <c r="AB1562" s="22">
        <f>IFERROR(__xludf.DUMMYFUNCTION("IFERROR(GOOGLEFINANCE(B1562,""price""),"""")"),350.14)</f>
        <v>350.14</v>
      </c>
    </row>
    <row r="1563">
      <c r="A1563" s="7">
        <v>46083.628642543794</v>
      </c>
      <c r="B1563" s="8" t="s">
        <v>2658</v>
      </c>
      <c r="C1563" s="8" t="s">
        <v>2659</v>
      </c>
      <c r="D1563" s="9">
        <v>46089.0</v>
      </c>
      <c r="E1563" s="10">
        <v>92.77</v>
      </c>
      <c r="F1563" s="8" t="s">
        <v>917</v>
      </c>
      <c r="G1563" s="13">
        <v>28.1096</v>
      </c>
      <c r="H1563" s="13">
        <v>3.3003</v>
      </c>
      <c r="I1563" s="9">
        <v>46087.0</v>
      </c>
      <c r="J1563" s="10">
        <v>94.0</v>
      </c>
      <c r="K1563" s="8">
        <v>1347.0</v>
      </c>
      <c r="L1563" s="8" t="s">
        <v>2608</v>
      </c>
      <c r="M1563" s="11">
        <v>1.33</v>
      </c>
      <c r="N1563" s="8" t="s">
        <v>4122</v>
      </c>
      <c r="O1563" s="8">
        <v>1347.0</v>
      </c>
      <c r="P1563" s="11">
        <v>40.4705</v>
      </c>
      <c r="Q1563" s="8" t="s">
        <v>2661</v>
      </c>
      <c r="R1563" s="11">
        <v>-1.0664</v>
      </c>
      <c r="S1563" s="12">
        <v>7588516.0</v>
      </c>
      <c r="T1563" s="12">
        <v>1.93288326484E11</v>
      </c>
      <c r="U1563" s="13">
        <v>2.1892</v>
      </c>
      <c r="V1563" s="13">
        <v>13.0533</v>
      </c>
      <c r="W1563" s="13">
        <v>26.8934</v>
      </c>
      <c r="X1563" s="13">
        <v>8.6905</v>
      </c>
      <c r="Y1563" s="13">
        <v>1.7594</v>
      </c>
      <c r="Z1563" s="13">
        <v>0.5953</v>
      </c>
      <c r="AA1563" s="8" t="s">
        <v>2620</v>
      </c>
      <c r="AB1563" s="14">
        <f>IFERROR(__xludf.DUMMYFUNCTION("IFERROR(GOOGLEFINANCE(B1563,""price""),"""")"),94.08)</f>
        <v>94.08</v>
      </c>
    </row>
    <row r="1564">
      <c r="A1564" s="15">
        <v>46083.628642543794</v>
      </c>
      <c r="B1564" s="16" t="s">
        <v>3141</v>
      </c>
      <c r="C1564" s="16" t="s">
        <v>3142</v>
      </c>
      <c r="D1564" s="17">
        <v>46089.0</v>
      </c>
      <c r="E1564" s="18">
        <v>345.5</v>
      </c>
      <c r="F1564" s="16" t="s">
        <v>93</v>
      </c>
      <c r="G1564" s="21">
        <v>13.4323</v>
      </c>
      <c r="H1564" s="21">
        <v>25.7215</v>
      </c>
      <c r="I1564" s="17">
        <v>46101.0</v>
      </c>
      <c r="J1564" s="18">
        <v>340.0</v>
      </c>
      <c r="K1564" s="16">
        <v>1091.0</v>
      </c>
      <c r="L1564" s="16" t="s">
        <v>2608</v>
      </c>
      <c r="M1564" s="19">
        <v>1.59</v>
      </c>
      <c r="N1564" s="16" t="s">
        <v>4123</v>
      </c>
      <c r="O1564" s="16">
        <v>1091.0</v>
      </c>
      <c r="P1564" s="19">
        <v>35.1265</v>
      </c>
      <c r="Q1564" s="16" t="s">
        <v>3144</v>
      </c>
      <c r="R1564" s="19">
        <v>1.3613</v>
      </c>
      <c r="S1564" s="20">
        <v>1056015.0</v>
      </c>
      <c r="T1564" s="20">
        <v>1.35971810166E11</v>
      </c>
      <c r="U1564" s="21">
        <v>6.2858</v>
      </c>
      <c r="V1564" s="21">
        <v>14.9661</v>
      </c>
      <c r="W1564" s="21">
        <v>21.219</v>
      </c>
      <c r="X1564" s="21">
        <v>6.9804</v>
      </c>
      <c r="Y1564" s="21">
        <v>0.3008</v>
      </c>
      <c r="Z1564" s="21">
        <v>0.3807</v>
      </c>
      <c r="AA1564" s="16" t="s">
        <v>2611</v>
      </c>
      <c r="AB1564" s="22">
        <f>IFERROR(__xludf.DUMMYFUNCTION("IFERROR(GOOGLEFINANCE(B1564,""price""),"""")"),327.91)</f>
        <v>327.91</v>
      </c>
    </row>
    <row r="1565">
      <c r="A1565" s="7">
        <v>46083.628642543794</v>
      </c>
      <c r="B1565" s="8" t="s">
        <v>1766</v>
      </c>
      <c r="C1565" s="8" t="s">
        <v>1767</v>
      </c>
      <c r="D1565" s="9">
        <v>46089.0</v>
      </c>
      <c r="E1565" s="10">
        <v>95.86</v>
      </c>
      <c r="F1565" s="8" t="s">
        <v>917</v>
      </c>
      <c r="G1565" s="13">
        <v>34.881</v>
      </c>
      <c r="H1565" s="13">
        <v>2.7482</v>
      </c>
      <c r="I1565" s="9">
        <v>46101.0</v>
      </c>
      <c r="J1565" s="10">
        <v>95.0</v>
      </c>
      <c r="K1565" s="8">
        <v>1064.0</v>
      </c>
      <c r="L1565" s="8" t="s">
        <v>2608</v>
      </c>
      <c r="M1565" s="11">
        <v>0.9</v>
      </c>
      <c r="N1565" s="8" t="s">
        <v>4124</v>
      </c>
      <c r="O1565" s="8">
        <v>1064.0</v>
      </c>
      <c r="P1565" s="11">
        <v>33.5256</v>
      </c>
      <c r="Q1565" s="8" t="s">
        <v>1768</v>
      </c>
      <c r="R1565" s="11">
        <v>-0.4259</v>
      </c>
      <c r="S1565" s="12">
        <v>1486683.0</v>
      </c>
      <c r="T1565" s="12">
        <v>6.2623813431E10</v>
      </c>
      <c r="U1565" s="13">
        <v>1.9881</v>
      </c>
      <c r="V1565" s="13">
        <v>5.8451</v>
      </c>
      <c r="W1565" s="13">
        <v>23.7349</v>
      </c>
      <c r="X1565" s="13">
        <v>5.8424</v>
      </c>
      <c r="Y1565" s="13">
        <v>1.1478</v>
      </c>
      <c r="Z1565" s="13">
        <v>1.5912</v>
      </c>
      <c r="AA1565" s="8" t="s">
        <v>2611</v>
      </c>
      <c r="AB1565" s="14">
        <f>IFERROR(__xludf.DUMMYFUNCTION("IFERROR(GOOGLEFINANCE(B1565,""price""),"""")"),98.82)</f>
        <v>98.82</v>
      </c>
    </row>
    <row r="1566">
      <c r="A1566" s="15">
        <v>46083.628642543794</v>
      </c>
      <c r="B1566" s="16" t="s">
        <v>2428</v>
      </c>
      <c r="C1566" s="16" t="s">
        <v>2429</v>
      </c>
      <c r="D1566" s="17">
        <v>46089.0</v>
      </c>
      <c r="E1566" s="18">
        <v>124.74</v>
      </c>
      <c r="F1566" s="16" t="s">
        <v>102</v>
      </c>
      <c r="G1566" s="21">
        <v>27.6573</v>
      </c>
      <c r="H1566" s="21">
        <v>4.5102</v>
      </c>
      <c r="I1566" s="17">
        <v>46101.0</v>
      </c>
      <c r="J1566" s="18">
        <v>125.0</v>
      </c>
      <c r="K1566" s="16">
        <v>1025.0</v>
      </c>
      <c r="L1566" s="16" t="s">
        <v>2608</v>
      </c>
      <c r="M1566" s="19">
        <v>0.21</v>
      </c>
      <c r="N1566" s="16" t="s">
        <v>4125</v>
      </c>
      <c r="O1566" s="16">
        <v>1025.0</v>
      </c>
      <c r="P1566" s="19">
        <v>28.112</v>
      </c>
      <c r="Q1566" s="16" t="s">
        <v>2430</v>
      </c>
      <c r="R1566" s="19">
        <v>-1.0707</v>
      </c>
      <c r="S1566" s="20">
        <v>1436647.0</v>
      </c>
      <c r="T1566" s="20">
        <v>6.5600066696E10</v>
      </c>
      <c r="U1566" s="21">
        <v>3.0712</v>
      </c>
      <c r="V1566" s="21">
        <v>12.9222</v>
      </c>
      <c r="W1566" s="21">
        <v>11.0749</v>
      </c>
      <c r="X1566" s="21">
        <v>-15.5032</v>
      </c>
      <c r="Y1566" s="21">
        <v>0.815</v>
      </c>
      <c r="Z1566" s="21">
        <v>1.0282</v>
      </c>
      <c r="AA1566" s="16" t="s">
        <v>2620</v>
      </c>
      <c r="AB1566" s="22">
        <f>IFERROR(__xludf.DUMMYFUNCTION("IFERROR(GOOGLEFINANCE(B1566,""price""),"""")"),127.19)</f>
        <v>127.19</v>
      </c>
    </row>
    <row r="1567">
      <c r="A1567" s="7">
        <v>46083.628642543794</v>
      </c>
      <c r="B1567" s="8" t="s">
        <v>2804</v>
      </c>
      <c r="C1567" s="8" t="s">
        <v>2805</v>
      </c>
      <c r="D1567" s="9">
        <v>46089.0</v>
      </c>
      <c r="E1567" s="10">
        <v>156.97</v>
      </c>
      <c r="F1567" s="8" t="s">
        <v>308</v>
      </c>
      <c r="G1567" s="13">
        <v>85.3608</v>
      </c>
      <c r="H1567" s="13">
        <v>1.8389</v>
      </c>
      <c r="I1567" s="9">
        <v>46087.0</v>
      </c>
      <c r="J1567" s="10">
        <v>160.0</v>
      </c>
      <c r="K1567" s="8">
        <v>1022.0</v>
      </c>
      <c r="L1567" s="8" t="s">
        <v>2608</v>
      </c>
      <c r="M1567" s="11">
        <v>1.93</v>
      </c>
      <c r="N1567" s="8" t="s">
        <v>4126</v>
      </c>
      <c r="O1567" s="8">
        <v>1022.0</v>
      </c>
      <c r="P1567" s="11">
        <v>49.5472</v>
      </c>
      <c r="Q1567" s="8" t="s">
        <v>2807</v>
      </c>
      <c r="R1567" s="11">
        <v>4.3822</v>
      </c>
      <c r="S1567" s="12">
        <v>1.2382081E7</v>
      </c>
      <c r="T1567" s="12">
        <v>1.34672120787E11</v>
      </c>
      <c r="U1567" s="13">
        <v>7.5642</v>
      </c>
      <c r="V1567" s="13">
        <v>14.1911</v>
      </c>
      <c r="W1567" s="13">
        <v>15.3241</v>
      </c>
      <c r="X1567" s="13">
        <v>19.1416</v>
      </c>
      <c r="Y1567" s="13">
        <v>0.7942</v>
      </c>
      <c r="Z1567" s="13">
        <v>1.5878</v>
      </c>
      <c r="AA1567" s="8" t="s">
        <v>2620</v>
      </c>
      <c r="AB1567" s="14">
        <f>IFERROR(__xludf.DUMMYFUNCTION("IFERROR(GOOGLEFINANCE(B1567,""price""),"""")"),171.24)</f>
        <v>171.24</v>
      </c>
    </row>
    <row r="1568">
      <c r="A1568" s="7">
        <v>46084.62783547983</v>
      </c>
      <c r="B1568" s="8" t="s">
        <v>2630</v>
      </c>
      <c r="C1568" s="8" t="s">
        <v>2631</v>
      </c>
      <c r="D1568" s="9">
        <v>46089.0</v>
      </c>
      <c r="E1568" s="10">
        <v>380.86</v>
      </c>
      <c r="F1568" s="8" t="s">
        <v>308</v>
      </c>
      <c r="G1568" s="13">
        <v>36.2034</v>
      </c>
      <c r="H1568" s="13">
        <v>10.52</v>
      </c>
      <c r="I1568" s="9">
        <v>46087.0</v>
      </c>
      <c r="J1568" s="10">
        <v>375.0</v>
      </c>
      <c r="K1568" s="8">
        <v>5392.0</v>
      </c>
      <c r="L1568" s="8" t="s">
        <v>2627</v>
      </c>
      <c r="M1568" s="11">
        <v>1.54</v>
      </c>
      <c r="N1568" s="8" t="s">
        <v>4127</v>
      </c>
      <c r="O1568" s="8">
        <v>20300.0</v>
      </c>
      <c r="P1568" s="11">
        <v>31.5618</v>
      </c>
      <c r="Q1568" s="8" t="s">
        <v>2633</v>
      </c>
      <c r="R1568" s="11">
        <v>-7.7083</v>
      </c>
      <c r="S1568" s="12">
        <v>3.1565372E7</v>
      </c>
      <c r="T1568" s="12">
        <v>4.28661477317E11</v>
      </c>
      <c r="U1568" s="13">
        <v>24.6284</v>
      </c>
      <c r="V1568" s="13">
        <v>22.5543</v>
      </c>
      <c r="W1568" s="13">
        <v>32.9221</v>
      </c>
      <c r="X1568" s="13">
        <v>45.432</v>
      </c>
      <c r="Y1568" s="13">
        <v>0.2124</v>
      </c>
      <c r="Z1568" s="13">
        <v>2.4598</v>
      </c>
      <c r="AA1568" s="8" t="s">
        <v>2611</v>
      </c>
      <c r="AB1568" s="14">
        <f>IFERROR(__xludf.DUMMYFUNCTION("IFERROR(GOOGLEFINANCE(B1568,""price""),"""")"),420.59)</f>
        <v>420.59</v>
      </c>
    </row>
    <row r="1569">
      <c r="A1569" s="15">
        <v>46084.62783547983</v>
      </c>
      <c r="B1569" s="16" t="s">
        <v>2625</v>
      </c>
      <c r="C1569" s="16" t="s">
        <v>2626</v>
      </c>
      <c r="D1569" s="17">
        <v>46089.0</v>
      </c>
      <c r="E1569" s="18">
        <v>128.075</v>
      </c>
      <c r="F1569" s="16" t="s">
        <v>137</v>
      </c>
      <c r="G1569" s="21">
        <v>46.9036</v>
      </c>
      <c r="H1569" s="21">
        <v>2.7306</v>
      </c>
      <c r="I1569" s="17">
        <v>46087.0</v>
      </c>
      <c r="J1569" s="18">
        <v>130.0</v>
      </c>
      <c r="K1569" s="16">
        <v>5801.0</v>
      </c>
      <c r="L1569" s="16" t="s">
        <v>2608</v>
      </c>
      <c r="M1569" s="19">
        <v>1.5</v>
      </c>
      <c r="N1569" s="16" t="s">
        <v>4128</v>
      </c>
      <c r="O1569" s="16">
        <v>16405.0</v>
      </c>
      <c r="P1569" s="19">
        <v>22.6266</v>
      </c>
      <c r="Q1569" s="16" t="s">
        <v>2629</v>
      </c>
      <c r="R1569" s="19">
        <v>0.7671</v>
      </c>
      <c r="S1569" s="20">
        <v>1.1808067E7</v>
      </c>
      <c r="T1569" s="20">
        <v>1.02077912527E12</v>
      </c>
      <c r="U1569" s="21">
        <v>3.2711</v>
      </c>
      <c r="V1569" s="21">
        <v>22.9691</v>
      </c>
      <c r="W1569" s="21">
        <v>4.1821</v>
      </c>
      <c r="X1569" s="21">
        <v>4.7252</v>
      </c>
      <c r="Y1569" s="21">
        <v>0.6735</v>
      </c>
      <c r="Z1569" s="21">
        <v>0.7898</v>
      </c>
      <c r="AA1569" s="16" t="s">
        <v>2620</v>
      </c>
      <c r="AB1569" s="22">
        <f>IFERROR(__xludf.DUMMYFUNCTION("IFERROR(GOOGLEFINANCE(B1569,""price""),"""")"),126.79)</f>
        <v>126.79</v>
      </c>
    </row>
    <row r="1570">
      <c r="A1570" s="7">
        <v>46084.62783547983</v>
      </c>
      <c r="B1570" s="8" t="s">
        <v>2638</v>
      </c>
      <c r="C1570" s="8" t="s">
        <v>2639</v>
      </c>
      <c r="D1570" s="9">
        <v>46089.0</v>
      </c>
      <c r="E1570" s="10">
        <v>151.24</v>
      </c>
      <c r="F1570" s="8" t="s">
        <v>245</v>
      </c>
      <c r="G1570" s="13">
        <v>22.5907</v>
      </c>
      <c r="H1570" s="13">
        <v>6.6948</v>
      </c>
      <c r="I1570" s="9">
        <v>46087.0</v>
      </c>
      <c r="J1570" s="10">
        <v>152.5</v>
      </c>
      <c r="K1570" s="8">
        <v>6834.0</v>
      </c>
      <c r="L1570" s="8" t="s">
        <v>2608</v>
      </c>
      <c r="M1570" s="11">
        <v>0.83</v>
      </c>
      <c r="N1570" s="8" t="s">
        <v>4129</v>
      </c>
      <c r="O1570" s="8">
        <v>15673.0</v>
      </c>
      <c r="P1570" s="11">
        <v>41.9459</v>
      </c>
      <c r="Q1570" s="8" t="s">
        <v>2641</v>
      </c>
      <c r="R1570" s="11">
        <v>-1.9323</v>
      </c>
      <c r="S1570" s="12">
        <v>2.0424717E7</v>
      </c>
      <c r="T1570" s="12">
        <v>6.30181342723E11</v>
      </c>
      <c r="U1570" s="13">
        <v>4.0392</v>
      </c>
      <c r="V1570" s="13">
        <v>11.0283</v>
      </c>
      <c r="W1570" s="13">
        <v>10.3419</v>
      </c>
      <c r="X1570" s="13">
        <v>-4.856</v>
      </c>
      <c r="Y1570" s="13">
        <v>0.1871</v>
      </c>
      <c r="Z1570" s="13">
        <v>1.1528</v>
      </c>
      <c r="AA1570" s="8" t="s">
        <v>2620</v>
      </c>
      <c r="AB1570" s="14">
        <f>IFERROR(__xludf.DUMMYFUNCTION("IFERROR(GOOGLEFINANCE(B1570,""price""),"""")"),152.51)</f>
        <v>152.51</v>
      </c>
    </row>
    <row r="1571">
      <c r="A1571" s="15">
        <v>46084.62783547983</v>
      </c>
      <c r="B1571" s="16" t="s">
        <v>3269</v>
      </c>
      <c r="C1571" s="16" t="s">
        <v>3270</v>
      </c>
      <c r="D1571" s="17">
        <v>46089.0</v>
      </c>
      <c r="E1571" s="18">
        <v>263.14</v>
      </c>
      <c r="F1571" s="16" t="s">
        <v>308</v>
      </c>
      <c r="G1571" s="21">
        <v>33.2928</v>
      </c>
      <c r="H1571" s="21">
        <v>7.9038</v>
      </c>
      <c r="I1571" s="17">
        <v>46085.0</v>
      </c>
      <c r="J1571" s="18">
        <v>267.5</v>
      </c>
      <c r="K1571" s="16">
        <v>3866.0</v>
      </c>
      <c r="L1571" s="16" t="s">
        <v>2608</v>
      </c>
      <c r="M1571" s="19">
        <v>1.66</v>
      </c>
      <c r="N1571" s="16" t="s">
        <v>4130</v>
      </c>
      <c r="O1571" s="16">
        <v>15190.0</v>
      </c>
      <c r="P1571" s="19">
        <v>15.4424</v>
      </c>
      <c r="Q1571" s="16" t="s">
        <v>3272</v>
      </c>
      <c r="R1571" s="19">
        <v>-0.5969</v>
      </c>
      <c r="S1571" s="20">
        <v>2.4464858E7</v>
      </c>
      <c r="T1571" s="20">
        <v>3.863195104905E12</v>
      </c>
      <c r="U1571" s="21">
        <v>6.5193</v>
      </c>
      <c r="V1571" s="21">
        <v>152.0213</v>
      </c>
      <c r="W1571" s="21">
        <v>32.384</v>
      </c>
      <c r="X1571" s="21">
        <v>10.071</v>
      </c>
      <c r="Y1571" s="21">
        <v>1.0263</v>
      </c>
      <c r="Z1571" s="21">
        <v>0.9737</v>
      </c>
      <c r="AA1571" s="16" t="s">
        <v>2620</v>
      </c>
      <c r="AB1571" s="22">
        <f>IFERROR(__xludf.DUMMYFUNCTION("IFERROR(GOOGLEFINANCE(B1571,""price""),"""")"),260.48)</f>
        <v>260.48</v>
      </c>
    </row>
    <row r="1572">
      <c r="A1572" s="7">
        <v>46084.62783547983</v>
      </c>
      <c r="B1572" s="8" t="s">
        <v>3697</v>
      </c>
      <c r="C1572" s="8" t="s">
        <v>3698</v>
      </c>
      <c r="D1572" s="9">
        <v>46089.0</v>
      </c>
      <c r="E1572" s="10">
        <v>49.095</v>
      </c>
      <c r="F1572" s="8" t="s">
        <v>917</v>
      </c>
      <c r="G1572" s="13">
        <v>17.9513</v>
      </c>
      <c r="H1572" s="13">
        <v>2.7349</v>
      </c>
      <c r="I1572" s="9">
        <v>46101.0</v>
      </c>
      <c r="J1572" s="10">
        <v>50.0</v>
      </c>
      <c r="K1572" s="8">
        <v>8225.0</v>
      </c>
      <c r="L1572" s="8" t="s">
        <v>2608</v>
      </c>
      <c r="M1572" s="11">
        <v>1.84</v>
      </c>
      <c r="N1572" s="8" t="s">
        <v>4131</v>
      </c>
      <c r="O1572" s="8">
        <v>11913.0</v>
      </c>
      <c r="P1572" s="11">
        <v>35.4476</v>
      </c>
      <c r="Q1572" s="8" t="s">
        <v>3700</v>
      </c>
      <c r="R1572" s="11">
        <v>-0.1525</v>
      </c>
      <c r="S1572" s="12">
        <v>6937914.0</v>
      </c>
      <c r="T1572" s="12">
        <v>5.0218909252E10</v>
      </c>
      <c r="U1572" s="13">
        <v>0.9998</v>
      </c>
      <c r="V1572" s="13">
        <v>9.9356</v>
      </c>
      <c r="W1572" s="13">
        <v>21.2054</v>
      </c>
      <c r="X1572" s="13">
        <v>5.3367</v>
      </c>
      <c r="Y1572" s="13">
        <v>1.7554</v>
      </c>
      <c r="Z1572" s="13">
        <v>0.924</v>
      </c>
      <c r="AA1572" s="8" t="s">
        <v>2620</v>
      </c>
      <c r="AB1572" s="14">
        <f>IFERROR(__xludf.DUMMYFUNCTION("IFERROR(GOOGLEFINANCE(B1572,""price""),"""")"),48.57)</f>
        <v>48.57</v>
      </c>
    </row>
    <row r="1573">
      <c r="A1573" s="15">
        <v>46084.62783547983</v>
      </c>
      <c r="B1573" s="16" t="s">
        <v>2634</v>
      </c>
      <c r="C1573" s="16" t="s">
        <v>2635</v>
      </c>
      <c r="D1573" s="17">
        <v>46089.0</v>
      </c>
      <c r="E1573" s="18">
        <v>188.69</v>
      </c>
      <c r="F1573" s="16" t="s">
        <v>245</v>
      </c>
      <c r="G1573" s="21">
        <v>28.383</v>
      </c>
      <c r="H1573" s="21">
        <v>6.648</v>
      </c>
      <c r="I1573" s="17">
        <v>46087.0</v>
      </c>
      <c r="J1573" s="18">
        <v>190.0</v>
      </c>
      <c r="K1573" s="16">
        <v>4834.0</v>
      </c>
      <c r="L1573" s="16" t="s">
        <v>2608</v>
      </c>
      <c r="M1573" s="19">
        <v>0.69</v>
      </c>
      <c r="N1573" s="16" t="s">
        <v>4132</v>
      </c>
      <c r="O1573" s="16">
        <v>9833.0</v>
      </c>
      <c r="P1573" s="19">
        <v>46.6663</v>
      </c>
      <c r="Q1573" s="16" t="s">
        <v>2637</v>
      </c>
      <c r="R1573" s="19">
        <v>-0.48</v>
      </c>
      <c r="S1573" s="20">
        <v>1.1071711E7</v>
      </c>
      <c r="T1573" s="20">
        <v>3.76509301747E11</v>
      </c>
      <c r="U1573" s="21">
        <v>3.5869</v>
      </c>
      <c r="V1573" s="21">
        <v>7.261</v>
      </c>
      <c r="W1573" s="21">
        <v>8.8802</v>
      </c>
      <c r="X1573" s="21">
        <v>-4.6193</v>
      </c>
      <c r="Y1573" s="21">
        <v>0.2507</v>
      </c>
      <c r="Z1573" s="21">
        <v>1.1547</v>
      </c>
      <c r="AA1573" s="16" t="s">
        <v>2620</v>
      </c>
      <c r="AB1573" s="22">
        <f>IFERROR(__xludf.DUMMYFUNCTION("IFERROR(GOOGLEFINANCE(B1573,""price""),"""")"),188.55)</f>
        <v>188.55</v>
      </c>
    </row>
    <row r="1574">
      <c r="A1574" s="7">
        <v>46084.62783547983</v>
      </c>
      <c r="B1574" s="8" t="s">
        <v>2616</v>
      </c>
      <c r="C1574" s="8" t="s">
        <v>2617</v>
      </c>
      <c r="D1574" s="9">
        <v>46089.0</v>
      </c>
      <c r="E1574" s="10">
        <v>79.595</v>
      </c>
      <c r="F1574" s="8" t="s">
        <v>286</v>
      </c>
      <c r="G1574" s="13">
        <v>26.1955</v>
      </c>
      <c r="H1574" s="13">
        <v>3.0385</v>
      </c>
      <c r="I1574" s="9">
        <v>46087.0</v>
      </c>
      <c r="J1574" s="10">
        <v>80.0</v>
      </c>
      <c r="K1574" s="8">
        <v>3224.0</v>
      </c>
      <c r="L1574" s="8" t="s">
        <v>2608</v>
      </c>
      <c r="M1574" s="11">
        <v>0.51</v>
      </c>
      <c r="N1574" s="8" t="s">
        <v>4133</v>
      </c>
      <c r="O1574" s="8">
        <v>9750.0</v>
      </c>
      <c r="P1574" s="11">
        <v>38.8686</v>
      </c>
      <c r="Q1574" s="8" t="s">
        <v>2619</v>
      </c>
      <c r="R1574" s="11">
        <v>-0.7791</v>
      </c>
      <c r="S1574" s="12">
        <v>1.24449E7</v>
      </c>
      <c r="T1574" s="12">
        <v>3.42316063898E11</v>
      </c>
      <c r="U1574" s="13">
        <v>1.2945</v>
      </c>
      <c r="V1574" s="13">
        <v>45.9693</v>
      </c>
      <c r="W1574" s="13">
        <v>31.3688</v>
      </c>
      <c r="X1574" s="13">
        <v>3.4769</v>
      </c>
      <c r="Y1574" s="13">
        <v>1.4577</v>
      </c>
      <c r="Z1574" s="13">
        <v>1.4588</v>
      </c>
      <c r="AA1574" s="8" t="s">
        <v>2620</v>
      </c>
      <c r="AB1574" s="14">
        <f>IFERROR(__xludf.DUMMYFUNCTION("IFERROR(GOOGLEFINANCE(B1574,""price""),"""")"),77.47)</f>
        <v>77.47</v>
      </c>
    </row>
    <row r="1575">
      <c r="A1575" s="15">
        <v>46084.62783547983</v>
      </c>
      <c r="B1575" s="16" t="s">
        <v>2621</v>
      </c>
      <c r="C1575" s="16" t="s">
        <v>2622</v>
      </c>
      <c r="D1575" s="17">
        <v>46089.0</v>
      </c>
      <c r="E1575" s="18">
        <v>65.1801</v>
      </c>
      <c r="F1575" s="16" t="s">
        <v>335</v>
      </c>
      <c r="G1575" s="21">
        <v>43.0516</v>
      </c>
      <c r="H1575" s="21">
        <v>1.514</v>
      </c>
      <c r="I1575" s="17">
        <v>46087.0</v>
      </c>
      <c r="J1575" s="18">
        <v>65.0</v>
      </c>
      <c r="K1575" s="16">
        <v>4671.0</v>
      </c>
      <c r="L1575" s="16" t="s">
        <v>2627</v>
      </c>
      <c r="M1575" s="19">
        <v>0.28</v>
      </c>
      <c r="N1575" s="16" t="s">
        <v>4134</v>
      </c>
      <c r="O1575" s="16">
        <v>9334.0</v>
      </c>
      <c r="P1575" s="19">
        <v>27.7901</v>
      </c>
      <c r="Q1575" s="16" t="s">
        <v>2624</v>
      </c>
      <c r="R1575" s="19">
        <v>-4.554</v>
      </c>
      <c r="S1575" s="20">
        <v>2.0450037E7</v>
      </c>
      <c r="T1575" s="20">
        <v>9.3676949185E10</v>
      </c>
      <c r="U1575" s="21">
        <v>3.0746</v>
      </c>
      <c r="V1575" s="21">
        <v>11.9792</v>
      </c>
      <c r="W1575" s="21">
        <v>22.7913</v>
      </c>
      <c r="X1575" s="21">
        <v>-0.0477</v>
      </c>
      <c r="Y1575" s="21">
        <v>0.5552</v>
      </c>
      <c r="Z1575" s="21">
        <v>2.2911</v>
      </c>
      <c r="AA1575" s="16" t="s">
        <v>2611</v>
      </c>
      <c r="AB1575" s="22">
        <f>IFERROR(__xludf.DUMMYFUNCTION("IFERROR(GOOGLEFINANCE(B1575,""price""),"""")"),67.8)</f>
        <v>67.8</v>
      </c>
    </row>
    <row r="1576">
      <c r="A1576" s="7">
        <v>46084.62783547983</v>
      </c>
      <c r="B1576" s="8" t="s">
        <v>3944</v>
      </c>
      <c r="C1576" s="8" t="s">
        <v>3945</v>
      </c>
      <c r="D1576" s="9">
        <v>46089.0</v>
      </c>
      <c r="E1576" s="10">
        <v>131.765</v>
      </c>
      <c r="F1576" s="8" t="s">
        <v>917</v>
      </c>
      <c r="G1576" s="13">
        <v>20.8743</v>
      </c>
      <c r="H1576" s="13">
        <v>6.3123</v>
      </c>
      <c r="I1576" s="9">
        <v>46101.0</v>
      </c>
      <c r="J1576" s="10">
        <v>130.0</v>
      </c>
      <c r="K1576" s="8">
        <v>9169.0</v>
      </c>
      <c r="L1576" s="8" t="s">
        <v>2608</v>
      </c>
      <c r="M1576" s="11">
        <v>1.34</v>
      </c>
      <c r="N1576" s="8" t="s">
        <v>4135</v>
      </c>
      <c r="O1576" s="8">
        <v>9169.0</v>
      </c>
      <c r="P1576" s="11">
        <v>31.3401</v>
      </c>
      <c r="Q1576" s="8" t="s">
        <v>3947</v>
      </c>
      <c r="R1576" s="11">
        <v>0.1026</v>
      </c>
      <c r="S1576" s="12">
        <v>2545376.0</v>
      </c>
      <c r="T1576" s="12">
        <v>1.02469809734E11</v>
      </c>
      <c r="U1576" s="13">
        <v>2.2423</v>
      </c>
      <c r="V1576" s="13">
        <v>9.7422</v>
      </c>
      <c r="W1576" s="13">
        <v>26.6061</v>
      </c>
      <c r="X1576" s="13">
        <v>6.193</v>
      </c>
      <c r="Y1576" s="13">
        <v>1.7574</v>
      </c>
      <c r="Z1576" s="13">
        <v>0.5518</v>
      </c>
      <c r="AA1576" s="8" t="s">
        <v>2611</v>
      </c>
      <c r="AB1576" s="14">
        <f>IFERROR(__xludf.DUMMYFUNCTION("IFERROR(GOOGLEFINANCE(B1576,""price""),"""")"),131.79)</f>
        <v>131.79</v>
      </c>
    </row>
    <row r="1577">
      <c r="A1577" s="15">
        <v>46084.62783547983</v>
      </c>
      <c r="B1577" s="16" t="s">
        <v>3802</v>
      </c>
      <c r="C1577" s="16" t="s">
        <v>3803</v>
      </c>
      <c r="D1577" s="17">
        <v>46089.0</v>
      </c>
      <c r="E1577" s="18">
        <v>45.76</v>
      </c>
      <c r="F1577" s="16" t="s">
        <v>270</v>
      </c>
      <c r="G1577" s="21"/>
      <c r="H1577" s="21"/>
      <c r="I1577" s="17">
        <v>46101.0</v>
      </c>
      <c r="J1577" s="18">
        <v>45.0</v>
      </c>
      <c r="K1577" s="16">
        <v>6094.0</v>
      </c>
      <c r="L1577" s="16" t="s">
        <v>2608</v>
      </c>
      <c r="M1577" s="19">
        <v>1.66</v>
      </c>
      <c r="N1577" s="16" t="s">
        <v>4136</v>
      </c>
      <c r="O1577" s="16">
        <v>7422.0</v>
      </c>
      <c r="P1577" s="19">
        <v>28.9456</v>
      </c>
      <c r="Q1577" s="16" t="s">
        <v>3805</v>
      </c>
      <c r="R1577" s="19">
        <v>-0.8236</v>
      </c>
      <c r="S1577" s="20">
        <v>2463383.0</v>
      </c>
      <c r="T1577" s="20">
        <v>4.787524377E9</v>
      </c>
      <c r="U1577" s="21">
        <v>1.3997</v>
      </c>
      <c r="V1577" s="21">
        <v>3.4054</v>
      </c>
      <c r="W1577" s="21">
        <v>34.4448</v>
      </c>
      <c r="X1577" s="21">
        <v>51.1384</v>
      </c>
      <c r="Y1577" s="21">
        <v>1.4965</v>
      </c>
      <c r="Z1577" s="21">
        <v>2.5453</v>
      </c>
      <c r="AA1577" s="16" t="s">
        <v>2611</v>
      </c>
      <c r="AB1577" s="22">
        <f>IFERROR(__xludf.DUMMYFUNCTION("IFERROR(GOOGLEFINANCE(B1577,""price""),"""")"),53.28)</f>
        <v>53.28</v>
      </c>
    </row>
    <row r="1578">
      <c r="A1578" s="7">
        <v>46084.62783547983</v>
      </c>
      <c r="B1578" s="8" t="s">
        <v>3463</v>
      </c>
      <c r="C1578" s="8" t="s">
        <v>3464</v>
      </c>
      <c r="D1578" s="9">
        <v>46089.0</v>
      </c>
      <c r="E1578" s="10">
        <v>61.555</v>
      </c>
      <c r="F1578" s="8" t="s">
        <v>245</v>
      </c>
      <c r="G1578" s="13">
        <v>18.5759</v>
      </c>
      <c r="H1578" s="13">
        <v>3.3137</v>
      </c>
      <c r="I1578" s="9">
        <v>46087.0</v>
      </c>
      <c r="J1578" s="10">
        <v>61.0</v>
      </c>
      <c r="K1578" s="8">
        <v>4134.0</v>
      </c>
      <c r="L1578" s="8" t="s">
        <v>2608</v>
      </c>
      <c r="M1578" s="11">
        <v>0.9</v>
      </c>
      <c r="N1578" s="8" t="s">
        <v>4137</v>
      </c>
      <c r="O1578" s="8">
        <v>6400.0</v>
      </c>
      <c r="P1578" s="11">
        <v>27.2444</v>
      </c>
      <c r="Q1578" s="8" t="s">
        <v>3466</v>
      </c>
      <c r="R1578" s="11">
        <v>-0.1379</v>
      </c>
      <c r="S1578" s="12">
        <v>6482569.0</v>
      </c>
      <c r="T1578" s="12">
        <v>3.8427184878E10</v>
      </c>
      <c r="U1578" s="13">
        <v>1.985</v>
      </c>
      <c r="V1578" s="13">
        <v>9.1961</v>
      </c>
      <c r="W1578" s="13">
        <v>35.6577</v>
      </c>
      <c r="X1578" s="13">
        <v>59.9561</v>
      </c>
      <c r="Y1578" s="13">
        <v>0.3357</v>
      </c>
      <c r="Z1578" s="13">
        <v>0.7627</v>
      </c>
      <c r="AA1578" s="8" t="s">
        <v>2611</v>
      </c>
      <c r="AB1578" s="14">
        <f>IFERROR(__xludf.DUMMYFUNCTION("IFERROR(GOOGLEFINANCE(B1578,""price""),"""")"),58.68)</f>
        <v>58.68</v>
      </c>
    </row>
    <row r="1579">
      <c r="A1579" s="15">
        <v>46084.62783547983</v>
      </c>
      <c r="B1579" s="16" t="s">
        <v>2700</v>
      </c>
      <c r="C1579" s="16" t="s">
        <v>2701</v>
      </c>
      <c r="D1579" s="17">
        <v>46089.0</v>
      </c>
      <c r="E1579" s="18">
        <v>217.4929</v>
      </c>
      <c r="F1579" s="16" t="s">
        <v>102</v>
      </c>
      <c r="G1579" s="21">
        <v>44.5746</v>
      </c>
      <c r="H1579" s="21">
        <v>4.8793</v>
      </c>
      <c r="I1579" s="17">
        <v>46087.0</v>
      </c>
      <c r="J1579" s="18">
        <v>217.5</v>
      </c>
      <c r="K1579" s="16">
        <v>4738.0</v>
      </c>
      <c r="L1579" s="16" t="s">
        <v>2627</v>
      </c>
      <c r="M1579" s="19">
        <v>0.0</v>
      </c>
      <c r="N1579" s="16" t="s">
        <v>4138</v>
      </c>
      <c r="O1579" s="16">
        <v>6076.0</v>
      </c>
      <c r="P1579" s="19">
        <v>27.4261</v>
      </c>
      <c r="Q1579" s="16" t="s">
        <v>2703</v>
      </c>
      <c r="R1579" s="19">
        <v>-5.8472</v>
      </c>
      <c r="S1579" s="20">
        <v>6999061.0</v>
      </c>
      <c r="T1579" s="20">
        <v>2.71598825377E11</v>
      </c>
      <c r="U1579" s="21">
        <v>11.5434</v>
      </c>
      <c r="V1579" s="21">
        <v>65.5649</v>
      </c>
      <c r="W1579" s="21">
        <v>33.7646</v>
      </c>
      <c r="X1579" s="21">
        <v>26.8457</v>
      </c>
      <c r="Y1579" s="21">
        <v>0.4419</v>
      </c>
      <c r="Z1579" s="21">
        <v>2.2562</v>
      </c>
      <c r="AA1579" s="16" t="s">
        <v>2620</v>
      </c>
      <c r="AB1579" s="22">
        <f>IFERROR(__xludf.DUMMYFUNCTION("IFERROR(GOOGLEFINANCE(B1579,""price""),"""")"),263.66)</f>
        <v>263.66</v>
      </c>
    </row>
    <row r="1580">
      <c r="A1580" s="7">
        <v>46084.62783547983</v>
      </c>
      <c r="B1580" s="8" t="s">
        <v>2843</v>
      </c>
      <c r="C1580" s="8" t="s">
        <v>2844</v>
      </c>
      <c r="D1580" s="9">
        <v>46089.0</v>
      </c>
      <c r="E1580" s="10">
        <v>206.97</v>
      </c>
      <c r="F1580" s="8" t="s">
        <v>308</v>
      </c>
      <c r="G1580" s="13">
        <v>41.7076</v>
      </c>
      <c r="H1580" s="13">
        <v>4.9624</v>
      </c>
      <c r="I1580" s="9">
        <v>46087.0</v>
      </c>
      <c r="J1580" s="10">
        <v>205.0</v>
      </c>
      <c r="K1580" s="8">
        <v>4208.0</v>
      </c>
      <c r="L1580" s="8" t="s">
        <v>2608</v>
      </c>
      <c r="M1580" s="11">
        <v>0.95</v>
      </c>
      <c r="N1580" s="8" t="s">
        <v>4139</v>
      </c>
      <c r="O1580" s="8">
        <v>5542.0</v>
      </c>
      <c r="P1580" s="11">
        <v>26.5186</v>
      </c>
      <c r="Q1580" s="8" t="s">
        <v>2846</v>
      </c>
      <c r="R1580" s="11">
        <v>-2.4463</v>
      </c>
      <c r="S1580" s="12">
        <v>6752485.0</v>
      </c>
      <c r="T1580" s="12">
        <v>2.77813268882E11</v>
      </c>
      <c r="U1580" s="13">
        <v>5.4313</v>
      </c>
      <c r="V1580" s="13">
        <v>10.7368</v>
      </c>
      <c r="W1580" s="13">
        <v>10.0301</v>
      </c>
      <c r="X1580" s="13">
        <v>9.7414</v>
      </c>
      <c r="Y1580" s="13">
        <v>0.6124</v>
      </c>
      <c r="Z1580" s="13">
        <v>0.9804</v>
      </c>
      <c r="AA1580" s="8" t="s">
        <v>2611</v>
      </c>
      <c r="AB1580" s="14">
        <f>IFERROR(__xludf.DUMMYFUNCTION("IFERROR(GOOGLEFINANCE(B1580,""price""),"""")"),201.56)</f>
        <v>201.56</v>
      </c>
    </row>
    <row r="1581">
      <c r="A1581" s="15">
        <v>46084.62783547983</v>
      </c>
      <c r="B1581" s="16" t="s">
        <v>3713</v>
      </c>
      <c r="C1581" s="16" t="s">
        <v>3714</v>
      </c>
      <c r="D1581" s="17">
        <v>46089.0</v>
      </c>
      <c r="E1581" s="18">
        <v>161.47</v>
      </c>
      <c r="F1581" s="16" t="s">
        <v>149</v>
      </c>
      <c r="G1581" s="21"/>
      <c r="H1581" s="21">
        <v>-0.2349</v>
      </c>
      <c r="I1581" s="17">
        <v>46101.0</v>
      </c>
      <c r="J1581" s="18">
        <v>160.0</v>
      </c>
      <c r="K1581" s="16">
        <v>5420.0</v>
      </c>
      <c r="L1581" s="16" t="s">
        <v>2608</v>
      </c>
      <c r="M1581" s="19">
        <v>0.91</v>
      </c>
      <c r="N1581" s="16" t="s">
        <v>4140</v>
      </c>
      <c r="O1581" s="16">
        <v>5420.0</v>
      </c>
      <c r="P1581" s="19">
        <v>25.966</v>
      </c>
      <c r="Q1581" s="16" t="s">
        <v>3716</v>
      </c>
      <c r="R1581" s="19">
        <v>-0.2101</v>
      </c>
      <c r="S1581" s="20">
        <v>2948241.0</v>
      </c>
      <c r="T1581" s="20">
        <v>3.7520499204E10</v>
      </c>
      <c r="U1581" s="21">
        <v>5.7103</v>
      </c>
      <c r="V1581" s="21">
        <v>-24.6827</v>
      </c>
      <c r="W1581" s="21">
        <v>5.9214</v>
      </c>
      <c r="X1581" s="21">
        <v>8.8349</v>
      </c>
      <c r="Y1581" s="21">
        <v>38.3916</v>
      </c>
      <c r="Z1581" s="21">
        <v>0.9951</v>
      </c>
      <c r="AA1581" s="16" t="s">
        <v>2611</v>
      </c>
      <c r="AB1581" s="22">
        <f>IFERROR(__xludf.DUMMYFUNCTION("IFERROR(GOOGLEFINANCE(B1581,""price""),"""")"),160.59)</f>
        <v>160.59</v>
      </c>
    </row>
    <row r="1582">
      <c r="A1582" s="7">
        <v>46084.62783547983</v>
      </c>
      <c r="B1582" s="8" t="s">
        <v>1467</v>
      </c>
      <c r="C1582" s="8" t="s">
        <v>1468</v>
      </c>
      <c r="D1582" s="9">
        <v>46089.0</v>
      </c>
      <c r="E1582" s="10">
        <v>139.67</v>
      </c>
      <c r="F1582" s="8" t="s">
        <v>102</v>
      </c>
      <c r="G1582" s="13">
        <v>26.2745</v>
      </c>
      <c r="H1582" s="13">
        <v>5.3158</v>
      </c>
      <c r="I1582" s="9">
        <v>46101.0</v>
      </c>
      <c r="J1582" s="10">
        <v>140.0</v>
      </c>
      <c r="K1582" s="8">
        <v>5186.0</v>
      </c>
      <c r="L1582" s="8" t="s">
        <v>2608</v>
      </c>
      <c r="M1582" s="11">
        <v>0.24</v>
      </c>
      <c r="N1582" s="8" t="s">
        <v>4141</v>
      </c>
      <c r="O1582" s="8">
        <v>5186.0</v>
      </c>
      <c r="P1582" s="11">
        <v>49.9656</v>
      </c>
      <c r="Q1582" s="8" t="s">
        <v>1469</v>
      </c>
      <c r="R1582" s="11">
        <v>-3.9805</v>
      </c>
      <c r="S1582" s="12">
        <v>3427556.0</v>
      </c>
      <c r="T1582" s="12">
        <v>8.5487284808E10</v>
      </c>
      <c r="U1582" s="13">
        <v>3.6204</v>
      </c>
      <c r="V1582" s="13">
        <v>13.146</v>
      </c>
      <c r="W1582" s="13">
        <v>13.0805</v>
      </c>
      <c r="X1582" s="13">
        <v>-6.3935</v>
      </c>
      <c r="Y1582" s="13">
        <v>0.735</v>
      </c>
      <c r="Z1582" s="13">
        <v>0.9638</v>
      </c>
      <c r="AA1582" s="8" t="s">
        <v>2620</v>
      </c>
      <c r="AB1582" s="14">
        <f>IFERROR(__xludf.DUMMYFUNCTION("IFERROR(GOOGLEFINANCE(B1582,""price""),"""")"),142.53)</f>
        <v>142.53</v>
      </c>
    </row>
    <row r="1583">
      <c r="A1583" s="15">
        <v>46084.62783547983</v>
      </c>
      <c r="B1583" s="16" t="s">
        <v>2710</v>
      </c>
      <c r="C1583" s="16" t="s">
        <v>2711</v>
      </c>
      <c r="D1583" s="17">
        <v>46089.0</v>
      </c>
      <c r="E1583" s="18">
        <v>132.54</v>
      </c>
      <c r="F1583" s="16" t="s">
        <v>917</v>
      </c>
      <c r="G1583" s="21">
        <v>19.9012</v>
      </c>
      <c r="H1583" s="21">
        <v>6.6599</v>
      </c>
      <c r="I1583" s="17">
        <v>46101.0</v>
      </c>
      <c r="J1583" s="18">
        <v>130.0</v>
      </c>
      <c r="K1583" s="16">
        <v>2743.0</v>
      </c>
      <c r="L1583" s="16" t="s">
        <v>2608</v>
      </c>
      <c r="M1583" s="19">
        <v>1.92</v>
      </c>
      <c r="N1583" s="16" t="s">
        <v>4142</v>
      </c>
      <c r="O1583" s="16">
        <v>5034.0</v>
      </c>
      <c r="P1583" s="19">
        <v>45.2715</v>
      </c>
      <c r="Q1583" s="16" t="s">
        <v>2713</v>
      </c>
      <c r="R1583" s="19">
        <v>-0.5627</v>
      </c>
      <c r="S1583" s="20">
        <v>2419108.0</v>
      </c>
      <c r="T1583" s="20">
        <v>7.1685781088E10</v>
      </c>
      <c r="U1583" s="21">
        <v>2.4974</v>
      </c>
      <c r="V1583" s="21">
        <v>12.3274</v>
      </c>
      <c r="W1583" s="21">
        <v>25.0742</v>
      </c>
      <c r="X1583" s="21">
        <v>10.4587</v>
      </c>
      <c r="Y1583" s="21">
        <v>1.5949</v>
      </c>
      <c r="Z1583" s="21">
        <v>0.4546</v>
      </c>
      <c r="AA1583" s="16" t="s">
        <v>2611</v>
      </c>
      <c r="AB1583" s="22">
        <f>IFERROR(__xludf.DUMMYFUNCTION("IFERROR(GOOGLEFINANCE(B1583,""price""),"""")"),136.3)</f>
        <v>136.3</v>
      </c>
    </row>
    <row r="1584">
      <c r="A1584" s="7">
        <v>46084.62783547983</v>
      </c>
      <c r="B1584" s="8" t="s">
        <v>3684</v>
      </c>
      <c r="C1584" s="8" t="s">
        <v>3685</v>
      </c>
      <c r="D1584" s="9">
        <v>46089.0</v>
      </c>
      <c r="E1584" s="10">
        <v>38.435</v>
      </c>
      <c r="F1584" s="8" t="s">
        <v>917</v>
      </c>
      <c r="G1584" s="13">
        <v>24.208</v>
      </c>
      <c r="H1584" s="13">
        <v>1.5877</v>
      </c>
      <c r="I1584" s="9">
        <v>46101.0</v>
      </c>
      <c r="J1584" s="10">
        <v>38.0</v>
      </c>
      <c r="K1584" s="8">
        <v>2707.0</v>
      </c>
      <c r="L1584" s="8" t="s">
        <v>2608</v>
      </c>
      <c r="M1584" s="11">
        <v>1.13</v>
      </c>
      <c r="N1584" s="8" t="s">
        <v>4143</v>
      </c>
      <c r="O1584" s="8">
        <v>4696.0</v>
      </c>
      <c r="P1584" s="11">
        <v>24.4404</v>
      </c>
      <c r="Q1584" s="8" t="s">
        <v>3687</v>
      </c>
      <c r="R1584" s="11">
        <v>-0.7617</v>
      </c>
      <c r="S1584" s="12">
        <v>8091933.0</v>
      </c>
      <c r="T1584" s="12">
        <v>2.8876477429E10</v>
      </c>
      <c r="U1584" s="13">
        <v>0.7583</v>
      </c>
      <c r="V1584" s="13">
        <v>8.1497</v>
      </c>
      <c r="W1584" s="13">
        <v>23.6452</v>
      </c>
      <c r="X1584" s="13">
        <v>6.8542</v>
      </c>
      <c r="Y1584" s="13">
        <v>1.3003</v>
      </c>
      <c r="Z1584" s="13">
        <v>0.8647</v>
      </c>
      <c r="AA1584" s="8" t="s">
        <v>2611</v>
      </c>
      <c r="AB1584" s="14">
        <f>IFERROR(__xludf.DUMMYFUNCTION("IFERROR(GOOGLEFINANCE(B1584,""price""),"""")"),39.65)</f>
        <v>39.65</v>
      </c>
    </row>
    <row r="1585">
      <c r="A1585" s="15">
        <v>46084.62783547983</v>
      </c>
      <c r="B1585" s="16" t="s">
        <v>2692</v>
      </c>
      <c r="C1585" s="16" t="s">
        <v>2693</v>
      </c>
      <c r="D1585" s="17">
        <v>46089.0</v>
      </c>
      <c r="E1585" s="18">
        <v>247.36</v>
      </c>
      <c r="F1585" s="16" t="s">
        <v>117</v>
      </c>
      <c r="G1585" s="21">
        <v>22.394</v>
      </c>
      <c r="H1585" s="21">
        <v>11.0458</v>
      </c>
      <c r="I1585" s="17">
        <v>46087.0</v>
      </c>
      <c r="J1585" s="18">
        <v>250.0</v>
      </c>
      <c r="K1585" s="16">
        <v>2111.0</v>
      </c>
      <c r="L1585" s="16" t="s">
        <v>2608</v>
      </c>
      <c r="M1585" s="19">
        <v>1.07</v>
      </c>
      <c r="N1585" s="16" t="s">
        <v>4144</v>
      </c>
      <c r="O1585" s="16">
        <v>4313.0</v>
      </c>
      <c r="P1585" s="19">
        <v>38.8462</v>
      </c>
      <c r="Q1585" s="16" t="s">
        <v>2695</v>
      </c>
      <c r="R1585" s="19">
        <v>-0.4828</v>
      </c>
      <c r="S1585" s="20">
        <v>4031169.0</v>
      </c>
      <c r="T1585" s="20">
        <v>5.96112592426E11</v>
      </c>
      <c r="U1585" s="21">
        <v>3.9909</v>
      </c>
      <c r="V1585" s="21">
        <v>35.0301</v>
      </c>
      <c r="W1585" s="21">
        <v>27.2081</v>
      </c>
      <c r="X1585" s="21">
        <v>6.046</v>
      </c>
      <c r="Y1585" s="21">
        <v>0.605</v>
      </c>
      <c r="Z1585" s="21">
        <v>1.0277</v>
      </c>
      <c r="AA1585" s="16" t="s">
        <v>2620</v>
      </c>
      <c r="AB1585" s="22">
        <f>IFERROR(__xludf.DUMMYFUNCTION("IFERROR(GOOGLEFINANCE(B1585,""price""),"""")"),238.46)</f>
        <v>238.46</v>
      </c>
    </row>
    <row r="1586">
      <c r="A1586" s="7">
        <v>46084.62783547983</v>
      </c>
      <c r="B1586" s="8" t="s">
        <v>3812</v>
      </c>
      <c r="C1586" s="8" t="s">
        <v>3813</v>
      </c>
      <c r="D1586" s="9">
        <v>46089.0</v>
      </c>
      <c r="E1586" s="10">
        <v>98.675</v>
      </c>
      <c r="F1586" s="8" t="s">
        <v>308</v>
      </c>
      <c r="G1586" s="13">
        <v>19.2992</v>
      </c>
      <c r="H1586" s="13">
        <v>5.1129</v>
      </c>
      <c r="I1586" s="9">
        <v>46101.0</v>
      </c>
      <c r="J1586" s="10">
        <v>100.0</v>
      </c>
      <c r="K1586" s="8">
        <v>3878.0</v>
      </c>
      <c r="L1586" s="8" t="s">
        <v>2608</v>
      </c>
      <c r="M1586" s="11">
        <v>1.34</v>
      </c>
      <c r="N1586" s="8" t="s">
        <v>4145</v>
      </c>
      <c r="O1586" s="8">
        <v>3878.0</v>
      </c>
      <c r="P1586" s="11">
        <v>25.3216</v>
      </c>
      <c r="Q1586" s="8" t="s">
        <v>3815</v>
      </c>
      <c r="R1586" s="11">
        <v>-1.9915</v>
      </c>
      <c r="S1586" s="12">
        <v>1000854.0</v>
      </c>
      <c r="T1586" s="12">
        <v>1.718547932E10</v>
      </c>
      <c r="U1586" s="13">
        <v>2.6342</v>
      </c>
      <c r="V1586" s="13">
        <v>12.2422</v>
      </c>
      <c r="W1586" s="13">
        <v>6.764</v>
      </c>
      <c r="X1586" s="13">
        <v>8.0061</v>
      </c>
      <c r="Y1586" s="13">
        <v>0.5437</v>
      </c>
      <c r="Z1586" s="13">
        <v>1.8374</v>
      </c>
      <c r="AA1586" s="8" t="s">
        <v>2620</v>
      </c>
      <c r="AB1586" s="14">
        <f>IFERROR(__xludf.DUMMYFUNCTION("IFERROR(GOOGLEFINANCE(B1586,""price""),"""")"),91.39)</f>
        <v>91.39</v>
      </c>
    </row>
    <row r="1587">
      <c r="A1587" s="15">
        <v>46084.62783547983</v>
      </c>
      <c r="B1587" s="16" t="s">
        <v>2399</v>
      </c>
      <c r="C1587" s="16" t="s">
        <v>2400</v>
      </c>
      <c r="D1587" s="17">
        <v>46089.0</v>
      </c>
      <c r="E1587" s="18">
        <v>18.88</v>
      </c>
      <c r="F1587" s="16" t="s">
        <v>270</v>
      </c>
      <c r="G1587" s="21">
        <v>15.6266</v>
      </c>
      <c r="H1587" s="21">
        <v>1.2082</v>
      </c>
      <c r="I1587" s="17">
        <v>46087.0</v>
      </c>
      <c r="J1587" s="18">
        <v>19.0</v>
      </c>
      <c r="K1587" s="16">
        <v>3809.0</v>
      </c>
      <c r="L1587" s="16" t="s">
        <v>2608</v>
      </c>
      <c r="M1587" s="19">
        <v>0.64</v>
      </c>
      <c r="N1587" s="16" t="s">
        <v>4146</v>
      </c>
      <c r="O1587" s="16">
        <v>3809.0</v>
      </c>
      <c r="P1587" s="19">
        <v>35.1543</v>
      </c>
      <c r="Q1587" s="16" t="s">
        <v>2401</v>
      </c>
      <c r="R1587" s="19">
        <v>-1.1518</v>
      </c>
      <c r="S1587" s="20">
        <v>1.3854681E7</v>
      </c>
      <c r="T1587" s="20">
        <v>6.4953138172E10</v>
      </c>
      <c r="U1587" s="21">
        <v>0.3544</v>
      </c>
      <c r="V1587" s="21">
        <v>12.7475</v>
      </c>
      <c r="W1587" s="21">
        <v>10.8866</v>
      </c>
      <c r="X1587" s="21">
        <v>3.4655</v>
      </c>
      <c r="Y1587" s="21">
        <v>2.0395</v>
      </c>
      <c r="Z1587" s="21">
        <v>1.2192</v>
      </c>
      <c r="AA1587" s="16" t="s">
        <v>2620</v>
      </c>
      <c r="AB1587" s="22">
        <f>IFERROR(__xludf.DUMMYFUNCTION("IFERROR(GOOGLEFINANCE(B1587,""price""),"""")"),19.19)</f>
        <v>19.19</v>
      </c>
    </row>
    <row r="1588">
      <c r="A1588" s="7">
        <v>46084.62783547983</v>
      </c>
      <c r="B1588" s="8" t="s">
        <v>3538</v>
      </c>
      <c r="C1588" s="8" t="s">
        <v>3539</v>
      </c>
      <c r="D1588" s="9">
        <v>46089.0</v>
      </c>
      <c r="E1588" s="10">
        <v>206.0801</v>
      </c>
      <c r="F1588" s="8" t="s">
        <v>335</v>
      </c>
      <c r="G1588" s="13">
        <v>39.675</v>
      </c>
      <c r="H1588" s="13">
        <v>5.1942</v>
      </c>
      <c r="I1588" s="9">
        <v>46087.0</v>
      </c>
      <c r="J1588" s="10">
        <v>202.5</v>
      </c>
      <c r="K1588" s="8">
        <v>3217.0</v>
      </c>
      <c r="L1588" s="8" t="s">
        <v>2627</v>
      </c>
      <c r="M1588" s="11">
        <v>1.74</v>
      </c>
      <c r="N1588" s="8" t="s">
        <v>4147</v>
      </c>
      <c r="O1588" s="8">
        <v>3217.0</v>
      </c>
      <c r="P1588" s="11">
        <v>30.9789</v>
      </c>
      <c r="Q1588" s="8" t="s">
        <v>3541</v>
      </c>
      <c r="R1588" s="11">
        <v>-5.835</v>
      </c>
      <c r="S1588" s="12">
        <v>1916566.0</v>
      </c>
      <c r="T1588" s="12">
        <v>1.70235022198E11</v>
      </c>
      <c r="U1588" s="13">
        <v>11.1278</v>
      </c>
      <c r="V1588" s="13">
        <v>42.8992</v>
      </c>
      <c r="W1588" s="13">
        <v>52.1736</v>
      </c>
      <c r="X1588" s="13">
        <v>17.3764</v>
      </c>
      <c r="Y1588" s="13">
        <v>0.6716</v>
      </c>
      <c r="Z1588" s="13">
        <v>3.8938</v>
      </c>
      <c r="AA1588" s="8" t="s">
        <v>2611</v>
      </c>
      <c r="AB1588" s="14">
        <f>IFERROR(__xludf.DUMMYFUNCTION("IFERROR(GOOGLEFINANCE(B1588,""price""),"""")"),192.56)</f>
        <v>192.56</v>
      </c>
    </row>
    <row r="1589">
      <c r="A1589" s="15">
        <v>46084.62783547983</v>
      </c>
      <c r="B1589" s="16" t="s">
        <v>2297</v>
      </c>
      <c r="C1589" s="16" t="s">
        <v>2298</v>
      </c>
      <c r="D1589" s="17">
        <v>46089.0</v>
      </c>
      <c r="E1589" s="18">
        <v>106.04</v>
      </c>
      <c r="F1589" s="16" t="s">
        <v>917</v>
      </c>
      <c r="G1589" s="21">
        <v>27.1036</v>
      </c>
      <c r="H1589" s="21">
        <v>3.9124</v>
      </c>
      <c r="I1589" s="17">
        <v>46101.0</v>
      </c>
      <c r="J1589" s="18">
        <v>105.0</v>
      </c>
      <c r="K1589" s="16">
        <v>3190.0</v>
      </c>
      <c r="L1589" s="16" t="s">
        <v>2608</v>
      </c>
      <c r="M1589" s="19">
        <v>0.98</v>
      </c>
      <c r="N1589" s="16" t="s">
        <v>4148</v>
      </c>
      <c r="O1589" s="16">
        <v>3190.0</v>
      </c>
      <c r="P1589" s="19">
        <v>38.2665</v>
      </c>
      <c r="Q1589" s="16" t="s">
        <v>2299</v>
      </c>
      <c r="R1589" s="19">
        <v>-0.5533</v>
      </c>
      <c r="S1589" s="20">
        <v>1705576.0</v>
      </c>
      <c r="T1589" s="20">
        <v>4.8035041147E10</v>
      </c>
      <c r="U1589" s="21">
        <v>2.1433</v>
      </c>
      <c r="V1589" s="21">
        <v>10.931</v>
      </c>
      <c r="W1589" s="21">
        <v>22.9697</v>
      </c>
      <c r="X1589" s="21">
        <v>8.3782</v>
      </c>
      <c r="Y1589" s="21">
        <v>1.8276</v>
      </c>
      <c r="Z1589" s="21">
        <v>0.7243</v>
      </c>
      <c r="AA1589" s="16" t="s">
        <v>2611</v>
      </c>
      <c r="AB1589" s="22">
        <f>IFERROR(__xludf.DUMMYFUNCTION("IFERROR(GOOGLEFINANCE(B1589,""price""),"""")"),116.47)</f>
        <v>116.47</v>
      </c>
    </row>
    <row r="1590">
      <c r="A1590" s="7">
        <v>46084.62783547983</v>
      </c>
      <c r="B1590" s="8" t="s">
        <v>2672</v>
      </c>
      <c r="C1590" s="8" t="s">
        <v>2673</v>
      </c>
      <c r="D1590" s="9">
        <v>46089.0</v>
      </c>
      <c r="E1590" s="10">
        <v>48.345</v>
      </c>
      <c r="F1590" s="8" t="s">
        <v>107</v>
      </c>
      <c r="G1590" s="13"/>
      <c r="H1590" s="13">
        <v>-1.865</v>
      </c>
      <c r="I1590" s="9">
        <v>46101.0</v>
      </c>
      <c r="J1590" s="10">
        <v>47.5</v>
      </c>
      <c r="K1590" s="8">
        <v>1679.0</v>
      </c>
      <c r="L1590" s="8" t="s">
        <v>2608</v>
      </c>
      <c r="M1590" s="11">
        <v>1.75</v>
      </c>
      <c r="N1590" s="8" t="s">
        <v>4149</v>
      </c>
      <c r="O1590" s="8">
        <v>2954.0</v>
      </c>
      <c r="P1590" s="11">
        <v>40.4975</v>
      </c>
      <c r="Q1590" s="8" t="s">
        <v>2675</v>
      </c>
      <c r="R1590" s="11">
        <v>-2.6088</v>
      </c>
      <c r="S1590" s="12">
        <v>2443649.0</v>
      </c>
      <c r="T1590" s="12">
        <v>1.9769423703E10</v>
      </c>
      <c r="U1590" s="13">
        <v>1.4889</v>
      </c>
      <c r="V1590" s="13">
        <v>-0.805</v>
      </c>
      <c r="W1590" s="13">
        <v>16.2067</v>
      </c>
      <c r="X1590" s="13">
        <v>-10.4796</v>
      </c>
      <c r="Y1590" s="13">
        <v>0.2451</v>
      </c>
      <c r="Z1590" s="13">
        <v>2.4187</v>
      </c>
      <c r="AA1590" s="8" t="s">
        <v>2611</v>
      </c>
      <c r="AB1590" s="14">
        <f>IFERROR(__xludf.DUMMYFUNCTION("IFERROR(GOOGLEFINANCE(B1590,""price""),"""")"),47.25)</f>
        <v>47.25</v>
      </c>
    </row>
    <row r="1591">
      <c r="A1591" s="15">
        <v>46084.62783547983</v>
      </c>
      <c r="B1591" s="16" t="s">
        <v>2521</v>
      </c>
      <c r="C1591" s="16" t="s">
        <v>2522</v>
      </c>
      <c r="D1591" s="17">
        <v>46089.0</v>
      </c>
      <c r="E1591" s="18">
        <v>338.95</v>
      </c>
      <c r="F1591" s="16" t="s">
        <v>308</v>
      </c>
      <c r="G1591" s="21">
        <v>61.9155</v>
      </c>
      <c r="H1591" s="21">
        <v>5.4744</v>
      </c>
      <c r="I1591" s="17">
        <v>46087.0</v>
      </c>
      <c r="J1591" s="18">
        <v>332.5</v>
      </c>
      <c r="K1591" s="16">
        <v>2912.0</v>
      </c>
      <c r="L1591" s="16" t="s">
        <v>2627</v>
      </c>
      <c r="M1591" s="19">
        <v>1.9</v>
      </c>
      <c r="N1591" s="16" t="s">
        <v>4150</v>
      </c>
      <c r="O1591" s="16">
        <v>2912.0</v>
      </c>
      <c r="P1591" s="19">
        <v>49.7049</v>
      </c>
      <c r="Q1591" s="16" t="s">
        <v>2523</v>
      </c>
      <c r="R1591" s="19">
        <v>-3.8194</v>
      </c>
      <c r="S1591" s="20">
        <v>3341327.0</v>
      </c>
      <c r="T1591" s="20">
        <v>1.65476802632E11</v>
      </c>
      <c r="U1591" s="21">
        <v>10.2753</v>
      </c>
      <c r="V1591" s="21">
        <v>7.8622</v>
      </c>
      <c r="W1591" s="21">
        <v>29.7854</v>
      </c>
      <c r="X1591" s="21">
        <v>25.9077</v>
      </c>
      <c r="Y1591" s="21">
        <v>0.257</v>
      </c>
      <c r="Z1591" s="21">
        <v>1.7555</v>
      </c>
      <c r="AA1591" s="16" t="s">
        <v>2611</v>
      </c>
      <c r="AB1591" s="22">
        <f>IFERROR(__xludf.DUMMYFUNCTION("IFERROR(GOOGLEFINANCE(B1591,""price""),"""")"),350.14)</f>
        <v>350.14</v>
      </c>
    </row>
    <row r="1592">
      <c r="A1592" s="7">
        <v>46084.62783547983</v>
      </c>
      <c r="B1592" s="8" t="s">
        <v>2804</v>
      </c>
      <c r="C1592" s="8" t="s">
        <v>2805</v>
      </c>
      <c r="D1592" s="9">
        <v>46089.0</v>
      </c>
      <c r="E1592" s="10">
        <v>147.58</v>
      </c>
      <c r="F1592" s="8" t="s">
        <v>308</v>
      </c>
      <c r="G1592" s="13">
        <v>80.2545</v>
      </c>
      <c r="H1592" s="13">
        <v>1.8389</v>
      </c>
      <c r="I1592" s="9">
        <v>46087.0</v>
      </c>
      <c r="J1592" s="10">
        <v>150.0</v>
      </c>
      <c r="K1592" s="8">
        <v>2766.0</v>
      </c>
      <c r="L1592" s="8" t="s">
        <v>2627</v>
      </c>
      <c r="M1592" s="11">
        <v>1.64</v>
      </c>
      <c r="N1592" s="8" t="s">
        <v>4151</v>
      </c>
      <c r="O1592" s="8">
        <v>2766.0</v>
      </c>
      <c r="P1592" s="11">
        <v>47.9619</v>
      </c>
      <c r="Q1592" s="8" t="s">
        <v>2807</v>
      </c>
      <c r="R1592" s="11">
        <v>-6.5121</v>
      </c>
      <c r="S1592" s="12">
        <v>1.2695689E7</v>
      </c>
      <c r="T1592" s="12">
        <v>1.26615984056E11</v>
      </c>
      <c r="U1592" s="13">
        <v>8.2</v>
      </c>
      <c r="V1592" s="13">
        <v>14.1911</v>
      </c>
      <c r="W1592" s="13">
        <v>15.3241</v>
      </c>
      <c r="X1592" s="13">
        <v>19.1416</v>
      </c>
      <c r="Y1592" s="13">
        <v>0.7942</v>
      </c>
      <c r="Z1592" s="13">
        <v>1.5878</v>
      </c>
      <c r="AA1592" s="8" t="s">
        <v>2620</v>
      </c>
      <c r="AB1592" s="14">
        <f>IFERROR(__xludf.DUMMYFUNCTION("IFERROR(GOOGLEFINANCE(B1592,""price""),"""")"),171.24)</f>
        <v>171.24</v>
      </c>
    </row>
    <row r="1593">
      <c r="A1593" s="15">
        <v>46084.62783547983</v>
      </c>
      <c r="B1593" s="16" t="s">
        <v>2646</v>
      </c>
      <c r="C1593" s="16" t="s">
        <v>2647</v>
      </c>
      <c r="D1593" s="17">
        <v>46089.0</v>
      </c>
      <c r="E1593" s="18">
        <v>37.245</v>
      </c>
      <c r="F1593" s="16" t="s">
        <v>270</v>
      </c>
      <c r="G1593" s="21">
        <v>14.0643</v>
      </c>
      <c r="H1593" s="21">
        <v>2.6482</v>
      </c>
      <c r="I1593" s="17">
        <v>46087.0</v>
      </c>
      <c r="J1593" s="18">
        <v>37.5</v>
      </c>
      <c r="K1593" s="16">
        <v>2537.0</v>
      </c>
      <c r="L1593" s="16" t="s">
        <v>2608</v>
      </c>
      <c r="M1593" s="19">
        <v>0.68</v>
      </c>
      <c r="N1593" s="16" t="s">
        <v>4152</v>
      </c>
      <c r="O1593" s="16">
        <v>2537.0</v>
      </c>
      <c r="P1593" s="19">
        <v>40.1435</v>
      </c>
      <c r="Q1593" s="16" t="s">
        <v>2649</v>
      </c>
      <c r="R1593" s="19">
        <v>0.9623</v>
      </c>
      <c r="S1593" s="20">
        <v>4082462.0</v>
      </c>
      <c r="T1593" s="20">
        <v>8.0514777511E10</v>
      </c>
      <c r="U1593" s="21">
        <v>0.6913</v>
      </c>
      <c r="V1593" s="21">
        <v>19.6987</v>
      </c>
      <c r="W1593" s="21">
        <v>12.3812</v>
      </c>
      <c r="X1593" s="21">
        <v>-6.474</v>
      </c>
      <c r="Y1593" s="21">
        <v>1.1744</v>
      </c>
      <c r="Z1593" s="21">
        <v>1.0411</v>
      </c>
      <c r="AA1593" s="16" t="s">
        <v>2620</v>
      </c>
      <c r="AB1593" s="22">
        <f>IFERROR(__xludf.DUMMYFUNCTION("IFERROR(GOOGLEFINANCE(B1593,""price""),"""")"),37.35)</f>
        <v>37.35</v>
      </c>
    </row>
    <row r="1594">
      <c r="A1594" s="7">
        <v>46084.62783547983</v>
      </c>
      <c r="B1594" s="8" t="s">
        <v>1570</v>
      </c>
      <c r="C1594" s="8" t="s">
        <v>1571</v>
      </c>
      <c r="D1594" s="9">
        <v>46089.0</v>
      </c>
      <c r="E1594" s="10">
        <v>50.645</v>
      </c>
      <c r="F1594" s="8" t="s">
        <v>917</v>
      </c>
      <c r="G1594" s="13">
        <v>28.6989</v>
      </c>
      <c r="H1594" s="13">
        <v>1.7647</v>
      </c>
      <c r="I1594" s="9">
        <v>46101.0</v>
      </c>
      <c r="J1594" s="10">
        <v>50.0</v>
      </c>
      <c r="K1594" s="8">
        <v>2329.0</v>
      </c>
      <c r="L1594" s="8" t="s">
        <v>2608</v>
      </c>
      <c r="M1594" s="11">
        <v>1.27</v>
      </c>
      <c r="N1594" s="8" t="s">
        <v>4153</v>
      </c>
      <c r="O1594" s="8">
        <v>2329.0</v>
      </c>
      <c r="P1594" s="11">
        <v>39.4656</v>
      </c>
      <c r="Q1594" s="8" t="s">
        <v>1572</v>
      </c>
      <c r="R1594" s="11">
        <v>-0.6571</v>
      </c>
      <c r="S1594" s="12">
        <v>2705099.0</v>
      </c>
      <c r="T1594" s="12">
        <v>2.9269409499E10</v>
      </c>
      <c r="U1594" s="13">
        <v>0.886</v>
      </c>
      <c r="V1594" s="13">
        <v>8.1714</v>
      </c>
      <c r="W1594" s="13">
        <v>18.774</v>
      </c>
      <c r="X1594" s="13">
        <v>12.0101</v>
      </c>
      <c r="Y1594" s="13">
        <v>2.1457</v>
      </c>
      <c r="Z1594" s="13">
        <v>0.5652</v>
      </c>
      <c r="AA1594" s="8" t="s">
        <v>2611</v>
      </c>
      <c r="AB1594" s="14">
        <f>IFERROR(__xludf.DUMMYFUNCTION("IFERROR(GOOGLEFINANCE(B1594,""price""),"""")"),51.43)</f>
        <v>51.43</v>
      </c>
    </row>
    <row r="1595">
      <c r="A1595" s="15">
        <v>46084.62783547983</v>
      </c>
      <c r="B1595" s="16" t="s">
        <v>3416</v>
      </c>
      <c r="C1595" s="16" t="s">
        <v>3417</v>
      </c>
      <c r="D1595" s="17">
        <v>46089.0</v>
      </c>
      <c r="E1595" s="18">
        <v>69.12</v>
      </c>
      <c r="F1595" s="16" t="s">
        <v>286</v>
      </c>
      <c r="G1595" s="21">
        <v>16.7901</v>
      </c>
      <c r="H1595" s="21">
        <v>4.1167</v>
      </c>
      <c r="I1595" s="17">
        <v>46087.0</v>
      </c>
      <c r="J1595" s="18">
        <v>69.0</v>
      </c>
      <c r="K1595" s="16">
        <v>1183.0</v>
      </c>
      <c r="L1595" s="16" t="s">
        <v>2627</v>
      </c>
      <c r="M1595" s="19">
        <v>0.17</v>
      </c>
      <c r="N1595" s="16" t="s">
        <v>4154</v>
      </c>
      <c r="O1595" s="16">
        <v>2189.0</v>
      </c>
      <c r="P1595" s="19">
        <v>35.8643</v>
      </c>
      <c r="Q1595" s="16" t="s">
        <v>3419</v>
      </c>
      <c r="R1595" s="19">
        <v>0.626</v>
      </c>
      <c r="S1595" s="20">
        <v>5249143.0</v>
      </c>
      <c r="T1595" s="20">
        <v>1.15561598795E11</v>
      </c>
      <c r="U1595" s="21">
        <v>1.413</v>
      </c>
      <c r="V1595" s="21"/>
      <c r="W1595" s="21">
        <v>63.8109</v>
      </c>
      <c r="X1595" s="21">
        <v>-1.3989</v>
      </c>
      <c r="Y1595" s="21"/>
      <c r="Z1595" s="21">
        <v>0.648</v>
      </c>
      <c r="AA1595" s="16" t="s">
        <v>2611</v>
      </c>
      <c r="AB1595" s="22">
        <f>IFERROR(__xludf.DUMMYFUNCTION("IFERROR(GOOGLEFINANCE(B1595,""price""),"""")"),67.38)</f>
        <v>67.38</v>
      </c>
    </row>
    <row r="1596">
      <c r="A1596" s="7">
        <v>46084.62783547983</v>
      </c>
      <c r="B1596" s="8" t="s">
        <v>3237</v>
      </c>
      <c r="C1596" s="8" t="s">
        <v>3238</v>
      </c>
      <c r="D1596" s="9">
        <v>46089.0</v>
      </c>
      <c r="E1596" s="10">
        <v>331.315</v>
      </c>
      <c r="F1596" s="8" t="s">
        <v>149</v>
      </c>
      <c r="G1596" s="13">
        <v>27.7193</v>
      </c>
      <c r="H1596" s="13">
        <v>11.9525</v>
      </c>
      <c r="I1596" s="9">
        <v>46087.0</v>
      </c>
      <c r="J1596" s="10">
        <v>330.0</v>
      </c>
      <c r="K1596" s="8">
        <v>1088.0</v>
      </c>
      <c r="L1596" s="8" t="s">
        <v>2627</v>
      </c>
      <c r="M1596" s="11">
        <v>0.4</v>
      </c>
      <c r="N1596" s="8" t="s">
        <v>4155</v>
      </c>
      <c r="O1596" s="8">
        <v>2141.0</v>
      </c>
      <c r="P1596" s="11">
        <v>38.0488</v>
      </c>
      <c r="Q1596" s="8" t="s">
        <v>3240</v>
      </c>
      <c r="R1596" s="11">
        <v>-1.0468</v>
      </c>
      <c r="S1596" s="12">
        <v>1795416.0</v>
      </c>
      <c r="T1596" s="12">
        <v>2.35365724134E11</v>
      </c>
      <c r="U1596" s="13">
        <v>5.7085</v>
      </c>
      <c r="V1596" s="13"/>
      <c r="W1596" s="13">
        <v>46.1001</v>
      </c>
      <c r="X1596" s="13">
        <v>3.723</v>
      </c>
      <c r="Y1596" s="13"/>
      <c r="Z1596" s="13">
        <v>0.9546</v>
      </c>
      <c r="AA1596" s="8" t="s">
        <v>2611</v>
      </c>
      <c r="AB1596" s="14">
        <f>IFERROR(__xludf.DUMMYFUNCTION("IFERROR(GOOGLEFINANCE(B1596,""price""),"""")"),305.68)</f>
        <v>305.68</v>
      </c>
    </row>
    <row r="1597">
      <c r="A1597" s="15">
        <v>46084.62783547983</v>
      </c>
      <c r="B1597" s="16" t="s">
        <v>3922</v>
      </c>
      <c r="C1597" s="16" t="s">
        <v>3923</v>
      </c>
      <c r="D1597" s="17">
        <v>46089.0</v>
      </c>
      <c r="E1597" s="18">
        <v>83.35</v>
      </c>
      <c r="F1597" s="16" t="s">
        <v>917</v>
      </c>
      <c r="G1597" s="21">
        <v>24.3528</v>
      </c>
      <c r="H1597" s="21">
        <v>3.4226</v>
      </c>
      <c r="I1597" s="17">
        <v>46101.0</v>
      </c>
      <c r="J1597" s="18">
        <v>85.0</v>
      </c>
      <c r="K1597" s="16">
        <v>2049.0</v>
      </c>
      <c r="L1597" s="16" t="s">
        <v>2608</v>
      </c>
      <c r="M1597" s="19">
        <v>1.98</v>
      </c>
      <c r="N1597" s="16" t="s">
        <v>4066</v>
      </c>
      <c r="O1597" s="16">
        <v>2049.0</v>
      </c>
      <c r="P1597" s="19">
        <v>27.6213</v>
      </c>
      <c r="Q1597" s="16" t="s">
        <v>3925</v>
      </c>
      <c r="R1597" s="19">
        <v>-0.537</v>
      </c>
      <c r="S1597" s="20">
        <v>1866603.0</v>
      </c>
      <c r="T1597" s="20">
        <v>5.2000135762E10</v>
      </c>
      <c r="U1597" s="21">
        <v>1.536</v>
      </c>
      <c r="V1597" s="21">
        <v>9.3575</v>
      </c>
      <c r="W1597" s="21">
        <v>19.7928</v>
      </c>
      <c r="X1597" s="21">
        <v>8.9397</v>
      </c>
      <c r="Y1597" s="21">
        <v>1.5282</v>
      </c>
      <c r="Z1597" s="21">
        <v>0.7073</v>
      </c>
      <c r="AA1597" s="16" t="s">
        <v>2620</v>
      </c>
      <c r="AB1597" s="22">
        <f>IFERROR(__xludf.DUMMYFUNCTION("IFERROR(GOOGLEFINANCE(B1597,""price""),"""")"),82.38)</f>
        <v>82.38</v>
      </c>
    </row>
    <row r="1598">
      <c r="A1598" s="7">
        <v>46084.62783547983</v>
      </c>
      <c r="B1598" s="8" t="s">
        <v>2188</v>
      </c>
      <c r="C1598" s="8" t="s">
        <v>2189</v>
      </c>
      <c r="D1598" s="9">
        <v>46089.0</v>
      </c>
      <c r="E1598" s="10">
        <v>500.71</v>
      </c>
      <c r="F1598" s="8" t="s">
        <v>107</v>
      </c>
      <c r="G1598" s="13">
        <v>34.3015</v>
      </c>
      <c r="H1598" s="13">
        <v>14.5973</v>
      </c>
      <c r="I1598" s="9">
        <v>46101.0</v>
      </c>
      <c r="J1598" s="10">
        <v>495.0</v>
      </c>
      <c r="K1598" s="8">
        <v>1014.0</v>
      </c>
      <c r="L1598" s="8" t="s">
        <v>2627</v>
      </c>
      <c r="M1598" s="11">
        <v>1.14</v>
      </c>
      <c r="N1598" s="8" t="s">
        <v>4156</v>
      </c>
      <c r="O1598" s="8">
        <v>2021.0</v>
      </c>
      <c r="P1598" s="11">
        <v>41.9035</v>
      </c>
      <c r="Q1598" s="8" t="s">
        <v>2190</v>
      </c>
      <c r="R1598" s="11">
        <v>-1.6943</v>
      </c>
      <c r="S1598" s="12">
        <v>2211837.0</v>
      </c>
      <c r="T1598" s="12">
        <v>2.32026090708E11</v>
      </c>
      <c r="U1598" s="13">
        <v>10.1293</v>
      </c>
      <c r="V1598" s="13">
        <v>18.0725</v>
      </c>
      <c r="W1598" s="13">
        <v>27.2289</v>
      </c>
      <c r="X1598" s="13">
        <v>2.9723</v>
      </c>
      <c r="Y1598" s="13">
        <v>0.7339</v>
      </c>
      <c r="Z1598" s="13">
        <v>0.8768</v>
      </c>
      <c r="AA1598" s="8" t="s">
        <v>2611</v>
      </c>
      <c r="AB1598" s="14">
        <f>IFERROR(__xludf.DUMMYFUNCTION("IFERROR(GOOGLEFINANCE(B1598,""price""),"""")"),503.15)</f>
        <v>503.15</v>
      </c>
    </row>
    <row r="1599">
      <c r="A1599" s="15">
        <v>46084.62783547983</v>
      </c>
      <c r="B1599" s="16" t="s">
        <v>3291</v>
      </c>
      <c r="C1599" s="16" t="s">
        <v>3292</v>
      </c>
      <c r="D1599" s="17">
        <v>46089.0</v>
      </c>
      <c r="E1599" s="18">
        <v>243.65</v>
      </c>
      <c r="F1599" s="16" t="s">
        <v>270</v>
      </c>
      <c r="G1599" s="21">
        <v>36.3733</v>
      </c>
      <c r="H1599" s="21">
        <v>6.6986</v>
      </c>
      <c r="I1599" s="17">
        <v>46101.0</v>
      </c>
      <c r="J1599" s="18">
        <v>240.0</v>
      </c>
      <c r="K1599" s="16">
        <v>1962.0</v>
      </c>
      <c r="L1599" s="16" t="s">
        <v>2608</v>
      </c>
      <c r="M1599" s="19">
        <v>1.5</v>
      </c>
      <c r="N1599" s="16" t="s">
        <v>4157</v>
      </c>
      <c r="O1599" s="16">
        <v>1962.0</v>
      </c>
      <c r="P1599" s="19">
        <v>25.55</v>
      </c>
      <c r="Q1599" s="16" t="s">
        <v>3294</v>
      </c>
      <c r="R1599" s="19">
        <v>0.2386</v>
      </c>
      <c r="S1599" s="20">
        <v>1480465.0</v>
      </c>
      <c r="T1599" s="20">
        <v>9.8272766955E10</v>
      </c>
      <c r="U1599" s="21">
        <v>4.8872</v>
      </c>
      <c r="V1599" s="21">
        <v>29.6897</v>
      </c>
      <c r="W1599" s="21">
        <v>18.2788</v>
      </c>
      <c r="X1599" s="21">
        <v>14.2365</v>
      </c>
      <c r="Y1599" s="21">
        <v>2.3941</v>
      </c>
      <c r="Z1599" s="21">
        <v>0.8888</v>
      </c>
      <c r="AA1599" s="16" t="s">
        <v>2611</v>
      </c>
      <c r="AB1599" s="22">
        <f>IFERROR(__xludf.DUMMYFUNCTION("IFERROR(GOOGLEFINANCE(B1599,""price""),"""")"),229.45)</f>
        <v>229.45</v>
      </c>
    </row>
    <row r="1600">
      <c r="A1600" s="7">
        <v>46084.62783547983</v>
      </c>
      <c r="B1600" s="8" t="s">
        <v>2688</v>
      </c>
      <c r="C1600" s="8" t="s">
        <v>2689</v>
      </c>
      <c r="D1600" s="9">
        <v>46089.0</v>
      </c>
      <c r="E1600" s="10">
        <v>235.365</v>
      </c>
      <c r="F1600" s="8" t="s">
        <v>102</v>
      </c>
      <c r="G1600" s="13">
        <v>36.77</v>
      </c>
      <c r="H1600" s="13">
        <v>6.401</v>
      </c>
      <c r="I1600" s="9">
        <v>46101.0</v>
      </c>
      <c r="J1600" s="10">
        <v>240.0</v>
      </c>
      <c r="K1600" s="8">
        <v>1448.0</v>
      </c>
      <c r="L1600" s="8" t="s">
        <v>2608</v>
      </c>
      <c r="M1600" s="11">
        <v>1.97</v>
      </c>
      <c r="N1600" s="8" t="s">
        <v>4158</v>
      </c>
      <c r="O1600" s="8">
        <v>1448.0</v>
      </c>
      <c r="P1600" s="11">
        <v>39.944</v>
      </c>
      <c r="Q1600" s="8" t="s">
        <v>2691</v>
      </c>
      <c r="R1600" s="11">
        <v>-2.5242</v>
      </c>
      <c r="S1600" s="12">
        <v>1192225.0</v>
      </c>
      <c r="T1600" s="12">
        <v>5.389322097E10</v>
      </c>
      <c r="U1600" s="13">
        <v>5.3586</v>
      </c>
      <c r="V1600" s="13">
        <v>14.5941</v>
      </c>
      <c r="W1600" s="13">
        <v>26.1537</v>
      </c>
      <c r="X1600" s="13">
        <v>6.6262</v>
      </c>
      <c r="Y1600" s="13">
        <v>0.2419</v>
      </c>
      <c r="Z1600" s="13">
        <v>1.0623</v>
      </c>
      <c r="AA1600" s="8" t="s">
        <v>2620</v>
      </c>
      <c r="AB1600" s="14">
        <f>IFERROR(__xludf.DUMMYFUNCTION("IFERROR(GOOGLEFINANCE(B1600,""price""),"""")"),234.91)</f>
        <v>234.91</v>
      </c>
    </row>
    <row r="1601">
      <c r="A1601" s="15">
        <v>46084.62783547983</v>
      </c>
      <c r="B1601" s="16" t="s">
        <v>2658</v>
      </c>
      <c r="C1601" s="16" t="s">
        <v>2659</v>
      </c>
      <c r="D1601" s="17">
        <v>46089.0</v>
      </c>
      <c r="E1601" s="18">
        <v>92.705</v>
      </c>
      <c r="F1601" s="16" t="s">
        <v>917</v>
      </c>
      <c r="G1601" s="21">
        <v>28.0899</v>
      </c>
      <c r="H1601" s="21">
        <v>3.3003</v>
      </c>
      <c r="I1601" s="17">
        <v>46087.0</v>
      </c>
      <c r="J1601" s="18">
        <v>94.0</v>
      </c>
      <c r="K1601" s="16">
        <v>1413.0</v>
      </c>
      <c r="L1601" s="16" t="s">
        <v>2608</v>
      </c>
      <c r="M1601" s="19">
        <v>1.4</v>
      </c>
      <c r="N1601" s="16" t="s">
        <v>4159</v>
      </c>
      <c r="O1601" s="16">
        <v>1413.0</v>
      </c>
      <c r="P1601" s="19">
        <v>38.2129</v>
      </c>
      <c r="Q1601" s="16" t="s">
        <v>2661</v>
      </c>
      <c r="R1601" s="19">
        <v>-0.0054</v>
      </c>
      <c r="S1601" s="20">
        <v>7885522.0</v>
      </c>
      <c r="T1601" s="20">
        <v>1.93152902567E11</v>
      </c>
      <c r="U1601" s="21">
        <v>2.2307</v>
      </c>
      <c r="V1601" s="21">
        <v>13.0533</v>
      </c>
      <c r="W1601" s="21">
        <v>26.8934</v>
      </c>
      <c r="X1601" s="21">
        <v>8.6905</v>
      </c>
      <c r="Y1601" s="21">
        <v>1.7594</v>
      </c>
      <c r="Z1601" s="21">
        <v>0.5953</v>
      </c>
      <c r="AA1601" s="16" t="s">
        <v>2620</v>
      </c>
      <c r="AB1601" s="22">
        <f>IFERROR(__xludf.DUMMYFUNCTION("IFERROR(GOOGLEFINANCE(B1601,""price""),"""")"),94.08)</f>
        <v>94.08</v>
      </c>
    </row>
    <row r="1602">
      <c r="A1602" s="7">
        <v>46084.62783547983</v>
      </c>
      <c r="B1602" s="8" t="s">
        <v>3100</v>
      </c>
      <c r="C1602" s="8" t="s">
        <v>3101</v>
      </c>
      <c r="D1602" s="9">
        <v>46089.0</v>
      </c>
      <c r="E1602" s="10">
        <v>332.34</v>
      </c>
      <c r="F1602" s="8" t="s">
        <v>308</v>
      </c>
      <c r="G1602" s="13">
        <v>391.2644</v>
      </c>
      <c r="H1602" s="13">
        <v>0.8494</v>
      </c>
      <c r="I1602" s="9">
        <v>46087.0</v>
      </c>
      <c r="J1602" s="10">
        <v>330.0</v>
      </c>
      <c r="K1602" s="8">
        <v>1259.0</v>
      </c>
      <c r="L1602" s="8" t="s">
        <v>2627</v>
      </c>
      <c r="M1602" s="11">
        <v>0.7</v>
      </c>
      <c r="N1602" s="8" t="s">
        <v>4160</v>
      </c>
      <c r="O1602" s="8">
        <v>1259.0</v>
      </c>
      <c r="P1602" s="11">
        <v>25.0205</v>
      </c>
      <c r="Q1602" s="8" t="s">
        <v>3103</v>
      </c>
      <c r="R1602" s="11">
        <v>-6.047</v>
      </c>
      <c r="S1602" s="12">
        <v>2557609.0</v>
      </c>
      <c r="T1602" s="12">
        <v>4.7013966161E10</v>
      </c>
      <c r="U1602" s="13">
        <v>21.362</v>
      </c>
      <c r="V1602" s="13">
        <v>4.4483</v>
      </c>
      <c r="W1602" s="13">
        <v>6.5162</v>
      </c>
      <c r="X1602" s="13">
        <v>18.7935</v>
      </c>
      <c r="Y1602" s="13">
        <v>0.5956</v>
      </c>
      <c r="Z1602" s="13">
        <v>2.6962</v>
      </c>
      <c r="AA1602" s="8" t="s">
        <v>2611</v>
      </c>
      <c r="AB1602" s="14">
        <f>IFERROR(__xludf.DUMMYFUNCTION("IFERROR(GOOGLEFINANCE(B1602,""price""),"""")"),496.02)</f>
        <v>496.02</v>
      </c>
    </row>
    <row r="1603">
      <c r="A1603" s="15">
        <v>46084.62783547983</v>
      </c>
      <c r="B1603" s="16" t="s">
        <v>3022</v>
      </c>
      <c r="C1603" s="16" t="s">
        <v>3023</v>
      </c>
      <c r="D1603" s="17">
        <v>46089.0</v>
      </c>
      <c r="E1603" s="18">
        <v>723.86</v>
      </c>
      <c r="F1603" s="16" t="s">
        <v>102</v>
      </c>
      <c r="G1603" s="21">
        <v>38.449</v>
      </c>
      <c r="H1603" s="21">
        <v>18.8265</v>
      </c>
      <c r="I1603" s="17">
        <v>46087.0</v>
      </c>
      <c r="J1603" s="18">
        <v>720.0</v>
      </c>
      <c r="K1603" s="16">
        <v>1152.0</v>
      </c>
      <c r="L1603" s="16" t="s">
        <v>2627</v>
      </c>
      <c r="M1603" s="19">
        <v>0.53</v>
      </c>
      <c r="N1603" s="16" t="s">
        <v>4161</v>
      </c>
      <c r="O1603" s="16">
        <v>1152.0</v>
      </c>
      <c r="P1603" s="19">
        <v>33.0911</v>
      </c>
      <c r="Q1603" s="16" t="s">
        <v>3025</v>
      </c>
      <c r="R1603" s="19">
        <v>-3.783</v>
      </c>
      <c r="S1603" s="20">
        <v>2651666.0</v>
      </c>
      <c r="T1603" s="20">
        <v>3.36802906995E11</v>
      </c>
      <c r="U1603" s="21">
        <v>26.4853</v>
      </c>
      <c r="V1603" s="21">
        <v>43.5394</v>
      </c>
      <c r="W1603" s="21">
        <v>17.1611</v>
      </c>
      <c r="X1603" s="21">
        <v>4.2895</v>
      </c>
      <c r="Y1603" s="21">
        <v>2.0667</v>
      </c>
      <c r="Z1603" s="21">
        <v>1.4357</v>
      </c>
      <c r="AA1603" s="16" t="s">
        <v>2611</v>
      </c>
      <c r="AB1603" s="22">
        <f>IFERROR(__xludf.DUMMYFUNCTION("IFERROR(GOOGLEFINANCE(B1603,""price""),"""")"),790.66)</f>
        <v>790.66</v>
      </c>
    </row>
    <row r="1604">
      <c r="A1604" s="7">
        <v>46084.62783547983</v>
      </c>
      <c r="B1604" s="8" t="s">
        <v>3141</v>
      </c>
      <c r="C1604" s="8" t="s">
        <v>3142</v>
      </c>
      <c r="D1604" s="9">
        <v>46089.0</v>
      </c>
      <c r="E1604" s="10">
        <v>337.99</v>
      </c>
      <c r="F1604" s="8" t="s">
        <v>93</v>
      </c>
      <c r="G1604" s="13">
        <v>13.1404</v>
      </c>
      <c r="H1604" s="13">
        <v>25.7215</v>
      </c>
      <c r="I1604" s="9">
        <v>46101.0</v>
      </c>
      <c r="J1604" s="10">
        <v>340.0</v>
      </c>
      <c r="K1604" s="8">
        <v>1089.0</v>
      </c>
      <c r="L1604" s="8" t="s">
        <v>2608</v>
      </c>
      <c r="M1604" s="11">
        <v>0.59</v>
      </c>
      <c r="N1604" s="8" t="s">
        <v>4162</v>
      </c>
      <c r="O1604" s="8">
        <v>1089.0</v>
      </c>
      <c r="P1604" s="11">
        <v>35.1978</v>
      </c>
      <c r="Q1604" s="8" t="s">
        <v>3144</v>
      </c>
      <c r="R1604" s="11">
        <v>-1.3916</v>
      </c>
      <c r="S1604" s="12">
        <v>1154159.0</v>
      </c>
      <c r="T1604" s="12">
        <v>1.31869017841E11</v>
      </c>
      <c r="U1604" s="13">
        <v>6.435</v>
      </c>
      <c r="V1604" s="13">
        <v>14.9661</v>
      </c>
      <c r="W1604" s="13">
        <v>21.219</v>
      </c>
      <c r="X1604" s="13">
        <v>6.9804</v>
      </c>
      <c r="Y1604" s="13">
        <v>0.3008</v>
      </c>
      <c r="Z1604" s="13">
        <v>0.3807</v>
      </c>
      <c r="AA1604" s="8" t="s">
        <v>2620</v>
      </c>
      <c r="AB1604" s="14">
        <f>IFERROR(__xludf.DUMMYFUNCTION("IFERROR(GOOGLEFINANCE(B1604,""price""),"""")"),327.91)</f>
        <v>327.91</v>
      </c>
    </row>
    <row r="1605">
      <c r="A1605" s="15">
        <v>46084.62783547983</v>
      </c>
      <c r="B1605" s="16" t="s">
        <v>2768</v>
      </c>
      <c r="C1605" s="16" t="s">
        <v>2769</v>
      </c>
      <c r="D1605" s="17">
        <v>46089.0</v>
      </c>
      <c r="E1605" s="18">
        <v>252.495</v>
      </c>
      <c r="F1605" s="16" t="s">
        <v>308</v>
      </c>
      <c r="G1605" s="21">
        <v>25.3491</v>
      </c>
      <c r="H1605" s="21">
        <v>9.9607</v>
      </c>
      <c r="I1605" s="17">
        <v>46087.0</v>
      </c>
      <c r="J1605" s="18">
        <v>255.0</v>
      </c>
      <c r="K1605" s="16">
        <v>1069.0</v>
      </c>
      <c r="L1605" s="16" t="s">
        <v>2627</v>
      </c>
      <c r="M1605" s="19">
        <v>0.99</v>
      </c>
      <c r="N1605" s="16" t="s">
        <v>4163</v>
      </c>
      <c r="O1605" s="16">
        <v>1069.0</v>
      </c>
      <c r="P1605" s="19">
        <v>28.4171</v>
      </c>
      <c r="Q1605" s="16" t="s">
        <v>2771</v>
      </c>
      <c r="R1605" s="19">
        <v>-6.511</v>
      </c>
      <c r="S1605" s="20">
        <v>7762695.0</v>
      </c>
      <c r="T1605" s="20">
        <v>8.5605378725E10</v>
      </c>
      <c r="U1605" s="21">
        <v>21.0892</v>
      </c>
      <c r="V1605" s="21">
        <v>41.2731</v>
      </c>
      <c r="W1605" s="21">
        <v>27.8834</v>
      </c>
      <c r="X1605" s="21">
        <v>-31.1967</v>
      </c>
      <c r="Y1605" s="21">
        <v>0.7076</v>
      </c>
      <c r="Z1605" s="21">
        <v>1.455</v>
      </c>
      <c r="AA1605" s="16" t="s">
        <v>2620</v>
      </c>
      <c r="AB1605" s="22">
        <f>IFERROR(__xludf.DUMMYFUNCTION("IFERROR(GOOGLEFINANCE(B1605,""price""),"""")"),343.43)</f>
        <v>343.43</v>
      </c>
    </row>
    <row r="1606">
      <c r="A1606" s="7">
        <v>46084.62783547983</v>
      </c>
      <c r="B1606" s="8" t="s">
        <v>1766</v>
      </c>
      <c r="C1606" s="8" t="s">
        <v>1767</v>
      </c>
      <c r="D1606" s="9">
        <v>46089.0</v>
      </c>
      <c r="E1606" s="10">
        <v>95.47</v>
      </c>
      <c r="F1606" s="8" t="s">
        <v>917</v>
      </c>
      <c r="G1606" s="13">
        <v>34.7391</v>
      </c>
      <c r="H1606" s="13">
        <v>2.7482</v>
      </c>
      <c r="I1606" s="9">
        <v>46101.0</v>
      </c>
      <c r="J1606" s="10">
        <v>95.0</v>
      </c>
      <c r="K1606" s="8">
        <v>1063.0</v>
      </c>
      <c r="L1606" s="8" t="s">
        <v>2608</v>
      </c>
      <c r="M1606" s="11">
        <v>0.49</v>
      </c>
      <c r="N1606" s="8" t="s">
        <v>4164</v>
      </c>
      <c r="O1606" s="8">
        <v>1063.0</v>
      </c>
      <c r="P1606" s="11">
        <v>32.5702</v>
      </c>
      <c r="Q1606" s="8" t="s">
        <v>1768</v>
      </c>
      <c r="R1606" s="11">
        <v>-0.2091</v>
      </c>
      <c r="S1606" s="12">
        <v>1894957.0</v>
      </c>
      <c r="T1606" s="12">
        <v>6.2369033614E10</v>
      </c>
      <c r="U1606" s="13">
        <v>2.0711</v>
      </c>
      <c r="V1606" s="13">
        <v>5.8451</v>
      </c>
      <c r="W1606" s="13">
        <v>23.7349</v>
      </c>
      <c r="X1606" s="13">
        <v>5.8424</v>
      </c>
      <c r="Y1606" s="13">
        <v>1.1478</v>
      </c>
      <c r="Z1606" s="13">
        <v>1.5912</v>
      </c>
      <c r="AA1606" s="8" t="s">
        <v>2611</v>
      </c>
      <c r="AB1606" s="14">
        <f>IFERROR(__xludf.DUMMYFUNCTION("IFERROR(GOOGLEFINANCE(B1606,""price""),"""")"),98.82)</f>
        <v>98.82</v>
      </c>
    </row>
    <row r="1607">
      <c r="A1607" s="7">
        <v>46085.627545013565</v>
      </c>
      <c r="B1607" s="8" t="s">
        <v>2638</v>
      </c>
      <c r="C1607" s="8" t="s">
        <v>2639</v>
      </c>
      <c r="D1607" s="9">
        <v>46089.0</v>
      </c>
      <c r="E1607" s="10">
        <v>149.805</v>
      </c>
      <c r="F1607" s="8" t="s">
        <v>245</v>
      </c>
      <c r="G1607" s="13">
        <v>22.3763</v>
      </c>
      <c r="H1607" s="13">
        <v>6.6948</v>
      </c>
      <c r="I1607" s="9">
        <v>46087.0</v>
      </c>
      <c r="J1607" s="10">
        <v>152.5</v>
      </c>
      <c r="K1607" s="8">
        <v>7550.0</v>
      </c>
      <c r="L1607" s="8" t="s">
        <v>2608</v>
      </c>
      <c r="M1607" s="11">
        <v>1.8</v>
      </c>
      <c r="N1607" s="8" t="s">
        <v>4165</v>
      </c>
      <c r="O1607" s="8">
        <v>22662.0</v>
      </c>
      <c r="P1607" s="11">
        <v>40.4348</v>
      </c>
      <c r="Q1607" s="8" t="s">
        <v>2641</v>
      </c>
      <c r="R1607" s="11">
        <v>-1.3337</v>
      </c>
      <c r="S1607" s="12">
        <v>1.2289956E7</v>
      </c>
      <c r="T1607" s="12">
        <v>6.24202039393E11</v>
      </c>
      <c r="U1607" s="13">
        <v>4.0343</v>
      </c>
      <c r="V1607" s="13">
        <v>11.0283</v>
      </c>
      <c r="W1607" s="13">
        <v>10.3419</v>
      </c>
      <c r="X1607" s="13">
        <v>-4.856</v>
      </c>
      <c r="Y1607" s="13">
        <v>0.1871</v>
      </c>
      <c r="Z1607" s="13">
        <v>1.1528</v>
      </c>
      <c r="AA1607" s="8" t="s">
        <v>2620</v>
      </c>
      <c r="AB1607" s="14">
        <f>IFERROR(__xludf.DUMMYFUNCTION("IFERROR(GOOGLEFINANCE(B1607,""price""),"""")"),152.51)</f>
        <v>152.51</v>
      </c>
    </row>
    <row r="1608">
      <c r="A1608" s="15">
        <v>46085.627545013565</v>
      </c>
      <c r="B1608" s="16" t="s">
        <v>2630</v>
      </c>
      <c r="C1608" s="16" t="s">
        <v>2631</v>
      </c>
      <c r="D1608" s="17">
        <v>46089.0</v>
      </c>
      <c r="E1608" s="18">
        <v>401.91</v>
      </c>
      <c r="F1608" s="16" t="s">
        <v>308</v>
      </c>
      <c r="G1608" s="21">
        <v>38.2044</v>
      </c>
      <c r="H1608" s="21">
        <v>10.52</v>
      </c>
      <c r="I1608" s="17">
        <v>46087.0</v>
      </c>
      <c r="J1608" s="18">
        <v>400.0</v>
      </c>
      <c r="K1608" s="16">
        <v>7206.0</v>
      </c>
      <c r="L1608" s="16" t="s">
        <v>2608</v>
      </c>
      <c r="M1608" s="19">
        <v>0.48</v>
      </c>
      <c r="N1608" s="16" t="s">
        <v>4166</v>
      </c>
      <c r="O1608" s="16">
        <v>22307.0</v>
      </c>
      <c r="P1608" s="19">
        <v>29.9816</v>
      </c>
      <c r="Q1608" s="16" t="s">
        <v>2633</v>
      </c>
      <c r="R1608" s="19">
        <v>5.8549</v>
      </c>
      <c r="S1608" s="20">
        <v>2.6937334E7</v>
      </c>
      <c r="T1608" s="20">
        <v>4.52353424931E11</v>
      </c>
      <c r="U1608" s="21">
        <v>24.8835</v>
      </c>
      <c r="V1608" s="21">
        <v>22.5543</v>
      </c>
      <c r="W1608" s="21">
        <v>32.9221</v>
      </c>
      <c r="X1608" s="21">
        <v>45.432</v>
      </c>
      <c r="Y1608" s="21">
        <v>0.2124</v>
      </c>
      <c r="Z1608" s="21">
        <v>2.4598</v>
      </c>
      <c r="AA1608" s="16" t="s">
        <v>2611</v>
      </c>
      <c r="AB1608" s="22">
        <f>IFERROR(__xludf.DUMMYFUNCTION("IFERROR(GOOGLEFINANCE(B1608,""price""),"""")"),420.59)</f>
        <v>420.59</v>
      </c>
    </row>
    <row r="1609">
      <c r="A1609" s="7">
        <v>46085.627545013565</v>
      </c>
      <c r="B1609" s="8" t="s">
        <v>2625</v>
      </c>
      <c r="C1609" s="8" t="s">
        <v>2626</v>
      </c>
      <c r="D1609" s="9">
        <v>46089.0</v>
      </c>
      <c r="E1609" s="10">
        <v>127.86</v>
      </c>
      <c r="F1609" s="8" t="s">
        <v>137</v>
      </c>
      <c r="G1609" s="13">
        <v>46.8249</v>
      </c>
      <c r="H1609" s="13">
        <v>2.7306</v>
      </c>
      <c r="I1609" s="9">
        <v>46087.0</v>
      </c>
      <c r="J1609" s="10">
        <v>130.0</v>
      </c>
      <c r="K1609" s="8">
        <v>6112.0</v>
      </c>
      <c r="L1609" s="8" t="s">
        <v>2608</v>
      </c>
      <c r="M1609" s="11">
        <v>1.67</v>
      </c>
      <c r="N1609" s="8" t="s">
        <v>4167</v>
      </c>
      <c r="O1609" s="8">
        <v>18538.0</v>
      </c>
      <c r="P1609" s="11">
        <v>21.3412</v>
      </c>
      <c r="Q1609" s="8" t="s">
        <v>2629</v>
      </c>
      <c r="R1609" s="11">
        <v>-0.0391</v>
      </c>
      <c r="S1609" s="12">
        <v>9972249.0</v>
      </c>
      <c r="T1609" s="12">
        <v>1.019065580797E12</v>
      </c>
      <c r="U1609" s="13">
        <v>3.1753</v>
      </c>
      <c r="V1609" s="13">
        <v>22.9691</v>
      </c>
      <c r="W1609" s="13">
        <v>4.1821</v>
      </c>
      <c r="X1609" s="13">
        <v>4.7252</v>
      </c>
      <c r="Y1609" s="13">
        <v>0.6735</v>
      </c>
      <c r="Z1609" s="13">
        <v>0.7898</v>
      </c>
      <c r="AA1609" s="8" t="s">
        <v>2620</v>
      </c>
      <c r="AB1609" s="14">
        <f>IFERROR(__xludf.DUMMYFUNCTION("IFERROR(GOOGLEFINANCE(B1609,""price""),"""")"),126.79)</f>
        <v>126.79</v>
      </c>
    </row>
    <row r="1610">
      <c r="A1610" s="15">
        <v>46085.627545013565</v>
      </c>
      <c r="B1610" s="16" t="s">
        <v>3697</v>
      </c>
      <c r="C1610" s="16" t="s">
        <v>3698</v>
      </c>
      <c r="D1610" s="17">
        <v>46089.0</v>
      </c>
      <c r="E1610" s="18">
        <v>49.277</v>
      </c>
      <c r="F1610" s="16" t="s">
        <v>917</v>
      </c>
      <c r="G1610" s="21">
        <v>18.0178</v>
      </c>
      <c r="H1610" s="21">
        <v>2.7349</v>
      </c>
      <c r="I1610" s="17">
        <v>46101.0</v>
      </c>
      <c r="J1610" s="18">
        <v>50.0</v>
      </c>
      <c r="K1610" s="16">
        <v>8188.0</v>
      </c>
      <c r="L1610" s="16" t="s">
        <v>2608</v>
      </c>
      <c r="M1610" s="19">
        <v>1.47</v>
      </c>
      <c r="N1610" s="16" t="s">
        <v>4168</v>
      </c>
      <c r="O1610" s="16">
        <v>11878.0</v>
      </c>
      <c r="P1610" s="19">
        <v>34.8576</v>
      </c>
      <c r="Q1610" s="16" t="s">
        <v>3700</v>
      </c>
      <c r="R1610" s="19">
        <v>0.6475</v>
      </c>
      <c r="S1610" s="20">
        <v>7036261.0</v>
      </c>
      <c r="T1610" s="20">
        <v>5.040507663E10</v>
      </c>
      <c r="U1610" s="21">
        <v>0.9902</v>
      </c>
      <c r="V1610" s="21">
        <v>9.9356</v>
      </c>
      <c r="W1610" s="21">
        <v>21.2054</v>
      </c>
      <c r="X1610" s="21">
        <v>5.3367</v>
      </c>
      <c r="Y1610" s="21">
        <v>1.7554</v>
      </c>
      <c r="Z1610" s="21">
        <v>0.924</v>
      </c>
      <c r="AA1610" s="16" t="s">
        <v>2620</v>
      </c>
      <c r="AB1610" s="22">
        <f>IFERROR(__xludf.DUMMYFUNCTION("IFERROR(GOOGLEFINANCE(B1610,""price""),"""")"),48.57)</f>
        <v>48.57</v>
      </c>
    </row>
    <row r="1611">
      <c r="A1611" s="7">
        <v>46085.627545013565</v>
      </c>
      <c r="B1611" s="8" t="s">
        <v>2634</v>
      </c>
      <c r="C1611" s="8" t="s">
        <v>2635</v>
      </c>
      <c r="D1611" s="9">
        <v>46089.0</v>
      </c>
      <c r="E1611" s="10">
        <v>186.325</v>
      </c>
      <c r="F1611" s="8" t="s">
        <v>245</v>
      </c>
      <c r="G1611" s="13">
        <v>28.0272</v>
      </c>
      <c r="H1611" s="13">
        <v>6.648</v>
      </c>
      <c r="I1611" s="9">
        <v>46087.0</v>
      </c>
      <c r="J1611" s="10">
        <v>190.0</v>
      </c>
      <c r="K1611" s="8">
        <v>4946.0</v>
      </c>
      <c r="L1611" s="8" t="s">
        <v>2608</v>
      </c>
      <c r="M1611" s="11">
        <v>1.97</v>
      </c>
      <c r="N1611" s="8" t="s">
        <v>4169</v>
      </c>
      <c r="O1611" s="8">
        <v>10009.0</v>
      </c>
      <c r="P1611" s="11">
        <v>44.9755</v>
      </c>
      <c r="Q1611" s="8" t="s">
        <v>2637</v>
      </c>
      <c r="R1611" s="11">
        <v>-1.2952</v>
      </c>
      <c r="S1611" s="12">
        <v>8237393.0</v>
      </c>
      <c r="T1611" s="12">
        <v>3.71790211339E11</v>
      </c>
      <c r="U1611" s="13">
        <v>3.6607</v>
      </c>
      <c r="V1611" s="13">
        <v>7.261</v>
      </c>
      <c r="W1611" s="13">
        <v>8.8802</v>
      </c>
      <c r="X1611" s="13">
        <v>-4.6193</v>
      </c>
      <c r="Y1611" s="13">
        <v>0.2507</v>
      </c>
      <c r="Z1611" s="13">
        <v>1.1547</v>
      </c>
      <c r="AA1611" s="8" t="s">
        <v>2620</v>
      </c>
      <c r="AB1611" s="14">
        <f>IFERROR(__xludf.DUMMYFUNCTION("IFERROR(GOOGLEFINANCE(B1611,""price""),"""")"),188.55)</f>
        <v>188.55</v>
      </c>
    </row>
    <row r="1612">
      <c r="A1612" s="15">
        <v>46085.627545013565</v>
      </c>
      <c r="B1612" s="16" t="s">
        <v>2399</v>
      </c>
      <c r="C1612" s="16" t="s">
        <v>2400</v>
      </c>
      <c r="D1612" s="17">
        <v>46089.0</v>
      </c>
      <c r="E1612" s="18">
        <v>18.785</v>
      </c>
      <c r="F1612" s="16" t="s">
        <v>270</v>
      </c>
      <c r="G1612" s="21">
        <v>15.5479</v>
      </c>
      <c r="H1612" s="21">
        <v>1.2082</v>
      </c>
      <c r="I1612" s="17">
        <v>46087.0</v>
      </c>
      <c r="J1612" s="18">
        <v>19.0</v>
      </c>
      <c r="K1612" s="16">
        <v>3975.0</v>
      </c>
      <c r="L1612" s="16" t="s">
        <v>2608</v>
      </c>
      <c r="M1612" s="19">
        <v>1.14</v>
      </c>
      <c r="N1612" s="16" t="s">
        <v>4170</v>
      </c>
      <c r="O1612" s="16">
        <v>9979.0</v>
      </c>
      <c r="P1612" s="19">
        <v>33.7912</v>
      </c>
      <c r="Q1612" s="16" t="s">
        <v>2401</v>
      </c>
      <c r="R1612" s="19">
        <v>-0.3977</v>
      </c>
      <c r="S1612" s="20">
        <v>9173046.0</v>
      </c>
      <c r="T1612" s="20">
        <v>6.4626309094E10</v>
      </c>
      <c r="U1612" s="21">
        <v>0.3473</v>
      </c>
      <c r="V1612" s="21">
        <v>12.7475</v>
      </c>
      <c r="W1612" s="21">
        <v>10.8866</v>
      </c>
      <c r="X1612" s="21">
        <v>3.4655</v>
      </c>
      <c r="Y1612" s="21">
        <v>2.0395</v>
      </c>
      <c r="Z1612" s="21">
        <v>1.2192</v>
      </c>
      <c r="AA1612" s="16" t="s">
        <v>2620</v>
      </c>
      <c r="AB1612" s="22">
        <f>IFERROR(__xludf.DUMMYFUNCTION("IFERROR(GOOGLEFINANCE(B1612,""price""),"""")"),19.19)</f>
        <v>19.19</v>
      </c>
    </row>
    <row r="1613">
      <c r="A1613" s="7">
        <v>46085.627545013565</v>
      </c>
      <c r="B1613" s="8" t="s">
        <v>3944</v>
      </c>
      <c r="C1613" s="8" t="s">
        <v>3945</v>
      </c>
      <c r="D1613" s="9">
        <v>46089.0</v>
      </c>
      <c r="E1613" s="10">
        <v>132.01</v>
      </c>
      <c r="F1613" s="8" t="s">
        <v>917</v>
      </c>
      <c r="G1613" s="13">
        <v>20.9131</v>
      </c>
      <c r="H1613" s="13">
        <v>6.3123</v>
      </c>
      <c r="I1613" s="9">
        <v>46101.0</v>
      </c>
      <c r="J1613" s="10">
        <v>130.0</v>
      </c>
      <c r="K1613" s="8">
        <v>9141.0</v>
      </c>
      <c r="L1613" s="8" t="s">
        <v>2608</v>
      </c>
      <c r="M1613" s="11">
        <v>1.52</v>
      </c>
      <c r="N1613" s="8" t="s">
        <v>4171</v>
      </c>
      <c r="O1613" s="8">
        <v>9141.0</v>
      </c>
      <c r="P1613" s="11">
        <v>31.3563</v>
      </c>
      <c r="Q1613" s="8" t="s">
        <v>3947</v>
      </c>
      <c r="R1613" s="11">
        <v>0.4413</v>
      </c>
      <c r="S1613" s="12">
        <v>2386839.0</v>
      </c>
      <c r="T1613" s="12">
        <v>1.02660329582E11</v>
      </c>
      <c r="U1613" s="13">
        <v>2.2318</v>
      </c>
      <c r="V1613" s="13">
        <v>9.7422</v>
      </c>
      <c r="W1613" s="13">
        <v>26.6061</v>
      </c>
      <c r="X1613" s="13">
        <v>6.193</v>
      </c>
      <c r="Y1613" s="13">
        <v>1.7574</v>
      </c>
      <c r="Z1613" s="13">
        <v>0.5518</v>
      </c>
      <c r="AA1613" s="8" t="s">
        <v>2611</v>
      </c>
      <c r="AB1613" s="14">
        <f>IFERROR(__xludf.DUMMYFUNCTION("IFERROR(GOOGLEFINANCE(B1613,""price""),"""")"),131.79)</f>
        <v>131.79</v>
      </c>
    </row>
    <row r="1614">
      <c r="A1614" s="15">
        <v>46085.627545013565</v>
      </c>
      <c r="B1614" s="16" t="s">
        <v>2621</v>
      </c>
      <c r="C1614" s="16" t="s">
        <v>2622</v>
      </c>
      <c r="D1614" s="17">
        <v>46089.0</v>
      </c>
      <c r="E1614" s="18">
        <v>66.4</v>
      </c>
      <c r="F1614" s="16" t="s">
        <v>335</v>
      </c>
      <c r="G1614" s="21">
        <v>43.8573</v>
      </c>
      <c r="H1614" s="21">
        <v>1.514</v>
      </c>
      <c r="I1614" s="17">
        <v>46087.0</v>
      </c>
      <c r="J1614" s="18">
        <v>67.0</v>
      </c>
      <c r="K1614" s="16">
        <v>2632.0</v>
      </c>
      <c r="L1614" s="16" t="s">
        <v>2627</v>
      </c>
      <c r="M1614" s="19">
        <v>0.9</v>
      </c>
      <c r="N1614" s="16" t="s">
        <v>4172</v>
      </c>
      <c r="O1614" s="16">
        <v>6400.0</v>
      </c>
      <c r="P1614" s="19">
        <v>26.0642</v>
      </c>
      <c r="Q1614" s="16" t="s">
        <v>2624</v>
      </c>
      <c r="R1614" s="19">
        <v>1.2658</v>
      </c>
      <c r="S1614" s="20">
        <v>1.2847514E7</v>
      </c>
      <c r="T1614" s="20">
        <v>9.543018979E10</v>
      </c>
      <c r="U1614" s="21">
        <v>3.0177</v>
      </c>
      <c r="V1614" s="21">
        <v>11.9792</v>
      </c>
      <c r="W1614" s="21">
        <v>22.7913</v>
      </c>
      <c r="X1614" s="21">
        <v>-0.0477</v>
      </c>
      <c r="Y1614" s="21">
        <v>0.5552</v>
      </c>
      <c r="Z1614" s="21">
        <v>2.2911</v>
      </c>
      <c r="AA1614" s="16" t="s">
        <v>2620</v>
      </c>
      <c r="AB1614" s="22">
        <f>IFERROR(__xludf.DUMMYFUNCTION("IFERROR(GOOGLEFINANCE(B1614,""price""),"""")"),67.8)</f>
        <v>67.8</v>
      </c>
    </row>
    <row r="1615">
      <c r="A1615" s="7">
        <v>46085.627545013565</v>
      </c>
      <c r="B1615" s="8" t="s">
        <v>3951</v>
      </c>
      <c r="C1615" s="8" t="s">
        <v>3952</v>
      </c>
      <c r="D1615" s="9">
        <v>46089.0</v>
      </c>
      <c r="E1615" s="10">
        <v>17.445</v>
      </c>
      <c r="F1615" s="8" t="s">
        <v>1119</v>
      </c>
      <c r="G1615" s="13">
        <v>23.5076</v>
      </c>
      <c r="H1615" s="13">
        <v>0.7421</v>
      </c>
      <c r="I1615" s="9">
        <v>46101.0</v>
      </c>
      <c r="J1615" s="10">
        <v>17.5</v>
      </c>
      <c r="K1615" s="8">
        <v>6120.0</v>
      </c>
      <c r="L1615" s="8" t="s">
        <v>2608</v>
      </c>
      <c r="M1615" s="11">
        <v>0.32</v>
      </c>
      <c r="N1615" s="8" t="s">
        <v>4007</v>
      </c>
      <c r="O1615" s="8">
        <v>6120.0</v>
      </c>
      <c r="P1615" s="11">
        <v>27.4772</v>
      </c>
      <c r="Q1615" s="8" t="s">
        <v>3954</v>
      </c>
      <c r="R1615" s="11">
        <v>2.678</v>
      </c>
      <c r="S1615" s="12">
        <v>1264224.0</v>
      </c>
      <c r="T1615" s="12">
        <v>2.470503284E9</v>
      </c>
      <c r="U1615" s="13">
        <v>0.6385</v>
      </c>
      <c r="V1615" s="13">
        <v>26.6421</v>
      </c>
      <c r="W1615" s="13">
        <v>36.2303</v>
      </c>
      <c r="X1615" s="13">
        <v>15.4338</v>
      </c>
      <c r="Y1615" s="13">
        <v>2.3124</v>
      </c>
      <c r="Z1615" s="13">
        <v>1.7456</v>
      </c>
      <c r="AA1615" s="8" t="s">
        <v>2620</v>
      </c>
      <c r="AB1615" s="14">
        <f>IFERROR(__xludf.DUMMYFUNCTION("IFERROR(GOOGLEFINANCE(B1615,""price""),"""")"),15.84)</f>
        <v>15.84</v>
      </c>
    </row>
    <row r="1616">
      <c r="A1616" s="15">
        <v>46085.627545013565</v>
      </c>
      <c r="B1616" s="16" t="s">
        <v>1489</v>
      </c>
      <c r="C1616" s="16" t="s">
        <v>1490</v>
      </c>
      <c r="D1616" s="17">
        <v>46089.0</v>
      </c>
      <c r="E1616" s="18">
        <v>80.8</v>
      </c>
      <c r="F1616" s="16" t="s">
        <v>308</v>
      </c>
      <c r="G1616" s="21">
        <v>28.4227</v>
      </c>
      <c r="H1616" s="21">
        <v>2.8428</v>
      </c>
      <c r="I1616" s="17">
        <v>46087.0</v>
      </c>
      <c r="J1616" s="18">
        <v>80.0</v>
      </c>
      <c r="K1616" s="16">
        <v>3250.0</v>
      </c>
      <c r="L1616" s="16" t="s">
        <v>2608</v>
      </c>
      <c r="M1616" s="19">
        <v>0.99</v>
      </c>
      <c r="N1616" s="16" t="s">
        <v>4173</v>
      </c>
      <c r="O1616" s="16">
        <v>5670.0</v>
      </c>
      <c r="P1616" s="19">
        <v>21.5846</v>
      </c>
      <c r="Q1616" s="16" t="s">
        <v>1491</v>
      </c>
      <c r="R1616" s="19">
        <v>2.3303</v>
      </c>
      <c r="S1616" s="20">
        <v>1.2535262E7</v>
      </c>
      <c r="T1616" s="20">
        <v>3.19151356065E11</v>
      </c>
      <c r="U1616" s="21">
        <v>2.1784</v>
      </c>
      <c r="V1616" s="21">
        <v>24.3402</v>
      </c>
      <c r="W1616" s="21">
        <v>23.6377</v>
      </c>
      <c r="X1616" s="21">
        <v>9.004</v>
      </c>
      <c r="Y1616" s="21">
        <v>0.6651</v>
      </c>
      <c r="Z1616" s="21">
        <v>0.9142</v>
      </c>
      <c r="AA1616" s="16" t="s">
        <v>2611</v>
      </c>
      <c r="AB1616" s="22">
        <f>IFERROR(__xludf.DUMMYFUNCTION("IFERROR(GOOGLEFINANCE(B1616,""price""),"""")"),82.22)</f>
        <v>82.22</v>
      </c>
    </row>
    <row r="1617">
      <c r="A1617" s="7">
        <v>46085.627545013565</v>
      </c>
      <c r="B1617" s="8" t="s">
        <v>3713</v>
      </c>
      <c r="C1617" s="8" t="s">
        <v>3714</v>
      </c>
      <c r="D1617" s="9">
        <v>46089.0</v>
      </c>
      <c r="E1617" s="10">
        <v>159.635</v>
      </c>
      <c r="F1617" s="8" t="s">
        <v>149</v>
      </c>
      <c r="G1617" s="13">
        <v>116.5219</v>
      </c>
      <c r="H1617" s="13">
        <v>1.37</v>
      </c>
      <c r="I1617" s="9">
        <v>46101.0</v>
      </c>
      <c r="J1617" s="10">
        <v>160.0</v>
      </c>
      <c r="K1617" s="8">
        <v>5365.0</v>
      </c>
      <c r="L1617" s="8" t="s">
        <v>2608</v>
      </c>
      <c r="M1617" s="11">
        <v>0.23</v>
      </c>
      <c r="N1617" s="8" t="s">
        <v>4174</v>
      </c>
      <c r="O1617" s="8">
        <v>5365.0</v>
      </c>
      <c r="P1617" s="11">
        <v>25.9283</v>
      </c>
      <c r="Q1617" s="8" t="s">
        <v>3716</v>
      </c>
      <c r="R1617" s="11">
        <v>-1.5024</v>
      </c>
      <c r="S1617" s="12">
        <v>2445266.0</v>
      </c>
      <c r="T1617" s="12">
        <v>3.7094105725E10</v>
      </c>
      <c r="U1617" s="13">
        <v>5.8388</v>
      </c>
      <c r="V1617" s="13">
        <v>-24.6827</v>
      </c>
      <c r="W1617" s="13">
        <v>6.0286</v>
      </c>
      <c r="X1617" s="13">
        <v>5.3898</v>
      </c>
      <c r="Y1617" s="13">
        <v>38.3916</v>
      </c>
      <c r="Z1617" s="13">
        <v>0.9951</v>
      </c>
      <c r="AA1617" s="8" t="s">
        <v>2620</v>
      </c>
      <c r="AB1617" s="14">
        <f>IFERROR(__xludf.DUMMYFUNCTION("IFERROR(GOOGLEFINANCE(B1617,""price""),"""")"),160.59)</f>
        <v>160.59</v>
      </c>
    </row>
    <row r="1618">
      <c r="A1618" s="15">
        <v>46085.627545013565</v>
      </c>
      <c r="B1618" s="16" t="s">
        <v>3463</v>
      </c>
      <c r="C1618" s="16" t="s">
        <v>3464</v>
      </c>
      <c r="D1618" s="17">
        <v>46089.0</v>
      </c>
      <c r="E1618" s="18">
        <v>61.32</v>
      </c>
      <c r="F1618" s="16" t="s">
        <v>245</v>
      </c>
      <c r="G1618" s="21">
        <v>18.505</v>
      </c>
      <c r="H1618" s="21">
        <v>3.3137</v>
      </c>
      <c r="I1618" s="17">
        <v>46087.0</v>
      </c>
      <c r="J1618" s="18">
        <v>61.0</v>
      </c>
      <c r="K1618" s="16">
        <v>3067.0</v>
      </c>
      <c r="L1618" s="16" t="s">
        <v>2608</v>
      </c>
      <c r="M1618" s="19">
        <v>0.52</v>
      </c>
      <c r="N1618" s="16" t="s">
        <v>4175</v>
      </c>
      <c r="O1618" s="16">
        <v>5338.0</v>
      </c>
      <c r="P1618" s="19">
        <v>28.0346</v>
      </c>
      <c r="Q1618" s="16" t="s">
        <v>3466</v>
      </c>
      <c r="R1618" s="19">
        <v>-0.4707</v>
      </c>
      <c r="S1618" s="20">
        <v>5705634.0</v>
      </c>
      <c r="T1618" s="20">
        <v>3.8280481251E10</v>
      </c>
      <c r="U1618" s="21">
        <v>1.95</v>
      </c>
      <c r="V1618" s="21">
        <v>9.1961</v>
      </c>
      <c r="W1618" s="21">
        <v>35.6577</v>
      </c>
      <c r="X1618" s="21">
        <v>59.9561</v>
      </c>
      <c r="Y1618" s="21">
        <v>0.3357</v>
      </c>
      <c r="Z1618" s="21">
        <v>0.7627</v>
      </c>
      <c r="AA1618" s="16" t="s">
        <v>2611</v>
      </c>
      <c r="AB1618" s="22">
        <f>IFERROR(__xludf.DUMMYFUNCTION("IFERROR(GOOGLEFINANCE(B1618,""price""),"""")"),58.68)</f>
        <v>58.68</v>
      </c>
    </row>
    <row r="1619">
      <c r="A1619" s="7">
        <v>46085.627545013565</v>
      </c>
      <c r="B1619" s="8" t="s">
        <v>1467</v>
      </c>
      <c r="C1619" s="8" t="s">
        <v>1468</v>
      </c>
      <c r="D1619" s="9">
        <v>46089.0</v>
      </c>
      <c r="E1619" s="10">
        <v>140.21</v>
      </c>
      <c r="F1619" s="8" t="s">
        <v>102</v>
      </c>
      <c r="G1619" s="13">
        <v>26.3761</v>
      </c>
      <c r="H1619" s="13">
        <v>5.3158</v>
      </c>
      <c r="I1619" s="9">
        <v>46101.0</v>
      </c>
      <c r="J1619" s="10">
        <v>140.0</v>
      </c>
      <c r="K1619" s="8">
        <v>5149.0</v>
      </c>
      <c r="L1619" s="8" t="s">
        <v>2608</v>
      </c>
      <c r="M1619" s="11">
        <v>0.15</v>
      </c>
      <c r="N1619" s="8" t="s">
        <v>4176</v>
      </c>
      <c r="O1619" s="8">
        <v>5149.0</v>
      </c>
      <c r="P1619" s="11">
        <v>48.2436</v>
      </c>
      <c r="Q1619" s="8" t="s">
        <v>1469</v>
      </c>
      <c r="R1619" s="11">
        <v>0.4514</v>
      </c>
      <c r="S1619" s="12">
        <v>2040075.0</v>
      </c>
      <c r="T1619" s="12">
        <v>8.5817797715E10</v>
      </c>
      <c r="U1619" s="13">
        <v>3.5468</v>
      </c>
      <c r="V1619" s="13">
        <v>13.146</v>
      </c>
      <c r="W1619" s="13">
        <v>13.0805</v>
      </c>
      <c r="X1619" s="13">
        <v>-6.3935</v>
      </c>
      <c r="Y1619" s="13">
        <v>0.735</v>
      </c>
      <c r="Z1619" s="13">
        <v>0.9638</v>
      </c>
      <c r="AA1619" s="8" t="s">
        <v>2611</v>
      </c>
      <c r="AB1619" s="14">
        <f>IFERROR(__xludf.DUMMYFUNCTION("IFERROR(GOOGLEFINANCE(B1619,""price""),"""")"),142.53)</f>
        <v>142.53</v>
      </c>
    </row>
    <row r="1620">
      <c r="A1620" s="15">
        <v>46085.627545013565</v>
      </c>
      <c r="B1620" s="16" t="s">
        <v>2616</v>
      </c>
      <c r="C1620" s="16" t="s">
        <v>2617</v>
      </c>
      <c r="D1620" s="17">
        <v>46089.0</v>
      </c>
      <c r="E1620" s="18">
        <v>78.285</v>
      </c>
      <c r="F1620" s="16" t="s">
        <v>286</v>
      </c>
      <c r="G1620" s="21">
        <v>25.7644</v>
      </c>
      <c r="H1620" s="21">
        <v>3.0385</v>
      </c>
      <c r="I1620" s="17">
        <v>46087.0</v>
      </c>
      <c r="J1620" s="18">
        <v>78.0</v>
      </c>
      <c r="K1620" s="16">
        <v>1582.0</v>
      </c>
      <c r="L1620" s="16" t="s">
        <v>2627</v>
      </c>
      <c r="M1620" s="19">
        <v>0.36</v>
      </c>
      <c r="N1620" s="16" t="s">
        <v>4177</v>
      </c>
      <c r="O1620" s="16">
        <v>5110.0</v>
      </c>
      <c r="P1620" s="19">
        <v>36.4721</v>
      </c>
      <c r="Q1620" s="16" t="s">
        <v>2619</v>
      </c>
      <c r="R1620" s="19">
        <v>-1.3297</v>
      </c>
      <c r="S1620" s="20">
        <v>1.1960774E7</v>
      </c>
      <c r="T1620" s="20">
        <v>3.36682095829E11</v>
      </c>
      <c r="U1620" s="21">
        <v>1.3249</v>
      </c>
      <c r="V1620" s="21">
        <v>45.9693</v>
      </c>
      <c r="W1620" s="21">
        <v>31.3688</v>
      </c>
      <c r="X1620" s="21">
        <v>3.4769</v>
      </c>
      <c r="Y1620" s="21">
        <v>1.4577</v>
      </c>
      <c r="Z1620" s="21">
        <v>1.4588</v>
      </c>
      <c r="AA1620" s="16" t="s">
        <v>2611</v>
      </c>
      <c r="AB1620" s="22">
        <f>IFERROR(__xludf.DUMMYFUNCTION("IFERROR(GOOGLEFINANCE(B1620,""price""),"""")"),77.47)</f>
        <v>77.47</v>
      </c>
    </row>
    <row r="1621">
      <c r="A1621" s="7">
        <v>46085.627545013565</v>
      </c>
      <c r="B1621" s="8" t="s">
        <v>3684</v>
      </c>
      <c r="C1621" s="8" t="s">
        <v>3685</v>
      </c>
      <c r="D1621" s="9">
        <v>46089.0</v>
      </c>
      <c r="E1621" s="10">
        <v>38.625</v>
      </c>
      <c r="F1621" s="8" t="s">
        <v>917</v>
      </c>
      <c r="G1621" s="13">
        <v>24.3276</v>
      </c>
      <c r="H1621" s="13">
        <v>1.5877</v>
      </c>
      <c r="I1621" s="9">
        <v>46101.0</v>
      </c>
      <c r="J1621" s="10">
        <v>38.0</v>
      </c>
      <c r="K1621" s="8">
        <v>2709.0</v>
      </c>
      <c r="L1621" s="8" t="s">
        <v>2608</v>
      </c>
      <c r="M1621" s="11">
        <v>1.62</v>
      </c>
      <c r="N1621" s="8" t="s">
        <v>4178</v>
      </c>
      <c r="O1621" s="8">
        <v>4698.0</v>
      </c>
      <c r="P1621" s="11">
        <v>23.9715</v>
      </c>
      <c r="Q1621" s="8" t="s">
        <v>3687</v>
      </c>
      <c r="R1621" s="11">
        <v>0.9804</v>
      </c>
      <c r="S1621" s="12">
        <v>6301859.0</v>
      </c>
      <c r="T1621" s="12">
        <v>2.9019226067E10</v>
      </c>
      <c r="U1621" s="13">
        <v>0.7395</v>
      </c>
      <c r="V1621" s="13">
        <v>8.1497</v>
      </c>
      <c r="W1621" s="13">
        <v>23.6452</v>
      </c>
      <c r="X1621" s="13">
        <v>6.8542</v>
      </c>
      <c r="Y1621" s="13">
        <v>1.3003</v>
      </c>
      <c r="Z1621" s="13">
        <v>0.8647</v>
      </c>
      <c r="AA1621" s="8" t="s">
        <v>2611</v>
      </c>
      <c r="AB1621" s="14">
        <f>IFERROR(__xludf.DUMMYFUNCTION("IFERROR(GOOGLEFINANCE(B1621,""price""),"""")"),39.65)</f>
        <v>39.65</v>
      </c>
    </row>
    <row r="1622">
      <c r="A1622" s="15">
        <v>46085.627545013565</v>
      </c>
      <c r="B1622" s="16" t="s">
        <v>2692</v>
      </c>
      <c r="C1622" s="16" t="s">
        <v>2693</v>
      </c>
      <c r="D1622" s="17">
        <v>46089.0</v>
      </c>
      <c r="E1622" s="18">
        <v>246.02</v>
      </c>
      <c r="F1622" s="16" t="s">
        <v>117</v>
      </c>
      <c r="G1622" s="21">
        <v>22.2727</v>
      </c>
      <c r="H1622" s="21">
        <v>11.0458</v>
      </c>
      <c r="I1622" s="17">
        <v>46087.0</v>
      </c>
      <c r="J1622" s="18">
        <v>250.0</v>
      </c>
      <c r="K1622" s="16">
        <v>2200.0</v>
      </c>
      <c r="L1622" s="16" t="s">
        <v>2608</v>
      </c>
      <c r="M1622" s="19">
        <v>1.62</v>
      </c>
      <c r="N1622" s="16" t="s">
        <v>4179</v>
      </c>
      <c r="O1622" s="16">
        <v>4491.0</v>
      </c>
      <c r="P1622" s="19">
        <v>37.6024</v>
      </c>
      <c r="Q1622" s="16" t="s">
        <v>2695</v>
      </c>
      <c r="R1622" s="19">
        <v>-0.2958</v>
      </c>
      <c r="S1622" s="20">
        <v>3385124.0</v>
      </c>
      <c r="T1622" s="20">
        <v>5.92883333721E11</v>
      </c>
      <c r="U1622" s="21">
        <v>3.9609</v>
      </c>
      <c r="V1622" s="21">
        <v>35.0301</v>
      </c>
      <c r="W1622" s="21">
        <v>27.2081</v>
      </c>
      <c r="X1622" s="21">
        <v>6.046</v>
      </c>
      <c r="Y1622" s="21">
        <v>0.605</v>
      </c>
      <c r="Z1622" s="21">
        <v>1.0277</v>
      </c>
      <c r="AA1622" s="16" t="s">
        <v>2620</v>
      </c>
      <c r="AB1622" s="22">
        <f>IFERROR(__xludf.DUMMYFUNCTION("IFERROR(GOOGLEFINANCE(B1622,""price""),"""")"),238.46)</f>
        <v>238.46</v>
      </c>
    </row>
    <row r="1623">
      <c r="A1623" s="7">
        <v>46085.627545013565</v>
      </c>
      <c r="B1623" s="8" t="s">
        <v>2297</v>
      </c>
      <c r="C1623" s="8" t="s">
        <v>2298</v>
      </c>
      <c r="D1623" s="9">
        <v>46089.0</v>
      </c>
      <c r="E1623" s="10">
        <v>106.465</v>
      </c>
      <c r="F1623" s="8" t="s">
        <v>917</v>
      </c>
      <c r="G1623" s="13">
        <v>27.2122</v>
      </c>
      <c r="H1623" s="13">
        <v>3.9124</v>
      </c>
      <c r="I1623" s="9">
        <v>46101.0</v>
      </c>
      <c r="J1623" s="10">
        <v>105.0</v>
      </c>
      <c r="K1623" s="8">
        <v>3188.0</v>
      </c>
      <c r="L1623" s="8" t="s">
        <v>2608</v>
      </c>
      <c r="M1623" s="11">
        <v>1.38</v>
      </c>
      <c r="N1623" s="8" t="s">
        <v>4180</v>
      </c>
      <c r="O1623" s="8">
        <v>3188.0</v>
      </c>
      <c r="P1623" s="11">
        <v>37.1298</v>
      </c>
      <c r="Q1623" s="8" t="s">
        <v>2299</v>
      </c>
      <c r="R1623" s="11">
        <v>0.619</v>
      </c>
      <c r="S1623" s="12">
        <v>1949423.0</v>
      </c>
      <c r="T1623" s="12">
        <v>4.8227561952E10</v>
      </c>
      <c r="U1623" s="13">
        <v>2.1509</v>
      </c>
      <c r="V1623" s="13">
        <v>10.931</v>
      </c>
      <c r="W1623" s="13">
        <v>22.9697</v>
      </c>
      <c r="X1623" s="13">
        <v>8.3782</v>
      </c>
      <c r="Y1623" s="13">
        <v>1.8276</v>
      </c>
      <c r="Z1623" s="13">
        <v>0.7243</v>
      </c>
      <c r="AA1623" s="8" t="s">
        <v>2611</v>
      </c>
      <c r="AB1623" s="14">
        <f>IFERROR(__xludf.DUMMYFUNCTION("IFERROR(GOOGLEFINANCE(B1623,""price""),"""")"),116.47)</f>
        <v>116.47</v>
      </c>
    </row>
    <row r="1624">
      <c r="A1624" s="15">
        <v>46085.627545013565</v>
      </c>
      <c r="B1624" s="16" t="s">
        <v>2672</v>
      </c>
      <c r="C1624" s="16" t="s">
        <v>2673</v>
      </c>
      <c r="D1624" s="17">
        <v>46089.0</v>
      </c>
      <c r="E1624" s="18">
        <v>48.07</v>
      </c>
      <c r="F1624" s="16" t="s">
        <v>107</v>
      </c>
      <c r="G1624" s="21"/>
      <c r="H1624" s="21">
        <v>-1.865</v>
      </c>
      <c r="I1624" s="17">
        <v>46101.0</v>
      </c>
      <c r="J1624" s="18">
        <v>47.5</v>
      </c>
      <c r="K1624" s="16">
        <v>1677.0</v>
      </c>
      <c r="L1624" s="16" t="s">
        <v>2608</v>
      </c>
      <c r="M1624" s="19">
        <v>1.19</v>
      </c>
      <c r="N1624" s="16" t="s">
        <v>4181</v>
      </c>
      <c r="O1624" s="16">
        <v>2953.0</v>
      </c>
      <c r="P1624" s="19">
        <v>38.2104</v>
      </c>
      <c r="Q1624" s="16" t="s">
        <v>2675</v>
      </c>
      <c r="R1624" s="19">
        <v>-0.4143</v>
      </c>
      <c r="S1624" s="20">
        <v>2234588.0</v>
      </c>
      <c r="T1624" s="20">
        <v>1.9656970071E10</v>
      </c>
      <c r="U1624" s="21">
        <v>1.4657</v>
      </c>
      <c r="V1624" s="21">
        <v>-0.805</v>
      </c>
      <c r="W1624" s="21">
        <v>16.2067</v>
      </c>
      <c r="X1624" s="21">
        <v>-10.4796</v>
      </c>
      <c r="Y1624" s="21">
        <v>0.2451</v>
      </c>
      <c r="Z1624" s="21">
        <v>2.4187</v>
      </c>
      <c r="AA1624" s="16" t="s">
        <v>2611</v>
      </c>
      <c r="AB1624" s="22">
        <f>IFERROR(__xludf.DUMMYFUNCTION("IFERROR(GOOGLEFINANCE(B1624,""price""),"""")"),47.25)</f>
        <v>47.25</v>
      </c>
    </row>
    <row r="1625">
      <c r="A1625" s="7">
        <v>46085.627545013565</v>
      </c>
      <c r="B1625" s="8" t="s">
        <v>2646</v>
      </c>
      <c r="C1625" s="8" t="s">
        <v>2647</v>
      </c>
      <c r="D1625" s="9">
        <v>46089.0</v>
      </c>
      <c r="E1625" s="10">
        <v>37.235</v>
      </c>
      <c r="F1625" s="8" t="s">
        <v>270</v>
      </c>
      <c r="G1625" s="13">
        <v>14.0605</v>
      </c>
      <c r="H1625" s="13">
        <v>2.6482</v>
      </c>
      <c r="I1625" s="9">
        <v>46087.0</v>
      </c>
      <c r="J1625" s="10">
        <v>37.5</v>
      </c>
      <c r="K1625" s="8">
        <v>2498.0</v>
      </c>
      <c r="L1625" s="8" t="s">
        <v>2608</v>
      </c>
      <c r="M1625" s="11">
        <v>0.71</v>
      </c>
      <c r="N1625" s="8" t="s">
        <v>4182</v>
      </c>
      <c r="O1625" s="8">
        <v>2498.0</v>
      </c>
      <c r="P1625" s="11">
        <v>40.4633</v>
      </c>
      <c r="Q1625" s="8" t="s">
        <v>2649</v>
      </c>
      <c r="R1625" s="11">
        <v>-0.3879</v>
      </c>
      <c r="S1625" s="12">
        <v>3172251.0</v>
      </c>
      <c r="T1625" s="12">
        <v>8.0493163535E10</v>
      </c>
      <c r="U1625" s="13">
        <v>0.6988</v>
      </c>
      <c r="V1625" s="13">
        <v>19.6987</v>
      </c>
      <c r="W1625" s="13">
        <v>12.3812</v>
      </c>
      <c r="X1625" s="13">
        <v>-6.474</v>
      </c>
      <c r="Y1625" s="13">
        <v>1.1744</v>
      </c>
      <c r="Z1625" s="13">
        <v>1.0411</v>
      </c>
      <c r="AA1625" s="8" t="s">
        <v>2620</v>
      </c>
      <c r="AB1625" s="14">
        <f>IFERROR(__xludf.DUMMYFUNCTION("IFERROR(GOOGLEFINANCE(B1625,""price""),"""")"),37.35)</f>
        <v>37.35</v>
      </c>
    </row>
    <row r="1626">
      <c r="A1626" s="15">
        <v>46085.627545013565</v>
      </c>
      <c r="B1626" s="16" t="s">
        <v>3237</v>
      </c>
      <c r="C1626" s="16" t="s">
        <v>3238</v>
      </c>
      <c r="D1626" s="17">
        <v>46089.0</v>
      </c>
      <c r="E1626" s="18">
        <v>331.5</v>
      </c>
      <c r="F1626" s="16" t="s">
        <v>149</v>
      </c>
      <c r="G1626" s="21">
        <v>27.7348</v>
      </c>
      <c r="H1626" s="21">
        <v>11.9525</v>
      </c>
      <c r="I1626" s="17">
        <v>46087.0</v>
      </c>
      <c r="J1626" s="18">
        <v>325.0</v>
      </c>
      <c r="K1626" s="16">
        <v>1201.0</v>
      </c>
      <c r="L1626" s="16" t="s">
        <v>2627</v>
      </c>
      <c r="M1626" s="19">
        <v>1.96</v>
      </c>
      <c r="N1626" s="16" t="s">
        <v>4183</v>
      </c>
      <c r="O1626" s="16">
        <v>2330.0</v>
      </c>
      <c r="P1626" s="19">
        <v>36.9545</v>
      </c>
      <c r="Q1626" s="16" t="s">
        <v>3240</v>
      </c>
      <c r="R1626" s="19">
        <v>-0.2017</v>
      </c>
      <c r="S1626" s="20">
        <v>1434460.0</v>
      </c>
      <c r="T1626" s="20">
        <v>2.35497152251E11</v>
      </c>
      <c r="U1626" s="21">
        <v>5.5311</v>
      </c>
      <c r="V1626" s="21"/>
      <c r="W1626" s="21">
        <v>46.1001</v>
      </c>
      <c r="X1626" s="21">
        <v>3.723</v>
      </c>
      <c r="Y1626" s="21"/>
      <c r="Z1626" s="21">
        <v>0.9546</v>
      </c>
      <c r="AA1626" s="16" t="s">
        <v>2611</v>
      </c>
      <c r="AB1626" s="22">
        <f>IFERROR(__xludf.DUMMYFUNCTION("IFERROR(GOOGLEFINANCE(B1626,""price""),"""")"),305.68)</f>
        <v>305.68</v>
      </c>
    </row>
    <row r="1627">
      <c r="A1627" s="7">
        <v>46085.627545013565</v>
      </c>
      <c r="B1627" s="8" t="s">
        <v>1570</v>
      </c>
      <c r="C1627" s="8" t="s">
        <v>1571</v>
      </c>
      <c r="D1627" s="9">
        <v>46089.0</v>
      </c>
      <c r="E1627" s="10">
        <v>51.0075</v>
      </c>
      <c r="F1627" s="8" t="s">
        <v>917</v>
      </c>
      <c r="G1627" s="13">
        <v>28.9043</v>
      </c>
      <c r="H1627" s="13">
        <v>1.7647</v>
      </c>
      <c r="I1627" s="9">
        <v>46101.0</v>
      </c>
      <c r="J1627" s="10">
        <v>50.0</v>
      </c>
      <c r="K1627" s="8">
        <v>2315.0</v>
      </c>
      <c r="L1627" s="8" t="s">
        <v>2608</v>
      </c>
      <c r="M1627" s="11">
        <v>1.98</v>
      </c>
      <c r="N1627" s="8" t="s">
        <v>4184</v>
      </c>
      <c r="O1627" s="8">
        <v>2315.0</v>
      </c>
      <c r="P1627" s="11">
        <v>38.1648</v>
      </c>
      <c r="Q1627" s="8" t="s">
        <v>1572</v>
      </c>
      <c r="R1627" s="11">
        <v>0.8651</v>
      </c>
      <c r="S1627" s="12">
        <v>2402214.0</v>
      </c>
      <c r="T1627" s="12">
        <v>2.9478910246E10</v>
      </c>
      <c r="U1627" s="13">
        <v>0.8905</v>
      </c>
      <c r="V1627" s="13">
        <v>8.1714</v>
      </c>
      <c r="W1627" s="13">
        <v>18.774</v>
      </c>
      <c r="X1627" s="13">
        <v>12.0101</v>
      </c>
      <c r="Y1627" s="13">
        <v>2.1457</v>
      </c>
      <c r="Z1627" s="13">
        <v>0.5652</v>
      </c>
      <c r="AA1627" s="8" t="s">
        <v>2611</v>
      </c>
      <c r="AB1627" s="14">
        <f>IFERROR(__xludf.DUMMYFUNCTION("IFERROR(GOOGLEFINANCE(B1627,""price""),"""")"),51.43)</f>
        <v>51.43</v>
      </c>
    </row>
    <row r="1628">
      <c r="A1628" s="15">
        <v>46085.627545013565</v>
      </c>
      <c r="B1628" s="16" t="s">
        <v>2710</v>
      </c>
      <c r="C1628" s="16" t="s">
        <v>2711</v>
      </c>
      <c r="D1628" s="17">
        <v>46089.0</v>
      </c>
      <c r="E1628" s="18">
        <v>133.69</v>
      </c>
      <c r="F1628" s="16" t="s">
        <v>917</v>
      </c>
      <c r="G1628" s="21">
        <v>20.0739</v>
      </c>
      <c r="H1628" s="21">
        <v>6.6599</v>
      </c>
      <c r="I1628" s="17">
        <v>46101.0</v>
      </c>
      <c r="J1628" s="18">
        <v>135.0</v>
      </c>
      <c r="K1628" s="16">
        <v>2309.0</v>
      </c>
      <c r="L1628" s="16" t="s">
        <v>2608</v>
      </c>
      <c r="M1628" s="19">
        <v>0.98</v>
      </c>
      <c r="N1628" s="16" t="s">
        <v>4185</v>
      </c>
      <c r="O1628" s="16">
        <v>2309.0</v>
      </c>
      <c r="P1628" s="19">
        <v>44.3923</v>
      </c>
      <c r="Q1628" s="16" t="s">
        <v>2713</v>
      </c>
      <c r="R1628" s="19">
        <v>1.3417</v>
      </c>
      <c r="S1628" s="20">
        <v>2470831.0</v>
      </c>
      <c r="T1628" s="20">
        <v>7.2307774433E10</v>
      </c>
      <c r="U1628" s="21">
        <v>2.5255</v>
      </c>
      <c r="V1628" s="21">
        <v>12.3274</v>
      </c>
      <c r="W1628" s="21">
        <v>25.0742</v>
      </c>
      <c r="X1628" s="21">
        <v>10.4587</v>
      </c>
      <c r="Y1628" s="21">
        <v>1.5949</v>
      </c>
      <c r="Z1628" s="21">
        <v>0.4546</v>
      </c>
      <c r="AA1628" s="16" t="s">
        <v>2620</v>
      </c>
      <c r="AB1628" s="22">
        <f>IFERROR(__xludf.DUMMYFUNCTION("IFERROR(GOOGLEFINANCE(B1628,""price""),"""")"),136.3)</f>
        <v>136.3</v>
      </c>
    </row>
    <row r="1629">
      <c r="A1629" s="7">
        <v>46085.627545013565</v>
      </c>
      <c r="B1629" s="8" t="s">
        <v>3291</v>
      </c>
      <c r="C1629" s="8" t="s">
        <v>3292</v>
      </c>
      <c r="D1629" s="9">
        <v>46089.0</v>
      </c>
      <c r="E1629" s="10">
        <v>243.96</v>
      </c>
      <c r="F1629" s="8" t="s">
        <v>270</v>
      </c>
      <c r="G1629" s="13">
        <v>36.4196</v>
      </c>
      <c r="H1629" s="13">
        <v>6.6986</v>
      </c>
      <c r="I1629" s="9">
        <v>46101.0</v>
      </c>
      <c r="J1629" s="10">
        <v>240.0</v>
      </c>
      <c r="K1629" s="8">
        <v>1921.0</v>
      </c>
      <c r="L1629" s="8" t="s">
        <v>2608</v>
      </c>
      <c r="M1629" s="11">
        <v>1.62</v>
      </c>
      <c r="N1629" s="8" t="s">
        <v>4186</v>
      </c>
      <c r="O1629" s="8">
        <v>1921.0</v>
      </c>
      <c r="P1629" s="11">
        <v>26.4638</v>
      </c>
      <c r="Q1629" s="8" t="s">
        <v>3294</v>
      </c>
      <c r="R1629" s="11">
        <v>0.2136</v>
      </c>
      <c r="S1629" s="12">
        <v>1527738.0</v>
      </c>
      <c r="T1629" s="12">
        <v>9.8397799074E10</v>
      </c>
      <c r="U1629" s="13">
        <v>4.8246</v>
      </c>
      <c r="V1629" s="13">
        <v>29.6897</v>
      </c>
      <c r="W1629" s="13">
        <v>18.2788</v>
      </c>
      <c r="X1629" s="13">
        <v>14.2365</v>
      </c>
      <c r="Y1629" s="13">
        <v>2.3941</v>
      </c>
      <c r="Z1629" s="13">
        <v>0.8888</v>
      </c>
      <c r="AA1629" s="8" t="s">
        <v>2611</v>
      </c>
      <c r="AB1629" s="14">
        <f>IFERROR(__xludf.DUMMYFUNCTION("IFERROR(GOOGLEFINANCE(B1629,""price""),"""")"),229.45)</f>
        <v>229.45</v>
      </c>
    </row>
    <row r="1630">
      <c r="A1630" s="15">
        <v>46085.627545013565</v>
      </c>
      <c r="B1630" s="16" t="s">
        <v>1077</v>
      </c>
      <c r="C1630" s="16" t="s">
        <v>1078</v>
      </c>
      <c r="D1630" s="17">
        <v>46089.0</v>
      </c>
      <c r="E1630" s="18">
        <v>9.819</v>
      </c>
      <c r="F1630" s="16" t="s">
        <v>335</v>
      </c>
      <c r="G1630" s="21"/>
      <c r="H1630" s="21">
        <v>-0.041</v>
      </c>
      <c r="I1630" s="17">
        <v>46087.0</v>
      </c>
      <c r="J1630" s="18">
        <v>10.0</v>
      </c>
      <c r="K1630" s="16">
        <v>1822.0</v>
      </c>
      <c r="L1630" s="16" t="s">
        <v>2608</v>
      </c>
      <c r="M1630" s="19">
        <v>1.84</v>
      </c>
      <c r="N1630" s="16" t="s">
        <v>4187</v>
      </c>
      <c r="O1630" s="16">
        <v>1822.0</v>
      </c>
      <c r="P1630" s="19">
        <v>24.0625</v>
      </c>
      <c r="Q1630" s="16" t="s">
        <v>1079</v>
      </c>
      <c r="R1630" s="19">
        <v>2.3879</v>
      </c>
      <c r="S1630" s="20">
        <v>7793361.0</v>
      </c>
      <c r="T1630" s="20">
        <v>1.375009716E9</v>
      </c>
      <c r="U1630" s="21">
        <v>0.9807</v>
      </c>
      <c r="V1630" s="21">
        <v>-10.5913</v>
      </c>
      <c r="W1630" s="21">
        <v>-18.9471</v>
      </c>
      <c r="X1630" s="21">
        <v>240.123</v>
      </c>
      <c r="Y1630" s="21">
        <v>0.0037</v>
      </c>
      <c r="Z1630" s="21">
        <v>5.0784</v>
      </c>
      <c r="AA1630" s="16" t="s">
        <v>2620</v>
      </c>
      <c r="AB1630" s="22">
        <f>IFERROR(__xludf.DUMMYFUNCTION("IFERROR(GOOGLEFINANCE(B1630,""price""),"""")"),8.36)</f>
        <v>8.36</v>
      </c>
    </row>
    <row r="1631">
      <c r="A1631" s="7">
        <v>46085.627545013565</v>
      </c>
      <c r="B1631" s="8" t="s">
        <v>3802</v>
      </c>
      <c r="C1631" s="8" t="s">
        <v>3803</v>
      </c>
      <c r="D1631" s="9">
        <v>46089.0</v>
      </c>
      <c r="E1631" s="10">
        <v>46.79</v>
      </c>
      <c r="F1631" s="8" t="s">
        <v>270</v>
      </c>
      <c r="G1631" s="13"/>
      <c r="H1631" s="13"/>
      <c r="I1631" s="9">
        <v>46101.0</v>
      </c>
      <c r="J1631" s="10">
        <v>46.0</v>
      </c>
      <c r="K1631" s="8">
        <v>1489.0</v>
      </c>
      <c r="L1631" s="8" t="s">
        <v>2608</v>
      </c>
      <c r="M1631" s="11">
        <v>1.69</v>
      </c>
      <c r="N1631" s="8" t="s">
        <v>4188</v>
      </c>
      <c r="O1631" s="8">
        <v>1489.0</v>
      </c>
      <c r="P1631" s="11">
        <v>28.6443</v>
      </c>
      <c r="Q1631" s="8" t="s">
        <v>3805</v>
      </c>
      <c r="R1631" s="11">
        <v>2.2732</v>
      </c>
      <c r="S1631" s="12">
        <v>2625468.0</v>
      </c>
      <c r="T1631" s="12">
        <v>4.89528559E9</v>
      </c>
      <c r="U1631" s="13">
        <v>1.4295</v>
      </c>
      <c r="V1631" s="13">
        <v>3.4054</v>
      </c>
      <c r="W1631" s="13">
        <v>34.4448</v>
      </c>
      <c r="X1631" s="13">
        <v>51.1384</v>
      </c>
      <c r="Y1631" s="13">
        <v>1.4965</v>
      </c>
      <c r="Z1631" s="13">
        <v>2.5453</v>
      </c>
      <c r="AA1631" s="8" t="s">
        <v>2611</v>
      </c>
      <c r="AB1631" s="14">
        <f>IFERROR(__xludf.DUMMYFUNCTION("IFERROR(GOOGLEFINANCE(B1631,""price""),"""")"),53.28)</f>
        <v>53.28</v>
      </c>
    </row>
    <row r="1632">
      <c r="A1632" s="15">
        <v>46085.627545013565</v>
      </c>
      <c r="B1632" s="16" t="s">
        <v>2688</v>
      </c>
      <c r="C1632" s="16" t="s">
        <v>2689</v>
      </c>
      <c r="D1632" s="17">
        <v>46089.0</v>
      </c>
      <c r="E1632" s="18">
        <v>235.56</v>
      </c>
      <c r="F1632" s="16" t="s">
        <v>102</v>
      </c>
      <c r="G1632" s="21">
        <v>36.8005</v>
      </c>
      <c r="H1632" s="21">
        <v>6.401</v>
      </c>
      <c r="I1632" s="17">
        <v>46101.0</v>
      </c>
      <c r="J1632" s="18">
        <v>240.0</v>
      </c>
      <c r="K1632" s="16">
        <v>1454.0</v>
      </c>
      <c r="L1632" s="16" t="s">
        <v>2608</v>
      </c>
      <c r="M1632" s="19">
        <v>1.88</v>
      </c>
      <c r="N1632" s="16" t="s">
        <v>4189</v>
      </c>
      <c r="O1632" s="16">
        <v>1454.0</v>
      </c>
      <c r="P1632" s="19">
        <v>39.0113</v>
      </c>
      <c r="Q1632" s="16" t="s">
        <v>2691</v>
      </c>
      <c r="R1632" s="19">
        <v>0.1318</v>
      </c>
      <c r="S1632" s="20">
        <v>1175887.0</v>
      </c>
      <c r="T1632" s="20">
        <v>5.3937870026E10</v>
      </c>
      <c r="U1632" s="21">
        <v>5.2623</v>
      </c>
      <c r="V1632" s="21">
        <v>14.5941</v>
      </c>
      <c r="W1632" s="21">
        <v>26.1537</v>
      </c>
      <c r="X1632" s="21">
        <v>6.6262</v>
      </c>
      <c r="Y1632" s="21">
        <v>0.2419</v>
      </c>
      <c r="Z1632" s="21">
        <v>1.0623</v>
      </c>
      <c r="AA1632" s="16" t="s">
        <v>2620</v>
      </c>
      <c r="AB1632" s="22">
        <f>IFERROR(__xludf.DUMMYFUNCTION("IFERROR(GOOGLEFINANCE(B1632,""price""),"""")"),234.91)</f>
        <v>234.91</v>
      </c>
    </row>
    <row r="1633">
      <c r="A1633" s="7">
        <v>46085.627545013565</v>
      </c>
      <c r="B1633" s="8" t="s">
        <v>2658</v>
      </c>
      <c r="C1633" s="8" t="s">
        <v>2659</v>
      </c>
      <c r="D1633" s="9">
        <v>46089.0</v>
      </c>
      <c r="E1633" s="10">
        <v>93.02</v>
      </c>
      <c r="F1633" s="8" t="s">
        <v>917</v>
      </c>
      <c r="G1633" s="13">
        <v>28.1853</v>
      </c>
      <c r="H1633" s="13">
        <v>3.3003</v>
      </c>
      <c r="I1633" s="9">
        <v>46087.0</v>
      </c>
      <c r="J1633" s="10">
        <v>94.0</v>
      </c>
      <c r="K1633" s="8">
        <v>1399.0</v>
      </c>
      <c r="L1633" s="8" t="s">
        <v>2608</v>
      </c>
      <c r="M1633" s="11">
        <v>1.05</v>
      </c>
      <c r="N1633" s="8" t="s">
        <v>4190</v>
      </c>
      <c r="O1633" s="8">
        <v>1399.0</v>
      </c>
      <c r="P1633" s="11">
        <v>36.1166</v>
      </c>
      <c r="Q1633" s="8" t="s">
        <v>2661</v>
      </c>
      <c r="R1633" s="11">
        <v>0.4644</v>
      </c>
      <c r="S1633" s="12">
        <v>6312710.0</v>
      </c>
      <c r="T1633" s="12">
        <v>1.93809206231E11</v>
      </c>
      <c r="U1633" s="13">
        <v>2.1764</v>
      </c>
      <c r="V1633" s="13">
        <v>13.0533</v>
      </c>
      <c r="W1633" s="13">
        <v>26.8934</v>
      </c>
      <c r="X1633" s="13">
        <v>8.6905</v>
      </c>
      <c r="Y1633" s="13">
        <v>1.7594</v>
      </c>
      <c r="Z1633" s="13">
        <v>0.5953</v>
      </c>
      <c r="AA1633" s="8" t="s">
        <v>2620</v>
      </c>
      <c r="AB1633" s="14">
        <f>IFERROR(__xludf.DUMMYFUNCTION("IFERROR(GOOGLEFINANCE(B1633,""price""),"""")"),94.08)</f>
        <v>94.08</v>
      </c>
    </row>
    <row r="1634">
      <c r="A1634" s="15">
        <v>46085.627545013565</v>
      </c>
      <c r="B1634" s="16" t="s">
        <v>3416</v>
      </c>
      <c r="C1634" s="16" t="s">
        <v>3417</v>
      </c>
      <c r="D1634" s="17">
        <v>46089.0</v>
      </c>
      <c r="E1634" s="18">
        <v>68.47</v>
      </c>
      <c r="F1634" s="16" t="s">
        <v>286</v>
      </c>
      <c r="G1634" s="21">
        <v>16.6323</v>
      </c>
      <c r="H1634" s="21">
        <v>4.1167</v>
      </c>
      <c r="I1634" s="17">
        <v>46087.0</v>
      </c>
      <c r="J1634" s="18">
        <v>69.0</v>
      </c>
      <c r="K1634" s="16">
        <v>1340.0</v>
      </c>
      <c r="L1634" s="16" t="s">
        <v>2627</v>
      </c>
      <c r="M1634" s="19">
        <v>0.77</v>
      </c>
      <c r="N1634" s="16" t="s">
        <v>4191</v>
      </c>
      <c r="O1634" s="16">
        <v>1340.0</v>
      </c>
      <c r="P1634" s="19">
        <v>35.4316</v>
      </c>
      <c r="Q1634" s="16" t="s">
        <v>3419</v>
      </c>
      <c r="R1634" s="19">
        <v>-0.6097</v>
      </c>
      <c r="S1634" s="20">
        <v>7102809.0</v>
      </c>
      <c r="T1634" s="20">
        <v>1.14474859927E11</v>
      </c>
      <c r="U1634" s="21">
        <v>1.4017</v>
      </c>
      <c r="V1634" s="21"/>
      <c r="W1634" s="21">
        <v>63.8109</v>
      </c>
      <c r="X1634" s="21">
        <v>-1.3989</v>
      </c>
      <c r="Y1634" s="21"/>
      <c r="Z1634" s="21">
        <v>0.648</v>
      </c>
      <c r="AA1634" s="16" t="s">
        <v>2620</v>
      </c>
      <c r="AB1634" s="22">
        <f>IFERROR(__xludf.DUMMYFUNCTION("IFERROR(GOOGLEFINANCE(B1634,""price""),"""")"),67.38)</f>
        <v>67.38</v>
      </c>
    </row>
    <row r="1635">
      <c r="A1635" s="7">
        <v>46085.627545013565</v>
      </c>
      <c r="B1635" s="8" t="s">
        <v>2843</v>
      </c>
      <c r="C1635" s="8" t="s">
        <v>2844</v>
      </c>
      <c r="D1635" s="9">
        <v>46089.0</v>
      </c>
      <c r="E1635" s="10">
        <v>209.435</v>
      </c>
      <c r="F1635" s="8" t="s">
        <v>308</v>
      </c>
      <c r="G1635" s="13">
        <v>42.2044</v>
      </c>
      <c r="H1635" s="13">
        <v>4.9624</v>
      </c>
      <c r="I1635" s="9">
        <v>46087.0</v>
      </c>
      <c r="J1635" s="10">
        <v>210.0</v>
      </c>
      <c r="K1635" s="8">
        <v>1307.0</v>
      </c>
      <c r="L1635" s="8" t="s">
        <v>2608</v>
      </c>
      <c r="M1635" s="11">
        <v>0.27</v>
      </c>
      <c r="N1635" s="8" t="s">
        <v>4192</v>
      </c>
      <c r="O1635" s="8">
        <v>1307.0</v>
      </c>
      <c r="P1635" s="11">
        <v>25.7014</v>
      </c>
      <c r="Q1635" s="8" t="s">
        <v>2846</v>
      </c>
      <c r="R1635" s="11">
        <v>1.4115</v>
      </c>
      <c r="S1635" s="12">
        <v>3788386.0</v>
      </c>
      <c r="T1635" s="12">
        <v>2.81122008831E11</v>
      </c>
      <c r="U1635" s="13">
        <v>5.4519</v>
      </c>
      <c r="V1635" s="13">
        <v>10.7368</v>
      </c>
      <c r="W1635" s="13">
        <v>10.0301</v>
      </c>
      <c r="X1635" s="13">
        <v>9.7414</v>
      </c>
      <c r="Y1635" s="13">
        <v>0.6124</v>
      </c>
      <c r="Z1635" s="13">
        <v>0.9804</v>
      </c>
      <c r="AA1635" s="8" t="s">
        <v>2620</v>
      </c>
      <c r="AB1635" s="14">
        <f>IFERROR(__xludf.DUMMYFUNCTION("IFERROR(GOOGLEFINANCE(B1635,""price""),"""")"),201.56)</f>
        <v>201.56</v>
      </c>
    </row>
    <row r="1636">
      <c r="A1636" s="15">
        <v>46085.627545013565</v>
      </c>
      <c r="B1636" s="16" t="s">
        <v>2139</v>
      </c>
      <c r="C1636" s="16" t="s">
        <v>2140</v>
      </c>
      <c r="D1636" s="17">
        <v>46089.0</v>
      </c>
      <c r="E1636" s="18">
        <v>60.805</v>
      </c>
      <c r="F1636" s="16" t="s">
        <v>270</v>
      </c>
      <c r="G1636" s="21">
        <v>23.3417</v>
      </c>
      <c r="H1636" s="21">
        <v>2.605</v>
      </c>
      <c r="I1636" s="17">
        <v>46101.0</v>
      </c>
      <c r="J1636" s="18">
        <v>60.0</v>
      </c>
      <c r="K1636" s="16">
        <v>1260.0</v>
      </c>
      <c r="L1636" s="16" t="s">
        <v>2608</v>
      </c>
      <c r="M1636" s="19">
        <v>1.32</v>
      </c>
      <c r="N1636" s="16" t="s">
        <v>4193</v>
      </c>
      <c r="O1636" s="16">
        <v>1260.0</v>
      </c>
      <c r="P1636" s="19">
        <v>40.5817</v>
      </c>
      <c r="Q1636" s="16" t="s">
        <v>2141</v>
      </c>
      <c r="R1636" s="19">
        <v>-2.7742</v>
      </c>
      <c r="S1636" s="20">
        <v>7949872.0</v>
      </c>
      <c r="T1636" s="20">
        <v>6.0089721945E10</v>
      </c>
      <c r="U1636" s="21">
        <v>1.8402</v>
      </c>
      <c r="V1636" s="21">
        <v>14.4868</v>
      </c>
      <c r="W1636" s="21">
        <v>12.8259</v>
      </c>
      <c r="X1636" s="21">
        <v>-0.345</v>
      </c>
      <c r="Y1636" s="21">
        <v>0.3558</v>
      </c>
      <c r="Z1636" s="21">
        <v>1.3568</v>
      </c>
      <c r="AA1636" s="16" t="s">
        <v>2611</v>
      </c>
      <c r="AB1636" s="22">
        <f>IFERROR(__xludf.DUMMYFUNCTION("IFERROR(GOOGLEFINANCE(B1636,""price""),"""")"),62.83)</f>
        <v>62.83</v>
      </c>
    </row>
    <row r="1637">
      <c r="A1637" s="7">
        <v>46085.627545013565</v>
      </c>
      <c r="B1637" s="8" t="s">
        <v>1766</v>
      </c>
      <c r="C1637" s="8" t="s">
        <v>1767</v>
      </c>
      <c r="D1637" s="9">
        <v>46089.0</v>
      </c>
      <c r="E1637" s="10">
        <v>95.68</v>
      </c>
      <c r="F1637" s="8" t="s">
        <v>917</v>
      </c>
      <c r="G1637" s="13">
        <v>34.8155</v>
      </c>
      <c r="H1637" s="13">
        <v>2.7482</v>
      </c>
      <c r="I1637" s="9">
        <v>46101.0</v>
      </c>
      <c r="J1637" s="10">
        <v>95.0</v>
      </c>
      <c r="K1637" s="8">
        <v>1064.0</v>
      </c>
      <c r="L1637" s="8" t="s">
        <v>2608</v>
      </c>
      <c r="M1637" s="11">
        <v>0.71</v>
      </c>
      <c r="N1637" s="8" t="s">
        <v>4124</v>
      </c>
      <c r="O1637" s="8">
        <v>1064.0</v>
      </c>
      <c r="P1637" s="11">
        <v>31.8254</v>
      </c>
      <c r="Q1637" s="8" t="s">
        <v>1768</v>
      </c>
      <c r="R1637" s="11">
        <v>0.3356</v>
      </c>
      <c r="S1637" s="12">
        <v>1504614.0</v>
      </c>
      <c r="T1637" s="12">
        <v>6.2506224872E10</v>
      </c>
      <c r="U1637" s="13">
        <v>2.0442</v>
      </c>
      <c r="V1637" s="13">
        <v>5.8451</v>
      </c>
      <c r="W1637" s="13">
        <v>23.7349</v>
      </c>
      <c r="X1637" s="13">
        <v>5.8424</v>
      </c>
      <c r="Y1637" s="13">
        <v>1.1478</v>
      </c>
      <c r="Z1637" s="13">
        <v>1.5912</v>
      </c>
      <c r="AA1637" s="8" t="s">
        <v>2611</v>
      </c>
      <c r="AB1637" s="14">
        <f>IFERROR(__xludf.DUMMYFUNCTION("IFERROR(GOOGLEFINANCE(B1637,""price""),"""")"),98.82)</f>
        <v>98.82</v>
      </c>
    </row>
    <row r="1638">
      <c r="A1638" s="15">
        <v>46085.627545013565</v>
      </c>
      <c r="B1638" s="16" t="s">
        <v>2188</v>
      </c>
      <c r="C1638" s="16" t="s">
        <v>2189</v>
      </c>
      <c r="D1638" s="17">
        <v>46089.0</v>
      </c>
      <c r="E1638" s="18">
        <v>500.21</v>
      </c>
      <c r="F1638" s="16" t="s">
        <v>107</v>
      </c>
      <c r="G1638" s="21">
        <v>34.2673</v>
      </c>
      <c r="H1638" s="21">
        <v>14.5973</v>
      </c>
      <c r="I1638" s="17">
        <v>46101.0</v>
      </c>
      <c r="J1638" s="18">
        <v>495.0</v>
      </c>
      <c r="K1638" s="16">
        <v>1004.0</v>
      </c>
      <c r="L1638" s="16" t="s">
        <v>2627</v>
      </c>
      <c r="M1638" s="19">
        <v>1.04</v>
      </c>
      <c r="N1638" s="16" t="s">
        <v>4194</v>
      </c>
      <c r="O1638" s="16">
        <v>1004.0</v>
      </c>
      <c r="P1638" s="19">
        <v>41.4005</v>
      </c>
      <c r="Q1638" s="16" t="s">
        <v>2190</v>
      </c>
      <c r="R1638" s="19">
        <v>-0.293</v>
      </c>
      <c r="S1638" s="20">
        <v>1089317.0</v>
      </c>
      <c r="T1638" s="20">
        <v>2.3179439191E11</v>
      </c>
      <c r="U1638" s="21">
        <v>9.8811</v>
      </c>
      <c r="V1638" s="21">
        <v>18.0725</v>
      </c>
      <c r="W1638" s="21">
        <v>27.2289</v>
      </c>
      <c r="X1638" s="21">
        <v>2.9723</v>
      </c>
      <c r="Y1638" s="21">
        <v>0.7339</v>
      </c>
      <c r="Z1638" s="21">
        <v>0.8768</v>
      </c>
      <c r="AA1638" s="16" t="s">
        <v>2611</v>
      </c>
      <c r="AB1638" s="22">
        <f>IFERROR(__xludf.DUMMYFUNCTION("IFERROR(GOOGLEFINANCE(B1638,""price""),"""")"),503.15)</f>
        <v>503.15</v>
      </c>
    </row>
    <row r="1639">
      <c r="A1639" s="7">
        <v>46086.62669753572</v>
      </c>
      <c r="B1639" s="8" t="s">
        <v>2630</v>
      </c>
      <c r="C1639" s="8" t="s">
        <v>2631</v>
      </c>
      <c r="D1639" s="9">
        <v>46089.0</v>
      </c>
      <c r="E1639" s="10">
        <v>391.63</v>
      </c>
      <c r="F1639" s="8" t="s">
        <v>308</v>
      </c>
      <c r="G1639" s="13">
        <v>37.2272</v>
      </c>
      <c r="H1639" s="13">
        <v>10.52</v>
      </c>
      <c r="I1639" s="9">
        <v>46087.0</v>
      </c>
      <c r="J1639" s="10">
        <v>390.0</v>
      </c>
      <c r="K1639" s="8">
        <v>4462.0</v>
      </c>
      <c r="L1639" s="8" t="s">
        <v>2608</v>
      </c>
      <c r="M1639" s="11">
        <v>0.42</v>
      </c>
      <c r="N1639" s="8" t="s">
        <v>4195</v>
      </c>
      <c r="O1639" s="8">
        <v>23733.0</v>
      </c>
      <c r="P1639" s="11">
        <v>28.1157</v>
      </c>
      <c r="Q1639" s="8" t="s">
        <v>2633</v>
      </c>
      <c r="R1639" s="11">
        <v>-2.2806</v>
      </c>
      <c r="S1639" s="12">
        <v>2.4422351E7</v>
      </c>
      <c r="T1639" s="12">
        <v>4.40783186203E11</v>
      </c>
      <c r="U1639" s="13">
        <v>24.8368</v>
      </c>
      <c r="V1639" s="13">
        <v>22.5543</v>
      </c>
      <c r="W1639" s="13">
        <v>32.9221</v>
      </c>
      <c r="X1639" s="13">
        <v>45.432</v>
      </c>
      <c r="Y1639" s="13">
        <v>0.2124</v>
      </c>
      <c r="Z1639" s="13">
        <v>2.4598</v>
      </c>
      <c r="AA1639" s="8" t="s">
        <v>2611</v>
      </c>
      <c r="AB1639" s="14">
        <f>IFERROR(__xludf.DUMMYFUNCTION("IFERROR(GOOGLEFINANCE(B1639,""price""),"""")"),420.59)</f>
        <v>420.59</v>
      </c>
    </row>
    <row r="1640">
      <c r="A1640" s="15">
        <v>46086.62669753572</v>
      </c>
      <c r="B1640" s="16" t="s">
        <v>2638</v>
      </c>
      <c r="C1640" s="16" t="s">
        <v>2639</v>
      </c>
      <c r="D1640" s="17">
        <v>46089.0</v>
      </c>
      <c r="E1640" s="18">
        <v>150.28</v>
      </c>
      <c r="F1640" s="16" t="s">
        <v>245</v>
      </c>
      <c r="G1640" s="21">
        <v>22.4473</v>
      </c>
      <c r="H1640" s="21">
        <v>6.6948</v>
      </c>
      <c r="I1640" s="17">
        <v>46087.0</v>
      </c>
      <c r="J1640" s="18">
        <v>152.5</v>
      </c>
      <c r="K1640" s="16">
        <v>8928.0</v>
      </c>
      <c r="L1640" s="16" t="s">
        <v>2608</v>
      </c>
      <c r="M1640" s="19">
        <v>1.48</v>
      </c>
      <c r="N1640" s="16" t="s">
        <v>4196</v>
      </c>
      <c r="O1640" s="16">
        <v>21912.0</v>
      </c>
      <c r="P1640" s="19">
        <v>39.2535</v>
      </c>
      <c r="Q1640" s="16" t="s">
        <v>2641</v>
      </c>
      <c r="R1640" s="19">
        <v>0.307</v>
      </c>
      <c r="S1640" s="20">
        <v>1.5233842E7</v>
      </c>
      <c r="T1640" s="20">
        <v>6.26181275222E11</v>
      </c>
      <c r="U1640" s="21">
        <v>3.9504</v>
      </c>
      <c r="V1640" s="21">
        <v>11.0283</v>
      </c>
      <c r="W1640" s="21">
        <v>10.3419</v>
      </c>
      <c r="X1640" s="21">
        <v>-4.856</v>
      </c>
      <c r="Y1640" s="21">
        <v>0.1871</v>
      </c>
      <c r="Z1640" s="21">
        <v>1.1528</v>
      </c>
      <c r="AA1640" s="16" t="s">
        <v>2620</v>
      </c>
      <c r="AB1640" s="22">
        <f>IFERROR(__xludf.DUMMYFUNCTION("IFERROR(GOOGLEFINANCE(B1640,""price""),"""")"),152.51)</f>
        <v>152.51</v>
      </c>
    </row>
    <row r="1641">
      <c r="A1641" s="7">
        <v>46086.62669753572</v>
      </c>
      <c r="B1641" s="8" t="s">
        <v>2634</v>
      </c>
      <c r="C1641" s="8" t="s">
        <v>2635</v>
      </c>
      <c r="D1641" s="9">
        <v>46089.0</v>
      </c>
      <c r="E1641" s="10">
        <v>189.7</v>
      </c>
      <c r="F1641" s="8" t="s">
        <v>245</v>
      </c>
      <c r="G1641" s="13">
        <v>28.5349</v>
      </c>
      <c r="H1641" s="13">
        <v>6.648</v>
      </c>
      <c r="I1641" s="9">
        <v>46087.0</v>
      </c>
      <c r="J1641" s="10">
        <v>190.0</v>
      </c>
      <c r="K1641" s="8">
        <v>6612.0</v>
      </c>
      <c r="L1641" s="8" t="s">
        <v>2608</v>
      </c>
      <c r="M1641" s="11">
        <v>0.16</v>
      </c>
      <c r="N1641" s="8" t="s">
        <v>4197</v>
      </c>
      <c r="O1641" s="8">
        <v>14431.0</v>
      </c>
      <c r="P1641" s="11">
        <v>43.7217</v>
      </c>
      <c r="Q1641" s="8" t="s">
        <v>2637</v>
      </c>
      <c r="R1641" s="11">
        <v>1.9728</v>
      </c>
      <c r="S1641" s="12">
        <v>9404467.0</v>
      </c>
      <c r="T1641" s="12">
        <v>3.78524626496E11</v>
      </c>
      <c r="U1641" s="13">
        <v>3.6699</v>
      </c>
      <c r="V1641" s="13">
        <v>7.261</v>
      </c>
      <c r="W1641" s="13">
        <v>8.8802</v>
      </c>
      <c r="X1641" s="13">
        <v>-4.6193</v>
      </c>
      <c r="Y1641" s="13">
        <v>0.2507</v>
      </c>
      <c r="Z1641" s="13">
        <v>1.1547</v>
      </c>
      <c r="AA1641" s="8" t="s">
        <v>2620</v>
      </c>
      <c r="AB1641" s="14">
        <f>IFERROR(__xludf.DUMMYFUNCTION("IFERROR(GOOGLEFINANCE(B1641,""price""),"""")"),188.55)</f>
        <v>188.55</v>
      </c>
    </row>
    <row r="1642">
      <c r="A1642" s="15">
        <v>46086.62669753572</v>
      </c>
      <c r="B1642" s="16" t="s">
        <v>2625</v>
      </c>
      <c r="C1642" s="16" t="s">
        <v>2626</v>
      </c>
      <c r="D1642" s="17">
        <v>46089.0</v>
      </c>
      <c r="E1642" s="18">
        <v>123.18</v>
      </c>
      <c r="F1642" s="16" t="s">
        <v>137</v>
      </c>
      <c r="G1642" s="21">
        <v>45.111</v>
      </c>
      <c r="H1642" s="21">
        <v>2.7306</v>
      </c>
      <c r="I1642" s="17">
        <v>46087.0</v>
      </c>
      <c r="J1642" s="18">
        <v>125.0</v>
      </c>
      <c r="K1642" s="16">
        <v>3746.0</v>
      </c>
      <c r="L1642" s="16" t="s">
        <v>2627</v>
      </c>
      <c r="M1642" s="19">
        <v>1.48</v>
      </c>
      <c r="N1642" s="16" t="s">
        <v>4198</v>
      </c>
      <c r="O1642" s="16">
        <v>11143.0</v>
      </c>
      <c r="P1642" s="19">
        <v>20.9896</v>
      </c>
      <c r="Q1642" s="16" t="s">
        <v>2629</v>
      </c>
      <c r="R1642" s="19">
        <v>-3.6226</v>
      </c>
      <c r="S1642" s="20">
        <v>2.0280871E7</v>
      </c>
      <c r="T1642" s="20">
        <v>9.81765151344E11</v>
      </c>
      <c r="U1642" s="21">
        <v>3.3885</v>
      </c>
      <c r="V1642" s="21">
        <v>22.9691</v>
      </c>
      <c r="W1642" s="21">
        <v>4.1821</v>
      </c>
      <c r="X1642" s="21">
        <v>4.7252</v>
      </c>
      <c r="Y1642" s="21">
        <v>0.6735</v>
      </c>
      <c r="Z1642" s="21">
        <v>0.7898</v>
      </c>
      <c r="AA1642" s="16" t="s">
        <v>2620</v>
      </c>
      <c r="AB1642" s="22">
        <f>IFERROR(__xludf.DUMMYFUNCTION("IFERROR(GOOGLEFINANCE(B1642,""price""),"""")"),126.79)</f>
        <v>126.79</v>
      </c>
    </row>
    <row r="1643">
      <c r="A1643" s="7">
        <v>46086.62669753572</v>
      </c>
      <c r="B1643" s="8" t="s">
        <v>2399</v>
      </c>
      <c r="C1643" s="8" t="s">
        <v>2400</v>
      </c>
      <c r="D1643" s="9">
        <v>46089.0</v>
      </c>
      <c r="E1643" s="10">
        <v>18.675</v>
      </c>
      <c r="F1643" s="8" t="s">
        <v>270</v>
      </c>
      <c r="G1643" s="13">
        <v>15.4569</v>
      </c>
      <c r="H1643" s="13">
        <v>1.2082</v>
      </c>
      <c r="I1643" s="9">
        <v>46087.0</v>
      </c>
      <c r="J1643" s="10">
        <v>19.0</v>
      </c>
      <c r="K1643" s="8">
        <v>4061.0</v>
      </c>
      <c r="L1643" s="8" t="s">
        <v>2608</v>
      </c>
      <c r="M1643" s="11">
        <v>1.74</v>
      </c>
      <c r="N1643" s="8" t="s">
        <v>4199</v>
      </c>
      <c r="O1643" s="8">
        <v>9273.0</v>
      </c>
      <c r="P1643" s="11">
        <v>32.7095</v>
      </c>
      <c r="Q1643" s="8" t="s">
        <v>2401</v>
      </c>
      <c r="R1643" s="11">
        <v>-0.4531</v>
      </c>
      <c r="S1643" s="12">
        <v>1.1782078E7</v>
      </c>
      <c r="T1643" s="12">
        <v>6.4247873196E10</v>
      </c>
      <c r="U1643" s="13">
        <v>0.3411</v>
      </c>
      <c r="V1643" s="13">
        <v>12.7475</v>
      </c>
      <c r="W1643" s="13">
        <v>10.8866</v>
      </c>
      <c r="X1643" s="13">
        <v>3.4655</v>
      </c>
      <c r="Y1643" s="13">
        <v>2.0395</v>
      </c>
      <c r="Z1643" s="13">
        <v>1.2192</v>
      </c>
      <c r="AA1643" s="8" t="s">
        <v>2620</v>
      </c>
      <c r="AB1643" s="14">
        <f>IFERROR(__xludf.DUMMYFUNCTION("IFERROR(GOOGLEFINANCE(B1643,""price""),"""")"),19.19)</f>
        <v>19.19</v>
      </c>
    </row>
    <row r="1644">
      <c r="A1644" s="15">
        <v>46086.62669753572</v>
      </c>
      <c r="B1644" s="16" t="s">
        <v>1489</v>
      </c>
      <c r="C1644" s="16" t="s">
        <v>1490</v>
      </c>
      <c r="D1644" s="17">
        <v>46089.0</v>
      </c>
      <c r="E1644" s="18">
        <v>79.525</v>
      </c>
      <c r="F1644" s="16" t="s">
        <v>308</v>
      </c>
      <c r="G1644" s="21">
        <v>27.9742</v>
      </c>
      <c r="H1644" s="21">
        <v>2.8428</v>
      </c>
      <c r="I1644" s="17">
        <v>46087.0</v>
      </c>
      <c r="J1644" s="18">
        <v>80.0</v>
      </c>
      <c r="K1644" s="16">
        <v>3113.0</v>
      </c>
      <c r="L1644" s="16" t="s">
        <v>2608</v>
      </c>
      <c r="M1644" s="19">
        <v>0.6</v>
      </c>
      <c r="N1644" s="16" t="s">
        <v>4200</v>
      </c>
      <c r="O1644" s="16">
        <v>9258.0</v>
      </c>
      <c r="P1644" s="19">
        <v>20.1127</v>
      </c>
      <c r="Q1644" s="16" t="s">
        <v>1491</v>
      </c>
      <c r="R1644" s="19">
        <v>-1.6632</v>
      </c>
      <c r="S1644" s="20">
        <v>1.5812587E7</v>
      </c>
      <c r="T1644" s="20">
        <v>3.14115256774E11</v>
      </c>
      <c r="U1644" s="21">
        <v>2.1798</v>
      </c>
      <c r="V1644" s="21">
        <v>24.3402</v>
      </c>
      <c r="W1644" s="21">
        <v>23.6377</v>
      </c>
      <c r="X1644" s="21">
        <v>9.004</v>
      </c>
      <c r="Y1644" s="21">
        <v>0.6651</v>
      </c>
      <c r="Z1644" s="21">
        <v>0.9142</v>
      </c>
      <c r="AA1644" s="16" t="s">
        <v>2620</v>
      </c>
      <c r="AB1644" s="22">
        <f>IFERROR(__xludf.DUMMYFUNCTION("IFERROR(GOOGLEFINANCE(B1644,""price""),"""")"),82.22)</f>
        <v>82.22</v>
      </c>
    </row>
    <row r="1645">
      <c r="A1645" s="7">
        <v>46086.62669753572</v>
      </c>
      <c r="B1645" s="8" t="s">
        <v>3944</v>
      </c>
      <c r="C1645" s="8" t="s">
        <v>3945</v>
      </c>
      <c r="D1645" s="9">
        <v>46089.0</v>
      </c>
      <c r="E1645" s="10">
        <v>131.6</v>
      </c>
      <c r="F1645" s="8" t="s">
        <v>917</v>
      </c>
      <c r="G1645" s="13">
        <v>20.8482</v>
      </c>
      <c r="H1645" s="13">
        <v>6.3123</v>
      </c>
      <c r="I1645" s="9">
        <v>46101.0</v>
      </c>
      <c r="J1645" s="10">
        <v>130.0</v>
      </c>
      <c r="K1645" s="8">
        <v>9136.0</v>
      </c>
      <c r="L1645" s="8" t="s">
        <v>2608</v>
      </c>
      <c r="M1645" s="11">
        <v>1.22</v>
      </c>
      <c r="N1645" s="8" t="s">
        <v>4201</v>
      </c>
      <c r="O1645" s="8">
        <v>9136.0</v>
      </c>
      <c r="P1645" s="11">
        <v>30.623</v>
      </c>
      <c r="Q1645" s="8" t="s">
        <v>3947</v>
      </c>
      <c r="R1645" s="11">
        <v>-0.2123</v>
      </c>
      <c r="S1645" s="12">
        <v>3110149.0</v>
      </c>
      <c r="T1645" s="12">
        <v>1.02341494023E11</v>
      </c>
      <c r="U1645" s="13">
        <v>2.2402</v>
      </c>
      <c r="V1645" s="13">
        <v>9.7422</v>
      </c>
      <c r="W1645" s="13">
        <v>26.6061</v>
      </c>
      <c r="X1645" s="13">
        <v>6.193</v>
      </c>
      <c r="Y1645" s="13">
        <v>1.7574</v>
      </c>
      <c r="Z1645" s="13">
        <v>0.5518</v>
      </c>
      <c r="AA1645" s="8" t="s">
        <v>2611</v>
      </c>
      <c r="AB1645" s="14">
        <f>IFERROR(__xludf.DUMMYFUNCTION("IFERROR(GOOGLEFINANCE(B1645,""price""),"""")"),131.79)</f>
        <v>131.79</v>
      </c>
    </row>
    <row r="1646">
      <c r="A1646" s="15">
        <v>46086.62669753572</v>
      </c>
      <c r="B1646" s="16" t="s">
        <v>2616</v>
      </c>
      <c r="C1646" s="16" t="s">
        <v>2617</v>
      </c>
      <c r="D1646" s="17">
        <v>46089.0</v>
      </c>
      <c r="E1646" s="18">
        <v>76.705</v>
      </c>
      <c r="F1646" s="16" t="s">
        <v>286</v>
      </c>
      <c r="G1646" s="21">
        <v>25.2444</v>
      </c>
      <c r="H1646" s="21">
        <v>3.0385</v>
      </c>
      <c r="I1646" s="17">
        <v>46087.0</v>
      </c>
      <c r="J1646" s="18">
        <v>77.0</v>
      </c>
      <c r="K1646" s="16">
        <v>1948.0</v>
      </c>
      <c r="L1646" s="16" t="s">
        <v>2627</v>
      </c>
      <c r="M1646" s="19">
        <v>0.38</v>
      </c>
      <c r="N1646" s="16" t="s">
        <v>4202</v>
      </c>
      <c r="O1646" s="16">
        <v>6913.0</v>
      </c>
      <c r="P1646" s="19">
        <v>34.4104</v>
      </c>
      <c r="Q1646" s="16" t="s">
        <v>2619</v>
      </c>
      <c r="R1646" s="19">
        <v>-1.7862</v>
      </c>
      <c r="S1646" s="20">
        <v>1.2273199E7</v>
      </c>
      <c r="T1646" s="20">
        <v>3.29886962357E11</v>
      </c>
      <c r="U1646" s="21">
        <v>1.3449</v>
      </c>
      <c r="V1646" s="21">
        <v>45.9693</v>
      </c>
      <c r="W1646" s="21">
        <v>31.3688</v>
      </c>
      <c r="X1646" s="21">
        <v>3.4769</v>
      </c>
      <c r="Y1646" s="21">
        <v>1.4577</v>
      </c>
      <c r="Z1646" s="21">
        <v>1.4588</v>
      </c>
      <c r="AA1646" s="16" t="s">
        <v>2620</v>
      </c>
      <c r="AB1646" s="22">
        <f>IFERROR(__xludf.DUMMYFUNCTION("IFERROR(GOOGLEFINANCE(B1646,""price""),"""")"),77.47)</f>
        <v>77.47</v>
      </c>
    </row>
    <row r="1647">
      <c r="A1647" s="7">
        <v>46086.62669753572</v>
      </c>
      <c r="B1647" s="8" t="s">
        <v>1467</v>
      </c>
      <c r="C1647" s="8" t="s">
        <v>1468</v>
      </c>
      <c r="D1647" s="9">
        <v>46089.0</v>
      </c>
      <c r="E1647" s="10">
        <v>136.55</v>
      </c>
      <c r="F1647" s="8" t="s">
        <v>102</v>
      </c>
      <c r="G1647" s="13">
        <v>25.6876</v>
      </c>
      <c r="H1647" s="13">
        <v>5.3158</v>
      </c>
      <c r="I1647" s="9">
        <v>46101.0</v>
      </c>
      <c r="J1647" s="10">
        <v>135.0</v>
      </c>
      <c r="K1647" s="8">
        <v>5355.0</v>
      </c>
      <c r="L1647" s="8" t="s">
        <v>2608</v>
      </c>
      <c r="M1647" s="11">
        <v>1.14</v>
      </c>
      <c r="N1647" s="8" t="s">
        <v>4203</v>
      </c>
      <c r="O1647" s="8">
        <v>6706.0</v>
      </c>
      <c r="P1647" s="11">
        <v>44.8324</v>
      </c>
      <c r="Q1647" s="8" t="s">
        <v>1469</v>
      </c>
      <c r="R1647" s="11">
        <v>-2.4643</v>
      </c>
      <c r="S1647" s="12">
        <v>2110878.0</v>
      </c>
      <c r="T1647" s="12">
        <v>8.3577634436E10</v>
      </c>
      <c r="U1647" s="13">
        <v>3.7149</v>
      </c>
      <c r="V1647" s="13">
        <v>13.146</v>
      </c>
      <c r="W1647" s="13">
        <v>13.0805</v>
      </c>
      <c r="X1647" s="13">
        <v>-6.3935</v>
      </c>
      <c r="Y1647" s="13">
        <v>0.735</v>
      </c>
      <c r="Z1647" s="13">
        <v>0.9638</v>
      </c>
      <c r="AA1647" s="8" t="s">
        <v>2611</v>
      </c>
      <c r="AB1647" s="14">
        <f>IFERROR(__xludf.DUMMYFUNCTION("IFERROR(GOOGLEFINANCE(B1647,""price""),"""")"),142.53)</f>
        <v>142.53</v>
      </c>
    </row>
    <row r="1648">
      <c r="A1648" s="15">
        <v>46086.62669753572</v>
      </c>
      <c r="B1648" s="16" t="s">
        <v>3713</v>
      </c>
      <c r="C1648" s="16" t="s">
        <v>3714</v>
      </c>
      <c r="D1648" s="17">
        <v>46089.0</v>
      </c>
      <c r="E1648" s="18">
        <v>160.075</v>
      </c>
      <c r="F1648" s="16" t="s">
        <v>149</v>
      </c>
      <c r="G1648" s="21">
        <v>116.8431</v>
      </c>
      <c r="H1648" s="21">
        <v>1.37</v>
      </c>
      <c r="I1648" s="17">
        <v>46101.0</v>
      </c>
      <c r="J1648" s="18">
        <v>160.0</v>
      </c>
      <c r="K1648" s="16">
        <v>5359.0</v>
      </c>
      <c r="L1648" s="16" t="s">
        <v>2608</v>
      </c>
      <c r="M1648" s="19">
        <v>0.05</v>
      </c>
      <c r="N1648" s="16" t="s">
        <v>4204</v>
      </c>
      <c r="O1648" s="16">
        <v>5359.0</v>
      </c>
      <c r="P1648" s="19">
        <v>25.8933</v>
      </c>
      <c r="Q1648" s="16" t="s">
        <v>3716</v>
      </c>
      <c r="R1648" s="19">
        <v>0.9046</v>
      </c>
      <c r="S1648" s="20">
        <v>1477362.0</v>
      </c>
      <c r="T1648" s="20">
        <v>3.7196345932E10</v>
      </c>
      <c r="U1648" s="21">
        <v>5.6532</v>
      </c>
      <c r="V1648" s="21">
        <v>-24.6827</v>
      </c>
      <c r="W1648" s="21">
        <v>6.0286</v>
      </c>
      <c r="X1648" s="21">
        <v>5.3898</v>
      </c>
      <c r="Y1648" s="21">
        <v>38.3916</v>
      </c>
      <c r="Z1648" s="21">
        <v>0.9951</v>
      </c>
      <c r="AA1648" s="16" t="s">
        <v>2611</v>
      </c>
      <c r="AB1648" s="22">
        <f>IFERROR(__xludf.DUMMYFUNCTION("IFERROR(GOOGLEFINANCE(B1648,""price""),"""")"),160.59)</f>
        <v>160.59</v>
      </c>
    </row>
    <row r="1649">
      <c r="A1649" s="7">
        <v>46086.62669753572</v>
      </c>
      <c r="B1649" s="8" t="s">
        <v>3463</v>
      </c>
      <c r="C1649" s="8" t="s">
        <v>3464</v>
      </c>
      <c r="D1649" s="9">
        <v>46089.0</v>
      </c>
      <c r="E1649" s="10">
        <v>61.695</v>
      </c>
      <c r="F1649" s="8" t="s">
        <v>245</v>
      </c>
      <c r="G1649" s="13">
        <v>18.6182</v>
      </c>
      <c r="H1649" s="13">
        <v>3.3137</v>
      </c>
      <c r="I1649" s="9">
        <v>46087.0</v>
      </c>
      <c r="J1649" s="10">
        <v>61.0</v>
      </c>
      <c r="K1649" s="8">
        <v>2850.0</v>
      </c>
      <c r="L1649" s="8" t="s">
        <v>2608</v>
      </c>
      <c r="M1649" s="11">
        <v>1.13</v>
      </c>
      <c r="N1649" s="8" t="s">
        <v>4205</v>
      </c>
      <c r="O1649" s="8">
        <v>5334.0</v>
      </c>
      <c r="P1649" s="11">
        <v>29.1424</v>
      </c>
      <c r="Q1649" s="8" t="s">
        <v>3466</v>
      </c>
      <c r="R1649" s="11">
        <v>0.628</v>
      </c>
      <c r="S1649" s="12">
        <v>5504016.0</v>
      </c>
      <c r="T1649" s="12">
        <v>3.8514584479E10</v>
      </c>
      <c r="U1649" s="13">
        <v>1.9093</v>
      </c>
      <c r="V1649" s="13">
        <v>9.1961</v>
      </c>
      <c r="W1649" s="13">
        <v>35.6577</v>
      </c>
      <c r="X1649" s="13">
        <v>59.9561</v>
      </c>
      <c r="Y1649" s="13">
        <v>0.3357</v>
      </c>
      <c r="Z1649" s="13">
        <v>0.7627</v>
      </c>
      <c r="AA1649" s="8" t="s">
        <v>2611</v>
      </c>
      <c r="AB1649" s="14">
        <f>IFERROR(__xludf.DUMMYFUNCTION("IFERROR(GOOGLEFINANCE(B1649,""price""),"""")"),58.68)</f>
        <v>58.68</v>
      </c>
    </row>
    <row r="1650">
      <c r="A1650" s="15">
        <v>46086.62669753572</v>
      </c>
      <c r="B1650" s="16" t="s">
        <v>2843</v>
      </c>
      <c r="C1650" s="16" t="s">
        <v>2844</v>
      </c>
      <c r="D1650" s="17">
        <v>46089.0</v>
      </c>
      <c r="E1650" s="18">
        <v>203.39</v>
      </c>
      <c r="F1650" s="16" t="s">
        <v>308</v>
      </c>
      <c r="G1650" s="21">
        <v>40.9862</v>
      </c>
      <c r="H1650" s="21">
        <v>4.9624</v>
      </c>
      <c r="I1650" s="17">
        <v>46087.0</v>
      </c>
      <c r="J1650" s="18">
        <v>205.0</v>
      </c>
      <c r="K1650" s="16">
        <v>4161.0</v>
      </c>
      <c r="L1650" s="16" t="s">
        <v>2608</v>
      </c>
      <c r="M1650" s="19">
        <v>0.79</v>
      </c>
      <c r="N1650" s="16" t="s">
        <v>4206</v>
      </c>
      <c r="O1650" s="16">
        <v>5199.0</v>
      </c>
      <c r="P1650" s="19">
        <v>24.038</v>
      </c>
      <c r="Q1650" s="16" t="s">
        <v>2846</v>
      </c>
      <c r="R1650" s="19">
        <v>-2.6003</v>
      </c>
      <c r="S1650" s="20">
        <v>4977194.0</v>
      </c>
      <c r="T1650" s="20">
        <v>2.73007884063E11</v>
      </c>
      <c r="U1650" s="21">
        <v>5.7807</v>
      </c>
      <c r="V1650" s="21">
        <v>10.7368</v>
      </c>
      <c r="W1650" s="21">
        <v>10.0301</v>
      </c>
      <c r="X1650" s="21">
        <v>9.7414</v>
      </c>
      <c r="Y1650" s="21">
        <v>0.6124</v>
      </c>
      <c r="Z1650" s="21">
        <v>0.9804</v>
      </c>
      <c r="AA1650" s="16" t="s">
        <v>2620</v>
      </c>
      <c r="AB1650" s="22">
        <f>IFERROR(__xludf.DUMMYFUNCTION("IFERROR(GOOGLEFINANCE(B1650,""price""),"""")"),201.56)</f>
        <v>201.56</v>
      </c>
    </row>
    <row r="1651">
      <c r="A1651" s="7">
        <v>46086.62669753572</v>
      </c>
      <c r="B1651" s="8" t="s">
        <v>2692</v>
      </c>
      <c r="C1651" s="8" t="s">
        <v>2693</v>
      </c>
      <c r="D1651" s="9">
        <v>46089.0</v>
      </c>
      <c r="E1651" s="10">
        <v>238.68</v>
      </c>
      <c r="F1651" s="8" t="s">
        <v>117</v>
      </c>
      <c r="G1651" s="13">
        <v>21.6082</v>
      </c>
      <c r="H1651" s="13">
        <v>11.0458</v>
      </c>
      <c r="I1651" s="9">
        <v>46087.0</v>
      </c>
      <c r="J1651" s="10">
        <v>240.0</v>
      </c>
      <c r="K1651" s="8">
        <v>2937.0</v>
      </c>
      <c r="L1651" s="8" t="s">
        <v>2627</v>
      </c>
      <c r="M1651" s="11">
        <v>0.55</v>
      </c>
      <c r="N1651" s="8" t="s">
        <v>4207</v>
      </c>
      <c r="O1651" s="8">
        <v>4345.0</v>
      </c>
      <c r="P1651" s="11">
        <v>35.4143</v>
      </c>
      <c r="Q1651" s="8" t="s">
        <v>2695</v>
      </c>
      <c r="R1651" s="11">
        <v>-2.6987</v>
      </c>
      <c r="S1651" s="12">
        <v>6504543.0</v>
      </c>
      <c r="T1651" s="12">
        <v>5.75194682762E11</v>
      </c>
      <c r="U1651" s="13">
        <v>4.3472</v>
      </c>
      <c r="V1651" s="13">
        <v>35.0301</v>
      </c>
      <c r="W1651" s="13">
        <v>27.2081</v>
      </c>
      <c r="X1651" s="13">
        <v>6.046</v>
      </c>
      <c r="Y1651" s="13">
        <v>0.605</v>
      </c>
      <c r="Z1651" s="13">
        <v>1.0277</v>
      </c>
      <c r="AA1651" s="8" t="s">
        <v>2620</v>
      </c>
      <c r="AB1651" s="14">
        <f>IFERROR(__xludf.DUMMYFUNCTION("IFERROR(GOOGLEFINANCE(B1651,""price""),"""")"),238.46)</f>
        <v>238.46</v>
      </c>
    </row>
    <row r="1652">
      <c r="A1652" s="15">
        <v>46086.62669753572</v>
      </c>
      <c r="B1652" s="16" t="s">
        <v>3697</v>
      </c>
      <c r="C1652" s="16" t="s">
        <v>3698</v>
      </c>
      <c r="D1652" s="17">
        <v>46089.0</v>
      </c>
      <c r="E1652" s="18">
        <v>48.79</v>
      </c>
      <c r="F1652" s="16" t="s">
        <v>917</v>
      </c>
      <c r="G1652" s="21">
        <v>17.8398</v>
      </c>
      <c r="H1652" s="21">
        <v>2.7349</v>
      </c>
      <c r="I1652" s="17">
        <v>46101.0</v>
      </c>
      <c r="J1652" s="18">
        <v>49.0</v>
      </c>
      <c r="K1652" s="16">
        <v>3709.0</v>
      </c>
      <c r="L1652" s="16" t="s">
        <v>2608</v>
      </c>
      <c r="M1652" s="19">
        <v>0.43</v>
      </c>
      <c r="N1652" s="16" t="s">
        <v>4208</v>
      </c>
      <c r="O1652" s="16">
        <v>3709.0</v>
      </c>
      <c r="P1652" s="19">
        <v>33.5832</v>
      </c>
      <c r="Q1652" s="16" t="s">
        <v>3700</v>
      </c>
      <c r="R1652" s="19">
        <v>-0.934</v>
      </c>
      <c r="S1652" s="20">
        <v>6510444.0</v>
      </c>
      <c r="T1652" s="20">
        <v>4.9906928887E10</v>
      </c>
      <c r="U1652" s="21">
        <v>1.0062</v>
      </c>
      <c r="V1652" s="21">
        <v>9.9356</v>
      </c>
      <c r="W1652" s="21">
        <v>21.2054</v>
      </c>
      <c r="X1652" s="21">
        <v>5.3367</v>
      </c>
      <c r="Y1652" s="21">
        <v>1.7554</v>
      </c>
      <c r="Z1652" s="21">
        <v>0.924</v>
      </c>
      <c r="AA1652" s="16" t="s">
        <v>2620</v>
      </c>
      <c r="AB1652" s="22">
        <f>IFERROR(__xludf.DUMMYFUNCTION("IFERROR(GOOGLEFINANCE(B1652,""price""),"""")"),48.57)</f>
        <v>48.57</v>
      </c>
    </row>
    <row r="1653">
      <c r="A1653" s="7">
        <v>46086.62669753572</v>
      </c>
      <c r="B1653" s="8" t="s">
        <v>2521</v>
      </c>
      <c r="C1653" s="8" t="s">
        <v>2522</v>
      </c>
      <c r="D1653" s="9">
        <v>46089.0</v>
      </c>
      <c r="E1653" s="10">
        <v>327.94</v>
      </c>
      <c r="F1653" s="8" t="s">
        <v>308</v>
      </c>
      <c r="G1653" s="13">
        <v>59.9043</v>
      </c>
      <c r="H1653" s="13">
        <v>5.4744</v>
      </c>
      <c r="I1653" s="9">
        <v>46087.0</v>
      </c>
      <c r="J1653" s="10">
        <v>332.5</v>
      </c>
      <c r="K1653" s="8">
        <v>3339.0</v>
      </c>
      <c r="L1653" s="8" t="s">
        <v>2627</v>
      </c>
      <c r="M1653" s="11">
        <v>1.39</v>
      </c>
      <c r="N1653" s="8" t="s">
        <v>4209</v>
      </c>
      <c r="O1653" s="8">
        <v>3339.0</v>
      </c>
      <c r="P1653" s="11">
        <v>44.4191</v>
      </c>
      <c r="Q1653" s="8" t="s">
        <v>2523</v>
      </c>
      <c r="R1653" s="11">
        <v>-3.9735</v>
      </c>
      <c r="S1653" s="12">
        <v>3209166.0</v>
      </c>
      <c r="T1653" s="12">
        <v>1.6010167766E11</v>
      </c>
      <c r="U1653" s="13">
        <v>10.5064</v>
      </c>
      <c r="V1653" s="13">
        <v>7.8622</v>
      </c>
      <c r="W1653" s="13">
        <v>29.7854</v>
      </c>
      <c r="X1653" s="13">
        <v>25.9077</v>
      </c>
      <c r="Y1653" s="13">
        <v>0.257</v>
      </c>
      <c r="Z1653" s="13">
        <v>1.7555</v>
      </c>
      <c r="AA1653" s="8" t="s">
        <v>2620</v>
      </c>
      <c r="AB1653" s="14">
        <f>IFERROR(__xludf.DUMMYFUNCTION("IFERROR(GOOGLEFINANCE(B1653,""price""),"""")"),350.14)</f>
        <v>350.14</v>
      </c>
    </row>
    <row r="1654">
      <c r="A1654" s="15">
        <v>46086.62669753572</v>
      </c>
      <c r="B1654" s="16" t="s">
        <v>3141</v>
      </c>
      <c r="C1654" s="16" t="s">
        <v>3142</v>
      </c>
      <c r="D1654" s="17">
        <v>46089.0</v>
      </c>
      <c r="E1654" s="18">
        <v>333.43</v>
      </c>
      <c r="F1654" s="16" t="s">
        <v>93</v>
      </c>
      <c r="G1654" s="21">
        <v>13.9196</v>
      </c>
      <c r="H1654" s="21">
        <v>23.954</v>
      </c>
      <c r="I1654" s="17">
        <v>46101.0</v>
      </c>
      <c r="J1654" s="18">
        <v>330.0</v>
      </c>
      <c r="K1654" s="16">
        <v>2191.0</v>
      </c>
      <c r="L1654" s="16" t="s">
        <v>2608</v>
      </c>
      <c r="M1654" s="19">
        <v>1.03</v>
      </c>
      <c r="N1654" s="16" t="s">
        <v>4210</v>
      </c>
      <c r="O1654" s="16">
        <v>3282.0</v>
      </c>
      <c r="P1654" s="19">
        <v>33.677</v>
      </c>
      <c r="Q1654" s="16" t="s">
        <v>3144</v>
      </c>
      <c r="R1654" s="19">
        <v>-0.2125</v>
      </c>
      <c r="S1654" s="20">
        <v>1086359.0</v>
      </c>
      <c r="T1654" s="20">
        <v>1.30089905896E11</v>
      </c>
      <c r="U1654" s="21">
        <v>6.3207</v>
      </c>
      <c r="V1654" s="21">
        <v>14.9661</v>
      </c>
      <c r="W1654" s="21">
        <v>20.3871</v>
      </c>
      <c r="X1654" s="21">
        <v>6.6809</v>
      </c>
      <c r="Y1654" s="21">
        <v>0.3008</v>
      </c>
      <c r="Z1654" s="21">
        <v>0.3807</v>
      </c>
      <c r="AA1654" s="16" t="s">
        <v>2611</v>
      </c>
      <c r="AB1654" s="22">
        <f>IFERROR(__xludf.DUMMYFUNCTION("IFERROR(GOOGLEFINANCE(B1654,""price""),"""")"),327.91)</f>
        <v>327.91</v>
      </c>
    </row>
    <row r="1655">
      <c r="A1655" s="7">
        <v>46086.62669753572</v>
      </c>
      <c r="B1655" s="8" t="s">
        <v>2297</v>
      </c>
      <c r="C1655" s="8" t="s">
        <v>2298</v>
      </c>
      <c r="D1655" s="9">
        <v>46089.0</v>
      </c>
      <c r="E1655" s="10">
        <v>105.5</v>
      </c>
      <c r="F1655" s="8" t="s">
        <v>917</v>
      </c>
      <c r="G1655" s="13">
        <v>26.9655</v>
      </c>
      <c r="H1655" s="13">
        <v>3.9124</v>
      </c>
      <c r="I1655" s="9">
        <v>46101.0</v>
      </c>
      <c r="J1655" s="10">
        <v>105.0</v>
      </c>
      <c r="K1655" s="8">
        <v>3185.0</v>
      </c>
      <c r="L1655" s="8" t="s">
        <v>2608</v>
      </c>
      <c r="M1655" s="11">
        <v>0.47</v>
      </c>
      <c r="N1655" s="8" t="s">
        <v>4211</v>
      </c>
      <c r="O1655" s="8">
        <v>3185.0</v>
      </c>
      <c r="P1655" s="11">
        <v>35.9556</v>
      </c>
      <c r="Q1655" s="8" t="s">
        <v>2299</v>
      </c>
      <c r="R1655" s="11">
        <v>-0.9297</v>
      </c>
      <c r="S1655" s="12">
        <v>1116799.0</v>
      </c>
      <c r="T1655" s="12">
        <v>4.7790426913E10</v>
      </c>
      <c r="U1655" s="13">
        <v>2.1266</v>
      </c>
      <c r="V1655" s="13">
        <v>10.931</v>
      </c>
      <c r="W1655" s="13">
        <v>22.9697</v>
      </c>
      <c r="X1655" s="13">
        <v>8.3782</v>
      </c>
      <c r="Y1655" s="13">
        <v>1.8276</v>
      </c>
      <c r="Z1655" s="13">
        <v>0.7243</v>
      </c>
      <c r="AA1655" s="8" t="s">
        <v>2611</v>
      </c>
      <c r="AB1655" s="14">
        <f>IFERROR(__xludf.DUMMYFUNCTION("IFERROR(GOOGLEFINANCE(B1655,""price""),"""")"),116.47)</f>
        <v>116.47</v>
      </c>
    </row>
    <row r="1656">
      <c r="A1656" s="15">
        <v>46086.62669753572</v>
      </c>
      <c r="B1656" s="16" t="s">
        <v>2672</v>
      </c>
      <c r="C1656" s="16" t="s">
        <v>2673</v>
      </c>
      <c r="D1656" s="17">
        <v>46089.0</v>
      </c>
      <c r="E1656" s="18">
        <v>46.65</v>
      </c>
      <c r="F1656" s="16" t="s">
        <v>107</v>
      </c>
      <c r="G1656" s="21"/>
      <c r="H1656" s="21">
        <v>-1.865</v>
      </c>
      <c r="I1656" s="17">
        <v>46101.0</v>
      </c>
      <c r="J1656" s="18">
        <v>47.5</v>
      </c>
      <c r="K1656" s="16">
        <v>1676.0</v>
      </c>
      <c r="L1656" s="16" t="s">
        <v>2608</v>
      </c>
      <c r="M1656" s="19">
        <v>1.82</v>
      </c>
      <c r="N1656" s="16" t="s">
        <v>4212</v>
      </c>
      <c r="O1656" s="16">
        <v>2962.0</v>
      </c>
      <c r="P1656" s="19">
        <v>36.0215</v>
      </c>
      <c r="Q1656" s="16" t="s">
        <v>2675</v>
      </c>
      <c r="R1656" s="19">
        <v>-2.9742</v>
      </c>
      <c r="S1656" s="20">
        <v>4013558.0</v>
      </c>
      <c r="T1656" s="20">
        <v>1.9076298732E10</v>
      </c>
      <c r="U1656" s="21">
        <v>1.491</v>
      </c>
      <c r="V1656" s="21">
        <v>-0.805</v>
      </c>
      <c r="W1656" s="21">
        <v>16.2067</v>
      </c>
      <c r="X1656" s="21">
        <v>-10.4796</v>
      </c>
      <c r="Y1656" s="21">
        <v>0.2451</v>
      </c>
      <c r="Z1656" s="21">
        <v>2.4187</v>
      </c>
      <c r="AA1656" s="16" t="s">
        <v>2620</v>
      </c>
      <c r="AB1656" s="22">
        <f>IFERROR(__xludf.DUMMYFUNCTION("IFERROR(GOOGLEFINANCE(B1656,""price""),"""")"),47.25)</f>
        <v>47.25</v>
      </c>
    </row>
    <row r="1657">
      <c r="A1657" s="7">
        <v>46086.62669753572</v>
      </c>
      <c r="B1657" s="8" t="s">
        <v>2710</v>
      </c>
      <c r="C1657" s="8" t="s">
        <v>2711</v>
      </c>
      <c r="D1657" s="9">
        <v>46089.0</v>
      </c>
      <c r="E1657" s="10">
        <v>131.86</v>
      </c>
      <c r="F1657" s="8" t="s">
        <v>917</v>
      </c>
      <c r="G1657" s="13">
        <v>19.7991</v>
      </c>
      <c r="H1657" s="13">
        <v>6.6599</v>
      </c>
      <c r="I1657" s="9">
        <v>46101.0</v>
      </c>
      <c r="J1657" s="10">
        <v>130.0</v>
      </c>
      <c r="K1657" s="8">
        <v>2716.0</v>
      </c>
      <c r="L1657" s="8" t="s">
        <v>2608</v>
      </c>
      <c r="M1657" s="11">
        <v>1.41</v>
      </c>
      <c r="N1657" s="8" t="s">
        <v>4213</v>
      </c>
      <c r="O1657" s="8">
        <v>2716.0</v>
      </c>
      <c r="P1657" s="11">
        <v>43.265</v>
      </c>
      <c r="Q1657" s="8" t="s">
        <v>2713</v>
      </c>
      <c r="R1657" s="11">
        <v>-1.2433</v>
      </c>
      <c r="S1657" s="12">
        <v>2971827.0</v>
      </c>
      <c r="T1657" s="12">
        <v>7.1318001153E10</v>
      </c>
      <c r="U1657" s="13">
        <v>2.5724</v>
      </c>
      <c r="V1657" s="13">
        <v>12.3274</v>
      </c>
      <c r="W1657" s="13">
        <v>25.0742</v>
      </c>
      <c r="X1657" s="13">
        <v>10.4587</v>
      </c>
      <c r="Y1657" s="13">
        <v>1.5949</v>
      </c>
      <c r="Z1657" s="13">
        <v>0.4546</v>
      </c>
      <c r="AA1657" s="8" t="s">
        <v>2611</v>
      </c>
      <c r="AB1657" s="14">
        <f>IFERROR(__xludf.DUMMYFUNCTION("IFERROR(GOOGLEFINANCE(B1657,""price""),"""")"),136.3)</f>
        <v>136.3</v>
      </c>
    </row>
    <row r="1658">
      <c r="A1658" s="15">
        <v>46086.62669753572</v>
      </c>
      <c r="B1658" s="16" t="s">
        <v>3684</v>
      </c>
      <c r="C1658" s="16" t="s">
        <v>3685</v>
      </c>
      <c r="D1658" s="17">
        <v>46089.0</v>
      </c>
      <c r="E1658" s="18">
        <v>38.015</v>
      </c>
      <c r="F1658" s="16" t="s">
        <v>917</v>
      </c>
      <c r="G1658" s="21">
        <v>23.9434</v>
      </c>
      <c r="H1658" s="21">
        <v>1.5877</v>
      </c>
      <c r="I1658" s="17">
        <v>46101.0</v>
      </c>
      <c r="J1658" s="18">
        <v>38.0</v>
      </c>
      <c r="K1658" s="16">
        <v>2709.0</v>
      </c>
      <c r="L1658" s="16" t="s">
        <v>2608</v>
      </c>
      <c r="M1658" s="19">
        <v>0.04</v>
      </c>
      <c r="N1658" s="16" t="s">
        <v>4214</v>
      </c>
      <c r="O1658" s="16">
        <v>2709.0</v>
      </c>
      <c r="P1658" s="19">
        <v>22.791</v>
      </c>
      <c r="Q1658" s="16" t="s">
        <v>3687</v>
      </c>
      <c r="R1658" s="19">
        <v>-1.49</v>
      </c>
      <c r="S1658" s="20">
        <v>5328155.0</v>
      </c>
      <c r="T1658" s="20">
        <v>2.8560929017E10</v>
      </c>
      <c r="U1658" s="21">
        <v>0.751</v>
      </c>
      <c r="V1658" s="21">
        <v>8.1497</v>
      </c>
      <c r="W1658" s="21">
        <v>23.6452</v>
      </c>
      <c r="X1658" s="21">
        <v>6.8542</v>
      </c>
      <c r="Y1658" s="21">
        <v>1.3003</v>
      </c>
      <c r="Z1658" s="21">
        <v>0.8647</v>
      </c>
      <c r="AA1658" s="16" t="s">
        <v>2611</v>
      </c>
      <c r="AB1658" s="22">
        <f>IFERROR(__xludf.DUMMYFUNCTION("IFERROR(GOOGLEFINANCE(B1658,""price""),"""")"),39.65)</f>
        <v>39.65</v>
      </c>
    </row>
    <row r="1659">
      <c r="A1659" s="7">
        <v>46086.62669753572</v>
      </c>
      <c r="B1659" s="8" t="s">
        <v>1080</v>
      </c>
      <c r="C1659" s="8" t="s">
        <v>1081</v>
      </c>
      <c r="D1659" s="9">
        <v>46089.0</v>
      </c>
      <c r="E1659" s="10">
        <v>40.24</v>
      </c>
      <c r="F1659" s="8" t="s">
        <v>308</v>
      </c>
      <c r="G1659" s="13"/>
      <c r="H1659" s="13">
        <v>-0.2955</v>
      </c>
      <c r="I1659" s="9">
        <v>46101.0</v>
      </c>
      <c r="J1659" s="10">
        <v>40.0</v>
      </c>
      <c r="K1659" s="8">
        <v>2689.0</v>
      </c>
      <c r="L1659" s="8" t="s">
        <v>2608</v>
      </c>
      <c r="M1659" s="11">
        <v>0.6</v>
      </c>
      <c r="N1659" s="8" t="s">
        <v>4215</v>
      </c>
      <c r="O1659" s="8">
        <v>2689.0</v>
      </c>
      <c r="P1659" s="11">
        <v>31.6627</v>
      </c>
      <c r="Q1659" s="8" t="s">
        <v>1082</v>
      </c>
      <c r="R1659" s="11">
        <v>-5.6728</v>
      </c>
      <c r="S1659" s="12">
        <v>1557550.0</v>
      </c>
      <c r="T1659" s="12">
        <v>1.232444247E9</v>
      </c>
      <c r="U1659" s="13">
        <v>4.148</v>
      </c>
      <c r="V1659" s="13">
        <v>-6.9744</v>
      </c>
      <c r="W1659" s="13">
        <v>-22.8493</v>
      </c>
      <c r="X1659" s="13">
        <v>4.9552</v>
      </c>
      <c r="Y1659" s="13">
        <v>0.0777</v>
      </c>
      <c r="Z1659" s="13">
        <v>10.6188</v>
      </c>
      <c r="AA1659" s="8" t="s">
        <v>2611</v>
      </c>
      <c r="AB1659" s="14">
        <f>IFERROR(__xludf.DUMMYFUNCTION("IFERROR(GOOGLEFINANCE(B1659,""price""),"""")"),70.43)</f>
        <v>70.43</v>
      </c>
    </row>
    <row r="1660">
      <c r="A1660" s="15">
        <v>46086.62669753572</v>
      </c>
      <c r="B1660" s="16" t="s">
        <v>2188</v>
      </c>
      <c r="C1660" s="16" t="s">
        <v>2189</v>
      </c>
      <c r="D1660" s="17">
        <v>46089.0</v>
      </c>
      <c r="E1660" s="18">
        <v>489.19</v>
      </c>
      <c r="F1660" s="16" t="s">
        <v>107</v>
      </c>
      <c r="G1660" s="21">
        <v>33.5124</v>
      </c>
      <c r="H1660" s="21">
        <v>14.5973</v>
      </c>
      <c r="I1660" s="17">
        <v>46101.0</v>
      </c>
      <c r="J1660" s="18">
        <v>480.0</v>
      </c>
      <c r="K1660" s="16">
        <v>1288.0</v>
      </c>
      <c r="L1660" s="16" t="s">
        <v>2627</v>
      </c>
      <c r="M1660" s="19">
        <v>1.88</v>
      </c>
      <c r="N1660" s="16" t="s">
        <v>4216</v>
      </c>
      <c r="O1660" s="16">
        <v>2542.0</v>
      </c>
      <c r="P1660" s="19">
        <v>39.5337</v>
      </c>
      <c r="Q1660" s="16" t="s">
        <v>2190</v>
      </c>
      <c r="R1660" s="19">
        <v>-2.0032</v>
      </c>
      <c r="S1660" s="20">
        <v>1442827.0</v>
      </c>
      <c r="T1660" s="20">
        <v>2.26687792704E11</v>
      </c>
      <c r="U1660" s="21">
        <v>9.9353</v>
      </c>
      <c r="V1660" s="21">
        <v>18.0725</v>
      </c>
      <c r="W1660" s="21">
        <v>27.2289</v>
      </c>
      <c r="X1660" s="21">
        <v>2.9723</v>
      </c>
      <c r="Y1660" s="21">
        <v>0.7339</v>
      </c>
      <c r="Z1660" s="21">
        <v>0.8768</v>
      </c>
      <c r="AA1660" s="16" t="s">
        <v>2611</v>
      </c>
      <c r="AB1660" s="22">
        <f>IFERROR(__xludf.DUMMYFUNCTION("IFERROR(GOOGLEFINANCE(B1660,""price""),"""")"),503.15)</f>
        <v>503.15</v>
      </c>
    </row>
    <row r="1661">
      <c r="A1661" s="7">
        <v>46086.62669753572</v>
      </c>
      <c r="B1661" s="8" t="s">
        <v>2646</v>
      </c>
      <c r="C1661" s="8" t="s">
        <v>2647</v>
      </c>
      <c r="D1661" s="9">
        <v>46089.0</v>
      </c>
      <c r="E1661" s="10">
        <v>37.2</v>
      </c>
      <c r="F1661" s="8" t="s">
        <v>270</v>
      </c>
      <c r="G1661" s="13">
        <v>14.0473</v>
      </c>
      <c r="H1661" s="13">
        <v>2.6482</v>
      </c>
      <c r="I1661" s="9">
        <v>46087.0</v>
      </c>
      <c r="J1661" s="10">
        <v>37.5</v>
      </c>
      <c r="K1661" s="8">
        <v>2537.0</v>
      </c>
      <c r="L1661" s="8" t="s">
        <v>2608</v>
      </c>
      <c r="M1661" s="11">
        <v>0.81</v>
      </c>
      <c r="N1661" s="8" t="s">
        <v>4152</v>
      </c>
      <c r="O1661" s="8">
        <v>2537.0</v>
      </c>
      <c r="P1661" s="11">
        <v>41.1014</v>
      </c>
      <c r="Q1661" s="8" t="s">
        <v>2649</v>
      </c>
      <c r="R1661" s="11">
        <v>0.0807</v>
      </c>
      <c r="S1661" s="12">
        <v>3103556.0</v>
      </c>
      <c r="T1661" s="12">
        <v>8.0417495648E10</v>
      </c>
      <c r="U1661" s="13">
        <v>0.6996</v>
      </c>
      <c r="V1661" s="13">
        <v>19.6987</v>
      </c>
      <c r="W1661" s="13">
        <v>12.3812</v>
      </c>
      <c r="X1661" s="13">
        <v>-6.474</v>
      </c>
      <c r="Y1661" s="13">
        <v>1.1744</v>
      </c>
      <c r="Z1661" s="13">
        <v>1.0411</v>
      </c>
      <c r="AA1661" s="8" t="s">
        <v>2620</v>
      </c>
      <c r="AB1661" s="14">
        <f>IFERROR(__xludf.DUMMYFUNCTION("IFERROR(GOOGLEFINANCE(B1661,""price""),"""")"),37.35)</f>
        <v>37.35</v>
      </c>
    </row>
    <row r="1662">
      <c r="A1662" s="15">
        <v>46086.62669753572</v>
      </c>
      <c r="B1662" s="16" t="s">
        <v>2650</v>
      </c>
      <c r="C1662" s="16" t="s">
        <v>2651</v>
      </c>
      <c r="D1662" s="17">
        <v>46089.0</v>
      </c>
      <c r="E1662" s="18">
        <v>251.49</v>
      </c>
      <c r="F1662" s="16" t="s">
        <v>308</v>
      </c>
      <c r="G1662" s="21">
        <v>248.9014</v>
      </c>
      <c r="H1662" s="21">
        <v>1.0104</v>
      </c>
      <c r="I1662" s="17">
        <v>46087.0</v>
      </c>
      <c r="J1662" s="18">
        <v>247.5</v>
      </c>
      <c r="K1662" s="16">
        <v>1238.0</v>
      </c>
      <c r="L1662" s="16" t="s">
        <v>2627</v>
      </c>
      <c r="M1662" s="19">
        <v>1.59</v>
      </c>
      <c r="N1662" s="16" t="s">
        <v>4217</v>
      </c>
      <c r="O1662" s="16">
        <v>2382.0</v>
      </c>
      <c r="P1662" s="19">
        <v>21.6535</v>
      </c>
      <c r="Q1662" s="16" t="s">
        <v>2653</v>
      </c>
      <c r="R1662" s="19">
        <v>-8.5025</v>
      </c>
      <c r="S1662" s="20">
        <v>7644522.0</v>
      </c>
      <c r="T1662" s="20">
        <v>4.7149809779E10</v>
      </c>
      <c r="U1662" s="21">
        <v>22.156</v>
      </c>
      <c r="V1662" s="21">
        <v>3.6337</v>
      </c>
      <c r="W1662" s="21">
        <v>11.7943</v>
      </c>
      <c r="X1662" s="21">
        <v>18.6256</v>
      </c>
      <c r="Y1662" s="21">
        <v>0.4153</v>
      </c>
      <c r="Z1662" s="21">
        <v>2.2518</v>
      </c>
      <c r="AA1662" s="16" t="s">
        <v>2611</v>
      </c>
      <c r="AB1662" s="22">
        <f>IFERROR(__xludf.DUMMYFUNCTION("IFERROR(GOOGLEFINANCE(B1662,""price""),"""")"),307.5)</f>
        <v>307.5</v>
      </c>
    </row>
    <row r="1663">
      <c r="A1663" s="7">
        <v>46086.62669753572</v>
      </c>
      <c r="B1663" s="8" t="s">
        <v>4218</v>
      </c>
      <c r="C1663" s="8" t="s">
        <v>4219</v>
      </c>
      <c r="D1663" s="9">
        <v>46089.0</v>
      </c>
      <c r="E1663" s="10">
        <v>110.805</v>
      </c>
      <c r="F1663" s="8" t="s">
        <v>107</v>
      </c>
      <c r="G1663" s="13">
        <v>12.3214</v>
      </c>
      <c r="H1663" s="13">
        <v>8.9929</v>
      </c>
      <c r="I1663" s="9">
        <v>46087.0</v>
      </c>
      <c r="J1663" s="10">
        <v>110.0</v>
      </c>
      <c r="K1663" s="8">
        <v>2371.0</v>
      </c>
      <c r="L1663" s="8" t="s">
        <v>2608</v>
      </c>
      <c r="M1663" s="11">
        <v>0.73</v>
      </c>
      <c r="N1663" s="8" t="s">
        <v>4220</v>
      </c>
      <c r="O1663" s="8">
        <v>2371.0</v>
      </c>
      <c r="P1663" s="11">
        <v>37.4066</v>
      </c>
      <c r="Q1663" s="8" t="s">
        <v>4221</v>
      </c>
      <c r="R1663" s="11">
        <v>5.8208</v>
      </c>
      <c r="S1663" s="12">
        <v>6775765.0</v>
      </c>
      <c r="T1663" s="12">
        <v>1.702727381E10</v>
      </c>
      <c r="U1663" s="13">
        <v>4.4067</v>
      </c>
      <c r="V1663" s="13">
        <v>29.6244</v>
      </c>
      <c r="W1663" s="13">
        <v>37.1118</v>
      </c>
      <c r="X1663" s="13">
        <v>19.3396</v>
      </c>
      <c r="Y1663" s="13">
        <v>0.7516</v>
      </c>
      <c r="Z1663" s="13">
        <v>3.3653</v>
      </c>
      <c r="AA1663" s="8" t="s">
        <v>2611</v>
      </c>
      <c r="AB1663" s="14">
        <f>IFERROR(__xludf.DUMMYFUNCTION("IFERROR(GOOGLEFINANCE(B1663,""price""),"""")"),121.32)</f>
        <v>121.32</v>
      </c>
    </row>
    <row r="1664">
      <c r="A1664" s="15">
        <v>46086.62669753572</v>
      </c>
      <c r="B1664" s="16" t="s">
        <v>1570</v>
      </c>
      <c r="C1664" s="16" t="s">
        <v>1571</v>
      </c>
      <c r="D1664" s="17">
        <v>46089.0</v>
      </c>
      <c r="E1664" s="18">
        <v>50.285</v>
      </c>
      <c r="F1664" s="16" t="s">
        <v>917</v>
      </c>
      <c r="G1664" s="21">
        <v>28.4949</v>
      </c>
      <c r="H1664" s="21">
        <v>1.7647</v>
      </c>
      <c r="I1664" s="17">
        <v>46101.0</v>
      </c>
      <c r="J1664" s="18">
        <v>50.0</v>
      </c>
      <c r="K1664" s="16">
        <v>2312.0</v>
      </c>
      <c r="L1664" s="16" t="s">
        <v>2608</v>
      </c>
      <c r="M1664" s="19">
        <v>0.57</v>
      </c>
      <c r="N1664" s="16" t="s">
        <v>4222</v>
      </c>
      <c r="O1664" s="16">
        <v>2312.0</v>
      </c>
      <c r="P1664" s="19">
        <v>36.2667</v>
      </c>
      <c r="Q1664" s="16" t="s">
        <v>1572</v>
      </c>
      <c r="R1664" s="19">
        <v>-1.0138</v>
      </c>
      <c r="S1664" s="20">
        <v>4046203.0</v>
      </c>
      <c r="T1664" s="20">
        <v>2.9061353496E10</v>
      </c>
      <c r="U1664" s="21">
        <v>0.9009</v>
      </c>
      <c r="V1664" s="21">
        <v>8.1714</v>
      </c>
      <c r="W1664" s="21">
        <v>18.774</v>
      </c>
      <c r="X1664" s="21">
        <v>12.0101</v>
      </c>
      <c r="Y1664" s="21">
        <v>2.1457</v>
      </c>
      <c r="Z1664" s="21">
        <v>0.5652</v>
      </c>
      <c r="AA1664" s="16" t="s">
        <v>2611</v>
      </c>
      <c r="AB1664" s="22">
        <f>IFERROR(__xludf.DUMMYFUNCTION("IFERROR(GOOGLEFINANCE(B1664,""price""),"""")"),51.43)</f>
        <v>51.43</v>
      </c>
    </row>
    <row r="1665">
      <c r="A1665" s="7">
        <v>46086.62669753572</v>
      </c>
      <c r="B1665" s="8" t="s">
        <v>3242</v>
      </c>
      <c r="C1665" s="8" t="s">
        <v>3243</v>
      </c>
      <c r="D1665" s="9">
        <v>46089.0</v>
      </c>
      <c r="E1665" s="10">
        <v>110.77</v>
      </c>
      <c r="F1665" s="8" t="s">
        <v>917</v>
      </c>
      <c r="G1665" s="13">
        <v>19.5956</v>
      </c>
      <c r="H1665" s="13">
        <v>5.6528</v>
      </c>
      <c r="I1665" s="9">
        <v>46101.0</v>
      </c>
      <c r="J1665" s="10">
        <v>110.0</v>
      </c>
      <c r="K1665" s="8">
        <v>2053.0</v>
      </c>
      <c r="L1665" s="8" t="s">
        <v>2608</v>
      </c>
      <c r="M1665" s="11">
        <v>0.7</v>
      </c>
      <c r="N1665" s="8" t="s">
        <v>4223</v>
      </c>
      <c r="O1665" s="8">
        <v>2053.0</v>
      </c>
      <c r="P1665" s="11">
        <v>21.0841</v>
      </c>
      <c r="Q1665" s="8" t="s">
        <v>3245</v>
      </c>
      <c r="R1665" s="11">
        <v>-1.529</v>
      </c>
      <c r="S1665" s="12">
        <v>1440637.0</v>
      </c>
      <c r="T1665" s="12">
        <v>4.0021496366E10</v>
      </c>
      <c r="U1665" s="13">
        <v>2.3442</v>
      </c>
      <c r="V1665" s="13">
        <v>8.7624</v>
      </c>
      <c r="W1665" s="13">
        <v>17.3247</v>
      </c>
      <c r="X1665" s="13">
        <v>10.8577</v>
      </c>
      <c r="Y1665" s="13">
        <v>1.173</v>
      </c>
      <c r="Z1665" s="13">
        <v>1.0206</v>
      </c>
      <c r="AA1665" s="8" t="s">
        <v>2611</v>
      </c>
      <c r="AB1665" s="14">
        <f>IFERROR(__xludf.DUMMYFUNCTION("IFERROR(GOOGLEFINANCE(B1665,""price""),"""")"),113.56)</f>
        <v>113.56</v>
      </c>
    </row>
    <row r="1666">
      <c r="A1666" s="15">
        <v>46086.62669753572</v>
      </c>
      <c r="B1666" s="16" t="s">
        <v>3802</v>
      </c>
      <c r="C1666" s="16" t="s">
        <v>3803</v>
      </c>
      <c r="D1666" s="17">
        <v>46089.0</v>
      </c>
      <c r="E1666" s="18">
        <v>45.99</v>
      </c>
      <c r="F1666" s="16" t="s">
        <v>270</v>
      </c>
      <c r="G1666" s="21"/>
      <c r="H1666" s="21"/>
      <c r="I1666" s="17">
        <v>46101.0</v>
      </c>
      <c r="J1666" s="18">
        <v>46.0</v>
      </c>
      <c r="K1666" s="16">
        <v>1448.0</v>
      </c>
      <c r="L1666" s="16" t="s">
        <v>2608</v>
      </c>
      <c r="M1666" s="19">
        <v>0.02</v>
      </c>
      <c r="N1666" s="16" t="s">
        <v>4224</v>
      </c>
      <c r="O1666" s="16">
        <v>1448.0</v>
      </c>
      <c r="P1666" s="19">
        <v>28.3646</v>
      </c>
      <c r="Q1666" s="16" t="s">
        <v>3805</v>
      </c>
      <c r="R1666" s="19">
        <v>-1.4148</v>
      </c>
      <c r="S1666" s="20">
        <v>2481544.0</v>
      </c>
      <c r="T1666" s="20">
        <v>4.811587767E9</v>
      </c>
      <c r="U1666" s="21">
        <v>1.4249</v>
      </c>
      <c r="V1666" s="21">
        <v>3.4054</v>
      </c>
      <c r="W1666" s="21">
        <v>34.4448</v>
      </c>
      <c r="X1666" s="21">
        <v>51.1384</v>
      </c>
      <c r="Y1666" s="21">
        <v>1.4965</v>
      </c>
      <c r="Z1666" s="21">
        <v>2.5453</v>
      </c>
      <c r="AA1666" s="16" t="s">
        <v>2620</v>
      </c>
      <c r="AB1666" s="22">
        <f>IFERROR(__xludf.DUMMYFUNCTION("IFERROR(GOOGLEFINANCE(B1666,""price""),"""")"),53.28)</f>
        <v>53.28</v>
      </c>
    </row>
    <row r="1667">
      <c r="A1667" s="7">
        <v>46086.62669753572</v>
      </c>
      <c r="B1667" s="8" t="s">
        <v>2133</v>
      </c>
      <c r="C1667" s="8" t="s">
        <v>2134</v>
      </c>
      <c r="D1667" s="9">
        <v>46089.0</v>
      </c>
      <c r="E1667" s="10">
        <v>371.73</v>
      </c>
      <c r="F1667" s="8" t="s">
        <v>162</v>
      </c>
      <c r="G1667" s="13">
        <v>20.5054</v>
      </c>
      <c r="H1667" s="13">
        <v>18.1284</v>
      </c>
      <c r="I1667" s="9">
        <v>46087.0</v>
      </c>
      <c r="J1667" s="10">
        <v>370.0</v>
      </c>
      <c r="K1667" s="8">
        <v>1342.0</v>
      </c>
      <c r="L1667" s="8" t="s">
        <v>2627</v>
      </c>
      <c r="M1667" s="11">
        <v>0.47</v>
      </c>
      <c r="N1667" s="8" t="s">
        <v>4225</v>
      </c>
      <c r="O1667" s="8">
        <v>1342.0</v>
      </c>
      <c r="P1667" s="11">
        <v>53.6158</v>
      </c>
      <c r="Q1667" s="8" t="s">
        <v>2135</v>
      </c>
      <c r="R1667" s="11">
        <v>-3.218</v>
      </c>
      <c r="S1667" s="12">
        <v>1223062.0</v>
      </c>
      <c r="T1667" s="12">
        <v>8.7402204299E10</v>
      </c>
      <c r="U1667" s="13">
        <v>9.1409</v>
      </c>
      <c r="V1667" s="13">
        <v>15.8681</v>
      </c>
      <c r="W1667" s="13">
        <v>7.0782</v>
      </c>
      <c r="X1667" s="13">
        <v>3.0895</v>
      </c>
      <c r="Y1667" s="13">
        <v>1.3421</v>
      </c>
      <c r="Z1667" s="13">
        <v>1.2738</v>
      </c>
      <c r="AA1667" s="8" t="s">
        <v>2611</v>
      </c>
      <c r="AB1667" s="14">
        <f>IFERROR(__xludf.DUMMYFUNCTION("IFERROR(GOOGLEFINANCE(B1667,""price""),"""")"),374.08)</f>
        <v>374.08</v>
      </c>
    </row>
    <row r="1668">
      <c r="A1668" s="15">
        <v>46086.62669753572</v>
      </c>
      <c r="B1668" s="16" t="s">
        <v>2139</v>
      </c>
      <c r="C1668" s="16" t="s">
        <v>2140</v>
      </c>
      <c r="D1668" s="17">
        <v>46089.0</v>
      </c>
      <c r="E1668" s="18">
        <v>59.94</v>
      </c>
      <c r="F1668" s="16" t="s">
        <v>270</v>
      </c>
      <c r="G1668" s="21">
        <v>23.0096</v>
      </c>
      <c r="H1668" s="21">
        <v>2.605</v>
      </c>
      <c r="I1668" s="17">
        <v>46101.0</v>
      </c>
      <c r="J1668" s="18">
        <v>60.0</v>
      </c>
      <c r="K1668" s="16">
        <v>1327.0</v>
      </c>
      <c r="L1668" s="16" t="s">
        <v>2608</v>
      </c>
      <c r="M1668" s="19">
        <v>0.1</v>
      </c>
      <c r="N1668" s="16" t="s">
        <v>4226</v>
      </c>
      <c r="O1668" s="16">
        <v>1327.0</v>
      </c>
      <c r="P1668" s="19">
        <v>37.9171</v>
      </c>
      <c r="Q1668" s="16" t="s">
        <v>2141</v>
      </c>
      <c r="R1668" s="19">
        <v>-1.544</v>
      </c>
      <c r="S1668" s="20">
        <v>5395871.0</v>
      </c>
      <c r="T1668" s="20">
        <v>5.9234897522E10</v>
      </c>
      <c r="U1668" s="21">
        <v>1.8073</v>
      </c>
      <c r="V1668" s="21">
        <v>14.4868</v>
      </c>
      <c r="W1668" s="21">
        <v>12.8259</v>
      </c>
      <c r="X1668" s="21">
        <v>-0.345</v>
      </c>
      <c r="Y1668" s="21">
        <v>0.3558</v>
      </c>
      <c r="Z1668" s="21">
        <v>1.3568</v>
      </c>
      <c r="AA1668" s="16" t="s">
        <v>2620</v>
      </c>
      <c r="AB1668" s="22">
        <f>IFERROR(__xludf.DUMMYFUNCTION("IFERROR(GOOGLEFINANCE(B1668,""price""),"""")"),62.83)</f>
        <v>62.83</v>
      </c>
    </row>
    <row r="1669">
      <c r="A1669" s="7">
        <v>46086.62669753572</v>
      </c>
      <c r="B1669" s="8" t="s">
        <v>2621</v>
      </c>
      <c r="C1669" s="8" t="s">
        <v>2622</v>
      </c>
      <c r="D1669" s="9">
        <v>46089.0</v>
      </c>
      <c r="E1669" s="10">
        <v>62.39</v>
      </c>
      <c r="F1669" s="8" t="s">
        <v>335</v>
      </c>
      <c r="G1669" s="13">
        <v>41.2087</v>
      </c>
      <c r="H1669" s="13">
        <v>1.514</v>
      </c>
      <c r="I1669" s="9">
        <v>46087.0</v>
      </c>
      <c r="J1669" s="10">
        <v>62.0</v>
      </c>
      <c r="K1669" s="8">
        <v>1260.0</v>
      </c>
      <c r="L1669" s="8" t="s">
        <v>2627</v>
      </c>
      <c r="M1669" s="11">
        <v>0.63</v>
      </c>
      <c r="N1669" s="8" t="s">
        <v>4227</v>
      </c>
      <c r="O1669" s="8">
        <v>1260.0</v>
      </c>
      <c r="P1669" s="11">
        <v>25.1085</v>
      </c>
      <c r="Q1669" s="8" t="s">
        <v>2624</v>
      </c>
      <c r="R1669" s="11">
        <v>-5.3693</v>
      </c>
      <c r="S1669" s="12">
        <v>1.596759E7</v>
      </c>
      <c r="T1669" s="12">
        <v>8.9667011992E10</v>
      </c>
      <c r="U1669" s="13">
        <v>3.1279</v>
      </c>
      <c r="V1669" s="13">
        <v>11.9792</v>
      </c>
      <c r="W1669" s="13">
        <v>22.7913</v>
      </c>
      <c r="X1669" s="13">
        <v>-0.0477</v>
      </c>
      <c r="Y1669" s="13">
        <v>0.5552</v>
      </c>
      <c r="Z1669" s="13">
        <v>2.2911</v>
      </c>
      <c r="AA1669" s="8" t="s">
        <v>2611</v>
      </c>
      <c r="AB1669" s="14">
        <f>IFERROR(__xludf.DUMMYFUNCTION("IFERROR(GOOGLEFINANCE(B1669,""price""),"""")"),67.8)</f>
        <v>67.8</v>
      </c>
    </row>
    <row r="1670">
      <c r="A1670" s="15">
        <v>46086.62669753572</v>
      </c>
      <c r="B1670" s="16" t="s">
        <v>3208</v>
      </c>
      <c r="C1670" s="16" t="s">
        <v>3209</v>
      </c>
      <c r="D1670" s="17">
        <v>46089.0</v>
      </c>
      <c r="E1670" s="18">
        <v>214.18</v>
      </c>
      <c r="F1670" s="16" t="s">
        <v>137</v>
      </c>
      <c r="G1670" s="21">
        <v>32.3872</v>
      </c>
      <c r="H1670" s="21">
        <v>6.6131</v>
      </c>
      <c r="I1670" s="17">
        <v>46087.0</v>
      </c>
      <c r="J1670" s="18">
        <v>210.0</v>
      </c>
      <c r="K1670" s="16">
        <v>1093.0</v>
      </c>
      <c r="L1670" s="16" t="s">
        <v>2608</v>
      </c>
      <c r="M1670" s="19">
        <v>1.95</v>
      </c>
      <c r="N1670" s="16" t="s">
        <v>4228</v>
      </c>
      <c r="O1670" s="16">
        <v>1093.0</v>
      </c>
      <c r="P1670" s="19">
        <v>43.9159</v>
      </c>
      <c r="Q1670" s="16" t="s">
        <v>3211</v>
      </c>
      <c r="R1670" s="19">
        <v>0.3091</v>
      </c>
      <c r="S1670" s="20">
        <v>1642533.0</v>
      </c>
      <c r="T1670" s="20">
        <v>6.9275439983E10</v>
      </c>
      <c r="U1670" s="21">
        <v>5.0464</v>
      </c>
      <c r="V1670" s="21">
        <v>36.678</v>
      </c>
      <c r="W1670" s="21">
        <v>11.9002</v>
      </c>
      <c r="X1670" s="21">
        <v>7.6734</v>
      </c>
      <c r="Y1670" s="21">
        <v>0.8424</v>
      </c>
      <c r="Z1670" s="21">
        <v>1.5827</v>
      </c>
      <c r="AA1670" s="16" t="s">
        <v>2611</v>
      </c>
      <c r="AB1670" s="22">
        <f>IFERROR(__xludf.DUMMYFUNCTION("IFERROR(GOOGLEFINANCE(B1670,""price""),"""")"),221.16)</f>
        <v>221.16</v>
      </c>
    </row>
    <row r="1671">
      <c r="A1671" s="7">
        <v>46086.62669753572</v>
      </c>
      <c r="B1671" s="8" t="s">
        <v>1766</v>
      </c>
      <c r="C1671" s="8" t="s">
        <v>1767</v>
      </c>
      <c r="D1671" s="9">
        <v>46089.0</v>
      </c>
      <c r="E1671" s="10">
        <v>93.6</v>
      </c>
      <c r="F1671" s="8" t="s">
        <v>917</v>
      </c>
      <c r="G1671" s="13">
        <v>34.0587</v>
      </c>
      <c r="H1671" s="13">
        <v>2.7482</v>
      </c>
      <c r="I1671" s="9">
        <v>46101.0</v>
      </c>
      <c r="J1671" s="10">
        <v>95.0</v>
      </c>
      <c r="K1671" s="8">
        <v>1061.0</v>
      </c>
      <c r="L1671" s="8" t="s">
        <v>2608</v>
      </c>
      <c r="M1671" s="11">
        <v>1.5</v>
      </c>
      <c r="N1671" s="8" t="s">
        <v>4229</v>
      </c>
      <c r="O1671" s="8">
        <v>1061.0</v>
      </c>
      <c r="P1671" s="11">
        <v>30.0168</v>
      </c>
      <c r="Q1671" s="8" t="s">
        <v>1768</v>
      </c>
      <c r="R1671" s="11">
        <v>-1.8765</v>
      </c>
      <c r="S1671" s="12">
        <v>1810703.0</v>
      </c>
      <c r="T1671" s="12">
        <v>6.1147393115E10</v>
      </c>
      <c r="U1671" s="13">
        <v>2.0775</v>
      </c>
      <c r="V1671" s="13">
        <v>5.8451</v>
      </c>
      <c r="W1671" s="13">
        <v>23.7349</v>
      </c>
      <c r="X1671" s="13">
        <v>5.8424</v>
      </c>
      <c r="Y1671" s="13">
        <v>1.1478</v>
      </c>
      <c r="Z1671" s="13">
        <v>1.5912</v>
      </c>
      <c r="AA1671" s="8" t="s">
        <v>2620</v>
      </c>
      <c r="AB1671" s="14">
        <f>IFERROR(__xludf.DUMMYFUNCTION("IFERROR(GOOGLEFINANCE(B1671,""price""),"""")"),98.82)</f>
        <v>98.82</v>
      </c>
    </row>
    <row r="1672">
      <c r="A1672" s="15">
        <v>46086.62669753572</v>
      </c>
      <c r="B1672" s="16" t="s">
        <v>3237</v>
      </c>
      <c r="C1672" s="16" t="s">
        <v>3238</v>
      </c>
      <c r="D1672" s="17">
        <v>46089.0</v>
      </c>
      <c r="E1672" s="18">
        <v>327.01</v>
      </c>
      <c r="F1672" s="16" t="s">
        <v>149</v>
      </c>
      <c r="G1672" s="21">
        <v>27.3591</v>
      </c>
      <c r="H1672" s="21">
        <v>11.9525</v>
      </c>
      <c r="I1672" s="17">
        <v>46087.0</v>
      </c>
      <c r="J1672" s="18">
        <v>325.0</v>
      </c>
      <c r="K1672" s="16">
        <v>1010.0</v>
      </c>
      <c r="L1672" s="16" t="s">
        <v>2627</v>
      </c>
      <c r="M1672" s="19">
        <v>0.61</v>
      </c>
      <c r="N1672" s="16" t="s">
        <v>4230</v>
      </c>
      <c r="O1672" s="16">
        <v>1010.0</v>
      </c>
      <c r="P1672" s="19">
        <v>34.6933</v>
      </c>
      <c r="Q1672" s="16" t="s">
        <v>3240</v>
      </c>
      <c r="R1672" s="19">
        <v>-1.4258</v>
      </c>
      <c r="S1672" s="20">
        <v>2695485.0</v>
      </c>
      <c r="T1672" s="20">
        <v>2.32307446085E11</v>
      </c>
      <c r="U1672" s="21">
        <v>5.6803</v>
      </c>
      <c r="V1672" s="21"/>
      <c r="W1672" s="21">
        <v>46.1001</v>
      </c>
      <c r="X1672" s="21">
        <v>3.723</v>
      </c>
      <c r="Y1672" s="21"/>
      <c r="Z1672" s="21">
        <v>0.9546</v>
      </c>
      <c r="AA1672" s="16" t="s">
        <v>2611</v>
      </c>
      <c r="AB1672" s="22">
        <f>IFERROR(__xludf.DUMMYFUNCTION("IFERROR(GOOGLEFINANCE(B1672,""price""),"""")"),305.68)</f>
        <v>305.68</v>
      </c>
    </row>
    <row r="1673">
      <c r="A1673" s="7">
        <v>46087.6258948789</v>
      </c>
      <c r="B1673" s="8" t="s">
        <v>2625</v>
      </c>
      <c r="C1673" s="8" t="s">
        <v>2626</v>
      </c>
      <c r="D1673" s="9">
        <v>46089.0</v>
      </c>
      <c r="E1673" s="10">
        <v>123.58</v>
      </c>
      <c r="F1673" s="8" t="s">
        <v>137</v>
      </c>
      <c r="G1673" s="13">
        <v>45.2575</v>
      </c>
      <c r="H1673" s="13">
        <v>2.7306</v>
      </c>
      <c r="I1673" s="9">
        <v>46087.0</v>
      </c>
      <c r="J1673" s="10">
        <v>124.0</v>
      </c>
      <c r="K1673" s="8">
        <v>3771.0</v>
      </c>
      <c r="L1673" s="8" t="s">
        <v>2608</v>
      </c>
      <c r="M1673" s="11">
        <v>0.34</v>
      </c>
      <c r="N1673" s="8" t="s">
        <v>4231</v>
      </c>
      <c r="O1673" s="8">
        <v>23596.0</v>
      </c>
      <c r="P1673" s="11">
        <v>20.6715</v>
      </c>
      <c r="Q1673" s="8" t="s">
        <v>2629</v>
      </c>
      <c r="R1673" s="11">
        <v>0.219</v>
      </c>
      <c r="S1673" s="12">
        <v>1.3852785E7</v>
      </c>
      <c r="T1673" s="12">
        <v>9.84953217393E11</v>
      </c>
      <c r="U1673" s="13">
        <v>3.3297</v>
      </c>
      <c r="V1673" s="13">
        <v>22.9691</v>
      </c>
      <c r="W1673" s="13">
        <v>4.1821</v>
      </c>
      <c r="X1673" s="13">
        <v>4.7252</v>
      </c>
      <c r="Y1673" s="13">
        <v>0.6735</v>
      </c>
      <c r="Z1673" s="13">
        <v>0.7898</v>
      </c>
      <c r="AA1673" s="8" t="s">
        <v>2620</v>
      </c>
      <c r="AB1673" s="14">
        <f>IFERROR(__xludf.DUMMYFUNCTION("IFERROR(GOOGLEFINANCE(B1673,""price""),"""")"),126.79)</f>
        <v>126.79</v>
      </c>
    </row>
    <row r="1674">
      <c r="A1674" s="15">
        <v>46087.6258948789</v>
      </c>
      <c r="B1674" s="16" t="s">
        <v>2638</v>
      </c>
      <c r="C1674" s="16" t="s">
        <v>2639</v>
      </c>
      <c r="D1674" s="17">
        <v>46089.0</v>
      </c>
      <c r="E1674" s="18">
        <v>150.7</v>
      </c>
      <c r="F1674" s="16" t="s">
        <v>245</v>
      </c>
      <c r="G1674" s="21">
        <v>22.51</v>
      </c>
      <c r="H1674" s="21">
        <v>6.6948</v>
      </c>
      <c r="I1674" s="17">
        <v>46087.0</v>
      </c>
      <c r="J1674" s="18">
        <v>152.5</v>
      </c>
      <c r="K1674" s="16">
        <v>8565.0</v>
      </c>
      <c r="L1674" s="16" t="s">
        <v>2608</v>
      </c>
      <c r="M1674" s="19">
        <v>1.19</v>
      </c>
      <c r="N1674" s="16" t="s">
        <v>4232</v>
      </c>
      <c r="O1674" s="16">
        <v>22493.0</v>
      </c>
      <c r="P1674" s="19">
        <v>38.4306</v>
      </c>
      <c r="Q1674" s="16" t="s">
        <v>2641</v>
      </c>
      <c r="R1674" s="19">
        <v>-0.0398</v>
      </c>
      <c r="S1674" s="20">
        <v>1.4351997E7</v>
      </c>
      <c r="T1674" s="20">
        <v>6.27931262472E11</v>
      </c>
      <c r="U1674" s="21">
        <v>3.9425</v>
      </c>
      <c r="V1674" s="21">
        <v>11.0283</v>
      </c>
      <c r="W1674" s="21">
        <v>10.3419</v>
      </c>
      <c r="X1674" s="21">
        <v>-4.856</v>
      </c>
      <c r="Y1674" s="21">
        <v>0.1871</v>
      </c>
      <c r="Z1674" s="21">
        <v>1.1528</v>
      </c>
      <c r="AA1674" s="16" t="s">
        <v>2620</v>
      </c>
      <c r="AB1674" s="22">
        <f>IFERROR(__xludf.DUMMYFUNCTION("IFERROR(GOOGLEFINANCE(B1674,""price""),"""")"),152.51)</f>
        <v>152.51</v>
      </c>
    </row>
    <row r="1675">
      <c r="A1675" s="7">
        <v>46087.6258948789</v>
      </c>
      <c r="B1675" s="8" t="s">
        <v>2634</v>
      </c>
      <c r="C1675" s="8" t="s">
        <v>2635</v>
      </c>
      <c r="D1675" s="9">
        <v>46089.0</v>
      </c>
      <c r="E1675" s="10">
        <v>189.53</v>
      </c>
      <c r="F1675" s="8" t="s">
        <v>245</v>
      </c>
      <c r="G1675" s="13">
        <v>28.5093</v>
      </c>
      <c r="H1675" s="13">
        <v>6.648</v>
      </c>
      <c r="I1675" s="9">
        <v>46087.0</v>
      </c>
      <c r="J1675" s="10">
        <v>190.0</v>
      </c>
      <c r="K1675" s="8">
        <v>7581.0</v>
      </c>
      <c r="L1675" s="8" t="s">
        <v>2608</v>
      </c>
      <c r="M1675" s="11">
        <v>0.25</v>
      </c>
      <c r="N1675" s="8" t="s">
        <v>4233</v>
      </c>
      <c r="O1675" s="8">
        <v>17733.0</v>
      </c>
      <c r="P1675" s="11">
        <v>43.1328</v>
      </c>
      <c r="Q1675" s="8" t="s">
        <v>2637</v>
      </c>
      <c r="R1675" s="11">
        <v>-0.1948</v>
      </c>
      <c r="S1675" s="12">
        <v>9105507.0</v>
      </c>
      <c r="T1675" s="12">
        <v>3.78185401289E11</v>
      </c>
      <c r="U1675" s="13">
        <v>3.7242</v>
      </c>
      <c r="V1675" s="13">
        <v>7.261</v>
      </c>
      <c r="W1675" s="13">
        <v>8.8802</v>
      </c>
      <c r="X1675" s="13">
        <v>-4.6193</v>
      </c>
      <c r="Y1675" s="13">
        <v>0.2507</v>
      </c>
      <c r="Z1675" s="13">
        <v>1.1547</v>
      </c>
      <c r="AA1675" s="8" t="s">
        <v>2620</v>
      </c>
      <c r="AB1675" s="14">
        <f>IFERROR(__xludf.DUMMYFUNCTION("IFERROR(GOOGLEFINANCE(B1675,""price""),"""")"),188.55)</f>
        <v>188.55</v>
      </c>
    </row>
    <row r="1676">
      <c r="A1676" s="15">
        <v>46087.6258948789</v>
      </c>
      <c r="B1676" s="16" t="s">
        <v>3944</v>
      </c>
      <c r="C1676" s="16" t="s">
        <v>3945</v>
      </c>
      <c r="D1676" s="17">
        <v>46089.0</v>
      </c>
      <c r="E1676" s="18">
        <v>132.535</v>
      </c>
      <c r="F1676" s="16" t="s">
        <v>917</v>
      </c>
      <c r="G1676" s="21">
        <v>20.9963</v>
      </c>
      <c r="H1676" s="21">
        <v>6.3123</v>
      </c>
      <c r="I1676" s="17">
        <v>46101.0</v>
      </c>
      <c r="J1676" s="18">
        <v>130.0</v>
      </c>
      <c r="K1676" s="16">
        <v>9034.0</v>
      </c>
      <c r="L1676" s="16" t="s">
        <v>2608</v>
      </c>
      <c r="M1676" s="19">
        <v>1.91</v>
      </c>
      <c r="N1676" s="16" t="s">
        <v>4234</v>
      </c>
      <c r="O1676" s="16">
        <v>13226.0</v>
      </c>
      <c r="P1676" s="19">
        <v>30.2982</v>
      </c>
      <c r="Q1676" s="16" t="s">
        <v>3947</v>
      </c>
      <c r="R1676" s="19">
        <v>0.7028</v>
      </c>
      <c r="S1676" s="20">
        <v>3295409.0</v>
      </c>
      <c r="T1676" s="20">
        <v>1.03068613002E11</v>
      </c>
      <c r="U1676" s="21">
        <v>2.2452</v>
      </c>
      <c r="V1676" s="21">
        <v>9.7422</v>
      </c>
      <c r="W1676" s="21">
        <v>26.6061</v>
      </c>
      <c r="X1676" s="21">
        <v>6.193</v>
      </c>
      <c r="Y1676" s="21">
        <v>1.7574</v>
      </c>
      <c r="Z1676" s="21">
        <v>0.5518</v>
      </c>
      <c r="AA1676" s="16" t="s">
        <v>2611</v>
      </c>
      <c r="AB1676" s="22">
        <f>IFERROR(__xludf.DUMMYFUNCTION("IFERROR(GOOGLEFINANCE(B1676,""price""),"""")"),131.79)</f>
        <v>131.79</v>
      </c>
    </row>
    <row r="1677">
      <c r="A1677" s="7">
        <v>46087.6258948789</v>
      </c>
      <c r="B1677" s="8" t="s">
        <v>3697</v>
      </c>
      <c r="C1677" s="8" t="s">
        <v>3698</v>
      </c>
      <c r="D1677" s="9">
        <v>46089.0</v>
      </c>
      <c r="E1677" s="10">
        <v>49.345</v>
      </c>
      <c r="F1677" s="8" t="s">
        <v>917</v>
      </c>
      <c r="G1677" s="13">
        <v>18.0427</v>
      </c>
      <c r="H1677" s="13">
        <v>2.7349</v>
      </c>
      <c r="I1677" s="9">
        <v>46101.0</v>
      </c>
      <c r="J1677" s="10">
        <v>50.0</v>
      </c>
      <c r="K1677" s="8">
        <v>7788.0</v>
      </c>
      <c r="L1677" s="8" t="s">
        <v>2608</v>
      </c>
      <c r="M1677" s="11">
        <v>1.33</v>
      </c>
      <c r="N1677" s="8" t="s">
        <v>4235</v>
      </c>
      <c r="O1677" s="8">
        <v>11496.0</v>
      </c>
      <c r="P1677" s="11">
        <v>32.7217</v>
      </c>
      <c r="Q1677" s="8" t="s">
        <v>3700</v>
      </c>
      <c r="R1677" s="11">
        <v>1.179</v>
      </c>
      <c r="S1677" s="12">
        <v>7242463.0</v>
      </c>
      <c r="T1677" s="12">
        <v>5.0474634741E10</v>
      </c>
      <c r="U1677" s="13">
        <v>1.0115</v>
      </c>
      <c r="V1677" s="13">
        <v>9.9356</v>
      </c>
      <c r="W1677" s="13">
        <v>21.2054</v>
      </c>
      <c r="X1677" s="13">
        <v>5.3367</v>
      </c>
      <c r="Y1677" s="13">
        <v>1.7554</v>
      </c>
      <c r="Z1677" s="13">
        <v>0.924</v>
      </c>
      <c r="AA1677" s="8" t="s">
        <v>2620</v>
      </c>
      <c r="AB1677" s="14">
        <f>IFERROR(__xludf.DUMMYFUNCTION("IFERROR(GOOGLEFINANCE(B1677,""price""),"""")"),48.57)</f>
        <v>48.57</v>
      </c>
    </row>
    <row r="1678">
      <c r="A1678" s="15">
        <v>46087.6258948789</v>
      </c>
      <c r="B1678" s="16" t="s">
        <v>2399</v>
      </c>
      <c r="C1678" s="16" t="s">
        <v>2400</v>
      </c>
      <c r="D1678" s="17">
        <v>46089.0</v>
      </c>
      <c r="E1678" s="18">
        <v>18.665</v>
      </c>
      <c r="F1678" s="16" t="s">
        <v>270</v>
      </c>
      <c r="G1678" s="21">
        <v>15.4486</v>
      </c>
      <c r="H1678" s="21">
        <v>1.2082</v>
      </c>
      <c r="I1678" s="17">
        <v>46087.0</v>
      </c>
      <c r="J1678" s="18">
        <v>19.0</v>
      </c>
      <c r="K1678" s="16">
        <v>4921.0</v>
      </c>
      <c r="L1678" s="16" t="s">
        <v>2608</v>
      </c>
      <c r="M1678" s="19">
        <v>1.79</v>
      </c>
      <c r="N1678" s="16" t="s">
        <v>4236</v>
      </c>
      <c r="O1678" s="16">
        <v>10096.0</v>
      </c>
      <c r="P1678" s="19">
        <v>31.5223</v>
      </c>
      <c r="Q1678" s="16" t="s">
        <v>2401</v>
      </c>
      <c r="R1678" s="19">
        <v>-0.0268</v>
      </c>
      <c r="S1678" s="20">
        <v>1.4090209E7</v>
      </c>
      <c r="T1678" s="20">
        <v>6.421346953E10</v>
      </c>
      <c r="U1678" s="21">
        <v>0.3352</v>
      </c>
      <c r="V1678" s="21">
        <v>12.7475</v>
      </c>
      <c r="W1678" s="21">
        <v>10.8866</v>
      </c>
      <c r="X1678" s="21">
        <v>3.4655</v>
      </c>
      <c r="Y1678" s="21">
        <v>2.0395</v>
      </c>
      <c r="Z1678" s="21">
        <v>1.2192</v>
      </c>
      <c r="AA1678" s="16" t="s">
        <v>2620</v>
      </c>
      <c r="AB1678" s="22">
        <f>IFERROR(__xludf.DUMMYFUNCTION("IFERROR(GOOGLEFINANCE(B1678,""price""),"""")"),19.19)</f>
        <v>19.19</v>
      </c>
    </row>
    <row r="1679">
      <c r="A1679" s="7">
        <v>46087.6258948789</v>
      </c>
      <c r="B1679" s="8" t="s">
        <v>1467</v>
      </c>
      <c r="C1679" s="8" t="s">
        <v>1468</v>
      </c>
      <c r="D1679" s="9">
        <v>46089.0</v>
      </c>
      <c r="E1679" s="10">
        <v>132.52</v>
      </c>
      <c r="F1679" s="8" t="s">
        <v>102</v>
      </c>
      <c r="G1679" s="13">
        <v>24.9295</v>
      </c>
      <c r="H1679" s="13">
        <v>5.3158</v>
      </c>
      <c r="I1679" s="9">
        <v>46101.0</v>
      </c>
      <c r="J1679" s="10">
        <v>135.0</v>
      </c>
      <c r="K1679" s="8">
        <v>5356.0</v>
      </c>
      <c r="L1679" s="8" t="s">
        <v>2608</v>
      </c>
      <c r="M1679" s="11">
        <v>1.87</v>
      </c>
      <c r="N1679" s="8" t="s">
        <v>4237</v>
      </c>
      <c r="O1679" s="8">
        <v>8768.0</v>
      </c>
      <c r="P1679" s="11">
        <v>42.2042</v>
      </c>
      <c r="Q1679" s="8" t="s">
        <v>1469</v>
      </c>
      <c r="R1679" s="11">
        <v>-3.397</v>
      </c>
      <c r="S1679" s="12">
        <v>2380598.0</v>
      </c>
      <c r="T1679" s="12">
        <v>8.1111003472E10</v>
      </c>
      <c r="U1679" s="13">
        <v>3.8303</v>
      </c>
      <c r="V1679" s="13">
        <v>13.146</v>
      </c>
      <c r="W1679" s="13">
        <v>13.0805</v>
      </c>
      <c r="X1679" s="13">
        <v>-6.3935</v>
      </c>
      <c r="Y1679" s="13">
        <v>0.735</v>
      </c>
      <c r="Z1679" s="13">
        <v>0.9638</v>
      </c>
      <c r="AA1679" s="8" t="s">
        <v>2620</v>
      </c>
      <c r="AB1679" s="14">
        <f>IFERROR(__xludf.DUMMYFUNCTION("IFERROR(GOOGLEFINANCE(B1679,""price""),"""")"),142.53)</f>
        <v>142.53</v>
      </c>
    </row>
    <row r="1680">
      <c r="A1680" s="15">
        <v>46087.6258948789</v>
      </c>
      <c r="B1680" s="16" t="s">
        <v>1489</v>
      </c>
      <c r="C1680" s="16" t="s">
        <v>1490</v>
      </c>
      <c r="D1680" s="17">
        <v>46089.0</v>
      </c>
      <c r="E1680" s="18">
        <v>78.605</v>
      </c>
      <c r="F1680" s="16" t="s">
        <v>308</v>
      </c>
      <c r="G1680" s="21">
        <v>27.6506</v>
      </c>
      <c r="H1680" s="21">
        <v>2.8428</v>
      </c>
      <c r="I1680" s="17">
        <v>46087.0</v>
      </c>
      <c r="J1680" s="18">
        <v>80.0</v>
      </c>
      <c r="K1680" s="16">
        <v>3337.0</v>
      </c>
      <c r="L1680" s="16" t="s">
        <v>2608</v>
      </c>
      <c r="M1680" s="19">
        <v>1.77</v>
      </c>
      <c r="N1680" s="16" t="s">
        <v>4238</v>
      </c>
      <c r="O1680" s="16">
        <v>7935.0</v>
      </c>
      <c r="P1680" s="19">
        <v>19.1673</v>
      </c>
      <c r="Q1680" s="16" t="s">
        <v>1491</v>
      </c>
      <c r="R1680" s="19">
        <v>-1.756</v>
      </c>
      <c r="S1680" s="20">
        <v>1.3801738E7</v>
      </c>
      <c r="T1680" s="20">
        <v>3.10481352775E11</v>
      </c>
      <c r="U1680" s="21">
        <v>2.1427</v>
      </c>
      <c r="V1680" s="21">
        <v>24.3402</v>
      </c>
      <c r="W1680" s="21">
        <v>23.6377</v>
      </c>
      <c r="X1680" s="21">
        <v>9.004</v>
      </c>
      <c r="Y1680" s="21">
        <v>0.6651</v>
      </c>
      <c r="Z1680" s="21">
        <v>0.9142</v>
      </c>
      <c r="AA1680" s="16" t="s">
        <v>2620</v>
      </c>
      <c r="AB1680" s="22">
        <f>IFERROR(__xludf.DUMMYFUNCTION("IFERROR(GOOGLEFINANCE(B1680,""price""),"""")"),82.22)</f>
        <v>82.22</v>
      </c>
    </row>
    <row r="1681">
      <c r="A1681" s="7">
        <v>46087.6258948789</v>
      </c>
      <c r="B1681" s="8" t="s">
        <v>2616</v>
      </c>
      <c r="C1681" s="8" t="s">
        <v>2617</v>
      </c>
      <c r="D1681" s="9">
        <v>46089.0</v>
      </c>
      <c r="E1681" s="10">
        <v>77.135</v>
      </c>
      <c r="F1681" s="8" t="s">
        <v>286</v>
      </c>
      <c r="G1681" s="13">
        <v>25.3859</v>
      </c>
      <c r="H1681" s="13">
        <v>3.0385</v>
      </c>
      <c r="I1681" s="9">
        <v>46087.0</v>
      </c>
      <c r="J1681" s="10">
        <v>78.0</v>
      </c>
      <c r="K1681" s="8">
        <v>2154.0</v>
      </c>
      <c r="L1681" s="8" t="s">
        <v>2608</v>
      </c>
      <c r="M1681" s="11">
        <v>1.12</v>
      </c>
      <c r="N1681" s="8" t="s">
        <v>4239</v>
      </c>
      <c r="O1681" s="8">
        <v>7403.0</v>
      </c>
      <c r="P1681" s="11">
        <v>32.5952</v>
      </c>
      <c r="Q1681" s="8" t="s">
        <v>2619</v>
      </c>
      <c r="R1681" s="11">
        <v>0.1363</v>
      </c>
      <c r="S1681" s="12">
        <v>7385903.0</v>
      </c>
      <c r="T1681" s="12">
        <v>3.31736274496E11</v>
      </c>
      <c r="U1681" s="13">
        <v>1.3089</v>
      </c>
      <c r="V1681" s="13">
        <v>45.9693</v>
      </c>
      <c r="W1681" s="13">
        <v>31.3688</v>
      </c>
      <c r="X1681" s="13">
        <v>3.4769</v>
      </c>
      <c r="Y1681" s="13">
        <v>1.4577</v>
      </c>
      <c r="Z1681" s="13">
        <v>1.4588</v>
      </c>
      <c r="AA1681" s="8" t="s">
        <v>2620</v>
      </c>
      <c r="AB1681" s="14">
        <f>IFERROR(__xludf.DUMMYFUNCTION("IFERROR(GOOGLEFINANCE(B1681,""price""),"""")"),77.47)</f>
        <v>77.47</v>
      </c>
    </row>
    <row r="1682">
      <c r="A1682" s="15">
        <v>46087.6258948789</v>
      </c>
      <c r="B1682" s="16" t="s">
        <v>2646</v>
      </c>
      <c r="C1682" s="16" t="s">
        <v>2647</v>
      </c>
      <c r="D1682" s="17">
        <v>46089.0</v>
      </c>
      <c r="E1682" s="18">
        <v>37.485</v>
      </c>
      <c r="F1682" s="16" t="s">
        <v>270</v>
      </c>
      <c r="G1682" s="21">
        <v>14.1549</v>
      </c>
      <c r="H1682" s="21">
        <v>2.6482</v>
      </c>
      <c r="I1682" s="17">
        <v>46087.0</v>
      </c>
      <c r="J1682" s="18">
        <v>38.0</v>
      </c>
      <c r="K1682" s="16">
        <v>3500.0</v>
      </c>
      <c r="L1682" s="16" t="s">
        <v>2608</v>
      </c>
      <c r="M1682" s="19">
        <v>1.37</v>
      </c>
      <c r="N1682" s="16" t="s">
        <v>4240</v>
      </c>
      <c r="O1682" s="16">
        <v>6047.0</v>
      </c>
      <c r="P1682" s="19">
        <v>41.7212</v>
      </c>
      <c r="Q1682" s="16" t="s">
        <v>2649</v>
      </c>
      <c r="R1682" s="19">
        <v>0.5229</v>
      </c>
      <c r="S1682" s="20">
        <v>3487145.0</v>
      </c>
      <c r="T1682" s="20">
        <v>8.103360341E10</v>
      </c>
      <c r="U1682" s="21">
        <v>0.6839</v>
      </c>
      <c r="V1682" s="21">
        <v>19.6987</v>
      </c>
      <c r="W1682" s="21">
        <v>12.3812</v>
      </c>
      <c r="X1682" s="21">
        <v>-6.474</v>
      </c>
      <c r="Y1682" s="21">
        <v>1.1744</v>
      </c>
      <c r="Z1682" s="21">
        <v>1.0411</v>
      </c>
      <c r="AA1682" s="16" t="s">
        <v>2620</v>
      </c>
      <c r="AB1682" s="22">
        <f>IFERROR(__xludf.DUMMYFUNCTION("IFERROR(GOOGLEFINANCE(B1682,""price""),"""")"),37.35)</f>
        <v>37.35</v>
      </c>
    </row>
    <row r="1683">
      <c r="A1683" s="7">
        <v>46087.6258948789</v>
      </c>
      <c r="B1683" s="8" t="s">
        <v>3463</v>
      </c>
      <c r="C1683" s="8" t="s">
        <v>3464</v>
      </c>
      <c r="D1683" s="9">
        <v>46089.0</v>
      </c>
      <c r="E1683" s="10">
        <v>61.79</v>
      </c>
      <c r="F1683" s="8" t="s">
        <v>245</v>
      </c>
      <c r="G1683" s="13">
        <v>18.6468</v>
      </c>
      <c r="H1683" s="13">
        <v>3.3137</v>
      </c>
      <c r="I1683" s="9">
        <v>46087.0</v>
      </c>
      <c r="J1683" s="10">
        <v>61.0</v>
      </c>
      <c r="K1683" s="8">
        <v>2848.0</v>
      </c>
      <c r="L1683" s="8" t="s">
        <v>2608</v>
      </c>
      <c r="M1683" s="11">
        <v>1.28</v>
      </c>
      <c r="N1683" s="8" t="s">
        <v>4241</v>
      </c>
      <c r="O1683" s="8">
        <v>5336.0</v>
      </c>
      <c r="P1683" s="11">
        <v>30.3991</v>
      </c>
      <c r="Q1683" s="8" t="s">
        <v>3466</v>
      </c>
      <c r="R1683" s="11">
        <v>0.1946</v>
      </c>
      <c r="S1683" s="12">
        <v>5609910.0</v>
      </c>
      <c r="T1683" s="12">
        <v>3.85738885E10</v>
      </c>
      <c r="U1683" s="13">
        <v>1.8679</v>
      </c>
      <c r="V1683" s="13">
        <v>9.1961</v>
      </c>
      <c r="W1683" s="13">
        <v>35.6577</v>
      </c>
      <c r="X1683" s="13">
        <v>59.9561</v>
      </c>
      <c r="Y1683" s="13">
        <v>0.3357</v>
      </c>
      <c r="Z1683" s="13">
        <v>0.7627</v>
      </c>
      <c r="AA1683" s="8" t="s">
        <v>2611</v>
      </c>
      <c r="AB1683" s="14">
        <f>IFERROR(__xludf.DUMMYFUNCTION("IFERROR(GOOGLEFINANCE(B1683,""price""),"""")"),58.68)</f>
        <v>58.68</v>
      </c>
    </row>
    <row r="1684">
      <c r="A1684" s="15">
        <v>46087.6258948789</v>
      </c>
      <c r="B1684" s="16" t="s">
        <v>2804</v>
      </c>
      <c r="C1684" s="16" t="s">
        <v>2805</v>
      </c>
      <c r="D1684" s="17">
        <v>46089.0</v>
      </c>
      <c r="E1684" s="18">
        <v>122.6035</v>
      </c>
      <c r="F1684" s="16" t="s">
        <v>308</v>
      </c>
      <c r="G1684" s="21">
        <v>66.6722</v>
      </c>
      <c r="H1684" s="21">
        <v>1.8389</v>
      </c>
      <c r="I1684" s="17">
        <v>46087.0</v>
      </c>
      <c r="J1684" s="18">
        <v>124.0</v>
      </c>
      <c r="K1684" s="16">
        <v>5088.0</v>
      </c>
      <c r="L1684" s="16" t="s">
        <v>2627</v>
      </c>
      <c r="M1684" s="19">
        <v>1.14</v>
      </c>
      <c r="N1684" s="16" t="s">
        <v>4242</v>
      </c>
      <c r="O1684" s="16">
        <v>5088.0</v>
      </c>
      <c r="P1684" s="19">
        <v>41.1298</v>
      </c>
      <c r="Q1684" s="16" t="s">
        <v>2807</v>
      </c>
      <c r="R1684" s="19">
        <v>-9.0074</v>
      </c>
      <c r="S1684" s="20">
        <v>1.5479259E7</v>
      </c>
      <c r="T1684" s="20">
        <v>1.05187428616E11</v>
      </c>
      <c r="U1684" s="21">
        <v>8.9412</v>
      </c>
      <c r="V1684" s="21">
        <v>14.1911</v>
      </c>
      <c r="W1684" s="21">
        <v>15.3241</v>
      </c>
      <c r="X1684" s="21">
        <v>19.1416</v>
      </c>
      <c r="Y1684" s="21">
        <v>0.7942</v>
      </c>
      <c r="Z1684" s="21">
        <v>1.5878</v>
      </c>
      <c r="AA1684" s="16" t="s">
        <v>2620</v>
      </c>
      <c r="AB1684" s="22">
        <f>IFERROR(__xludf.DUMMYFUNCTION("IFERROR(GOOGLEFINANCE(B1684,""price""),"""")"),171.24)</f>
        <v>171.24</v>
      </c>
    </row>
    <row r="1685">
      <c r="A1685" s="7">
        <v>46087.6258948789</v>
      </c>
      <c r="B1685" s="8" t="s">
        <v>3684</v>
      </c>
      <c r="C1685" s="8" t="s">
        <v>3685</v>
      </c>
      <c r="D1685" s="9">
        <v>46089.0</v>
      </c>
      <c r="E1685" s="10">
        <v>38.575</v>
      </c>
      <c r="F1685" s="8" t="s">
        <v>917</v>
      </c>
      <c r="G1685" s="13">
        <v>24.2962</v>
      </c>
      <c r="H1685" s="13">
        <v>1.5877</v>
      </c>
      <c r="I1685" s="9">
        <v>46101.0</v>
      </c>
      <c r="J1685" s="10">
        <v>38.0</v>
      </c>
      <c r="K1685" s="8">
        <v>2708.0</v>
      </c>
      <c r="L1685" s="8" t="s">
        <v>2608</v>
      </c>
      <c r="M1685" s="11">
        <v>1.49</v>
      </c>
      <c r="N1685" s="8" t="s">
        <v>4243</v>
      </c>
      <c r="O1685" s="8">
        <v>4722.0</v>
      </c>
      <c r="P1685" s="11">
        <v>22.4595</v>
      </c>
      <c r="Q1685" s="8" t="s">
        <v>3687</v>
      </c>
      <c r="R1685" s="11">
        <v>1.6201</v>
      </c>
      <c r="S1685" s="12">
        <v>1.0255759E7</v>
      </c>
      <c r="T1685" s="12">
        <v>2.8981660026E10</v>
      </c>
      <c r="U1685" s="13">
        <v>0.8098</v>
      </c>
      <c r="V1685" s="13">
        <v>8.1497</v>
      </c>
      <c r="W1685" s="13">
        <v>23.6452</v>
      </c>
      <c r="X1685" s="13">
        <v>6.8542</v>
      </c>
      <c r="Y1685" s="13">
        <v>1.3003</v>
      </c>
      <c r="Z1685" s="13">
        <v>0.8647</v>
      </c>
      <c r="AA1685" s="8" t="s">
        <v>2611</v>
      </c>
      <c r="AB1685" s="14">
        <f>IFERROR(__xludf.DUMMYFUNCTION("IFERROR(GOOGLEFINANCE(B1685,""price""),"""")"),39.65)</f>
        <v>39.65</v>
      </c>
    </row>
    <row r="1686">
      <c r="A1686" s="15">
        <v>46087.6258948789</v>
      </c>
      <c r="B1686" s="16" t="s">
        <v>2621</v>
      </c>
      <c r="C1686" s="16" t="s">
        <v>2622</v>
      </c>
      <c r="D1686" s="17">
        <v>46089.0</v>
      </c>
      <c r="E1686" s="18">
        <v>59.05</v>
      </c>
      <c r="F1686" s="16" t="s">
        <v>335</v>
      </c>
      <c r="G1686" s="21">
        <v>39.0026</v>
      </c>
      <c r="H1686" s="21">
        <v>1.514</v>
      </c>
      <c r="I1686" s="17">
        <v>46087.0</v>
      </c>
      <c r="J1686" s="18">
        <v>60.0</v>
      </c>
      <c r="K1686" s="16">
        <v>2683.0</v>
      </c>
      <c r="L1686" s="16" t="s">
        <v>2627</v>
      </c>
      <c r="M1686" s="19">
        <v>1.61</v>
      </c>
      <c r="N1686" s="16" t="s">
        <v>4244</v>
      </c>
      <c r="O1686" s="16">
        <v>4531.0</v>
      </c>
      <c r="P1686" s="19">
        <v>24.8034</v>
      </c>
      <c r="Q1686" s="16" t="s">
        <v>2624</v>
      </c>
      <c r="R1686" s="19">
        <v>-5.7613</v>
      </c>
      <c r="S1686" s="20">
        <v>1.7100701E7</v>
      </c>
      <c r="T1686" s="20">
        <v>8.4866757825E10</v>
      </c>
      <c r="U1686" s="21">
        <v>3.1873</v>
      </c>
      <c r="V1686" s="21">
        <v>11.9792</v>
      </c>
      <c r="W1686" s="21">
        <v>22.7913</v>
      </c>
      <c r="X1686" s="21">
        <v>-0.0477</v>
      </c>
      <c r="Y1686" s="21">
        <v>0.5552</v>
      </c>
      <c r="Z1686" s="21">
        <v>2.2911</v>
      </c>
      <c r="AA1686" s="16" t="s">
        <v>2620</v>
      </c>
      <c r="AB1686" s="22">
        <f>IFERROR(__xludf.DUMMYFUNCTION("IFERROR(GOOGLEFINANCE(B1686,""price""),"""")"),67.8)</f>
        <v>67.8</v>
      </c>
    </row>
    <row r="1687">
      <c r="A1687" s="7">
        <v>46087.6258948789</v>
      </c>
      <c r="B1687" s="8" t="s">
        <v>2692</v>
      </c>
      <c r="C1687" s="8" t="s">
        <v>2693</v>
      </c>
      <c r="D1687" s="9">
        <v>46089.0</v>
      </c>
      <c r="E1687" s="10">
        <v>240.39</v>
      </c>
      <c r="F1687" s="8" t="s">
        <v>117</v>
      </c>
      <c r="G1687" s="13">
        <v>21.763</v>
      </c>
      <c r="H1687" s="13">
        <v>11.0458</v>
      </c>
      <c r="I1687" s="9">
        <v>46087.0</v>
      </c>
      <c r="J1687" s="10">
        <v>240.0</v>
      </c>
      <c r="K1687" s="8">
        <v>2800.0</v>
      </c>
      <c r="L1687" s="8" t="s">
        <v>2627</v>
      </c>
      <c r="M1687" s="11">
        <v>0.16</v>
      </c>
      <c r="N1687" s="8" t="s">
        <v>4245</v>
      </c>
      <c r="O1687" s="8">
        <v>4164.0</v>
      </c>
      <c r="P1687" s="11">
        <v>33.4959</v>
      </c>
      <c r="Q1687" s="8" t="s">
        <v>2695</v>
      </c>
      <c r="R1687" s="11">
        <v>0.3172</v>
      </c>
      <c r="S1687" s="12">
        <v>4411688.0</v>
      </c>
      <c r="T1687" s="12">
        <v>5.79315614573E11</v>
      </c>
      <c r="U1687" s="13">
        <v>4.3931</v>
      </c>
      <c r="V1687" s="13">
        <v>35.0301</v>
      </c>
      <c r="W1687" s="13">
        <v>27.2081</v>
      </c>
      <c r="X1687" s="13">
        <v>6.046</v>
      </c>
      <c r="Y1687" s="13">
        <v>0.605</v>
      </c>
      <c r="Z1687" s="13">
        <v>1.0277</v>
      </c>
      <c r="AA1687" s="8" t="s">
        <v>2611</v>
      </c>
      <c r="AB1687" s="14">
        <f>IFERROR(__xludf.DUMMYFUNCTION("IFERROR(GOOGLEFINANCE(B1687,""price""),"""")"),238.46)</f>
        <v>238.46</v>
      </c>
    </row>
    <row r="1688">
      <c r="A1688" s="15">
        <v>46087.6258948789</v>
      </c>
      <c r="B1688" s="16" t="s">
        <v>2710</v>
      </c>
      <c r="C1688" s="16" t="s">
        <v>2711</v>
      </c>
      <c r="D1688" s="17">
        <v>46089.0</v>
      </c>
      <c r="E1688" s="18">
        <v>132.27</v>
      </c>
      <c r="F1688" s="16" t="s">
        <v>917</v>
      </c>
      <c r="G1688" s="21">
        <v>19.8607</v>
      </c>
      <c r="H1688" s="21">
        <v>6.6599</v>
      </c>
      <c r="I1688" s="17">
        <v>46101.0</v>
      </c>
      <c r="J1688" s="18">
        <v>130.0</v>
      </c>
      <c r="K1688" s="16">
        <v>2716.0</v>
      </c>
      <c r="L1688" s="16" t="s">
        <v>2608</v>
      </c>
      <c r="M1688" s="19">
        <v>1.72</v>
      </c>
      <c r="N1688" s="16" t="s">
        <v>4213</v>
      </c>
      <c r="O1688" s="16">
        <v>2716.0</v>
      </c>
      <c r="P1688" s="19">
        <v>42.0974</v>
      </c>
      <c r="Q1688" s="16" t="s">
        <v>2713</v>
      </c>
      <c r="R1688" s="19">
        <v>0.1742</v>
      </c>
      <c r="S1688" s="20">
        <v>3074259.0</v>
      </c>
      <c r="T1688" s="20">
        <v>7.1539748453E10</v>
      </c>
      <c r="U1688" s="21">
        <v>2.5651</v>
      </c>
      <c r="V1688" s="21">
        <v>12.3274</v>
      </c>
      <c r="W1688" s="21">
        <v>25.0742</v>
      </c>
      <c r="X1688" s="21">
        <v>10.4587</v>
      </c>
      <c r="Y1688" s="21">
        <v>1.5949</v>
      </c>
      <c r="Z1688" s="21">
        <v>0.4546</v>
      </c>
      <c r="AA1688" s="16" t="s">
        <v>2611</v>
      </c>
      <c r="AB1688" s="22">
        <f>IFERROR(__xludf.DUMMYFUNCTION("IFERROR(GOOGLEFINANCE(B1688,""price""),"""")"),136.3)</f>
        <v>136.3</v>
      </c>
    </row>
    <row r="1689">
      <c r="A1689" s="7">
        <v>46087.6258948789</v>
      </c>
      <c r="B1689" s="8" t="s">
        <v>2843</v>
      </c>
      <c r="C1689" s="8" t="s">
        <v>2844</v>
      </c>
      <c r="D1689" s="9">
        <v>46089.0</v>
      </c>
      <c r="E1689" s="10">
        <v>209.02</v>
      </c>
      <c r="F1689" s="8" t="s">
        <v>308</v>
      </c>
      <c r="G1689" s="13">
        <v>42.1207</v>
      </c>
      <c r="H1689" s="13">
        <v>4.9624</v>
      </c>
      <c r="I1689" s="9">
        <v>46087.0</v>
      </c>
      <c r="J1689" s="10">
        <v>210.0</v>
      </c>
      <c r="K1689" s="8">
        <v>1406.0</v>
      </c>
      <c r="L1689" s="8" t="s">
        <v>2608</v>
      </c>
      <c r="M1689" s="11">
        <v>0.47</v>
      </c>
      <c r="N1689" s="8" t="s">
        <v>4246</v>
      </c>
      <c r="O1689" s="8">
        <v>2470.0</v>
      </c>
      <c r="P1689" s="11">
        <v>22.4934</v>
      </c>
      <c r="Q1689" s="8" t="s">
        <v>2846</v>
      </c>
      <c r="R1689" s="11">
        <v>2.5311</v>
      </c>
      <c r="S1689" s="12">
        <v>5113467.0</v>
      </c>
      <c r="T1689" s="12">
        <v>2.80564954502E11</v>
      </c>
      <c r="U1689" s="13">
        <v>5.8035</v>
      </c>
      <c r="V1689" s="13">
        <v>10.7368</v>
      </c>
      <c r="W1689" s="13">
        <v>10.0301</v>
      </c>
      <c r="X1689" s="13">
        <v>9.7414</v>
      </c>
      <c r="Y1689" s="13">
        <v>0.6124</v>
      </c>
      <c r="Z1689" s="13">
        <v>0.9804</v>
      </c>
      <c r="AA1689" s="8" t="s">
        <v>2620</v>
      </c>
      <c r="AB1689" s="14">
        <f>IFERROR(__xludf.DUMMYFUNCTION("IFERROR(GOOGLEFINANCE(B1689,""price""),"""")"),201.56)</f>
        <v>201.56</v>
      </c>
    </row>
    <row r="1690">
      <c r="A1690" s="15">
        <v>46087.6258948789</v>
      </c>
      <c r="B1690" s="16" t="s">
        <v>3802</v>
      </c>
      <c r="C1690" s="16" t="s">
        <v>3803</v>
      </c>
      <c r="D1690" s="17">
        <v>46089.0</v>
      </c>
      <c r="E1690" s="18">
        <v>47.18</v>
      </c>
      <c r="F1690" s="16" t="s">
        <v>270</v>
      </c>
      <c r="G1690" s="21"/>
      <c r="H1690" s="21"/>
      <c r="I1690" s="17">
        <v>46101.0</v>
      </c>
      <c r="J1690" s="18">
        <v>48.0</v>
      </c>
      <c r="K1690" s="16">
        <v>2416.0</v>
      </c>
      <c r="L1690" s="16" t="s">
        <v>2608</v>
      </c>
      <c r="M1690" s="19">
        <v>1.74</v>
      </c>
      <c r="N1690" s="16" t="s">
        <v>4247</v>
      </c>
      <c r="O1690" s="16">
        <v>2416.0</v>
      </c>
      <c r="P1690" s="19">
        <v>28.4056</v>
      </c>
      <c r="Q1690" s="16" t="s">
        <v>3805</v>
      </c>
      <c r="R1690" s="19">
        <v>2.0108</v>
      </c>
      <c r="S1690" s="20">
        <v>2633562.0</v>
      </c>
      <c r="T1690" s="20">
        <v>4.936088355E9</v>
      </c>
      <c r="U1690" s="21">
        <v>1.4467</v>
      </c>
      <c r="V1690" s="21">
        <v>3.4054</v>
      </c>
      <c r="W1690" s="21">
        <v>34.4448</v>
      </c>
      <c r="X1690" s="21">
        <v>51.1384</v>
      </c>
      <c r="Y1690" s="21">
        <v>1.4965</v>
      </c>
      <c r="Z1690" s="21">
        <v>2.5453</v>
      </c>
      <c r="AA1690" s="16" t="s">
        <v>2620</v>
      </c>
      <c r="AB1690" s="22">
        <f>IFERROR(__xludf.DUMMYFUNCTION("IFERROR(GOOGLEFINANCE(B1690,""price""),"""")"),53.28)</f>
        <v>53.28</v>
      </c>
    </row>
    <row r="1691">
      <c r="A1691" s="7">
        <v>46087.6258948789</v>
      </c>
      <c r="B1691" s="8" t="s">
        <v>1570</v>
      </c>
      <c r="C1691" s="8" t="s">
        <v>1571</v>
      </c>
      <c r="D1691" s="9">
        <v>46089.0</v>
      </c>
      <c r="E1691" s="10">
        <v>50.92</v>
      </c>
      <c r="F1691" s="8" t="s">
        <v>917</v>
      </c>
      <c r="G1691" s="13">
        <v>28.8548</v>
      </c>
      <c r="H1691" s="13">
        <v>1.7647</v>
      </c>
      <c r="I1691" s="9">
        <v>46101.0</v>
      </c>
      <c r="J1691" s="10">
        <v>50.0</v>
      </c>
      <c r="K1691" s="8">
        <v>2312.0</v>
      </c>
      <c r="L1691" s="8" t="s">
        <v>2608</v>
      </c>
      <c r="M1691" s="11">
        <v>1.81</v>
      </c>
      <c r="N1691" s="8" t="s">
        <v>4222</v>
      </c>
      <c r="O1691" s="8">
        <v>2312.0</v>
      </c>
      <c r="P1691" s="11">
        <v>35.0315</v>
      </c>
      <c r="Q1691" s="8" t="s">
        <v>1572</v>
      </c>
      <c r="R1691" s="11">
        <v>1.1924</v>
      </c>
      <c r="S1691" s="12">
        <v>2649903.0</v>
      </c>
      <c r="T1691" s="12">
        <v>2.9428341121E10</v>
      </c>
      <c r="U1691" s="13">
        <v>0.9269</v>
      </c>
      <c r="V1691" s="13">
        <v>8.1714</v>
      </c>
      <c r="W1691" s="13">
        <v>18.774</v>
      </c>
      <c r="X1691" s="13">
        <v>12.0101</v>
      </c>
      <c r="Y1691" s="13">
        <v>2.1457</v>
      </c>
      <c r="Z1691" s="13">
        <v>0.5652</v>
      </c>
      <c r="AA1691" s="8" t="s">
        <v>2611</v>
      </c>
      <c r="AB1691" s="14">
        <f>IFERROR(__xludf.DUMMYFUNCTION("IFERROR(GOOGLEFINANCE(B1691,""price""),"""")"),51.43)</f>
        <v>51.43</v>
      </c>
    </row>
    <row r="1692">
      <c r="A1692" s="15">
        <v>46087.6258948789</v>
      </c>
      <c r="B1692" s="16" t="s">
        <v>3829</v>
      </c>
      <c r="C1692" s="16" t="s">
        <v>3830</v>
      </c>
      <c r="D1692" s="17">
        <v>46089.0</v>
      </c>
      <c r="E1692" s="18">
        <v>88.3301</v>
      </c>
      <c r="F1692" s="16" t="s">
        <v>308</v>
      </c>
      <c r="G1692" s="21">
        <v>52.5555</v>
      </c>
      <c r="H1692" s="21">
        <v>1.6807</v>
      </c>
      <c r="I1692" s="17">
        <v>46101.0</v>
      </c>
      <c r="J1692" s="18">
        <v>90.0</v>
      </c>
      <c r="K1692" s="16">
        <v>2289.0</v>
      </c>
      <c r="L1692" s="16" t="s">
        <v>2608</v>
      </c>
      <c r="M1692" s="19">
        <v>1.89</v>
      </c>
      <c r="N1692" s="16" t="s">
        <v>4248</v>
      </c>
      <c r="O1692" s="16">
        <v>2289.0</v>
      </c>
      <c r="P1692" s="19">
        <v>21.298</v>
      </c>
      <c r="Q1692" s="16" t="s">
        <v>3832</v>
      </c>
      <c r="R1692" s="19">
        <v>-10.7326</v>
      </c>
      <c r="S1692" s="20">
        <v>1551522.0</v>
      </c>
      <c r="T1692" s="20">
        <v>9.133766862E9</v>
      </c>
      <c r="U1692" s="21">
        <v>8.0542</v>
      </c>
      <c r="V1692" s="21">
        <v>10.6701</v>
      </c>
      <c r="W1692" s="21">
        <v>9.0659</v>
      </c>
      <c r="X1692" s="21">
        <v>18.9783</v>
      </c>
      <c r="Y1692" s="21">
        <v>0.5842</v>
      </c>
      <c r="Z1692" s="21">
        <v>1.9283</v>
      </c>
      <c r="AA1692" s="16" t="s">
        <v>2620</v>
      </c>
      <c r="AB1692" s="22">
        <f>IFERROR(__xludf.DUMMYFUNCTION("IFERROR(GOOGLEFINANCE(B1692,""price""),"""")"),121.49)</f>
        <v>121.49</v>
      </c>
    </row>
    <row r="1693">
      <c r="A1693" s="7">
        <v>46087.6258948789</v>
      </c>
      <c r="B1693" s="8" t="s">
        <v>3141</v>
      </c>
      <c r="C1693" s="8" t="s">
        <v>3142</v>
      </c>
      <c r="D1693" s="9">
        <v>46089.0</v>
      </c>
      <c r="E1693" s="10">
        <v>327.395</v>
      </c>
      <c r="F1693" s="8" t="s">
        <v>93</v>
      </c>
      <c r="G1693" s="13">
        <v>12.7285</v>
      </c>
      <c r="H1693" s="13">
        <v>25.7215</v>
      </c>
      <c r="I1693" s="9">
        <v>46101.0</v>
      </c>
      <c r="J1693" s="10">
        <v>330.0</v>
      </c>
      <c r="K1693" s="8">
        <v>2188.0</v>
      </c>
      <c r="L1693" s="8" t="s">
        <v>2608</v>
      </c>
      <c r="M1693" s="11">
        <v>0.8</v>
      </c>
      <c r="N1693" s="8" t="s">
        <v>4249</v>
      </c>
      <c r="O1693" s="8">
        <v>2188.0</v>
      </c>
      <c r="P1693" s="11">
        <v>31.4641</v>
      </c>
      <c r="Q1693" s="8" t="s">
        <v>3144</v>
      </c>
      <c r="R1693" s="11">
        <v>-1.5235</v>
      </c>
      <c r="S1693" s="12">
        <v>1405230.0</v>
      </c>
      <c r="T1693" s="12">
        <v>1.27735302099E11</v>
      </c>
      <c r="U1693" s="13">
        <v>6.5678</v>
      </c>
      <c r="V1693" s="13">
        <v>14.9661</v>
      </c>
      <c r="W1693" s="13">
        <v>21.219</v>
      </c>
      <c r="X1693" s="13">
        <v>6.9804</v>
      </c>
      <c r="Y1693" s="13">
        <v>0.3008</v>
      </c>
      <c r="Z1693" s="13">
        <v>0.3807</v>
      </c>
      <c r="AA1693" s="8" t="s">
        <v>2620</v>
      </c>
      <c r="AB1693" s="14">
        <f>IFERROR(__xludf.DUMMYFUNCTION("IFERROR(GOOGLEFINANCE(B1693,""price""),"""")"),327.91)</f>
        <v>327.91</v>
      </c>
    </row>
    <row r="1694">
      <c r="A1694" s="15">
        <v>46087.6258948789</v>
      </c>
      <c r="B1694" s="16" t="s">
        <v>3039</v>
      </c>
      <c r="C1694" s="16" t="s">
        <v>3040</v>
      </c>
      <c r="D1694" s="17">
        <v>46089.0</v>
      </c>
      <c r="E1694" s="18">
        <v>273.152</v>
      </c>
      <c r="F1694" s="16" t="s">
        <v>308</v>
      </c>
      <c r="G1694" s="21">
        <v>78.4243</v>
      </c>
      <c r="H1694" s="21">
        <v>3.483</v>
      </c>
      <c r="I1694" s="17">
        <v>46087.0</v>
      </c>
      <c r="J1694" s="18">
        <v>275.0</v>
      </c>
      <c r="K1694" s="16">
        <v>2075.0</v>
      </c>
      <c r="L1694" s="16" t="s">
        <v>2627</v>
      </c>
      <c r="M1694" s="19">
        <v>0.68</v>
      </c>
      <c r="N1694" s="16" t="s">
        <v>4250</v>
      </c>
      <c r="O1694" s="16">
        <v>2075.0</v>
      </c>
      <c r="P1694" s="19">
        <v>47.0143</v>
      </c>
      <c r="Q1694" s="16" t="s">
        <v>3042</v>
      </c>
      <c r="R1694" s="19">
        <v>-10.612</v>
      </c>
      <c r="S1694" s="20">
        <v>3475114.0</v>
      </c>
      <c r="T1694" s="20">
        <v>4.2763570062E10</v>
      </c>
      <c r="U1694" s="21">
        <v>18.1396</v>
      </c>
      <c r="V1694" s="21">
        <v>19.7343</v>
      </c>
      <c r="W1694" s="21">
        <v>21.7232</v>
      </c>
      <c r="X1694" s="21">
        <v>13.2697</v>
      </c>
      <c r="Y1694" s="21">
        <v>0.1013</v>
      </c>
      <c r="Z1694" s="21">
        <v>1.7479</v>
      </c>
      <c r="AA1694" s="16" t="s">
        <v>2620</v>
      </c>
      <c r="AB1694" s="22">
        <f>IFERROR(__xludf.DUMMYFUNCTION("IFERROR(GOOGLEFINANCE(B1694,""price""),"""")"),367.99)</f>
        <v>367.99</v>
      </c>
    </row>
    <row r="1695">
      <c r="A1695" s="7">
        <v>46087.6258948789</v>
      </c>
      <c r="B1695" s="8" t="s">
        <v>2226</v>
      </c>
      <c r="C1695" s="8" t="s">
        <v>2227</v>
      </c>
      <c r="D1695" s="9">
        <v>46089.0</v>
      </c>
      <c r="E1695" s="10">
        <v>185.97</v>
      </c>
      <c r="F1695" s="8" t="s">
        <v>102</v>
      </c>
      <c r="G1695" s="13">
        <v>103.2478</v>
      </c>
      <c r="H1695" s="13">
        <v>1.8012</v>
      </c>
      <c r="I1695" s="9">
        <v>46101.0</v>
      </c>
      <c r="J1695" s="10">
        <v>185.0</v>
      </c>
      <c r="K1695" s="8">
        <v>1640.0</v>
      </c>
      <c r="L1695" s="8" t="s">
        <v>2627</v>
      </c>
      <c r="M1695" s="11">
        <v>0.52</v>
      </c>
      <c r="N1695" s="8" t="s">
        <v>4251</v>
      </c>
      <c r="O1695" s="8">
        <v>1640.0</v>
      </c>
      <c r="P1695" s="11">
        <v>42.3883</v>
      </c>
      <c r="Q1695" s="8" t="s">
        <v>2228</v>
      </c>
      <c r="R1695" s="11">
        <v>-9.181</v>
      </c>
      <c r="S1695" s="12">
        <v>1195929.0</v>
      </c>
      <c r="T1695" s="12">
        <v>9.806420268E9</v>
      </c>
      <c r="U1695" s="13">
        <v>14.3797</v>
      </c>
      <c r="V1695" s="13">
        <v>9.8943</v>
      </c>
      <c r="W1695" s="13">
        <v>11.9211</v>
      </c>
      <c r="X1695" s="13">
        <v>13.1546</v>
      </c>
      <c r="Y1695" s="13">
        <v>0.6713</v>
      </c>
      <c r="Z1695" s="13">
        <v>2.1867</v>
      </c>
      <c r="AA1695" s="8" t="s">
        <v>2611</v>
      </c>
      <c r="AB1695" s="14">
        <f>IFERROR(__xludf.DUMMYFUNCTION("IFERROR(GOOGLEFINANCE(B1695,""price""),"""")"),241.46)</f>
        <v>241.46</v>
      </c>
    </row>
    <row r="1696">
      <c r="A1696" s="15">
        <v>46087.6258948789</v>
      </c>
      <c r="B1696" s="16" t="s">
        <v>4252</v>
      </c>
      <c r="C1696" s="16" t="s">
        <v>4253</v>
      </c>
      <c r="D1696" s="17">
        <v>46089.0</v>
      </c>
      <c r="E1696" s="18">
        <v>100.04</v>
      </c>
      <c r="F1696" s="16" t="s">
        <v>102</v>
      </c>
      <c r="G1696" s="21">
        <v>24.3626</v>
      </c>
      <c r="H1696" s="21">
        <v>4.1063</v>
      </c>
      <c r="I1696" s="17">
        <v>46101.0</v>
      </c>
      <c r="J1696" s="18">
        <v>100.0</v>
      </c>
      <c r="K1696" s="16">
        <v>1617.0</v>
      </c>
      <c r="L1696" s="16" t="s">
        <v>2608</v>
      </c>
      <c r="M1696" s="19">
        <v>0.04</v>
      </c>
      <c r="N1696" s="16" t="s">
        <v>4254</v>
      </c>
      <c r="O1696" s="16">
        <v>1617.0</v>
      </c>
      <c r="P1696" s="19">
        <v>41.2094</v>
      </c>
      <c r="Q1696" s="16" t="s">
        <v>4255</v>
      </c>
      <c r="R1696" s="19">
        <v>-2.9209</v>
      </c>
      <c r="S1696" s="20">
        <v>1028342.0</v>
      </c>
      <c r="T1696" s="20">
        <v>6.957211604E9</v>
      </c>
      <c r="U1696" s="21">
        <v>3.5617</v>
      </c>
      <c r="V1696" s="21">
        <v>9.5956</v>
      </c>
      <c r="W1696" s="21">
        <v>12.7024</v>
      </c>
      <c r="X1696" s="21">
        <v>0.1924</v>
      </c>
      <c r="Y1696" s="21">
        <v>0.6456</v>
      </c>
      <c r="Z1696" s="21">
        <v>2.8205</v>
      </c>
      <c r="AA1696" s="16" t="s">
        <v>2611</v>
      </c>
      <c r="AB1696" s="22">
        <f>IFERROR(__xludf.DUMMYFUNCTION("IFERROR(GOOGLEFINANCE(B1696,""price""),"""")"),106.75)</f>
        <v>106.75</v>
      </c>
    </row>
    <row r="1697">
      <c r="A1697" s="7">
        <v>46087.6258948789</v>
      </c>
      <c r="B1697" s="8" t="s">
        <v>3713</v>
      </c>
      <c r="C1697" s="8" t="s">
        <v>3714</v>
      </c>
      <c r="D1697" s="9">
        <v>46089.0</v>
      </c>
      <c r="E1697" s="10">
        <v>156.84</v>
      </c>
      <c r="F1697" s="8" t="s">
        <v>149</v>
      </c>
      <c r="G1697" s="13">
        <v>114.4818</v>
      </c>
      <c r="H1697" s="13">
        <v>1.37</v>
      </c>
      <c r="I1697" s="9">
        <v>46101.0</v>
      </c>
      <c r="J1697" s="10">
        <v>155.0</v>
      </c>
      <c r="K1697" s="8">
        <v>1437.0</v>
      </c>
      <c r="L1697" s="8" t="s">
        <v>2608</v>
      </c>
      <c r="M1697" s="11">
        <v>1.17</v>
      </c>
      <c r="N1697" s="8" t="s">
        <v>4256</v>
      </c>
      <c r="O1697" s="8">
        <v>1437.0</v>
      </c>
      <c r="P1697" s="11">
        <v>25.5907</v>
      </c>
      <c r="Q1697" s="8" t="s">
        <v>3716</v>
      </c>
      <c r="R1697" s="11">
        <v>-1.84</v>
      </c>
      <c r="S1697" s="12">
        <v>1681008.0</v>
      </c>
      <c r="T1697" s="12">
        <v>3.644463454E10</v>
      </c>
      <c r="U1697" s="13">
        <v>5.5449</v>
      </c>
      <c r="V1697" s="13">
        <v>-24.6827</v>
      </c>
      <c r="W1697" s="13">
        <v>6.0286</v>
      </c>
      <c r="X1697" s="13">
        <v>5.3898</v>
      </c>
      <c r="Y1697" s="13">
        <v>38.3916</v>
      </c>
      <c r="Z1697" s="13">
        <v>0.9951</v>
      </c>
      <c r="AA1697" s="8" t="s">
        <v>2611</v>
      </c>
      <c r="AB1697" s="14">
        <f>IFERROR(__xludf.DUMMYFUNCTION("IFERROR(GOOGLEFINANCE(B1697,""price""),"""")"),160.59)</f>
        <v>160.59</v>
      </c>
    </row>
    <row r="1698">
      <c r="A1698" s="15">
        <v>46087.6258948789</v>
      </c>
      <c r="B1698" s="16" t="s">
        <v>2139</v>
      </c>
      <c r="C1698" s="16" t="s">
        <v>2140</v>
      </c>
      <c r="D1698" s="17">
        <v>46089.0</v>
      </c>
      <c r="E1698" s="18">
        <v>59.91</v>
      </c>
      <c r="F1698" s="16" t="s">
        <v>270</v>
      </c>
      <c r="G1698" s="21">
        <v>22.9981</v>
      </c>
      <c r="H1698" s="21">
        <v>2.605</v>
      </c>
      <c r="I1698" s="17">
        <v>46101.0</v>
      </c>
      <c r="J1698" s="18">
        <v>60.0</v>
      </c>
      <c r="K1698" s="16">
        <v>1384.0</v>
      </c>
      <c r="L1698" s="16" t="s">
        <v>2608</v>
      </c>
      <c r="M1698" s="19">
        <v>0.15</v>
      </c>
      <c r="N1698" s="16" t="s">
        <v>4257</v>
      </c>
      <c r="O1698" s="16">
        <v>1384.0</v>
      </c>
      <c r="P1698" s="19">
        <v>35.4429</v>
      </c>
      <c r="Q1698" s="16" t="s">
        <v>2141</v>
      </c>
      <c r="R1698" s="19">
        <v>-0.4652</v>
      </c>
      <c r="S1698" s="20">
        <v>5549958.0</v>
      </c>
      <c r="T1698" s="20">
        <v>5.9205248037E10</v>
      </c>
      <c r="U1698" s="21">
        <v>1.7721</v>
      </c>
      <c r="V1698" s="21">
        <v>14.4868</v>
      </c>
      <c r="W1698" s="21">
        <v>12.8259</v>
      </c>
      <c r="X1698" s="21">
        <v>-0.345</v>
      </c>
      <c r="Y1698" s="21">
        <v>0.3558</v>
      </c>
      <c r="Z1698" s="21">
        <v>1.3568</v>
      </c>
      <c r="AA1698" s="16" t="s">
        <v>2620</v>
      </c>
      <c r="AB1698" s="22">
        <f>IFERROR(__xludf.DUMMYFUNCTION("IFERROR(GOOGLEFINANCE(B1698,""price""),"""")"),62.83)</f>
        <v>62.83</v>
      </c>
    </row>
    <row r="1699">
      <c r="A1699" s="7">
        <v>46087.6258948789</v>
      </c>
      <c r="B1699" s="8" t="s">
        <v>3291</v>
      </c>
      <c r="C1699" s="8" t="s">
        <v>3292</v>
      </c>
      <c r="D1699" s="9">
        <v>46089.0</v>
      </c>
      <c r="E1699" s="10">
        <v>247.885</v>
      </c>
      <c r="F1699" s="8" t="s">
        <v>270</v>
      </c>
      <c r="G1699" s="13">
        <v>37.0055</v>
      </c>
      <c r="H1699" s="13">
        <v>6.6986</v>
      </c>
      <c r="I1699" s="9">
        <v>46101.0</v>
      </c>
      <c r="J1699" s="10">
        <v>250.0</v>
      </c>
      <c r="K1699" s="8">
        <v>1335.0</v>
      </c>
      <c r="L1699" s="8" t="s">
        <v>2608</v>
      </c>
      <c r="M1699" s="11">
        <v>0.85</v>
      </c>
      <c r="N1699" s="8" t="s">
        <v>4258</v>
      </c>
      <c r="O1699" s="8">
        <v>1335.0</v>
      </c>
      <c r="P1699" s="11">
        <v>28.8219</v>
      </c>
      <c r="Q1699" s="8" t="s">
        <v>3294</v>
      </c>
      <c r="R1699" s="11">
        <v>0.7294</v>
      </c>
      <c r="S1699" s="12">
        <v>2296895.0</v>
      </c>
      <c r="T1699" s="12">
        <v>9.9980889555E10</v>
      </c>
      <c r="U1699" s="13">
        <v>4.797</v>
      </c>
      <c r="V1699" s="13">
        <v>29.6897</v>
      </c>
      <c r="W1699" s="13">
        <v>18.2788</v>
      </c>
      <c r="X1699" s="13">
        <v>14.2365</v>
      </c>
      <c r="Y1699" s="13">
        <v>2.3941</v>
      </c>
      <c r="Z1699" s="13">
        <v>0.8888</v>
      </c>
      <c r="AA1699" s="8" t="s">
        <v>2620</v>
      </c>
      <c r="AB1699" s="14">
        <f>IFERROR(__xludf.DUMMYFUNCTION("IFERROR(GOOGLEFINANCE(B1699,""price""),"""")"),229.45)</f>
        <v>229.45</v>
      </c>
    </row>
    <row r="1700">
      <c r="A1700" s="15">
        <v>46087.6258948789</v>
      </c>
      <c r="B1700" s="16" t="s">
        <v>3150</v>
      </c>
      <c r="C1700" s="16" t="s">
        <v>3151</v>
      </c>
      <c r="D1700" s="17">
        <v>46089.0</v>
      </c>
      <c r="E1700" s="18">
        <v>668.785</v>
      </c>
      <c r="F1700" s="16" t="s">
        <v>308</v>
      </c>
      <c r="G1700" s="21">
        <v>31.1271</v>
      </c>
      <c r="H1700" s="21">
        <v>21.4856</v>
      </c>
      <c r="I1700" s="17">
        <v>46087.0</v>
      </c>
      <c r="J1700" s="18">
        <v>675.0</v>
      </c>
      <c r="K1700" s="16">
        <v>1318.0</v>
      </c>
      <c r="L1700" s="16" t="s">
        <v>2608</v>
      </c>
      <c r="M1700" s="19">
        <v>0.93</v>
      </c>
      <c r="N1700" s="16" t="s">
        <v>4259</v>
      </c>
      <c r="O1700" s="16">
        <v>1318.0</v>
      </c>
      <c r="P1700" s="19">
        <v>40.3182</v>
      </c>
      <c r="Q1700" s="16" t="s">
        <v>3153</v>
      </c>
      <c r="R1700" s="19">
        <v>2.1046</v>
      </c>
      <c r="S1700" s="20">
        <v>1339870.0</v>
      </c>
      <c r="T1700" s="20">
        <v>1.53874207097E11</v>
      </c>
      <c r="U1700" s="21">
        <v>19.4299</v>
      </c>
      <c r="V1700" s="21">
        <v>76.8653</v>
      </c>
      <c r="W1700" s="21">
        <v>10.1522</v>
      </c>
      <c r="X1700" s="21">
        <v>5.6374</v>
      </c>
      <c r="Y1700" s="21">
        <v>3.388</v>
      </c>
      <c r="Z1700" s="21">
        <v>1.0869</v>
      </c>
      <c r="AA1700" s="16" t="s">
        <v>2620</v>
      </c>
      <c r="AB1700" s="22">
        <f>IFERROR(__xludf.DUMMYFUNCTION("IFERROR(GOOGLEFINANCE(B1700,""price""),"""")"),613.72)</f>
        <v>613.72</v>
      </c>
    </row>
    <row r="1701">
      <c r="A1701" s="7">
        <v>46087.6258948789</v>
      </c>
      <c r="B1701" s="8" t="s">
        <v>2188</v>
      </c>
      <c r="C1701" s="8" t="s">
        <v>2189</v>
      </c>
      <c r="D1701" s="9">
        <v>46089.0</v>
      </c>
      <c r="E1701" s="10">
        <v>484.64</v>
      </c>
      <c r="F1701" s="8" t="s">
        <v>107</v>
      </c>
      <c r="G1701" s="13">
        <v>33.2007</v>
      </c>
      <c r="H1701" s="13">
        <v>14.5973</v>
      </c>
      <c r="I1701" s="9">
        <v>46101.0</v>
      </c>
      <c r="J1701" s="10">
        <v>480.0</v>
      </c>
      <c r="K1701" s="8">
        <v>1288.0</v>
      </c>
      <c r="L1701" s="8" t="s">
        <v>2627</v>
      </c>
      <c r="M1701" s="11">
        <v>0.96</v>
      </c>
      <c r="N1701" s="8" t="s">
        <v>4260</v>
      </c>
      <c r="O1701" s="8">
        <v>1288.0</v>
      </c>
      <c r="P1701" s="11">
        <v>36.7422</v>
      </c>
      <c r="Q1701" s="8" t="s">
        <v>2190</v>
      </c>
      <c r="R1701" s="11">
        <v>-1.106</v>
      </c>
      <c r="S1701" s="12">
        <v>1392313.0</v>
      </c>
      <c r="T1701" s="12">
        <v>2.24579347026E11</v>
      </c>
      <c r="U1701" s="13">
        <v>9.9667</v>
      </c>
      <c r="V1701" s="13">
        <v>18.0725</v>
      </c>
      <c r="W1701" s="13">
        <v>27.2289</v>
      </c>
      <c r="X1701" s="13">
        <v>2.9723</v>
      </c>
      <c r="Y1701" s="13">
        <v>0.7339</v>
      </c>
      <c r="Z1701" s="13">
        <v>0.8768</v>
      </c>
      <c r="AA1701" s="8" t="s">
        <v>2611</v>
      </c>
      <c r="AB1701" s="14">
        <f>IFERROR(__xludf.DUMMYFUNCTION("IFERROR(GOOGLEFINANCE(B1701,""price""),"""")"),503.15)</f>
        <v>503.15</v>
      </c>
    </row>
    <row r="1702">
      <c r="A1702" s="15">
        <v>46087.6258948789</v>
      </c>
      <c r="B1702" s="16" t="s">
        <v>2696</v>
      </c>
      <c r="C1702" s="16" t="s">
        <v>2697</v>
      </c>
      <c r="D1702" s="17">
        <v>46089.0</v>
      </c>
      <c r="E1702" s="18">
        <v>178.68</v>
      </c>
      <c r="F1702" s="16" t="s">
        <v>162</v>
      </c>
      <c r="G1702" s="21">
        <v>36.9701</v>
      </c>
      <c r="H1702" s="21">
        <v>4.8331</v>
      </c>
      <c r="I1702" s="17">
        <v>46101.0</v>
      </c>
      <c r="J1702" s="18">
        <v>180.0</v>
      </c>
      <c r="K1702" s="16">
        <v>1153.0</v>
      </c>
      <c r="L1702" s="16" t="s">
        <v>2627</v>
      </c>
      <c r="M1702" s="19">
        <v>0.74</v>
      </c>
      <c r="N1702" s="16" t="s">
        <v>4261</v>
      </c>
      <c r="O1702" s="16">
        <v>1153.0</v>
      </c>
      <c r="P1702" s="19">
        <v>28.982</v>
      </c>
      <c r="Q1702" s="16" t="s">
        <v>2699</v>
      </c>
      <c r="R1702" s="19">
        <v>-3.3169</v>
      </c>
      <c r="S1702" s="20">
        <v>1212439.0</v>
      </c>
      <c r="T1702" s="20">
        <v>2.1195170402E10</v>
      </c>
      <c r="U1702" s="21">
        <v>8.0519</v>
      </c>
      <c r="V1702" s="21">
        <v>32.9109</v>
      </c>
      <c r="W1702" s="21">
        <v>4.9029</v>
      </c>
      <c r="X1702" s="21">
        <v>-8.4186</v>
      </c>
      <c r="Y1702" s="21">
        <v>0.756</v>
      </c>
      <c r="Z1702" s="21">
        <v>1.5278</v>
      </c>
      <c r="AA1702" s="16" t="s">
        <v>2620</v>
      </c>
      <c r="AB1702" s="22">
        <f>IFERROR(__xludf.DUMMYFUNCTION("IFERROR(GOOGLEFINANCE(B1702,""price""),"""")"),163.49)</f>
        <v>163.49</v>
      </c>
    </row>
    <row r="1703">
      <c r="A1703" s="7">
        <v>46087.6258948789</v>
      </c>
      <c r="B1703" s="8" t="s">
        <v>3208</v>
      </c>
      <c r="C1703" s="8" t="s">
        <v>3209</v>
      </c>
      <c r="D1703" s="9">
        <v>46089.0</v>
      </c>
      <c r="E1703" s="10">
        <v>211.3</v>
      </c>
      <c r="F1703" s="8" t="s">
        <v>137</v>
      </c>
      <c r="G1703" s="13">
        <v>31.9517</v>
      </c>
      <c r="H1703" s="13">
        <v>6.6131</v>
      </c>
      <c r="I1703" s="9">
        <v>46087.0</v>
      </c>
      <c r="J1703" s="10">
        <v>210.0</v>
      </c>
      <c r="K1703" s="8">
        <v>1084.0</v>
      </c>
      <c r="L1703" s="8" t="s">
        <v>2608</v>
      </c>
      <c r="M1703" s="11">
        <v>0.62</v>
      </c>
      <c r="N1703" s="8" t="s">
        <v>4262</v>
      </c>
      <c r="O1703" s="8">
        <v>1084.0</v>
      </c>
      <c r="P1703" s="11">
        <v>44.0283</v>
      </c>
      <c r="Q1703" s="8" t="s">
        <v>3211</v>
      </c>
      <c r="R1703" s="11">
        <v>-1.6432</v>
      </c>
      <c r="S1703" s="12">
        <v>1523840.0</v>
      </c>
      <c r="T1703" s="12">
        <v>6.8343917734E10</v>
      </c>
      <c r="U1703" s="13">
        <v>5.0917</v>
      </c>
      <c r="V1703" s="13">
        <v>36.678</v>
      </c>
      <c r="W1703" s="13">
        <v>11.9002</v>
      </c>
      <c r="X1703" s="13">
        <v>7.6734</v>
      </c>
      <c r="Y1703" s="13">
        <v>0.8424</v>
      </c>
      <c r="Z1703" s="13">
        <v>1.5827</v>
      </c>
      <c r="AA1703" s="8" t="s">
        <v>2611</v>
      </c>
      <c r="AB1703" s="14">
        <f>IFERROR(__xludf.DUMMYFUNCTION("IFERROR(GOOGLEFINANCE(B1703,""price""),"""")"),221.16)</f>
        <v>221.16</v>
      </c>
    </row>
    <row r="1704">
      <c r="A1704" s="15">
        <v>46087.6258948789</v>
      </c>
      <c r="B1704" s="16" t="s">
        <v>1077</v>
      </c>
      <c r="C1704" s="16" t="s">
        <v>1078</v>
      </c>
      <c r="D1704" s="17">
        <v>46089.0</v>
      </c>
      <c r="E1704" s="18">
        <v>9.515</v>
      </c>
      <c r="F1704" s="16" t="s">
        <v>335</v>
      </c>
      <c r="G1704" s="21"/>
      <c r="H1704" s="21">
        <v>-0.041</v>
      </c>
      <c r="I1704" s="17">
        <v>46087.0</v>
      </c>
      <c r="J1704" s="18">
        <v>9.5</v>
      </c>
      <c r="K1704" s="16">
        <v>1083.0</v>
      </c>
      <c r="L1704" s="16" t="s">
        <v>2608</v>
      </c>
      <c r="M1704" s="19">
        <v>0.16</v>
      </c>
      <c r="N1704" s="16" t="s">
        <v>4263</v>
      </c>
      <c r="O1704" s="16">
        <v>1083.0</v>
      </c>
      <c r="P1704" s="19">
        <v>26.3036</v>
      </c>
      <c r="Q1704" s="16" t="s">
        <v>1079</v>
      </c>
      <c r="R1704" s="19">
        <v>2.7538</v>
      </c>
      <c r="S1704" s="20">
        <v>1.7633331E7</v>
      </c>
      <c r="T1704" s="20">
        <v>1.3324389E9</v>
      </c>
      <c r="U1704" s="21">
        <v>1.0337</v>
      </c>
      <c r="V1704" s="21">
        <v>-10.5913</v>
      </c>
      <c r="W1704" s="21">
        <v>-18.9471</v>
      </c>
      <c r="X1704" s="21">
        <v>240.123</v>
      </c>
      <c r="Y1704" s="21">
        <v>0.0037</v>
      </c>
      <c r="Z1704" s="21">
        <v>5.0784</v>
      </c>
      <c r="AA1704" s="16" t="s">
        <v>2611</v>
      </c>
      <c r="AB1704" s="22">
        <f>IFERROR(__xludf.DUMMYFUNCTION("IFERROR(GOOGLEFINANCE(B1704,""price""),"""")"),8.36)</f>
        <v>8.36</v>
      </c>
    </row>
    <row r="1705">
      <c r="A1705" s="7">
        <v>46087.6258948789</v>
      </c>
      <c r="B1705" s="8" t="s">
        <v>3237</v>
      </c>
      <c r="C1705" s="8" t="s">
        <v>3238</v>
      </c>
      <c r="D1705" s="9">
        <v>46089.0</v>
      </c>
      <c r="E1705" s="10">
        <v>327.94</v>
      </c>
      <c r="F1705" s="8" t="s">
        <v>149</v>
      </c>
      <c r="G1705" s="13">
        <v>27.4369</v>
      </c>
      <c r="H1705" s="13">
        <v>11.9525</v>
      </c>
      <c r="I1705" s="9">
        <v>46087.0</v>
      </c>
      <c r="J1705" s="10">
        <v>325.0</v>
      </c>
      <c r="K1705" s="8">
        <v>1082.0</v>
      </c>
      <c r="L1705" s="8" t="s">
        <v>2627</v>
      </c>
      <c r="M1705" s="11">
        <v>0.9</v>
      </c>
      <c r="N1705" s="8" t="s">
        <v>4264</v>
      </c>
      <c r="O1705" s="8">
        <v>1082.0</v>
      </c>
      <c r="P1705" s="11">
        <v>32.3815</v>
      </c>
      <c r="Q1705" s="8" t="s">
        <v>3240</v>
      </c>
      <c r="R1705" s="11">
        <v>0.1496</v>
      </c>
      <c r="S1705" s="12">
        <v>2078847.0</v>
      </c>
      <c r="T1705" s="12">
        <v>2.32968132326E11</v>
      </c>
      <c r="U1705" s="13">
        <v>5.7517</v>
      </c>
      <c r="V1705" s="13"/>
      <c r="W1705" s="13">
        <v>46.1001</v>
      </c>
      <c r="X1705" s="13">
        <v>3.723</v>
      </c>
      <c r="Y1705" s="13"/>
      <c r="Z1705" s="13">
        <v>0.9546</v>
      </c>
      <c r="AA1705" s="8" t="s">
        <v>2611</v>
      </c>
      <c r="AB1705" s="14">
        <f>IFERROR(__xludf.DUMMYFUNCTION("IFERROR(GOOGLEFINANCE(B1705,""price""),"""")"),305.68)</f>
        <v>305.68</v>
      </c>
    </row>
    <row r="1706">
      <c r="A1706" s="15">
        <v>46087.6258948789</v>
      </c>
      <c r="B1706" s="16" t="s">
        <v>3873</v>
      </c>
      <c r="C1706" s="16" t="s">
        <v>3874</v>
      </c>
      <c r="D1706" s="17">
        <v>46089.0</v>
      </c>
      <c r="E1706" s="18">
        <v>79.975</v>
      </c>
      <c r="F1706" s="16" t="s">
        <v>149</v>
      </c>
      <c r="G1706" s="21">
        <v>38.2016</v>
      </c>
      <c r="H1706" s="21">
        <v>2.0935</v>
      </c>
      <c r="I1706" s="17">
        <v>46101.0</v>
      </c>
      <c r="J1706" s="18">
        <v>80.0</v>
      </c>
      <c r="K1706" s="16">
        <v>1005.0</v>
      </c>
      <c r="L1706" s="16" t="s">
        <v>2627</v>
      </c>
      <c r="M1706" s="19">
        <v>0.03</v>
      </c>
      <c r="N1706" s="16" t="s">
        <v>4265</v>
      </c>
      <c r="O1706" s="16">
        <v>1005.0</v>
      </c>
      <c r="P1706" s="19">
        <v>24.4283</v>
      </c>
      <c r="Q1706" s="16" t="s">
        <v>3876</v>
      </c>
      <c r="R1706" s="19">
        <v>-2.41</v>
      </c>
      <c r="S1706" s="20">
        <v>1693786.0</v>
      </c>
      <c r="T1706" s="20">
        <v>1.2895063436E10</v>
      </c>
      <c r="U1706" s="21">
        <v>2.2082</v>
      </c>
      <c r="V1706" s="21">
        <v>17.3353</v>
      </c>
      <c r="W1706" s="21">
        <v>16.2259</v>
      </c>
      <c r="X1706" s="21">
        <v>9.2423</v>
      </c>
      <c r="Y1706" s="21">
        <v>0.0239</v>
      </c>
      <c r="Z1706" s="21">
        <v>1.542</v>
      </c>
      <c r="AA1706" s="16" t="s">
        <v>2620</v>
      </c>
      <c r="AB1706" s="22">
        <f>IFERROR(__xludf.DUMMYFUNCTION("IFERROR(GOOGLEFINANCE(B1706,""price""),"""")"),79.01)</f>
        <v>79.01</v>
      </c>
    </row>
    <row r="1707">
      <c r="A1707" s="7">
        <v>46090.66803849101</v>
      </c>
      <c r="B1707" s="8" t="s">
        <v>3697</v>
      </c>
      <c r="C1707" s="8" t="s">
        <v>3698</v>
      </c>
      <c r="D1707" s="9">
        <v>46096.0</v>
      </c>
      <c r="E1707" s="10">
        <v>49.14</v>
      </c>
      <c r="F1707" s="8" t="s">
        <v>917</v>
      </c>
      <c r="G1707" s="13">
        <v>17.9678</v>
      </c>
      <c r="H1707" s="13">
        <v>2.7349</v>
      </c>
      <c r="I1707" s="9">
        <v>46101.0</v>
      </c>
      <c r="J1707" s="10">
        <v>50.0</v>
      </c>
      <c r="K1707" s="8">
        <v>8020.0</v>
      </c>
      <c r="L1707" s="8" t="s">
        <v>2608</v>
      </c>
      <c r="M1707" s="11">
        <v>1.75</v>
      </c>
      <c r="N1707" s="8" t="s">
        <v>4266</v>
      </c>
      <c r="O1707" s="8">
        <v>15302.0</v>
      </c>
      <c r="P1707" s="11">
        <v>32.0274</v>
      </c>
      <c r="Q1707" s="8" t="s">
        <v>3700</v>
      </c>
      <c r="R1707" s="11">
        <v>-0.4457</v>
      </c>
      <c r="S1707" s="12">
        <v>7341884.0</v>
      </c>
      <c r="T1707" s="12">
        <v>5.0264941911E10</v>
      </c>
      <c r="U1707" s="13">
        <v>0.9925</v>
      </c>
      <c r="V1707" s="13">
        <v>9.9356</v>
      </c>
      <c r="W1707" s="13">
        <v>21.2054</v>
      </c>
      <c r="X1707" s="13">
        <v>5.3367</v>
      </c>
      <c r="Y1707" s="13">
        <v>1.7554</v>
      </c>
      <c r="Z1707" s="13">
        <v>0.924</v>
      </c>
      <c r="AA1707" s="8" t="s">
        <v>2620</v>
      </c>
      <c r="AB1707" s="14">
        <f>IFERROR(__xludf.DUMMYFUNCTION("IFERROR(GOOGLEFINANCE(B1707,""price""),"""")"),48.57)</f>
        <v>48.57</v>
      </c>
    </row>
    <row r="1708">
      <c r="A1708" s="15">
        <v>46090.66803849101</v>
      </c>
      <c r="B1708" s="16" t="s">
        <v>2616</v>
      </c>
      <c r="C1708" s="16" t="s">
        <v>2617</v>
      </c>
      <c r="D1708" s="17">
        <v>46096.0</v>
      </c>
      <c r="E1708" s="18">
        <v>77.8</v>
      </c>
      <c r="F1708" s="16" t="s">
        <v>286</v>
      </c>
      <c r="G1708" s="21">
        <v>25.6047</v>
      </c>
      <c r="H1708" s="21">
        <v>3.0385</v>
      </c>
      <c r="I1708" s="17">
        <v>46094.0</v>
      </c>
      <c r="J1708" s="18">
        <v>79.0</v>
      </c>
      <c r="K1708" s="16">
        <v>6436.0</v>
      </c>
      <c r="L1708" s="16" t="s">
        <v>2608</v>
      </c>
      <c r="M1708" s="19">
        <v>1.54</v>
      </c>
      <c r="N1708" s="16" t="s">
        <v>4267</v>
      </c>
      <c r="O1708" s="16">
        <v>13542.0</v>
      </c>
      <c r="P1708" s="19">
        <v>30.3211</v>
      </c>
      <c r="Q1708" s="16" t="s">
        <v>2619</v>
      </c>
      <c r="R1708" s="19">
        <v>0.9865</v>
      </c>
      <c r="S1708" s="20">
        <v>1.8121487E7</v>
      </c>
      <c r="T1708" s="20">
        <v>3.34596264621E11</v>
      </c>
      <c r="U1708" s="21">
        <v>1.3254</v>
      </c>
      <c r="V1708" s="21">
        <v>45.9693</v>
      </c>
      <c r="W1708" s="21">
        <v>31.3688</v>
      </c>
      <c r="X1708" s="21">
        <v>3.4769</v>
      </c>
      <c r="Y1708" s="21">
        <v>1.4577</v>
      </c>
      <c r="Z1708" s="21">
        <v>1.4588</v>
      </c>
      <c r="AA1708" s="16" t="s">
        <v>2620</v>
      </c>
      <c r="AB1708" s="22">
        <f>IFERROR(__xludf.DUMMYFUNCTION("IFERROR(GOOGLEFINANCE(B1708,""price""),"""")"),77.47)</f>
        <v>77.47</v>
      </c>
    </row>
    <row r="1709">
      <c r="A1709" s="7">
        <v>46090.66803849101</v>
      </c>
      <c r="B1709" s="8" t="s">
        <v>2638</v>
      </c>
      <c r="C1709" s="8" t="s">
        <v>2639</v>
      </c>
      <c r="D1709" s="9">
        <v>46096.0</v>
      </c>
      <c r="E1709" s="10">
        <v>150.44</v>
      </c>
      <c r="F1709" s="8" t="s">
        <v>245</v>
      </c>
      <c r="G1709" s="13">
        <v>22.4712</v>
      </c>
      <c r="H1709" s="13">
        <v>6.6948</v>
      </c>
      <c r="I1709" s="9">
        <v>46094.0</v>
      </c>
      <c r="J1709" s="10">
        <v>152.5</v>
      </c>
      <c r="K1709" s="8">
        <v>4910.0</v>
      </c>
      <c r="L1709" s="8" t="s">
        <v>2608</v>
      </c>
      <c r="M1709" s="11">
        <v>1.37</v>
      </c>
      <c r="N1709" s="8" t="s">
        <v>4268</v>
      </c>
      <c r="O1709" s="8">
        <v>10870.0</v>
      </c>
      <c r="P1709" s="11">
        <v>37.5043</v>
      </c>
      <c r="Q1709" s="8" t="s">
        <v>2641</v>
      </c>
      <c r="R1709" s="11">
        <v>-0.5092</v>
      </c>
      <c r="S1709" s="12">
        <v>2.5370615E7</v>
      </c>
      <c r="T1709" s="12">
        <v>6.26847954629E11</v>
      </c>
      <c r="U1709" s="13">
        <v>3.9766</v>
      </c>
      <c r="V1709" s="13">
        <v>11.0283</v>
      </c>
      <c r="W1709" s="13">
        <v>10.3419</v>
      </c>
      <c r="X1709" s="13">
        <v>-4.856</v>
      </c>
      <c r="Y1709" s="13">
        <v>0.1871</v>
      </c>
      <c r="Z1709" s="13">
        <v>1.1528</v>
      </c>
      <c r="AA1709" s="8" t="s">
        <v>2620</v>
      </c>
      <c r="AB1709" s="14">
        <f>IFERROR(__xludf.DUMMYFUNCTION("IFERROR(GOOGLEFINANCE(B1709,""price""),"""")"),152.51)</f>
        <v>152.51</v>
      </c>
    </row>
    <row r="1710">
      <c r="A1710" s="15">
        <v>46090.66803849101</v>
      </c>
      <c r="B1710" s="16" t="s">
        <v>3684</v>
      </c>
      <c r="C1710" s="16" t="s">
        <v>3685</v>
      </c>
      <c r="D1710" s="17">
        <v>46096.0</v>
      </c>
      <c r="E1710" s="18">
        <v>38.31</v>
      </c>
      <c r="F1710" s="16" t="s">
        <v>917</v>
      </c>
      <c r="G1710" s="21">
        <v>24.1292</v>
      </c>
      <c r="H1710" s="21">
        <v>1.5877</v>
      </c>
      <c r="I1710" s="17">
        <v>46101.0</v>
      </c>
      <c r="J1710" s="18">
        <v>39.0</v>
      </c>
      <c r="K1710" s="16">
        <v>7165.0</v>
      </c>
      <c r="L1710" s="16" t="s">
        <v>2608</v>
      </c>
      <c r="M1710" s="19">
        <v>1.8</v>
      </c>
      <c r="N1710" s="16" t="s">
        <v>4269</v>
      </c>
      <c r="O1710" s="16">
        <v>9878.0</v>
      </c>
      <c r="P1710" s="19">
        <v>22.1516</v>
      </c>
      <c r="Q1710" s="16" t="s">
        <v>3687</v>
      </c>
      <c r="R1710" s="19">
        <v>-0.6226</v>
      </c>
      <c r="S1710" s="20">
        <v>7337160.0</v>
      </c>
      <c r="T1710" s="20">
        <v>2.8782563848E10</v>
      </c>
      <c r="U1710" s="21">
        <v>0.8177</v>
      </c>
      <c r="V1710" s="21">
        <v>8.1497</v>
      </c>
      <c r="W1710" s="21">
        <v>23.6452</v>
      </c>
      <c r="X1710" s="21">
        <v>6.8542</v>
      </c>
      <c r="Y1710" s="21">
        <v>1.3003</v>
      </c>
      <c r="Z1710" s="21">
        <v>0.8647</v>
      </c>
      <c r="AA1710" s="16" t="s">
        <v>2620</v>
      </c>
      <c r="AB1710" s="22">
        <f>IFERROR(__xludf.DUMMYFUNCTION("IFERROR(GOOGLEFINANCE(B1710,""price""),"""")"),39.65)</f>
        <v>39.65</v>
      </c>
    </row>
    <row r="1711">
      <c r="A1711" s="7">
        <v>46090.66803849101</v>
      </c>
      <c r="B1711" s="8" t="s">
        <v>3944</v>
      </c>
      <c r="C1711" s="8" t="s">
        <v>3945</v>
      </c>
      <c r="D1711" s="9">
        <v>46096.0</v>
      </c>
      <c r="E1711" s="10">
        <v>131.08</v>
      </c>
      <c r="F1711" s="8" t="s">
        <v>917</v>
      </c>
      <c r="G1711" s="13">
        <v>20.7658</v>
      </c>
      <c r="H1711" s="13">
        <v>6.3123</v>
      </c>
      <c r="I1711" s="9">
        <v>46101.0</v>
      </c>
      <c r="J1711" s="10">
        <v>130.0</v>
      </c>
      <c r="K1711" s="8">
        <v>8988.0</v>
      </c>
      <c r="L1711" s="8" t="s">
        <v>2608</v>
      </c>
      <c r="M1711" s="11">
        <v>0.82</v>
      </c>
      <c r="N1711" s="8" t="s">
        <v>4270</v>
      </c>
      <c r="O1711" s="8">
        <v>8988.0</v>
      </c>
      <c r="P1711" s="11">
        <v>30.0676</v>
      </c>
      <c r="Q1711" s="8" t="s">
        <v>3947</v>
      </c>
      <c r="R1711" s="11">
        <v>-1.0717</v>
      </c>
      <c r="S1711" s="12">
        <v>7055332.0</v>
      </c>
      <c r="T1711" s="12">
        <v>1.01937101367E11</v>
      </c>
      <c r="U1711" s="13">
        <v>2.2308</v>
      </c>
      <c r="V1711" s="13">
        <v>9.7422</v>
      </c>
      <c r="W1711" s="13">
        <v>26.6061</v>
      </c>
      <c r="X1711" s="13">
        <v>6.193</v>
      </c>
      <c r="Y1711" s="13">
        <v>1.7574</v>
      </c>
      <c r="Z1711" s="13">
        <v>0.5518</v>
      </c>
      <c r="AA1711" s="8" t="s">
        <v>2611</v>
      </c>
      <c r="AB1711" s="14">
        <f>IFERROR(__xludf.DUMMYFUNCTION("IFERROR(GOOGLEFINANCE(B1711,""price""),"""")"),131.79)</f>
        <v>131.79</v>
      </c>
    </row>
    <row r="1712">
      <c r="A1712" s="15">
        <v>46090.66803849101</v>
      </c>
      <c r="B1712" s="16" t="s">
        <v>3802</v>
      </c>
      <c r="C1712" s="16" t="s">
        <v>3803</v>
      </c>
      <c r="D1712" s="17">
        <v>46096.0</v>
      </c>
      <c r="E1712" s="18">
        <v>45.55</v>
      </c>
      <c r="F1712" s="16" t="s">
        <v>270</v>
      </c>
      <c r="G1712" s="21"/>
      <c r="H1712" s="21"/>
      <c r="I1712" s="17">
        <v>46101.0</v>
      </c>
      <c r="J1712" s="18">
        <v>45.0</v>
      </c>
      <c r="K1712" s="16">
        <v>5977.0</v>
      </c>
      <c r="L1712" s="16" t="s">
        <v>2608</v>
      </c>
      <c r="M1712" s="19">
        <v>1.21</v>
      </c>
      <c r="N1712" s="16" t="s">
        <v>4271</v>
      </c>
      <c r="O1712" s="16">
        <v>7420.0</v>
      </c>
      <c r="P1712" s="19">
        <v>28.0444</v>
      </c>
      <c r="Q1712" s="16" t="s">
        <v>3805</v>
      </c>
      <c r="R1712" s="19">
        <v>-3.2498</v>
      </c>
      <c r="S1712" s="20">
        <v>2526027.0</v>
      </c>
      <c r="T1712" s="20">
        <v>4.765553907E9</v>
      </c>
      <c r="U1712" s="21">
        <v>1.487</v>
      </c>
      <c r="V1712" s="21">
        <v>3.4054</v>
      </c>
      <c r="W1712" s="21">
        <v>34.4448</v>
      </c>
      <c r="X1712" s="21">
        <v>51.1384</v>
      </c>
      <c r="Y1712" s="21">
        <v>1.4965</v>
      </c>
      <c r="Z1712" s="21">
        <v>2.5453</v>
      </c>
      <c r="AA1712" s="16" t="s">
        <v>2611</v>
      </c>
      <c r="AB1712" s="22">
        <f>IFERROR(__xludf.DUMMYFUNCTION("IFERROR(GOOGLEFINANCE(B1712,""price""),"""")"),53.28)</f>
        <v>53.28</v>
      </c>
    </row>
    <row r="1713">
      <c r="A1713" s="7">
        <v>46090.66803849101</v>
      </c>
      <c r="B1713" s="8" t="s">
        <v>1467</v>
      </c>
      <c r="C1713" s="8" t="s">
        <v>1468</v>
      </c>
      <c r="D1713" s="9">
        <v>46096.0</v>
      </c>
      <c r="E1713" s="10">
        <v>133.09</v>
      </c>
      <c r="F1713" s="8" t="s">
        <v>102</v>
      </c>
      <c r="G1713" s="13">
        <v>25.0367</v>
      </c>
      <c r="H1713" s="13">
        <v>5.3158</v>
      </c>
      <c r="I1713" s="9">
        <v>46101.0</v>
      </c>
      <c r="J1713" s="10">
        <v>135.0</v>
      </c>
      <c r="K1713" s="8">
        <v>5352.0</v>
      </c>
      <c r="L1713" s="8" t="s">
        <v>2608</v>
      </c>
      <c r="M1713" s="11">
        <v>1.44</v>
      </c>
      <c r="N1713" s="8" t="s">
        <v>4272</v>
      </c>
      <c r="O1713" s="8">
        <v>6730.0</v>
      </c>
      <c r="P1713" s="11">
        <v>40.4963</v>
      </c>
      <c r="Q1713" s="8" t="s">
        <v>1469</v>
      </c>
      <c r="R1713" s="11">
        <v>0.5211</v>
      </c>
      <c r="S1713" s="12">
        <v>4954125.0</v>
      </c>
      <c r="T1713" s="12">
        <v>8.145988176E10</v>
      </c>
      <c r="U1713" s="13">
        <v>3.9489</v>
      </c>
      <c r="V1713" s="13">
        <v>13.146</v>
      </c>
      <c r="W1713" s="13">
        <v>13.0805</v>
      </c>
      <c r="X1713" s="13">
        <v>-6.3935</v>
      </c>
      <c r="Y1713" s="13">
        <v>0.735</v>
      </c>
      <c r="Z1713" s="13">
        <v>0.9638</v>
      </c>
      <c r="AA1713" s="8" t="s">
        <v>2620</v>
      </c>
      <c r="AB1713" s="14">
        <f>IFERROR(__xludf.DUMMYFUNCTION("IFERROR(GOOGLEFINANCE(B1713,""price""),"""")"),142.53)</f>
        <v>142.53</v>
      </c>
    </row>
    <row r="1714">
      <c r="A1714" s="15">
        <v>46090.66803849101</v>
      </c>
      <c r="B1714" s="16" t="s">
        <v>2634</v>
      </c>
      <c r="C1714" s="16" t="s">
        <v>2635</v>
      </c>
      <c r="D1714" s="17">
        <v>46096.0</v>
      </c>
      <c r="E1714" s="18">
        <v>189.44</v>
      </c>
      <c r="F1714" s="16" t="s">
        <v>245</v>
      </c>
      <c r="G1714" s="21">
        <v>28.4958</v>
      </c>
      <c r="H1714" s="21">
        <v>6.648</v>
      </c>
      <c r="I1714" s="17">
        <v>46094.0</v>
      </c>
      <c r="J1714" s="18">
        <v>190.0</v>
      </c>
      <c r="K1714" s="16">
        <v>2771.0</v>
      </c>
      <c r="L1714" s="16" t="s">
        <v>2608</v>
      </c>
      <c r="M1714" s="19">
        <v>0.3</v>
      </c>
      <c r="N1714" s="16" t="s">
        <v>4273</v>
      </c>
      <c r="O1714" s="16">
        <v>4622.0</v>
      </c>
      <c r="P1714" s="19">
        <v>42.5514</v>
      </c>
      <c r="Q1714" s="16" t="s">
        <v>2637</v>
      </c>
      <c r="R1714" s="19">
        <v>-0.2632</v>
      </c>
      <c r="S1714" s="20">
        <v>1.5914183E7</v>
      </c>
      <c r="T1714" s="20">
        <v>3.78005833609E11</v>
      </c>
      <c r="U1714" s="21">
        <v>3.711</v>
      </c>
      <c r="V1714" s="21">
        <v>7.261</v>
      </c>
      <c r="W1714" s="21">
        <v>8.8802</v>
      </c>
      <c r="X1714" s="21">
        <v>-4.6193</v>
      </c>
      <c r="Y1714" s="21">
        <v>0.2507</v>
      </c>
      <c r="Z1714" s="21">
        <v>1.1547</v>
      </c>
      <c r="AA1714" s="16" t="s">
        <v>2620</v>
      </c>
      <c r="AB1714" s="22">
        <f>IFERROR(__xludf.DUMMYFUNCTION("IFERROR(GOOGLEFINANCE(B1714,""price""),"""")"),188.55)</f>
        <v>188.55</v>
      </c>
    </row>
    <row r="1715">
      <c r="A1715" s="7">
        <v>46090.66803849101</v>
      </c>
      <c r="B1715" s="8" t="s">
        <v>3463</v>
      </c>
      <c r="C1715" s="8" t="s">
        <v>3464</v>
      </c>
      <c r="D1715" s="9">
        <v>46096.0</v>
      </c>
      <c r="E1715" s="10">
        <v>62.23</v>
      </c>
      <c r="F1715" s="8" t="s">
        <v>245</v>
      </c>
      <c r="G1715" s="13">
        <v>18.7796</v>
      </c>
      <c r="H1715" s="13">
        <v>3.3137</v>
      </c>
      <c r="I1715" s="9">
        <v>46094.0</v>
      </c>
      <c r="J1715" s="10">
        <v>61.0</v>
      </c>
      <c r="K1715" s="8">
        <v>4380.0</v>
      </c>
      <c r="L1715" s="8" t="s">
        <v>2608</v>
      </c>
      <c r="M1715" s="11">
        <v>1.98</v>
      </c>
      <c r="N1715" s="8" t="s">
        <v>4274</v>
      </c>
      <c r="O1715" s="8">
        <v>4380.0</v>
      </c>
      <c r="P1715" s="11">
        <v>31.3609</v>
      </c>
      <c r="Q1715" s="8" t="s">
        <v>3466</v>
      </c>
      <c r="R1715" s="11">
        <v>0.4358</v>
      </c>
      <c r="S1715" s="12">
        <v>1.0969129E7</v>
      </c>
      <c r="T1715" s="12">
        <v>3.8848569626E10</v>
      </c>
      <c r="U1715" s="13">
        <v>1.8358</v>
      </c>
      <c r="V1715" s="13">
        <v>9.1961</v>
      </c>
      <c r="W1715" s="13">
        <v>35.6577</v>
      </c>
      <c r="X1715" s="13">
        <v>59.9561</v>
      </c>
      <c r="Y1715" s="13">
        <v>0.3357</v>
      </c>
      <c r="Z1715" s="13">
        <v>0.7627</v>
      </c>
      <c r="AA1715" s="8" t="s">
        <v>2611</v>
      </c>
      <c r="AB1715" s="14">
        <f>IFERROR(__xludf.DUMMYFUNCTION("IFERROR(GOOGLEFINANCE(B1715,""price""),"""")"),58.68)</f>
        <v>58.68</v>
      </c>
    </row>
    <row r="1716">
      <c r="A1716" s="15">
        <v>46090.66803849101</v>
      </c>
      <c r="B1716" s="16" t="s">
        <v>2399</v>
      </c>
      <c r="C1716" s="16" t="s">
        <v>2400</v>
      </c>
      <c r="D1716" s="17">
        <v>46096.0</v>
      </c>
      <c r="E1716" s="18">
        <v>18.59</v>
      </c>
      <c r="F1716" s="16" t="s">
        <v>270</v>
      </c>
      <c r="G1716" s="21">
        <v>15.3865</v>
      </c>
      <c r="H1716" s="21">
        <v>1.2082</v>
      </c>
      <c r="I1716" s="17">
        <v>46094.0</v>
      </c>
      <c r="J1716" s="18">
        <v>18.5</v>
      </c>
      <c r="K1716" s="16">
        <v>1961.0</v>
      </c>
      <c r="L1716" s="16" t="s">
        <v>2627</v>
      </c>
      <c r="M1716" s="19">
        <v>0.48</v>
      </c>
      <c r="N1716" s="16" t="s">
        <v>4275</v>
      </c>
      <c r="O1716" s="16">
        <v>3266.0</v>
      </c>
      <c r="P1716" s="19">
        <v>29.7795</v>
      </c>
      <c r="Q1716" s="16" t="s">
        <v>2401</v>
      </c>
      <c r="R1716" s="19">
        <v>-0.8004</v>
      </c>
      <c r="S1716" s="20">
        <v>1.5566652E7</v>
      </c>
      <c r="T1716" s="20">
        <v>6.3955444902E10</v>
      </c>
      <c r="U1716" s="21">
        <v>0.3369</v>
      </c>
      <c r="V1716" s="21">
        <v>12.7475</v>
      </c>
      <c r="W1716" s="21">
        <v>10.8866</v>
      </c>
      <c r="X1716" s="21">
        <v>3.4655</v>
      </c>
      <c r="Y1716" s="21">
        <v>2.0395</v>
      </c>
      <c r="Z1716" s="21">
        <v>1.2192</v>
      </c>
      <c r="AA1716" s="16" t="s">
        <v>2611</v>
      </c>
      <c r="AB1716" s="22">
        <f>IFERROR(__xludf.DUMMYFUNCTION("IFERROR(GOOGLEFINANCE(B1716,""price""),"""")"),19.19)</f>
        <v>19.19</v>
      </c>
    </row>
    <row r="1717">
      <c r="A1717" s="7">
        <v>46090.66803849101</v>
      </c>
      <c r="B1717" s="8" t="s">
        <v>2297</v>
      </c>
      <c r="C1717" s="8" t="s">
        <v>2298</v>
      </c>
      <c r="D1717" s="9">
        <v>46096.0</v>
      </c>
      <c r="E1717" s="10">
        <v>104.65</v>
      </c>
      <c r="F1717" s="8" t="s">
        <v>917</v>
      </c>
      <c r="G1717" s="13">
        <v>26.7483</v>
      </c>
      <c r="H1717" s="13">
        <v>3.9124</v>
      </c>
      <c r="I1717" s="9">
        <v>46101.0</v>
      </c>
      <c r="J1717" s="10">
        <v>105.0</v>
      </c>
      <c r="K1717" s="8">
        <v>3179.0</v>
      </c>
      <c r="L1717" s="8" t="s">
        <v>2608</v>
      </c>
      <c r="M1717" s="11">
        <v>0.33</v>
      </c>
      <c r="N1717" s="8" t="s">
        <v>4276</v>
      </c>
      <c r="O1717" s="8">
        <v>3179.0</v>
      </c>
      <c r="P1717" s="11">
        <v>32.0583</v>
      </c>
      <c r="Q1717" s="8" t="s">
        <v>2299</v>
      </c>
      <c r="R1717" s="11">
        <v>-0.0478</v>
      </c>
      <c r="S1717" s="12">
        <v>2904214.0</v>
      </c>
      <c r="T1717" s="12">
        <v>4.7405385128E10</v>
      </c>
      <c r="U1717" s="13">
        <v>2.1055</v>
      </c>
      <c r="V1717" s="13">
        <v>10.931</v>
      </c>
      <c r="W1717" s="13">
        <v>22.9697</v>
      </c>
      <c r="X1717" s="13">
        <v>8.3782</v>
      </c>
      <c r="Y1717" s="13">
        <v>1.8276</v>
      </c>
      <c r="Z1717" s="13">
        <v>0.7243</v>
      </c>
      <c r="AA1717" s="8" t="s">
        <v>2620</v>
      </c>
      <c r="AB1717" s="14">
        <f>IFERROR(__xludf.DUMMYFUNCTION("IFERROR(GOOGLEFINANCE(B1717,""price""),"""")"),116.47)</f>
        <v>116.47</v>
      </c>
    </row>
    <row r="1718">
      <c r="A1718" s="15">
        <v>46090.66803849101</v>
      </c>
      <c r="B1718" s="16" t="s">
        <v>3744</v>
      </c>
      <c r="C1718" s="16" t="s">
        <v>3745</v>
      </c>
      <c r="D1718" s="17">
        <v>46096.0</v>
      </c>
      <c r="E1718" s="18">
        <v>39.49</v>
      </c>
      <c r="F1718" s="16" t="s">
        <v>112</v>
      </c>
      <c r="G1718" s="21">
        <v>62.7423</v>
      </c>
      <c r="H1718" s="21">
        <v>0.6294</v>
      </c>
      <c r="I1718" s="17">
        <v>46101.0</v>
      </c>
      <c r="J1718" s="18">
        <v>40.0</v>
      </c>
      <c r="K1718" s="16">
        <v>3012.0</v>
      </c>
      <c r="L1718" s="16" t="s">
        <v>2627</v>
      </c>
      <c r="M1718" s="19">
        <v>1.29</v>
      </c>
      <c r="N1718" s="16" t="s">
        <v>4277</v>
      </c>
      <c r="O1718" s="16">
        <v>3012.0</v>
      </c>
      <c r="P1718" s="19">
        <v>23.2485</v>
      </c>
      <c r="Q1718" s="16" t="s">
        <v>3747</v>
      </c>
      <c r="R1718" s="19">
        <v>-3.2108</v>
      </c>
      <c r="S1718" s="20">
        <v>1113552.0</v>
      </c>
      <c r="T1718" s="20">
        <v>2.132184134E9</v>
      </c>
      <c r="U1718" s="21">
        <v>1.4981</v>
      </c>
      <c r="V1718" s="21">
        <v>10.9439</v>
      </c>
      <c r="W1718" s="21">
        <v>23.4035</v>
      </c>
      <c r="X1718" s="21">
        <v>16.4687</v>
      </c>
      <c r="Y1718" s="21">
        <v>0.8573</v>
      </c>
      <c r="Z1718" s="21">
        <v>1.6697</v>
      </c>
      <c r="AA1718" s="16" t="s">
        <v>2620</v>
      </c>
      <c r="AB1718" s="22">
        <f>IFERROR(__xludf.DUMMYFUNCTION("IFERROR(GOOGLEFINANCE(B1718,""price""),"""")"),37.84)</f>
        <v>37.84</v>
      </c>
    </row>
    <row r="1719">
      <c r="A1719" s="7">
        <v>46090.66803849101</v>
      </c>
      <c r="B1719" s="8" t="s">
        <v>2710</v>
      </c>
      <c r="C1719" s="8" t="s">
        <v>2711</v>
      </c>
      <c r="D1719" s="9">
        <v>46096.0</v>
      </c>
      <c r="E1719" s="10">
        <v>131.86</v>
      </c>
      <c r="F1719" s="8" t="s">
        <v>917</v>
      </c>
      <c r="G1719" s="13">
        <v>19.7991</v>
      </c>
      <c r="H1719" s="13">
        <v>6.6599</v>
      </c>
      <c r="I1719" s="9">
        <v>46101.0</v>
      </c>
      <c r="J1719" s="10">
        <v>130.0</v>
      </c>
      <c r="K1719" s="8">
        <v>2708.0</v>
      </c>
      <c r="L1719" s="8" t="s">
        <v>2608</v>
      </c>
      <c r="M1719" s="11">
        <v>1.41</v>
      </c>
      <c r="N1719" s="8" t="s">
        <v>4278</v>
      </c>
      <c r="O1719" s="8">
        <v>2708.0</v>
      </c>
      <c r="P1719" s="11">
        <v>41.0132</v>
      </c>
      <c r="Q1719" s="8" t="s">
        <v>2713</v>
      </c>
      <c r="R1719" s="11">
        <v>-0.0076</v>
      </c>
      <c r="S1719" s="12">
        <v>4476195.0</v>
      </c>
      <c r="T1719" s="12">
        <v>7.131799623E10</v>
      </c>
      <c r="U1719" s="13">
        <v>2.4933</v>
      </c>
      <c r="V1719" s="13">
        <v>12.3274</v>
      </c>
      <c r="W1719" s="13">
        <v>25.0742</v>
      </c>
      <c r="X1719" s="13">
        <v>10.4587</v>
      </c>
      <c r="Y1719" s="13">
        <v>1.5949</v>
      </c>
      <c r="Z1719" s="13">
        <v>0.4546</v>
      </c>
      <c r="AA1719" s="8" t="s">
        <v>2611</v>
      </c>
      <c r="AB1719" s="14">
        <f>IFERROR(__xludf.DUMMYFUNCTION("IFERROR(GOOGLEFINANCE(B1719,""price""),"""")"),136.3)</f>
        <v>136.3</v>
      </c>
    </row>
    <row r="1720">
      <c r="A1720" s="15">
        <v>46090.66803849101</v>
      </c>
      <c r="B1720" s="16" t="s">
        <v>2692</v>
      </c>
      <c r="C1720" s="16" t="s">
        <v>2693</v>
      </c>
      <c r="D1720" s="17">
        <v>46096.0</v>
      </c>
      <c r="E1720" s="18">
        <v>242.59</v>
      </c>
      <c r="F1720" s="16" t="s">
        <v>117</v>
      </c>
      <c r="G1720" s="21">
        <v>21.9622</v>
      </c>
      <c r="H1720" s="21">
        <v>11.0458</v>
      </c>
      <c r="I1720" s="17">
        <v>46094.0</v>
      </c>
      <c r="J1720" s="18">
        <v>245.0</v>
      </c>
      <c r="K1720" s="16">
        <v>2638.0</v>
      </c>
      <c r="L1720" s="16" t="s">
        <v>2608</v>
      </c>
      <c r="M1720" s="19">
        <v>0.99</v>
      </c>
      <c r="N1720" s="16" t="s">
        <v>4279</v>
      </c>
      <c r="O1720" s="16">
        <v>2638.0</v>
      </c>
      <c r="P1720" s="19">
        <v>31.3313</v>
      </c>
      <c r="Q1720" s="16" t="s">
        <v>2695</v>
      </c>
      <c r="R1720" s="19">
        <v>0.911</v>
      </c>
      <c r="S1720" s="20">
        <v>7827073.0</v>
      </c>
      <c r="T1720" s="20">
        <v>5.84617365562E11</v>
      </c>
      <c r="U1720" s="21">
        <v>4.3932</v>
      </c>
      <c r="V1720" s="21">
        <v>35.0301</v>
      </c>
      <c r="W1720" s="21">
        <v>27.2081</v>
      </c>
      <c r="X1720" s="21">
        <v>6.046</v>
      </c>
      <c r="Y1720" s="21">
        <v>0.605</v>
      </c>
      <c r="Z1720" s="21">
        <v>1.0277</v>
      </c>
      <c r="AA1720" s="16" t="s">
        <v>2620</v>
      </c>
      <c r="AB1720" s="22">
        <f>IFERROR(__xludf.DUMMYFUNCTION("IFERROR(GOOGLEFINANCE(B1720,""price""),"""")"),238.46)</f>
        <v>238.46</v>
      </c>
    </row>
    <row r="1721">
      <c r="A1721" s="7">
        <v>46090.66803849101</v>
      </c>
      <c r="B1721" s="8" t="s">
        <v>2188</v>
      </c>
      <c r="C1721" s="8" t="s">
        <v>2189</v>
      </c>
      <c r="D1721" s="9">
        <v>46096.0</v>
      </c>
      <c r="E1721" s="10">
        <v>483.62</v>
      </c>
      <c r="F1721" s="8" t="s">
        <v>107</v>
      </c>
      <c r="G1721" s="13">
        <v>33.1308</v>
      </c>
      <c r="H1721" s="13">
        <v>14.5973</v>
      </c>
      <c r="I1721" s="9">
        <v>46101.0</v>
      </c>
      <c r="J1721" s="10">
        <v>480.0</v>
      </c>
      <c r="K1721" s="8">
        <v>2483.0</v>
      </c>
      <c r="L1721" s="8" t="s">
        <v>2627</v>
      </c>
      <c r="M1721" s="11">
        <v>0.75</v>
      </c>
      <c r="N1721" s="8" t="s">
        <v>4280</v>
      </c>
      <c r="O1721" s="8">
        <v>2483.0</v>
      </c>
      <c r="P1721" s="11">
        <v>34.2494</v>
      </c>
      <c r="Q1721" s="8" t="s">
        <v>2190</v>
      </c>
      <c r="R1721" s="11">
        <v>-0.2311</v>
      </c>
      <c r="S1721" s="12">
        <v>2245786.0</v>
      </c>
      <c r="T1721" s="12">
        <v>2.24106681582E11</v>
      </c>
      <c r="U1721" s="13">
        <v>9.8055</v>
      </c>
      <c r="V1721" s="13">
        <v>18.0725</v>
      </c>
      <c r="W1721" s="13">
        <v>27.2289</v>
      </c>
      <c r="X1721" s="13">
        <v>2.9723</v>
      </c>
      <c r="Y1721" s="13">
        <v>0.7339</v>
      </c>
      <c r="Z1721" s="13">
        <v>0.8768</v>
      </c>
      <c r="AA1721" s="8" t="s">
        <v>2611</v>
      </c>
      <c r="AB1721" s="14">
        <f>IFERROR(__xludf.DUMMYFUNCTION("IFERROR(GOOGLEFINANCE(B1721,""price""),"""")"),503.15)</f>
        <v>503.15</v>
      </c>
    </row>
    <row r="1722">
      <c r="A1722" s="15">
        <v>46090.66803849101</v>
      </c>
      <c r="B1722" s="16" t="s">
        <v>1570</v>
      </c>
      <c r="C1722" s="16" t="s">
        <v>1571</v>
      </c>
      <c r="D1722" s="17">
        <v>46096.0</v>
      </c>
      <c r="E1722" s="18">
        <v>50.96</v>
      </c>
      <c r="F1722" s="16" t="s">
        <v>917</v>
      </c>
      <c r="G1722" s="21">
        <v>28.8774</v>
      </c>
      <c r="H1722" s="21">
        <v>1.7647</v>
      </c>
      <c r="I1722" s="17">
        <v>46101.0</v>
      </c>
      <c r="J1722" s="18">
        <v>50.0</v>
      </c>
      <c r="K1722" s="16">
        <v>2306.0</v>
      </c>
      <c r="L1722" s="16" t="s">
        <v>2608</v>
      </c>
      <c r="M1722" s="19">
        <v>1.88</v>
      </c>
      <c r="N1722" s="16" t="s">
        <v>4281</v>
      </c>
      <c r="O1722" s="16">
        <v>2306.0</v>
      </c>
      <c r="P1722" s="19">
        <v>33.9856</v>
      </c>
      <c r="Q1722" s="16" t="s">
        <v>1572</v>
      </c>
      <c r="R1722" s="19">
        <v>0.236</v>
      </c>
      <c r="S1722" s="20">
        <v>4522844.0</v>
      </c>
      <c r="T1722" s="20">
        <v>2.9451458702E10</v>
      </c>
      <c r="U1722" s="21">
        <v>0.9264</v>
      </c>
      <c r="V1722" s="21">
        <v>8.1714</v>
      </c>
      <c r="W1722" s="21">
        <v>18.774</v>
      </c>
      <c r="X1722" s="21">
        <v>12.0101</v>
      </c>
      <c r="Y1722" s="21">
        <v>2.1457</v>
      </c>
      <c r="Z1722" s="21">
        <v>0.5652</v>
      </c>
      <c r="AA1722" s="16" t="s">
        <v>2611</v>
      </c>
      <c r="AB1722" s="22">
        <f>IFERROR(__xludf.DUMMYFUNCTION("IFERROR(GOOGLEFINANCE(B1722,""price""),"""")"),51.43)</f>
        <v>51.43</v>
      </c>
    </row>
    <row r="1723">
      <c r="A1723" s="7">
        <v>46090.66803849101</v>
      </c>
      <c r="B1723" s="8" t="s">
        <v>3141</v>
      </c>
      <c r="C1723" s="8" t="s">
        <v>3142</v>
      </c>
      <c r="D1723" s="9">
        <v>46096.0</v>
      </c>
      <c r="E1723" s="10">
        <v>324.4</v>
      </c>
      <c r="F1723" s="8" t="s">
        <v>93</v>
      </c>
      <c r="G1723" s="13">
        <v>12.612</v>
      </c>
      <c r="H1723" s="13">
        <v>25.7215</v>
      </c>
      <c r="I1723" s="9">
        <v>46101.0</v>
      </c>
      <c r="J1723" s="10">
        <v>330.0</v>
      </c>
      <c r="K1723" s="8">
        <v>2191.0</v>
      </c>
      <c r="L1723" s="8" t="s">
        <v>2608</v>
      </c>
      <c r="M1723" s="11">
        <v>1.73</v>
      </c>
      <c r="N1723" s="8" t="s">
        <v>4282</v>
      </c>
      <c r="O1723" s="8">
        <v>2191.0</v>
      </c>
      <c r="P1723" s="11">
        <v>29.5797</v>
      </c>
      <c r="Q1723" s="8" t="s">
        <v>3144</v>
      </c>
      <c r="R1723" s="11">
        <v>-1.0976</v>
      </c>
      <c r="S1723" s="12">
        <v>1627558.0</v>
      </c>
      <c r="T1723" s="12">
        <v>1.26566786499E11</v>
      </c>
      <c r="U1723" s="13">
        <v>6.5451</v>
      </c>
      <c r="V1723" s="13">
        <v>14.9661</v>
      </c>
      <c r="W1723" s="13">
        <v>21.219</v>
      </c>
      <c r="X1723" s="13">
        <v>6.9804</v>
      </c>
      <c r="Y1723" s="13">
        <v>0.3008</v>
      </c>
      <c r="Z1723" s="13">
        <v>0.3807</v>
      </c>
      <c r="AA1723" s="8" t="s">
        <v>2620</v>
      </c>
      <c r="AB1723" s="14">
        <f>IFERROR(__xludf.DUMMYFUNCTION("IFERROR(GOOGLEFINANCE(B1723,""price""),"""")"),327.91)</f>
        <v>327.91</v>
      </c>
    </row>
    <row r="1724">
      <c r="A1724" s="15">
        <v>46090.66803849101</v>
      </c>
      <c r="B1724" s="16" t="s">
        <v>2843</v>
      </c>
      <c r="C1724" s="16" t="s">
        <v>2844</v>
      </c>
      <c r="D1724" s="17">
        <v>46096.0</v>
      </c>
      <c r="E1724" s="18">
        <v>208.23</v>
      </c>
      <c r="F1724" s="16" t="s">
        <v>308</v>
      </c>
      <c r="G1724" s="21">
        <v>41.9616</v>
      </c>
      <c r="H1724" s="21">
        <v>4.9624</v>
      </c>
      <c r="I1724" s="17">
        <v>46094.0</v>
      </c>
      <c r="J1724" s="18">
        <v>205.0</v>
      </c>
      <c r="K1724" s="16">
        <v>1056.0</v>
      </c>
      <c r="L1724" s="16" t="s">
        <v>2608</v>
      </c>
      <c r="M1724" s="19">
        <v>1.55</v>
      </c>
      <c r="N1724" s="16" t="s">
        <v>4283</v>
      </c>
      <c r="O1724" s="16">
        <v>2069.0</v>
      </c>
      <c r="P1724" s="19">
        <v>21.6589</v>
      </c>
      <c r="Q1724" s="16" t="s">
        <v>2846</v>
      </c>
      <c r="R1724" s="19">
        <v>-0.7294</v>
      </c>
      <c r="S1724" s="20">
        <v>8495645.0</v>
      </c>
      <c r="T1724" s="20">
        <v>2.7950453914E11</v>
      </c>
      <c r="U1724" s="21">
        <v>5.845</v>
      </c>
      <c r="V1724" s="21">
        <v>10.7368</v>
      </c>
      <c r="W1724" s="21">
        <v>10.0301</v>
      </c>
      <c r="X1724" s="21">
        <v>9.7414</v>
      </c>
      <c r="Y1724" s="21">
        <v>0.6124</v>
      </c>
      <c r="Z1724" s="21">
        <v>0.9804</v>
      </c>
      <c r="AA1724" s="16" t="s">
        <v>2611</v>
      </c>
      <c r="AB1724" s="22">
        <f>IFERROR(__xludf.DUMMYFUNCTION("IFERROR(GOOGLEFINANCE(B1724,""price""),"""")"),201.56)</f>
        <v>201.56</v>
      </c>
    </row>
    <row r="1725">
      <c r="A1725" s="7">
        <v>46090.66803849101</v>
      </c>
      <c r="B1725" s="8" t="s">
        <v>3242</v>
      </c>
      <c r="C1725" s="8" t="s">
        <v>3243</v>
      </c>
      <c r="D1725" s="9">
        <v>46096.0</v>
      </c>
      <c r="E1725" s="10">
        <v>111.8</v>
      </c>
      <c r="F1725" s="8" t="s">
        <v>917</v>
      </c>
      <c r="G1725" s="13">
        <v>19.7778</v>
      </c>
      <c r="H1725" s="13">
        <v>5.6528</v>
      </c>
      <c r="I1725" s="9">
        <v>46101.0</v>
      </c>
      <c r="J1725" s="10">
        <v>110.0</v>
      </c>
      <c r="K1725" s="8">
        <v>2046.0</v>
      </c>
      <c r="L1725" s="8" t="s">
        <v>2608</v>
      </c>
      <c r="M1725" s="11">
        <v>1.61</v>
      </c>
      <c r="N1725" s="8" t="s">
        <v>4284</v>
      </c>
      <c r="O1725" s="8">
        <v>2046.0</v>
      </c>
      <c r="P1725" s="11">
        <v>19.2986</v>
      </c>
      <c r="Q1725" s="8" t="s">
        <v>3245</v>
      </c>
      <c r="R1725" s="11">
        <v>-0.4275</v>
      </c>
      <c r="S1725" s="12">
        <v>2255702.0</v>
      </c>
      <c r="T1725" s="12">
        <v>4.0393638441E10</v>
      </c>
      <c r="U1725" s="13">
        <v>2.3093</v>
      </c>
      <c r="V1725" s="13">
        <v>8.7624</v>
      </c>
      <c r="W1725" s="13">
        <v>17.3247</v>
      </c>
      <c r="X1725" s="13">
        <v>10.8577</v>
      </c>
      <c r="Y1725" s="13">
        <v>1.173</v>
      </c>
      <c r="Z1725" s="13">
        <v>1.0206</v>
      </c>
      <c r="AA1725" s="8" t="s">
        <v>2611</v>
      </c>
      <c r="AB1725" s="14">
        <f>IFERROR(__xludf.DUMMYFUNCTION("IFERROR(GOOGLEFINANCE(B1725,""price""),"""")"),113.56)</f>
        <v>113.56</v>
      </c>
    </row>
    <row r="1726">
      <c r="A1726" s="15">
        <v>46090.66803849101</v>
      </c>
      <c r="B1726" s="16" t="s">
        <v>2139</v>
      </c>
      <c r="C1726" s="16" t="s">
        <v>2140</v>
      </c>
      <c r="D1726" s="17">
        <v>46096.0</v>
      </c>
      <c r="E1726" s="18">
        <v>60.1</v>
      </c>
      <c r="F1726" s="16" t="s">
        <v>270</v>
      </c>
      <c r="G1726" s="21">
        <v>23.071</v>
      </c>
      <c r="H1726" s="21">
        <v>2.605</v>
      </c>
      <c r="I1726" s="17">
        <v>46101.0</v>
      </c>
      <c r="J1726" s="18">
        <v>60.0</v>
      </c>
      <c r="K1726" s="16">
        <v>1505.0</v>
      </c>
      <c r="L1726" s="16" t="s">
        <v>2608</v>
      </c>
      <c r="M1726" s="19">
        <v>0.17</v>
      </c>
      <c r="N1726" s="16" t="s">
        <v>4285</v>
      </c>
      <c r="O1726" s="16">
        <v>1505.0</v>
      </c>
      <c r="P1726" s="19">
        <v>33.1704</v>
      </c>
      <c r="Q1726" s="16" t="s">
        <v>2141</v>
      </c>
      <c r="R1726" s="19">
        <v>0.4849</v>
      </c>
      <c r="S1726" s="20">
        <v>1.195052E7</v>
      </c>
      <c r="T1726" s="20">
        <v>5.9393015689E10</v>
      </c>
      <c r="U1726" s="21">
        <v>1.7397</v>
      </c>
      <c r="V1726" s="21">
        <v>14.4868</v>
      </c>
      <c r="W1726" s="21">
        <v>12.8259</v>
      </c>
      <c r="X1726" s="21">
        <v>-0.345</v>
      </c>
      <c r="Y1726" s="21">
        <v>0.3558</v>
      </c>
      <c r="Z1726" s="21">
        <v>1.3568</v>
      </c>
      <c r="AA1726" s="16" t="s">
        <v>2611</v>
      </c>
      <c r="AB1726" s="22">
        <f>IFERROR(__xludf.DUMMYFUNCTION("IFERROR(GOOGLEFINANCE(B1726,""price""),"""")"),62.83)</f>
        <v>62.83</v>
      </c>
    </row>
    <row r="1727">
      <c r="A1727" s="7">
        <v>46090.66803849101</v>
      </c>
      <c r="B1727" s="8" t="s">
        <v>3416</v>
      </c>
      <c r="C1727" s="8" t="s">
        <v>3417</v>
      </c>
      <c r="D1727" s="9">
        <v>46096.0</v>
      </c>
      <c r="E1727" s="10">
        <v>67.04</v>
      </c>
      <c r="F1727" s="8" t="s">
        <v>286</v>
      </c>
      <c r="G1727" s="13">
        <v>16.2849</v>
      </c>
      <c r="H1727" s="13">
        <v>4.1167</v>
      </c>
      <c r="I1727" s="9">
        <v>46094.0</v>
      </c>
      <c r="J1727" s="10">
        <v>67.0</v>
      </c>
      <c r="K1727" s="8">
        <v>1463.0</v>
      </c>
      <c r="L1727" s="8" t="s">
        <v>2627</v>
      </c>
      <c r="M1727" s="11">
        <v>0.06</v>
      </c>
      <c r="N1727" s="8" t="s">
        <v>4286</v>
      </c>
      <c r="O1727" s="8">
        <v>1463.0</v>
      </c>
      <c r="P1727" s="11">
        <v>29.7707</v>
      </c>
      <c r="Q1727" s="8" t="s">
        <v>3419</v>
      </c>
      <c r="R1727" s="11">
        <v>0.7969</v>
      </c>
      <c r="S1727" s="12">
        <v>9485251.0</v>
      </c>
      <c r="T1727" s="12">
        <v>1.12084050299E11</v>
      </c>
      <c r="U1727" s="13">
        <v>1.3884</v>
      </c>
      <c r="V1727" s="13"/>
      <c r="W1727" s="13">
        <v>63.8109</v>
      </c>
      <c r="X1727" s="13">
        <v>-1.3989</v>
      </c>
      <c r="Y1727" s="13"/>
      <c r="Z1727" s="13">
        <v>0.648</v>
      </c>
      <c r="AA1727" s="8" t="s">
        <v>2611</v>
      </c>
      <c r="AB1727" s="14">
        <f>IFERROR(__xludf.DUMMYFUNCTION("IFERROR(GOOGLEFINANCE(B1727,""price""),"""")"),67.38)</f>
        <v>67.38</v>
      </c>
    </row>
    <row r="1728">
      <c r="A1728" s="15">
        <v>46090.66803849101</v>
      </c>
      <c r="B1728" s="16" t="s">
        <v>4287</v>
      </c>
      <c r="C1728" s="16" t="s">
        <v>4288</v>
      </c>
      <c r="D1728" s="17">
        <v>46096.0</v>
      </c>
      <c r="E1728" s="18">
        <v>97.25</v>
      </c>
      <c r="F1728" s="16" t="s">
        <v>917</v>
      </c>
      <c r="G1728" s="21">
        <v>24.8416</v>
      </c>
      <c r="H1728" s="21">
        <v>3.9148</v>
      </c>
      <c r="I1728" s="17">
        <v>46094.0</v>
      </c>
      <c r="J1728" s="18">
        <v>98.0</v>
      </c>
      <c r="K1728" s="16">
        <v>1445.0</v>
      </c>
      <c r="L1728" s="16" t="s">
        <v>2608</v>
      </c>
      <c r="M1728" s="19">
        <v>0.77</v>
      </c>
      <c r="N1728" s="16" t="s">
        <v>4289</v>
      </c>
      <c r="O1728" s="16">
        <v>1445.0</v>
      </c>
      <c r="P1728" s="19">
        <v>30.0754</v>
      </c>
      <c r="Q1728" s="16" t="s">
        <v>4290</v>
      </c>
      <c r="R1728" s="19">
        <v>-0.2359</v>
      </c>
      <c r="S1728" s="20">
        <v>5169564.0</v>
      </c>
      <c r="T1728" s="20">
        <v>1.08860801387E11</v>
      </c>
      <c r="U1728" s="21">
        <v>1.7698</v>
      </c>
      <c r="V1728" s="21">
        <v>12.5419</v>
      </c>
      <c r="W1728" s="21">
        <v>24.7056</v>
      </c>
      <c r="X1728" s="21">
        <v>10.5822</v>
      </c>
      <c r="Y1728" s="21">
        <v>2.0567</v>
      </c>
      <c r="Z1728" s="21">
        <v>0.6464</v>
      </c>
      <c r="AA1728" s="16" t="s">
        <v>2620</v>
      </c>
      <c r="AB1728" s="22">
        <f>IFERROR(__xludf.DUMMYFUNCTION("IFERROR(GOOGLEFINANCE(B1728,""price""),"""")"),97.15)</f>
        <v>97.15</v>
      </c>
    </row>
    <row r="1729">
      <c r="A1729" s="7">
        <v>46090.66803849101</v>
      </c>
      <c r="B1729" s="8" t="s">
        <v>3291</v>
      </c>
      <c r="C1729" s="8" t="s">
        <v>3292</v>
      </c>
      <c r="D1729" s="9">
        <v>46096.0</v>
      </c>
      <c r="E1729" s="10">
        <v>246.51</v>
      </c>
      <c r="F1729" s="8" t="s">
        <v>270</v>
      </c>
      <c r="G1729" s="13">
        <v>36.8002</v>
      </c>
      <c r="H1729" s="13">
        <v>6.6986</v>
      </c>
      <c r="I1729" s="9">
        <v>46101.0</v>
      </c>
      <c r="J1729" s="10">
        <v>250.0</v>
      </c>
      <c r="K1729" s="8">
        <v>1335.0</v>
      </c>
      <c r="L1729" s="8" t="s">
        <v>2608</v>
      </c>
      <c r="M1729" s="11">
        <v>1.42</v>
      </c>
      <c r="N1729" s="8" t="s">
        <v>4258</v>
      </c>
      <c r="O1729" s="8">
        <v>1335.0</v>
      </c>
      <c r="P1729" s="11">
        <v>29.4253</v>
      </c>
      <c r="Q1729" s="8" t="s">
        <v>3294</v>
      </c>
      <c r="R1729" s="11">
        <v>0.187</v>
      </c>
      <c r="S1729" s="12">
        <v>3284268.0</v>
      </c>
      <c r="T1729" s="12">
        <v>9.9426305572E10</v>
      </c>
      <c r="U1729" s="13">
        <v>4.8419</v>
      </c>
      <c r="V1729" s="13">
        <v>29.6897</v>
      </c>
      <c r="W1729" s="13">
        <v>18.2788</v>
      </c>
      <c r="X1729" s="13">
        <v>14.2365</v>
      </c>
      <c r="Y1729" s="13">
        <v>2.3941</v>
      </c>
      <c r="Z1729" s="13">
        <v>0.8888</v>
      </c>
      <c r="AA1729" s="8" t="s">
        <v>2620</v>
      </c>
      <c r="AB1729" s="14">
        <f>IFERROR(__xludf.DUMMYFUNCTION("IFERROR(GOOGLEFINANCE(B1729,""price""),"""")"),229.45)</f>
        <v>229.45</v>
      </c>
    </row>
    <row r="1730">
      <c r="A1730" s="15">
        <v>46090.66803849101</v>
      </c>
      <c r="B1730" s="16" t="s">
        <v>3558</v>
      </c>
      <c r="C1730" s="16" t="s">
        <v>3559</v>
      </c>
      <c r="D1730" s="17">
        <v>46096.0</v>
      </c>
      <c r="E1730" s="18">
        <v>237.59</v>
      </c>
      <c r="F1730" s="16" t="s">
        <v>308</v>
      </c>
      <c r="G1730" s="21">
        <v>29.7285</v>
      </c>
      <c r="H1730" s="21">
        <v>7.992</v>
      </c>
      <c r="I1730" s="17">
        <v>46094.0</v>
      </c>
      <c r="J1730" s="18">
        <v>235.0</v>
      </c>
      <c r="K1730" s="16">
        <v>1155.0</v>
      </c>
      <c r="L1730" s="16" t="s">
        <v>2627</v>
      </c>
      <c r="M1730" s="19">
        <v>1.09</v>
      </c>
      <c r="N1730" s="16" t="s">
        <v>4291</v>
      </c>
      <c r="O1730" s="16">
        <v>1155.0</v>
      </c>
      <c r="P1730" s="19">
        <v>45.1925</v>
      </c>
      <c r="Q1730" s="16" t="s">
        <v>3561</v>
      </c>
      <c r="R1730" s="19">
        <v>0.9775</v>
      </c>
      <c r="S1730" s="20">
        <v>2888472.0</v>
      </c>
      <c r="T1730" s="20">
        <v>1.51030175555E11</v>
      </c>
      <c r="U1730" s="21">
        <v>5.334</v>
      </c>
      <c r="V1730" s="21">
        <v>31.7068</v>
      </c>
      <c r="W1730" s="21">
        <v>19.7843</v>
      </c>
      <c r="X1730" s="21">
        <v>4.7901</v>
      </c>
      <c r="Y1730" s="21">
        <v>2.5578</v>
      </c>
      <c r="Z1730" s="21">
        <v>1.2978</v>
      </c>
      <c r="AA1730" s="16" t="s">
        <v>2611</v>
      </c>
      <c r="AB1730" s="22">
        <f>IFERROR(__xludf.DUMMYFUNCTION("IFERROR(GOOGLEFINANCE(B1730,""price""),"""")"),235.06)</f>
        <v>235.06</v>
      </c>
    </row>
    <row r="1731">
      <c r="A1731" s="7">
        <v>46090.66803849101</v>
      </c>
      <c r="B1731" s="8" t="s">
        <v>1637</v>
      </c>
      <c r="C1731" s="8" t="s">
        <v>1638</v>
      </c>
      <c r="D1731" s="9">
        <v>46096.0</v>
      </c>
      <c r="E1731" s="10">
        <v>40.13</v>
      </c>
      <c r="F1731" s="8" t="s">
        <v>245</v>
      </c>
      <c r="G1731" s="13"/>
      <c r="H1731" s="13">
        <v>-0.3537</v>
      </c>
      <c r="I1731" s="9">
        <v>46101.0</v>
      </c>
      <c r="J1731" s="10">
        <v>40.0</v>
      </c>
      <c r="K1731" s="8">
        <v>1108.0</v>
      </c>
      <c r="L1731" s="8" t="s">
        <v>2608</v>
      </c>
      <c r="M1731" s="11">
        <v>0.32</v>
      </c>
      <c r="N1731" s="8" t="s">
        <v>4292</v>
      </c>
      <c r="O1731" s="8">
        <v>1108.0</v>
      </c>
      <c r="P1731" s="11">
        <v>30.1369</v>
      </c>
      <c r="Q1731" s="8" t="s">
        <v>1639</v>
      </c>
      <c r="R1731" s="11">
        <v>-5.1076</v>
      </c>
      <c r="S1731" s="12">
        <v>2550073.0</v>
      </c>
      <c r="T1731" s="12">
        <v>2.40011203E9</v>
      </c>
      <c r="U1731" s="13">
        <v>2.3645</v>
      </c>
      <c r="V1731" s="13">
        <v>-6.8079</v>
      </c>
      <c r="W1731" s="13">
        <v>3.7024</v>
      </c>
      <c r="X1731" s="13">
        <v>-11.1269</v>
      </c>
      <c r="Y1731" s="13">
        <v>11.5407</v>
      </c>
      <c r="Z1731" s="13">
        <v>0.8176</v>
      </c>
      <c r="AA1731" s="8" t="s">
        <v>2611</v>
      </c>
      <c r="AB1731" s="14">
        <f>IFERROR(__xludf.DUMMYFUNCTION("IFERROR(GOOGLEFINANCE(B1731,""price""),"""")"),41.74)</f>
        <v>41.74</v>
      </c>
    </row>
    <row r="1732">
      <c r="A1732" s="15">
        <v>46090.66803849101</v>
      </c>
      <c r="B1732" s="16" t="s">
        <v>1766</v>
      </c>
      <c r="C1732" s="16" t="s">
        <v>1767</v>
      </c>
      <c r="D1732" s="17">
        <v>46096.0</v>
      </c>
      <c r="E1732" s="18">
        <v>93.51</v>
      </c>
      <c r="F1732" s="16" t="s">
        <v>917</v>
      </c>
      <c r="G1732" s="21">
        <v>34.0259</v>
      </c>
      <c r="H1732" s="21">
        <v>2.7482</v>
      </c>
      <c r="I1732" s="17">
        <v>46101.0</v>
      </c>
      <c r="J1732" s="18">
        <v>95.0</v>
      </c>
      <c r="K1732" s="16">
        <v>1087.0</v>
      </c>
      <c r="L1732" s="16" t="s">
        <v>2608</v>
      </c>
      <c r="M1732" s="19">
        <v>1.59</v>
      </c>
      <c r="N1732" s="16" t="s">
        <v>4293</v>
      </c>
      <c r="O1732" s="16">
        <v>1087.0</v>
      </c>
      <c r="P1732" s="19">
        <v>26.502</v>
      </c>
      <c r="Q1732" s="16" t="s">
        <v>1768</v>
      </c>
      <c r="R1732" s="19">
        <v>0.95</v>
      </c>
      <c r="S1732" s="20">
        <v>4064788.0</v>
      </c>
      <c r="T1732" s="20">
        <v>6.1088596123E10</v>
      </c>
      <c r="U1732" s="21">
        <v>2.1855</v>
      </c>
      <c r="V1732" s="21">
        <v>5.8451</v>
      </c>
      <c r="W1732" s="21">
        <v>23.7349</v>
      </c>
      <c r="X1732" s="21">
        <v>5.8424</v>
      </c>
      <c r="Y1732" s="21">
        <v>1.1478</v>
      </c>
      <c r="Z1732" s="21">
        <v>1.5912</v>
      </c>
      <c r="AA1732" s="16" t="s">
        <v>2620</v>
      </c>
      <c r="AB1732" s="22">
        <f>IFERROR(__xludf.DUMMYFUNCTION("IFERROR(GOOGLEFINANCE(B1732,""price""),"""")"),98.82)</f>
        <v>98.82</v>
      </c>
    </row>
    <row r="1733">
      <c r="A1733" s="7">
        <v>46090.66803849101</v>
      </c>
      <c r="B1733" s="8" t="s">
        <v>3873</v>
      </c>
      <c r="C1733" s="8" t="s">
        <v>3874</v>
      </c>
      <c r="D1733" s="9">
        <v>46096.0</v>
      </c>
      <c r="E1733" s="10">
        <v>80.81</v>
      </c>
      <c r="F1733" s="8" t="s">
        <v>149</v>
      </c>
      <c r="G1733" s="13">
        <v>38.6004</v>
      </c>
      <c r="H1733" s="13">
        <v>2.0935</v>
      </c>
      <c r="I1733" s="9">
        <v>46101.0</v>
      </c>
      <c r="J1733" s="10">
        <v>80.0</v>
      </c>
      <c r="K1733" s="8">
        <v>1047.0</v>
      </c>
      <c r="L1733" s="8" t="s">
        <v>2627</v>
      </c>
      <c r="M1733" s="11">
        <v>1.0</v>
      </c>
      <c r="N1733" s="8" t="s">
        <v>4294</v>
      </c>
      <c r="O1733" s="8">
        <v>1047.0</v>
      </c>
      <c r="P1733" s="11">
        <v>23.5056</v>
      </c>
      <c r="Q1733" s="8" t="s">
        <v>3876</v>
      </c>
      <c r="R1733" s="11">
        <v>0.46</v>
      </c>
      <c r="S1733" s="12">
        <v>2287105.0</v>
      </c>
      <c r="T1733" s="12">
        <v>1.3029698614E10</v>
      </c>
      <c r="U1733" s="13">
        <v>2.184</v>
      </c>
      <c r="V1733" s="13">
        <v>17.3353</v>
      </c>
      <c r="W1733" s="13">
        <v>16.2259</v>
      </c>
      <c r="X1733" s="13">
        <v>9.2423</v>
      </c>
      <c r="Y1733" s="13">
        <v>0.0239</v>
      </c>
      <c r="Z1733" s="13">
        <v>1.542</v>
      </c>
      <c r="AA1733" s="8" t="s">
        <v>2611</v>
      </c>
      <c r="AB1733" s="14">
        <f>IFERROR(__xludf.DUMMYFUNCTION("IFERROR(GOOGLEFINANCE(B1733,""price""),"""")"),79.01)</f>
        <v>79.01</v>
      </c>
    </row>
    <row r="1734">
      <c r="A1734" s="15">
        <v>46090.66803849101</v>
      </c>
      <c r="B1734" s="16" t="s">
        <v>2658</v>
      </c>
      <c r="C1734" s="16" t="s">
        <v>2659</v>
      </c>
      <c r="D1734" s="17">
        <v>46096.0</v>
      </c>
      <c r="E1734" s="18">
        <v>92.01</v>
      </c>
      <c r="F1734" s="16" t="s">
        <v>917</v>
      </c>
      <c r="G1734" s="21">
        <v>27.8793</v>
      </c>
      <c r="H1734" s="21">
        <v>3.3003</v>
      </c>
      <c r="I1734" s="17">
        <v>46094.0</v>
      </c>
      <c r="J1734" s="18">
        <v>92.0</v>
      </c>
      <c r="K1734" s="16">
        <v>1016.0</v>
      </c>
      <c r="L1734" s="16" t="s">
        <v>2608</v>
      </c>
      <c r="M1734" s="19">
        <v>0.01</v>
      </c>
      <c r="N1734" s="16" t="s">
        <v>4295</v>
      </c>
      <c r="O1734" s="16">
        <v>1016.0</v>
      </c>
      <c r="P1734" s="19">
        <v>29.6751</v>
      </c>
      <c r="Q1734" s="16" t="s">
        <v>2661</v>
      </c>
      <c r="R1734" s="19">
        <v>1.0877</v>
      </c>
      <c r="S1734" s="20">
        <v>9467922.0</v>
      </c>
      <c r="T1734" s="20">
        <v>1.91704849634E11</v>
      </c>
      <c r="U1734" s="21">
        <v>2.1976</v>
      </c>
      <c r="V1734" s="21">
        <v>13.0533</v>
      </c>
      <c r="W1734" s="21">
        <v>26.8934</v>
      </c>
      <c r="X1734" s="21">
        <v>8.6905</v>
      </c>
      <c r="Y1734" s="21">
        <v>1.7594</v>
      </c>
      <c r="Z1734" s="21">
        <v>0.5953</v>
      </c>
      <c r="AA1734" s="16" t="s">
        <v>2611</v>
      </c>
      <c r="AB1734" s="22">
        <f>IFERROR(__xludf.DUMMYFUNCTION("IFERROR(GOOGLEFINANCE(B1734,""price""),"""")"),94.08)</f>
        <v>94.08</v>
      </c>
    </row>
    <row r="1735">
      <c r="A1735" s="7">
        <v>46091.66951614732</v>
      </c>
      <c r="B1735" s="8" t="s">
        <v>2616</v>
      </c>
      <c r="C1735" s="8" t="s">
        <v>2617</v>
      </c>
      <c r="D1735" s="9">
        <v>46096.0</v>
      </c>
      <c r="E1735" s="10">
        <v>77.88</v>
      </c>
      <c r="F1735" s="8" t="s">
        <v>286</v>
      </c>
      <c r="G1735" s="13">
        <v>25.6311</v>
      </c>
      <c r="H1735" s="13">
        <v>3.0385</v>
      </c>
      <c r="I1735" s="9">
        <v>46094.0</v>
      </c>
      <c r="J1735" s="10">
        <v>79.0</v>
      </c>
      <c r="K1735" s="8">
        <v>6331.0</v>
      </c>
      <c r="L1735" s="8" t="s">
        <v>2608</v>
      </c>
      <c r="M1735" s="11">
        <v>1.44</v>
      </c>
      <c r="N1735" s="8" t="s">
        <v>4296</v>
      </c>
      <c r="O1735" s="8">
        <v>14924.0</v>
      </c>
      <c r="P1735" s="11">
        <v>28.4603</v>
      </c>
      <c r="Q1735" s="8" t="s">
        <v>2619</v>
      </c>
      <c r="R1735" s="11">
        <v>0.1028</v>
      </c>
      <c r="S1735" s="12">
        <v>1.716297E7</v>
      </c>
      <c r="T1735" s="12">
        <v>3.34940331634E11</v>
      </c>
      <c r="U1735" s="13">
        <v>1.3239</v>
      </c>
      <c r="V1735" s="13">
        <v>45.9693</v>
      </c>
      <c r="W1735" s="13">
        <v>31.3688</v>
      </c>
      <c r="X1735" s="13">
        <v>3.4769</v>
      </c>
      <c r="Y1735" s="13">
        <v>1.4577</v>
      </c>
      <c r="Z1735" s="13">
        <v>1.4588</v>
      </c>
      <c r="AA1735" s="8" t="s">
        <v>2620</v>
      </c>
      <c r="AB1735" s="14">
        <f>IFERROR(__xludf.DUMMYFUNCTION("IFERROR(GOOGLEFINANCE(B1735,""price""),"""")"),77.47)</f>
        <v>77.47</v>
      </c>
    </row>
    <row r="1736">
      <c r="A1736" s="15">
        <v>46091.66951614732</v>
      </c>
      <c r="B1736" s="16" t="s">
        <v>2638</v>
      </c>
      <c r="C1736" s="16" t="s">
        <v>2639</v>
      </c>
      <c r="D1736" s="17">
        <v>46096.0</v>
      </c>
      <c r="E1736" s="18">
        <v>148.13</v>
      </c>
      <c r="F1736" s="16" t="s">
        <v>245</v>
      </c>
      <c r="G1736" s="21">
        <v>22.1261</v>
      </c>
      <c r="H1736" s="21">
        <v>6.6948</v>
      </c>
      <c r="I1736" s="17">
        <v>46094.0</v>
      </c>
      <c r="J1736" s="18">
        <v>147.0</v>
      </c>
      <c r="K1736" s="16">
        <v>2648.0</v>
      </c>
      <c r="L1736" s="16" t="s">
        <v>2627</v>
      </c>
      <c r="M1736" s="19">
        <v>0.76</v>
      </c>
      <c r="N1736" s="16" t="s">
        <v>4297</v>
      </c>
      <c r="O1736" s="16">
        <v>11062.0</v>
      </c>
      <c r="P1736" s="19">
        <v>36.0648</v>
      </c>
      <c r="Q1736" s="16" t="s">
        <v>2641</v>
      </c>
      <c r="R1736" s="19">
        <v>-1.5355</v>
      </c>
      <c r="S1736" s="20">
        <v>1.9562259E7</v>
      </c>
      <c r="T1736" s="20">
        <v>6.17222712732E11</v>
      </c>
      <c r="U1736" s="21">
        <v>3.8883</v>
      </c>
      <c r="V1736" s="21">
        <v>11.0283</v>
      </c>
      <c r="W1736" s="21">
        <v>10.3419</v>
      </c>
      <c r="X1736" s="21">
        <v>-4.856</v>
      </c>
      <c r="Y1736" s="21">
        <v>0.1871</v>
      </c>
      <c r="Z1736" s="21">
        <v>1.1528</v>
      </c>
      <c r="AA1736" s="16" t="s">
        <v>2611</v>
      </c>
      <c r="AB1736" s="22">
        <f>IFERROR(__xludf.DUMMYFUNCTION("IFERROR(GOOGLEFINANCE(B1736,""price""),"""")"),152.51)</f>
        <v>152.51</v>
      </c>
    </row>
    <row r="1737">
      <c r="A1737" s="7">
        <v>46091.66951614732</v>
      </c>
      <c r="B1737" s="8" t="s">
        <v>3944</v>
      </c>
      <c r="C1737" s="8" t="s">
        <v>3945</v>
      </c>
      <c r="D1737" s="9">
        <v>46096.0</v>
      </c>
      <c r="E1737" s="10">
        <v>129.69</v>
      </c>
      <c r="F1737" s="8" t="s">
        <v>917</v>
      </c>
      <c r="G1737" s="13">
        <v>20.5456</v>
      </c>
      <c r="H1737" s="13">
        <v>6.3123</v>
      </c>
      <c r="I1737" s="9">
        <v>46101.0</v>
      </c>
      <c r="J1737" s="10">
        <v>130.0</v>
      </c>
      <c r="K1737" s="8">
        <v>8780.0</v>
      </c>
      <c r="L1737" s="8" t="s">
        <v>2608</v>
      </c>
      <c r="M1737" s="11">
        <v>0.24</v>
      </c>
      <c r="N1737" s="8" t="s">
        <v>4298</v>
      </c>
      <c r="O1737" s="8">
        <v>8780.0</v>
      </c>
      <c r="P1737" s="11">
        <v>28.4481</v>
      </c>
      <c r="Q1737" s="8" t="s">
        <v>3947</v>
      </c>
      <c r="R1737" s="11">
        <v>-1.0604</v>
      </c>
      <c r="S1737" s="12">
        <v>8160857.0</v>
      </c>
      <c r="T1737" s="12">
        <v>1.00856140227E11</v>
      </c>
      <c r="U1737" s="13">
        <v>2.2522</v>
      </c>
      <c r="V1737" s="13">
        <v>9.7422</v>
      </c>
      <c r="W1737" s="13">
        <v>26.6061</v>
      </c>
      <c r="X1737" s="13">
        <v>6.193</v>
      </c>
      <c r="Y1737" s="13">
        <v>1.7574</v>
      </c>
      <c r="Z1737" s="13">
        <v>0.5518</v>
      </c>
      <c r="AA1737" s="8" t="s">
        <v>2620</v>
      </c>
      <c r="AB1737" s="14">
        <f>IFERROR(__xludf.DUMMYFUNCTION("IFERROR(GOOGLEFINANCE(B1737,""price""),"""")"),131.79)</f>
        <v>131.79</v>
      </c>
    </row>
    <row r="1738">
      <c r="A1738" s="15">
        <v>46091.66951614732</v>
      </c>
      <c r="B1738" s="16" t="s">
        <v>2692</v>
      </c>
      <c r="C1738" s="16" t="s">
        <v>2693</v>
      </c>
      <c r="D1738" s="17">
        <v>46096.0</v>
      </c>
      <c r="E1738" s="18">
        <v>243.71</v>
      </c>
      <c r="F1738" s="16" t="s">
        <v>117</v>
      </c>
      <c r="G1738" s="21">
        <v>22.0636</v>
      </c>
      <c r="H1738" s="21">
        <v>11.0458</v>
      </c>
      <c r="I1738" s="17">
        <v>46094.0</v>
      </c>
      <c r="J1738" s="18">
        <v>245.0</v>
      </c>
      <c r="K1738" s="16">
        <v>2711.0</v>
      </c>
      <c r="L1738" s="16" t="s">
        <v>2608</v>
      </c>
      <c r="M1738" s="19">
        <v>0.53</v>
      </c>
      <c r="N1738" s="16" t="s">
        <v>4299</v>
      </c>
      <c r="O1738" s="16">
        <v>8583.0</v>
      </c>
      <c r="P1738" s="19">
        <v>29.5366</v>
      </c>
      <c r="Q1738" s="16" t="s">
        <v>2695</v>
      </c>
      <c r="R1738" s="19">
        <v>0.4617</v>
      </c>
      <c r="S1738" s="20">
        <v>7208258.0</v>
      </c>
      <c r="T1738" s="20">
        <v>5.87316458336E11</v>
      </c>
      <c r="U1738" s="21">
        <v>4.378</v>
      </c>
      <c r="V1738" s="21">
        <v>35.0301</v>
      </c>
      <c r="W1738" s="21">
        <v>27.2081</v>
      </c>
      <c r="X1738" s="21">
        <v>6.046</v>
      </c>
      <c r="Y1738" s="21">
        <v>0.605</v>
      </c>
      <c r="Z1738" s="21">
        <v>1.0277</v>
      </c>
      <c r="AA1738" s="16" t="s">
        <v>2620</v>
      </c>
      <c r="AB1738" s="22">
        <f>IFERROR(__xludf.DUMMYFUNCTION("IFERROR(GOOGLEFINANCE(B1738,""price""),"""")"),238.46)</f>
        <v>238.46</v>
      </c>
    </row>
    <row r="1739">
      <c r="A1739" s="7">
        <v>46091.66951614732</v>
      </c>
      <c r="B1739" s="8" t="s">
        <v>3697</v>
      </c>
      <c r="C1739" s="8" t="s">
        <v>3698</v>
      </c>
      <c r="D1739" s="9">
        <v>46096.0</v>
      </c>
      <c r="E1739" s="10">
        <v>49.01</v>
      </c>
      <c r="F1739" s="8" t="s">
        <v>917</v>
      </c>
      <c r="G1739" s="13">
        <v>17.9202</v>
      </c>
      <c r="H1739" s="13">
        <v>2.7349</v>
      </c>
      <c r="I1739" s="9">
        <v>46101.0</v>
      </c>
      <c r="J1739" s="10">
        <v>49.0</v>
      </c>
      <c r="K1739" s="8">
        <v>7274.0</v>
      </c>
      <c r="L1739" s="8" t="s">
        <v>2608</v>
      </c>
      <c r="M1739" s="11">
        <v>0.02</v>
      </c>
      <c r="N1739" s="8" t="s">
        <v>4300</v>
      </c>
      <c r="O1739" s="8">
        <v>7274.0</v>
      </c>
      <c r="P1739" s="11">
        <v>31.0832</v>
      </c>
      <c r="Q1739" s="8" t="s">
        <v>3700</v>
      </c>
      <c r="R1739" s="11">
        <v>-0.2646</v>
      </c>
      <c r="S1739" s="12">
        <v>7464757.0</v>
      </c>
      <c r="T1739" s="12">
        <v>5.0131964631E10</v>
      </c>
      <c r="U1739" s="13">
        <v>0.9734</v>
      </c>
      <c r="V1739" s="13">
        <v>9.9356</v>
      </c>
      <c r="W1739" s="13">
        <v>21.2054</v>
      </c>
      <c r="X1739" s="13">
        <v>5.3367</v>
      </c>
      <c r="Y1739" s="13">
        <v>1.7554</v>
      </c>
      <c r="Z1739" s="13">
        <v>0.924</v>
      </c>
      <c r="AA1739" s="8" t="s">
        <v>2611</v>
      </c>
      <c r="AB1739" s="14">
        <f>IFERROR(__xludf.DUMMYFUNCTION("IFERROR(GOOGLEFINANCE(B1739,""price""),"""")"),48.57)</f>
        <v>48.57</v>
      </c>
    </row>
    <row r="1740">
      <c r="A1740" s="15">
        <v>46091.66951614732</v>
      </c>
      <c r="B1740" s="16" t="s">
        <v>4301</v>
      </c>
      <c r="C1740" s="16" t="s">
        <v>4302</v>
      </c>
      <c r="D1740" s="17">
        <v>46096.0</v>
      </c>
      <c r="E1740" s="18">
        <v>40.64</v>
      </c>
      <c r="F1740" s="16" t="s">
        <v>245</v>
      </c>
      <c r="G1740" s="21">
        <v>14.8164</v>
      </c>
      <c r="H1740" s="21">
        <v>2.7429</v>
      </c>
      <c r="I1740" s="17">
        <v>46101.0</v>
      </c>
      <c r="J1740" s="18">
        <v>40.0</v>
      </c>
      <c r="K1740" s="16">
        <v>6456.0</v>
      </c>
      <c r="L1740" s="16" t="s">
        <v>2608</v>
      </c>
      <c r="M1740" s="19">
        <v>1.57</v>
      </c>
      <c r="N1740" s="16" t="s">
        <v>4303</v>
      </c>
      <c r="O1740" s="16">
        <v>6456.0</v>
      </c>
      <c r="P1740" s="19">
        <v>32.2469</v>
      </c>
      <c r="Q1740" s="16" t="s">
        <v>4304</v>
      </c>
      <c r="R1740" s="19">
        <v>-2.3546</v>
      </c>
      <c r="S1740" s="20">
        <v>2802918.0</v>
      </c>
      <c r="T1740" s="20">
        <v>9.56588346E9</v>
      </c>
      <c r="U1740" s="21">
        <v>1.4736</v>
      </c>
      <c r="V1740" s="21">
        <v>15.9105</v>
      </c>
      <c r="W1740" s="21">
        <v>27.9178</v>
      </c>
      <c r="X1740" s="21">
        <v>26.8569</v>
      </c>
      <c r="Y1740" s="21">
        <v>0.3178</v>
      </c>
      <c r="Z1740" s="21">
        <v>0.6723</v>
      </c>
      <c r="AA1740" s="16" t="s">
        <v>2611</v>
      </c>
      <c r="AB1740" s="22">
        <f>IFERROR(__xludf.DUMMYFUNCTION("IFERROR(GOOGLEFINANCE(B1740,""price""),"""")"),42.84)</f>
        <v>42.84</v>
      </c>
    </row>
    <row r="1741">
      <c r="A1741" s="7">
        <v>46091.66951614732</v>
      </c>
      <c r="B1741" s="8" t="s">
        <v>1467</v>
      </c>
      <c r="C1741" s="8" t="s">
        <v>1468</v>
      </c>
      <c r="D1741" s="9">
        <v>46096.0</v>
      </c>
      <c r="E1741" s="10">
        <v>133.94</v>
      </c>
      <c r="F1741" s="8" t="s">
        <v>102</v>
      </c>
      <c r="G1741" s="13">
        <v>25.1966</v>
      </c>
      <c r="H1741" s="13">
        <v>5.3158</v>
      </c>
      <c r="I1741" s="9">
        <v>46101.0</v>
      </c>
      <c r="J1741" s="10">
        <v>135.0</v>
      </c>
      <c r="K1741" s="8">
        <v>5366.0</v>
      </c>
      <c r="L1741" s="8" t="s">
        <v>2608</v>
      </c>
      <c r="M1741" s="11">
        <v>0.79</v>
      </c>
      <c r="N1741" s="8" t="s">
        <v>4305</v>
      </c>
      <c r="O1741" s="8">
        <v>6422.0</v>
      </c>
      <c r="P1741" s="11">
        <v>38.3211</v>
      </c>
      <c r="Q1741" s="8" t="s">
        <v>1469</v>
      </c>
      <c r="R1741" s="11">
        <v>0.6387</v>
      </c>
      <c r="S1741" s="12">
        <v>4394464.0</v>
      </c>
      <c r="T1741" s="12">
        <v>8.1980139497E10</v>
      </c>
      <c r="U1741" s="13">
        <v>3.9226</v>
      </c>
      <c r="V1741" s="13">
        <v>13.146</v>
      </c>
      <c r="W1741" s="13">
        <v>13.0805</v>
      </c>
      <c r="X1741" s="13">
        <v>-6.3935</v>
      </c>
      <c r="Y1741" s="13">
        <v>0.735</v>
      </c>
      <c r="Z1741" s="13">
        <v>0.9638</v>
      </c>
      <c r="AA1741" s="8" t="s">
        <v>2620</v>
      </c>
      <c r="AB1741" s="14">
        <f>IFERROR(__xludf.DUMMYFUNCTION("IFERROR(GOOGLEFINANCE(B1741,""price""),"""")"),142.53)</f>
        <v>142.53</v>
      </c>
    </row>
    <row r="1742">
      <c r="A1742" s="15">
        <v>46091.66951614732</v>
      </c>
      <c r="B1742" s="16" t="s">
        <v>3802</v>
      </c>
      <c r="C1742" s="16" t="s">
        <v>3803</v>
      </c>
      <c r="D1742" s="17">
        <v>46096.0</v>
      </c>
      <c r="E1742" s="18">
        <v>45.045</v>
      </c>
      <c r="F1742" s="16" t="s">
        <v>270</v>
      </c>
      <c r="G1742" s="21"/>
      <c r="H1742" s="21"/>
      <c r="I1742" s="17">
        <v>46101.0</v>
      </c>
      <c r="J1742" s="18">
        <v>45.0</v>
      </c>
      <c r="K1742" s="16">
        <v>5884.0</v>
      </c>
      <c r="L1742" s="16" t="s">
        <v>2608</v>
      </c>
      <c r="M1742" s="19">
        <v>0.1</v>
      </c>
      <c r="N1742" s="16" t="s">
        <v>4306</v>
      </c>
      <c r="O1742" s="16">
        <v>5884.0</v>
      </c>
      <c r="P1742" s="19">
        <v>27.2344</v>
      </c>
      <c r="Q1742" s="16" t="s">
        <v>3805</v>
      </c>
      <c r="R1742" s="19">
        <v>-1.1087</v>
      </c>
      <c r="S1742" s="20">
        <v>1583904.0</v>
      </c>
      <c r="T1742" s="20">
        <v>4.712719292E9</v>
      </c>
      <c r="U1742" s="21">
        <v>1.454</v>
      </c>
      <c r="V1742" s="21">
        <v>3.4054</v>
      </c>
      <c r="W1742" s="21">
        <v>34.4448</v>
      </c>
      <c r="X1742" s="21">
        <v>51.1384</v>
      </c>
      <c r="Y1742" s="21">
        <v>1.4965</v>
      </c>
      <c r="Z1742" s="21">
        <v>2.5453</v>
      </c>
      <c r="AA1742" s="16" t="s">
        <v>2611</v>
      </c>
      <c r="AB1742" s="22">
        <f>IFERROR(__xludf.DUMMYFUNCTION("IFERROR(GOOGLEFINANCE(B1742,""price""),"""")"),53.28)</f>
        <v>53.28</v>
      </c>
    </row>
    <row r="1743">
      <c r="A1743" s="7">
        <v>46091.66951614732</v>
      </c>
      <c r="B1743" s="8" t="s">
        <v>3463</v>
      </c>
      <c r="C1743" s="8" t="s">
        <v>3464</v>
      </c>
      <c r="D1743" s="9">
        <v>46096.0</v>
      </c>
      <c r="E1743" s="10">
        <v>61.83</v>
      </c>
      <c r="F1743" s="8" t="s">
        <v>245</v>
      </c>
      <c r="G1743" s="13">
        <v>18.6589</v>
      </c>
      <c r="H1743" s="13">
        <v>3.3137</v>
      </c>
      <c r="I1743" s="9">
        <v>46094.0</v>
      </c>
      <c r="J1743" s="10">
        <v>61.0</v>
      </c>
      <c r="K1743" s="8">
        <v>4384.0</v>
      </c>
      <c r="L1743" s="8" t="s">
        <v>2608</v>
      </c>
      <c r="M1743" s="11">
        <v>1.34</v>
      </c>
      <c r="N1743" s="8" t="s">
        <v>4307</v>
      </c>
      <c r="O1743" s="8">
        <v>4384.0</v>
      </c>
      <c r="P1743" s="11">
        <v>32.0625</v>
      </c>
      <c r="Q1743" s="8" t="s">
        <v>3466</v>
      </c>
      <c r="R1743" s="11">
        <v>-0.6428</v>
      </c>
      <c r="S1743" s="12">
        <v>8117389.0</v>
      </c>
      <c r="T1743" s="12">
        <v>3.8598860321E10</v>
      </c>
      <c r="U1743" s="13">
        <v>1.7782</v>
      </c>
      <c r="V1743" s="13">
        <v>9.1961</v>
      </c>
      <c r="W1743" s="13">
        <v>35.6577</v>
      </c>
      <c r="X1743" s="13">
        <v>59.9561</v>
      </c>
      <c r="Y1743" s="13">
        <v>0.3357</v>
      </c>
      <c r="Z1743" s="13">
        <v>0.7627</v>
      </c>
      <c r="AA1743" s="8" t="s">
        <v>2611</v>
      </c>
      <c r="AB1743" s="14">
        <f>IFERROR(__xludf.DUMMYFUNCTION("IFERROR(GOOGLEFINANCE(B1743,""price""),"""")"),58.68)</f>
        <v>58.68</v>
      </c>
    </row>
    <row r="1744">
      <c r="A1744" s="15">
        <v>46091.66951614732</v>
      </c>
      <c r="B1744" s="16" t="s">
        <v>2399</v>
      </c>
      <c r="C1744" s="16" t="s">
        <v>2400</v>
      </c>
      <c r="D1744" s="17">
        <v>46096.0</v>
      </c>
      <c r="E1744" s="18">
        <v>18.3</v>
      </c>
      <c r="F1744" s="16" t="s">
        <v>270</v>
      </c>
      <c r="G1744" s="21">
        <v>15.1465</v>
      </c>
      <c r="H1744" s="21">
        <v>1.2082</v>
      </c>
      <c r="I1744" s="17">
        <v>46094.0</v>
      </c>
      <c r="J1744" s="18">
        <v>18.5</v>
      </c>
      <c r="K1744" s="16">
        <v>2883.0</v>
      </c>
      <c r="L1744" s="16" t="s">
        <v>2627</v>
      </c>
      <c r="M1744" s="19">
        <v>1.09</v>
      </c>
      <c r="N1744" s="16" t="s">
        <v>4308</v>
      </c>
      <c r="O1744" s="16">
        <v>4195.0</v>
      </c>
      <c r="P1744" s="19">
        <v>27.9386</v>
      </c>
      <c r="Q1744" s="16" t="s">
        <v>2401</v>
      </c>
      <c r="R1744" s="19">
        <v>-1.56</v>
      </c>
      <c r="S1744" s="20">
        <v>1.4915712E7</v>
      </c>
      <c r="T1744" s="20">
        <v>6.2957755009E10</v>
      </c>
      <c r="U1744" s="21">
        <v>0.3425</v>
      </c>
      <c r="V1744" s="21">
        <v>12.7475</v>
      </c>
      <c r="W1744" s="21">
        <v>10.8866</v>
      </c>
      <c r="X1744" s="21">
        <v>3.4655</v>
      </c>
      <c r="Y1744" s="21">
        <v>2.0395</v>
      </c>
      <c r="Z1744" s="21">
        <v>1.2192</v>
      </c>
      <c r="AA1744" s="16" t="s">
        <v>2620</v>
      </c>
      <c r="AB1744" s="22">
        <f>IFERROR(__xludf.DUMMYFUNCTION("IFERROR(GOOGLEFINANCE(B1744,""price""),"""")"),19.19)</f>
        <v>19.19</v>
      </c>
    </row>
    <row r="1745">
      <c r="A1745" s="7">
        <v>46091.66951614732</v>
      </c>
      <c r="B1745" s="8" t="s">
        <v>3416</v>
      </c>
      <c r="C1745" s="8" t="s">
        <v>3417</v>
      </c>
      <c r="D1745" s="9">
        <v>46096.0</v>
      </c>
      <c r="E1745" s="10">
        <v>67.14</v>
      </c>
      <c r="F1745" s="8" t="s">
        <v>286</v>
      </c>
      <c r="G1745" s="13">
        <v>16.3092</v>
      </c>
      <c r="H1745" s="13">
        <v>4.1167</v>
      </c>
      <c r="I1745" s="9">
        <v>46094.0</v>
      </c>
      <c r="J1745" s="10">
        <v>67.0</v>
      </c>
      <c r="K1745" s="8">
        <v>1503.0</v>
      </c>
      <c r="L1745" s="8" t="s">
        <v>2627</v>
      </c>
      <c r="M1745" s="11">
        <v>0.21</v>
      </c>
      <c r="N1745" s="8" t="s">
        <v>4309</v>
      </c>
      <c r="O1745" s="8">
        <v>3527.0</v>
      </c>
      <c r="P1745" s="11">
        <v>28.3258</v>
      </c>
      <c r="Q1745" s="8" t="s">
        <v>3419</v>
      </c>
      <c r="R1745" s="11">
        <v>0.1492</v>
      </c>
      <c r="S1745" s="12">
        <v>6734138.0</v>
      </c>
      <c r="T1745" s="12">
        <v>1.12251238039E11</v>
      </c>
      <c r="U1745" s="13">
        <v>1.3628</v>
      </c>
      <c r="V1745" s="13"/>
      <c r="W1745" s="13">
        <v>63.8109</v>
      </c>
      <c r="X1745" s="13">
        <v>-1.3989</v>
      </c>
      <c r="Y1745" s="13"/>
      <c r="Z1745" s="13">
        <v>0.648</v>
      </c>
      <c r="AA1745" s="8" t="s">
        <v>2611</v>
      </c>
      <c r="AB1745" s="14">
        <f>IFERROR(__xludf.DUMMYFUNCTION("IFERROR(GOOGLEFINANCE(B1745,""price""),"""")"),67.38)</f>
        <v>67.38</v>
      </c>
    </row>
    <row r="1746">
      <c r="A1746" s="15">
        <v>46091.66951614732</v>
      </c>
      <c r="B1746" s="16" t="s">
        <v>2297</v>
      </c>
      <c r="C1746" s="16" t="s">
        <v>2298</v>
      </c>
      <c r="D1746" s="17">
        <v>46096.0</v>
      </c>
      <c r="E1746" s="18">
        <v>104.76</v>
      </c>
      <c r="F1746" s="16" t="s">
        <v>917</v>
      </c>
      <c r="G1746" s="21">
        <v>26.7764</v>
      </c>
      <c r="H1746" s="21">
        <v>3.9124</v>
      </c>
      <c r="I1746" s="17">
        <v>46101.0</v>
      </c>
      <c r="J1746" s="18">
        <v>105.0</v>
      </c>
      <c r="K1746" s="16">
        <v>3172.0</v>
      </c>
      <c r="L1746" s="16" t="s">
        <v>2608</v>
      </c>
      <c r="M1746" s="19">
        <v>0.23</v>
      </c>
      <c r="N1746" s="16" t="s">
        <v>4310</v>
      </c>
      <c r="O1746" s="16">
        <v>3172.0</v>
      </c>
      <c r="P1746" s="19">
        <v>30.5721</v>
      </c>
      <c r="Q1746" s="16" t="s">
        <v>2299</v>
      </c>
      <c r="R1746" s="19">
        <v>0.1051</v>
      </c>
      <c r="S1746" s="20">
        <v>1758477.0</v>
      </c>
      <c r="T1746" s="20">
        <v>4.7455216084E10</v>
      </c>
      <c r="U1746" s="21">
        <v>2.0965</v>
      </c>
      <c r="V1746" s="21">
        <v>10.931</v>
      </c>
      <c r="W1746" s="21">
        <v>22.9697</v>
      </c>
      <c r="X1746" s="21">
        <v>8.3782</v>
      </c>
      <c r="Y1746" s="21">
        <v>1.8276</v>
      </c>
      <c r="Z1746" s="21">
        <v>0.7243</v>
      </c>
      <c r="AA1746" s="16" t="s">
        <v>2620</v>
      </c>
      <c r="AB1746" s="22">
        <f>IFERROR(__xludf.DUMMYFUNCTION("IFERROR(GOOGLEFINANCE(B1746,""price""),"""")"),116.47)</f>
        <v>116.47</v>
      </c>
    </row>
    <row r="1747">
      <c r="A1747" s="7">
        <v>46091.66951614732</v>
      </c>
      <c r="B1747" s="8" t="s">
        <v>3744</v>
      </c>
      <c r="C1747" s="8" t="s">
        <v>3745</v>
      </c>
      <c r="D1747" s="9">
        <v>46096.0</v>
      </c>
      <c r="E1747" s="10">
        <v>39.71</v>
      </c>
      <c r="F1747" s="8" t="s">
        <v>112</v>
      </c>
      <c r="G1747" s="13">
        <v>63.0918</v>
      </c>
      <c r="H1747" s="13">
        <v>0.6294</v>
      </c>
      <c r="I1747" s="9">
        <v>46101.0</v>
      </c>
      <c r="J1747" s="10">
        <v>40.0</v>
      </c>
      <c r="K1747" s="8">
        <v>3010.0</v>
      </c>
      <c r="L1747" s="8" t="s">
        <v>2627</v>
      </c>
      <c r="M1747" s="11">
        <v>0.73</v>
      </c>
      <c r="N1747" s="8" t="s">
        <v>4311</v>
      </c>
      <c r="O1747" s="8">
        <v>3010.0</v>
      </c>
      <c r="P1747" s="11">
        <v>22.6299</v>
      </c>
      <c r="Q1747" s="8" t="s">
        <v>3747</v>
      </c>
      <c r="R1747" s="11">
        <v>0.5571</v>
      </c>
      <c r="S1747" s="12">
        <v>1153296.0</v>
      </c>
      <c r="T1747" s="12">
        <v>2.144062728E9</v>
      </c>
      <c r="U1747" s="13">
        <v>1.46</v>
      </c>
      <c r="V1747" s="13">
        <v>10.9439</v>
      </c>
      <c r="W1747" s="13">
        <v>23.4035</v>
      </c>
      <c r="X1747" s="13">
        <v>16.4687</v>
      </c>
      <c r="Y1747" s="13">
        <v>0.8573</v>
      </c>
      <c r="Z1747" s="13">
        <v>1.6697</v>
      </c>
      <c r="AA1747" s="8" t="s">
        <v>2620</v>
      </c>
      <c r="AB1747" s="14">
        <f>IFERROR(__xludf.DUMMYFUNCTION("IFERROR(GOOGLEFINANCE(B1747,""price""),"""")"),37.84)</f>
        <v>37.84</v>
      </c>
    </row>
    <row r="1748">
      <c r="A1748" s="15">
        <v>46091.66951614732</v>
      </c>
      <c r="B1748" s="16" t="s">
        <v>2634</v>
      </c>
      <c r="C1748" s="16" t="s">
        <v>2635</v>
      </c>
      <c r="D1748" s="17">
        <v>46096.0</v>
      </c>
      <c r="E1748" s="18">
        <v>186.29</v>
      </c>
      <c r="F1748" s="16" t="s">
        <v>245</v>
      </c>
      <c r="G1748" s="21">
        <v>28.022</v>
      </c>
      <c r="H1748" s="21">
        <v>6.648</v>
      </c>
      <c r="I1748" s="17">
        <v>46094.0</v>
      </c>
      <c r="J1748" s="18">
        <v>190.0</v>
      </c>
      <c r="K1748" s="16">
        <v>2888.0</v>
      </c>
      <c r="L1748" s="16" t="s">
        <v>2608</v>
      </c>
      <c r="M1748" s="19">
        <v>1.99</v>
      </c>
      <c r="N1748" s="16" t="s">
        <v>4312</v>
      </c>
      <c r="O1748" s="16">
        <v>2888.0</v>
      </c>
      <c r="P1748" s="19">
        <v>41.0039</v>
      </c>
      <c r="Q1748" s="16" t="s">
        <v>2637</v>
      </c>
      <c r="R1748" s="19">
        <v>-1.6628</v>
      </c>
      <c r="S1748" s="20">
        <v>1.1958904E7</v>
      </c>
      <c r="T1748" s="20">
        <v>3.71720369222E11</v>
      </c>
      <c r="U1748" s="21">
        <v>3.7174</v>
      </c>
      <c r="V1748" s="21">
        <v>7.261</v>
      </c>
      <c r="W1748" s="21">
        <v>8.8802</v>
      </c>
      <c r="X1748" s="21">
        <v>-4.6193</v>
      </c>
      <c r="Y1748" s="21">
        <v>0.2507</v>
      </c>
      <c r="Z1748" s="21">
        <v>1.1547</v>
      </c>
      <c r="AA1748" s="16" t="s">
        <v>2620</v>
      </c>
      <c r="AB1748" s="22">
        <f>IFERROR(__xludf.DUMMYFUNCTION("IFERROR(GOOGLEFINANCE(B1748,""price""),"""")"),188.55)</f>
        <v>188.55</v>
      </c>
    </row>
    <row r="1749">
      <c r="A1749" s="7">
        <v>46091.66951614732</v>
      </c>
      <c r="B1749" s="8" t="s">
        <v>2710</v>
      </c>
      <c r="C1749" s="8" t="s">
        <v>2711</v>
      </c>
      <c r="D1749" s="9">
        <v>46096.0</v>
      </c>
      <c r="E1749" s="10">
        <v>132.31</v>
      </c>
      <c r="F1749" s="8" t="s">
        <v>917</v>
      </c>
      <c r="G1749" s="13">
        <v>19.8667</v>
      </c>
      <c r="H1749" s="13">
        <v>6.6599</v>
      </c>
      <c r="I1749" s="9">
        <v>46101.0</v>
      </c>
      <c r="J1749" s="10">
        <v>130.0</v>
      </c>
      <c r="K1749" s="8">
        <v>2705.0</v>
      </c>
      <c r="L1749" s="8" t="s">
        <v>2608</v>
      </c>
      <c r="M1749" s="11">
        <v>1.75</v>
      </c>
      <c r="N1749" s="8" t="s">
        <v>4313</v>
      </c>
      <c r="O1749" s="8">
        <v>2705.0</v>
      </c>
      <c r="P1749" s="11">
        <v>40.3679</v>
      </c>
      <c r="Q1749" s="8" t="s">
        <v>2713</v>
      </c>
      <c r="R1749" s="11">
        <v>0.3413</v>
      </c>
      <c r="S1749" s="12">
        <v>3210777.0</v>
      </c>
      <c r="T1749" s="12">
        <v>7.1561386882E10</v>
      </c>
      <c r="U1749" s="13">
        <v>2.4688</v>
      </c>
      <c r="V1749" s="13">
        <v>12.3274</v>
      </c>
      <c r="W1749" s="13">
        <v>25.0742</v>
      </c>
      <c r="X1749" s="13">
        <v>10.4587</v>
      </c>
      <c r="Y1749" s="13">
        <v>1.5949</v>
      </c>
      <c r="Z1749" s="13">
        <v>0.4546</v>
      </c>
      <c r="AA1749" s="8" t="s">
        <v>2611</v>
      </c>
      <c r="AB1749" s="14">
        <f>IFERROR(__xludf.DUMMYFUNCTION("IFERROR(GOOGLEFINANCE(B1749,""price""),"""")"),136.3)</f>
        <v>136.3</v>
      </c>
    </row>
    <row r="1750">
      <c r="A1750" s="15">
        <v>46091.66951614732</v>
      </c>
      <c r="B1750" s="16" t="s">
        <v>3684</v>
      </c>
      <c r="C1750" s="16" t="s">
        <v>3685</v>
      </c>
      <c r="D1750" s="17">
        <v>46096.0</v>
      </c>
      <c r="E1750" s="18">
        <v>37.84</v>
      </c>
      <c r="F1750" s="16" t="s">
        <v>917</v>
      </c>
      <c r="G1750" s="21">
        <v>23.8332</v>
      </c>
      <c r="H1750" s="21">
        <v>1.5877</v>
      </c>
      <c r="I1750" s="17">
        <v>46101.0</v>
      </c>
      <c r="J1750" s="18">
        <v>38.0</v>
      </c>
      <c r="K1750" s="16">
        <v>2703.0</v>
      </c>
      <c r="L1750" s="16" t="s">
        <v>2608</v>
      </c>
      <c r="M1750" s="19">
        <v>0.42</v>
      </c>
      <c r="N1750" s="16" t="s">
        <v>4314</v>
      </c>
      <c r="O1750" s="16">
        <v>2703.0</v>
      </c>
      <c r="P1750" s="19">
        <v>21.8657</v>
      </c>
      <c r="Q1750" s="16" t="s">
        <v>3687</v>
      </c>
      <c r="R1750" s="19">
        <v>-1.2268</v>
      </c>
      <c r="S1750" s="20">
        <v>7556261.0</v>
      </c>
      <c r="T1750" s="20">
        <v>2.8429451229E10</v>
      </c>
      <c r="U1750" s="21">
        <v>0.8011</v>
      </c>
      <c r="V1750" s="21">
        <v>8.1497</v>
      </c>
      <c r="W1750" s="21">
        <v>23.6452</v>
      </c>
      <c r="X1750" s="21">
        <v>6.8542</v>
      </c>
      <c r="Y1750" s="21">
        <v>1.3003</v>
      </c>
      <c r="Z1750" s="21">
        <v>0.8647</v>
      </c>
      <c r="AA1750" s="16" t="s">
        <v>2620</v>
      </c>
      <c r="AB1750" s="22">
        <f>IFERROR(__xludf.DUMMYFUNCTION("IFERROR(GOOGLEFINANCE(B1750,""price""),"""")"),39.65)</f>
        <v>39.65</v>
      </c>
    </row>
    <row r="1751">
      <c r="A1751" s="7">
        <v>46091.66951614732</v>
      </c>
      <c r="B1751" s="8" t="s">
        <v>2188</v>
      </c>
      <c r="C1751" s="8" t="s">
        <v>2189</v>
      </c>
      <c r="D1751" s="9">
        <v>46096.0</v>
      </c>
      <c r="E1751" s="10">
        <v>477.94</v>
      </c>
      <c r="F1751" s="8" t="s">
        <v>107</v>
      </c>
      <c r="G1751" s="13">
        <v>32.7417</v>
      </c>
      <c r="H1751" s="13">
        <v>14.5973</v>
      </c>
      <c r="I1751" s="9">
        <v>46101.0</v>
      </c>
      <c r="J1751" s="10">
        <v>480.0</v>
      </c>
      <c r="K1751" s="8">
        <v>2485.0</v>
      </c>
      <c r="L1751" s="8" t="s">
        <v>2627</v>
      </c>
      <c r="M1751" s="11">
        <v>0.43</v>
      </c>
      <c r="N1751" s="8" t="s">
        <v>4315</v>
      </c>
      <c r="O1751" s="8">
        <v>2485.0</v>
      </c>
      <c r="P1751" s="11">
        <v>32.417</v>
      </c>
      <c r="Q1751" s="8" t="s">
        <v>2190</v>
      </c>
      <c r="R1751" s="11">
        <v>-1.1745</v>
      </c>
      <c r="S1751" s="12">
        <v>2504550.0</v>
      </c>
      <c r="T1751" s="12">
        <v>2.21474605003E11</v>
      </c>
      <c r="U1751" s="13">
        <v>9.7473</v>
      </c>
      <c r="V1751" s="13">
        <v>18.0725</v>
      </c>
      <c r="W1751" s="13">
        <v>27.2289</v>
      </c>
      <c r="X1751" s="13">
        <v>2.9723</v>
      </c>
      <c r="Y1751" s="13">
        <v>0.7339</v>
      </c>
      <c r="Z1751" s="13">
        <v>0.8768</v>
      </c>
      <c r="AA1751" s="8" t="s">
        <v>2620</v>
      </c>
      <c r="AB1751" s="14">
        <f>IFERROR(__xludf.DUMMYFUNCTION("IFERROR(GOOGLEFINANCE(B1751,""price""),"""")"),503.15)</f>
        <v>503.15</v>
      </c>
    </row>
    <row r="1752">
      <c r="A1752" s="15">
        <v>46091.66951614732</v>
      </c>
      <c r="B1752" s="16" t="s">
        <v>2843</v>
      </c>
      <c r="C1752" s="16" t="s">
        <v>2844</v>
      </c>
      <c r="D1752" s="17">
        <v>46096.0</v>
      </c>
      <c r="E1752" s="18">
        <v>207.0</v>
      </c>
      <c r="F1752" s="16" t="s">
        <v>308</v>
      </c>
      <c r="G1752" s="21">
        <v>41.7137</v>
      </c>
      <c r="H1752" s="21">
        <v>4.9624</v>
      </c>
      <c r="I1752" s="17">
        <v>46094.0</v>
      </c>
      <c r="J1752" s="18">
        <v>210.0</v>
      </c>
      <c r="K1752" s="16">
        <v>1307.0</v>
      </c>
      <c r="L1752" s="16" t="s">
        <v>2608</v>
      </c>
      <c r="M1752" s="19">
        <v>1.45</v>
      </c>
      <c r="N1752" s="16" t="s">
        <v>4316</v>
      </c>
      <c r="O1752" s="16">
        <v>2348.0</v>
      </c>
      <c r="P1752" s="19">
        <v>20.5324</v>
      </c>
      <c r="Q1752" s="16" t="s">
        <v>2846</v>
      </c>
      <c r="R1752" s="19">
        <v>-0.5907</v>
      </c>
      <c r="S1752" s="20">
        <v>4134815.0</v>
      </c>
      <c r="T1752" s="20">
        <v>2.77853527014E11</v>
      </c>
      <c r="U1752" s="21">
        <v>5.6554</v>
      </c>
      <c r="V1752" s="21">
        <v>10.7368</v>
      </c>
      <c r="W1752" s="21">
        <v>10.0301</v>
      </c>
      <c r="X1752" s="21">
        <v>9.7414</v>
      </c>
      <c r="Y1752" s="21">
        <v>0.6124</v>
      </c>
      <c r="Z1752" s="21">
        <v>0.9804</v>
      </c>
      <c r="AA1752" s="16" t="s">
        <v>2620</v>
      </c>
      <c r="AB1752" s="22">
        <f>IFERROR(__xludf.DUMMYFUNCTION("IFERROR(GOOGLEFINANCE(B1752,""price""),"""")"),201.56)</f>
        <v>201.56</v>
      </c>
    </row>
    <row r="1753">
      <c r="A1753" s="7">
        <v>46091.66951614732</v>
      </c>
      <c r="B1753" s="8" t="s">
        <v>1570</v>
      </c>
      <c r="C1753" s="8" t="s">
        <v>1571</v>
      </c>
      <c r="D1753" s="9">
        <v>46096.0</v>
      </c>
      <c r="E1753" s="10">
        <v>50.66</v>
      </c>
      <c r="F1753" s="8" t="s">
        <v>917</v>
      </c>
      <c r="G1753" s="13">
        <v>28.7074</v>
      </c>
      <c r="H1753" s="13">
        <v>1.7647</v>
      </c>
      <c r="I1753" s="9">
        <v>46101.0</v>
      </c>
      <c r="J1753" s="10">
        <v>50.0</v>
      </c>
      <c r="K1753" s="8">
        <v>2254.0</v>
      </c>
      <c r="L1753" s="8" t="s">
        <v>2608</v>
      </c>
      <c r="M1753" s="11">
        <v>1.3</v>
      </c>
      <c r="N1753" s="8" t="s">
        <v>4317</v>
      </c>
      <c r="O1753" s="8">
        <v>2254.0</v>
      </c>
      <c r="P1753" s="11">
        <v>33.0951</v>
      </c>
      <c r="Q1753" s="8" t="s">
        <v>1572</v>
      </c>
      <c r="R1753" s="11">
        <v>-0.5887</v>
      </c>
      <c r="S1753" s="12">
        <v>2824415.0</v>
      </c>
      <c r="T1753" s="12">
        <v>2.9278078229E10</v>
      </c>
      <c r="U1753" s="13">
        <v>0.9034</v>
      </c>
      <c r="V1753" s="13">
        <v>8.1714</v>
      </c>
      <c r="W1753" s="13">
        <v>18.774</v>
      </c>
      <c r="X1753" s="13">
        <v>12.0101</v>
      </c>
      <c r="Y1753" s="13">
        <v>2.1457</v>
      </c>
      <c r="Z1753" s="13">
        <v>0.5652</v>
      </c>
      <c r="AA1753" s="8" t="s">
        <v>2611</v>
      </c>
      <c r="AB1753" s="14">
        <f>IFERROR(__xludf.DUMMYFUNCTION("IFERROR(GOOGLEFINANCE(B1753,""price""),"""")"),51.43)</f>
        <v>51.43</v>
      </c>
    </row>
    <row r="1754">
      <c r="A1754" s="15">
        <v>46091.66951614732</v>
      </c>
      <c r="B1754" s="16" t="s">
        <v>3141</v>
      </c>
      <c r="C1754" s="16" t="s">
        <v>3142</v>
      </c>
      <c r="D1754" s="17">
        <v>46096.0</v>
      </c>
      <c r="E1754" s="18">
        <v>325.24</v>
      </c>
      <c r="F1754" s="16" t="s">
        <v>93</v>
      </c>
      <c r="G1754" s="21">
        <v>12.6447</v>
      </c>
      <c r="H1754" s="21">
        <v>25.7215</v>
      </c>
      <c r="I1754" s="17">
        <v>46101.0</v>
      </c>
      <c r="J1754" s="18">
        <v>330.0</v>
      </c>
      <c r="K1754" s="16">
        <v>2188.0</v>
      </c>
      <c r="L1754" s="16" t="s">
        <v>2608</v>
      </c>
      <c r="M1754" s="19">
        <v>1.46</v>
      </c>
      <c r="N1754" s="16" t="s">
        <v>4249</v>
      </c>
      <c r="O1754" s="16">
        <v>2188.0</v>
      </c>
      <c r="P1754" s="19">
        <v>27.7021</v>
      </c>
      <c r="Q1754" s="16" t="s">
        <v>3144</v>
      </c>
      <c r="R1754" s="19">
        <v>0.2589</v>
      </c>
      <c r="S1754" s="20">
        <v>1242610.0</v>
      </c>
      <c r="T1754" s="20">
        <v>1.26894515618E11</v>
      </c>
      <c r="U1754" s="21">
        <v>6.4954</v>
      </c>
      <c r="V1754" s="21">
        <v>14.9661</v>
      </c>
      <c r="W1754" s="21">
        <v>21.219</v>
      </c>
      <c r="X1754" s="21">
        <v>6.9804</v>
      </c>
      <c r="Y1754" s="21">
        <v>0.3008</v>
      </c>
      <c r="Z1754" s="21">
        <v>0.3807</v>
      </c>
      <c r="AA1754" s="16" t="s">
        <v>2620</v>
      </c>
      <c r="AB1754" s="22">
        <f>IFERROR(__xludf.DUMMYFUNCTION("IFERROR(GOOGLEFINANCE(B1754,""price""),"""")"),327.91)</f>
        <v>327.91</v>
      </c>
    </row>
    <row r="1755">
      <c r="A1755" s="7">
        <v>46091.66951614732</v>
      </c>
      <c r="B1755" s="8" t="s">
        <v>4318</v>
      </c>
      <c r="C1755" s="8" t="s">
        <v>4319</v>
      </c>
      <c r="D1755" s="9">
        <v>46096.0</v>
      </c>
      <c r="E1755" s="10">
        <v>76.43</v>
      </c>
      <c r="F1755" s="8" t="s">
        <v>917</v>
      </c>
      <c r="G1755" s="13">
        <v>21.6983</v>
      </c>
      <c r="H1755" s="13">
        <v>3.5224</v>
      </c>
      <c r="I1755" s="9">
        <v>46101.0</v>
      </c>
      <c r="J1755" s="10">
        <v>75.0</v>
      </c>
      <c r="K1755" s="8">
        <v>2181.0</v>
      </c>
      <c r="L1755" s="8" t="s">
        <v>2608</v>
      </c>
      <c r="M1755" s="11">
        <v>1.87</v>
      </c>
      <c r="N1755" s="8" t="s">
        <v>4320</v>
      </c>
      <c r="O1755" s="8">
        <v>2181.0</v>
      </c>
      <c r="P1755" s="11">
        <v>24.6292</v>
      </c>
      <c r="Q1755" s="8" t="s">
        <v>4321</v>
      </c>
      <c r="R1755" s="11">
        <v>-1.0487</v>
      </c>
      <c r="S1755" s="12">
        <v>2869594.0</v>
      </c>
      <c r="T1755" s="12">
        <v>2.341974862E10</v>
      </c>
      <c r="U1755" s="13">
        <v>1.2965</v>
      </c>
      <c r="V1755" s="13">
        <v>12.3288</v>
      </c>
      <c r="W1755" s="13">
        <v>20.2249</v>
      </c>
      <c r="X1755" s="13">
        <v>13.6261</v>
      </c>
      <c r="Y1755" s="13">
        <v>2.0691</v>
      </c>
      <c r="Z1755" s="13">
        <v>0.9786</v>
      </c>
      <c r="AA1755" s="8" t="s">
        <v>2611</v>
      </c>
      <c r="AB1755" s="14">
        <f>IFERROR(__xludf.DUMMYFUNCTION("IFERROR(GOOGLEFINANCE(B1755,""price""),"""")"),79.38)</f>
        <v>79.38</v>
      </c>
    </row>
    <row r="1756">
      <c r="A1756" s="15">
        <v>46091.66951614732</v>
      </c>
      <c r="B1756" s="16" t="s">
        <v>3242</v>
      </c>
      <c r="C1756" s="16" t="s">
        <v>3243</v>
      </c>
      <c r="D1756" s="17">
        <v>46096.0</v>
      </c>
      <c r="E1756" s="18">
        <v>111.3</v>
      </c>
      <c r="F1756" s="16" t="s">
        <v>917</v>
      </c>
      <c r="G1756" s="21">
        <v>19.6894</v>
      </c>
      <c r="H1756" s="21">
        <v>5.6528</v>
      </c>
      <c r="I1756" s="17">
        <v>46101.0</v>
      </c>
      <c r="J1756" s="18">
        <v>110.0</v>
      </c>
      <c r="K1756" s="16">
        <v>2042.0</v>
      </c>
      <c r="L1756" s="16" t="s">
        <v>2608</v>
      </c>
      <c r="M1756" s="19">
        <v>1.17</v>
      </c>
      <c r="N1756" s="16" t="s">
        <v>4322</v>
      </c>
      <c r="O1756" s="16">
        <v>2042.0</v>
      </c>
      <c r="P1756" s="19">
        <v>18.2508</v>
      </c>
      <c r="Q1756" s="16" t="s">
        <v>3245</v>
      </c>
      <c r="R1756" s="19">
        <v>-0.4472</v>
      </c>
      <c r="S1756" s="20">
        <v>1615139.0</v>
      </c>
      <c r="T1756" s="20">
        <v>4.021298864E10</v>
      </c>
      <c r="U1756" s="21">
        <v>2.2569</v>
      </c>
      <c r="V1756" s="21">
        <v>8.7624</v>
      </c>
      <c r="W1756" s="21">
        <v>17.3247</v>
      </c>
      <c r="X1756" s="21">
        <v>10.8577</v>
      </c>
      <c r="Y1756" s="21">
        <v>1.173</v>
      </c>
      <c r="Z1756" s="21">
        <v>1.0206</v>
      </c>
      <c r="AA1756" s="16" t="s">
        <v>2611</v>
      </c>
      <c r="AB1756" s="22">
        <f>IFERROR(__xludf.DUMMYFUNCTION("IFERROR(GOOGLEFINANCE(B1756,""price""),"""")"),113.56)</f>
        <v>113.56</v>
      </c>
    </row>
    <row r="1757">
      <c r="A1757" s="7">
        <v>46091.66951614732</v>
      </c>
      <c r="B1757" s="8" t="s">
        <v>3291</v>
      </c>
      <c r="C1757" s="8" t="s">
        <v>3292</v>
      </c>
      <c r="D1757" s="9">
        <v>46096.0</v>
      </c>
      <c r="E1757" s="10">
        <v>235.54</v>
      </c>
      <c r="F1757" s="8" t="s">
        <v>270</v>
      </c>
      <c r="G1757" s="13">
        <v>35.1626</v>
      </c>
      <c r="H1757" s="13">
        <v>6.6986</v>
      </c>
      <c r="I1757" s="9">
        <v>46101.0</v>
      </c>
      <c r="J1757" s="10">
        <v>240.0</v>
      </c>
      <c r="K1757" s="8">
        <v>1876.0</v>
      </c>
      <c r="L1757" s="8" t="s">
        <v>2608</v>
      </c>
      <c r="M1757" s="11">
        <v>1.89</v>
      </c>
      <c r="N1757" s="8" t="s">
        <v>4323</v>
      </c>
      <c r="O1757" s="8">
        <v>1876.0</v>
      </c>
      <c r="P1757" s="11">
        <v>27.8004</v>
      </c>
      <c r="Q1757" s="8" t="s">
        <v>3294</v>
      </c>
      <c r="R1757" s="11">
        <v>-4.4501</v>
      </c>
      <c r="S1757" s="12">
        <v>2655473.0</v>
      </c>
      <c r="T1757" s="12">
        <v>9.5001708661E10</v>
      </c>
      <c r="U1757" s="13">
        <v>5.3389</v>
      </c>
      <c r="V1757" s="13">
        <v>29.6897</v>
      </c>
      <c r="W1757" s="13">
        <v>18.2788</v>
      </c>
      <c r="X1757" s="13">
        <v>14.2365</v>
      </c>
      <c r="Y1757" s="13">
        <v>2.3941</v>
      </c>
      <c r="Z1757" s="13">
        <v>0.8888</v>
      </c>
      <c r="AA1757" s="8" t="s">
        <v>2620</v>
      </c>
      <c r="AB1757" s="14">
        <f>IFERROR(__xludf.DUMMYFUNCTION("IFERROR(GOOGLEFINANCE(B1757,""price""),"""")"),229.45)</f>
        <v>229.45</v>
      </c>
    </row>
    <row r="1758">
      <c r="A1758" s="15">
        <v>46091.66951614732</v>
      </c>
      <c r="B1758" s="16" t="s">
        <v>4287</v>
      </c>
      <c r="C1758" s="16" t="s">
        <v>4288</v>
      </c>
      <c r="D1758" s="17">
        <v>46096.0</v>
      </c>
      <c r="E1758" s="18">
        <v>96.27</v>
      </c>
      <c r="F1758" s="16" t="s">
        <v>917</v>
      </c>
      <c r="G1758" s="21">
        <v>24.5913</v>
      </c>
      <c r="H1758" s="21">
        <v>3.9148</v>
      </c>
      <c r="I1758" s="17">
        <v>46094.0</v>
      </c>
      <c r="J1758" s="18">
        <v>98.0</v>
      </c>
      <c r="K1758" s="16">
        <v>1546.0</v>
      </c>
      <c r="L1758" s="16" t="s">
        <v>2608</v>
      </c>
      <c r="M1758" s="19">
        <v>1.8</v>
      </c>
      <c r="N1758" s="16" t="s">
        <v>4324</v>
      </c>
      <c r="O1758" s="16">
        <v>1546.0</v>
      </c>
      <c r="P1758" s="19">
        <v>28.9708</v>
      </c>
      <c r="Q1758" s="16" t="s">
        <v>4290</v>
      </c>
      <c r="R1758" s="19">
        <v>-1.0077</v>
      </c>
      <c r="S1758" s="20">
        <v>4191925.0</v>
      </c>
      <c r="T1758" s="20">
        <v>1.07763794227E11</v>
      </c>
      <c r="U1758" s="21">
        <v>1.7398</v>
      </c>
      <c r="V1758" s="21">
        <v>12.5419</v>
      </c>
      <c r="W1758" s="21">
        <v>24.7056</v>
      </c>
      <c r="X1758" s="21">
        <v>10.5822</v>
      </c>
      <c r="Y1758" s="21">
        <v>2.0567</v>
      </c>
      <c r="Z1758" s="21">
        <v>0.6464</v>
      </c>
      <c r="AA1758" s="16" t="s">
        <v>2620</v>
      </c>
      <c r="AB1758" s="22">
        <f>IFERROR(__xludf.DUMMYFUNCTION("IFERROR(GOOGLEFINANCE(B1758,""price""),"""")"),97.15)</f>
        <v>97.15</v>
      </c>
    </row>
    <row r="1759">
      <c r="A1759" s="7">
        <v>46091.66951614732</v>
      </c>
      <c r="B1759" s="8" t="s">
        <v>2054</v>
      </c>
      <c r="C1759" s="8" t="s">
        <v>2055</v>
      </c>
      <c r="D1759" s="9">
        <v>46096.0</v>
      </c>
      <c r="E1759" s="10">
        <v>499.17</v>
      </c>
      <c r="F1759" s="8" t="s">
        <v>117</v>
      </c>
      <c r="G1759" s="13">
        <v>32.5515</v>
      </c>
      <c r="H1759" s="13">
        <v>15.3348</v>
      </c>
      <c r="I1759" s="9">
        <v>46094.0</v>
      </c>
      <c r="J1759" s="10">
        <v>500.0</v>
      </c>
      <c r="K1759" s="8">
        <v>1519.0</v>
      </c>
      <c r="L1759" s="8" t="s">
        <v>2608</v>
      </c>
      <c r="M1759" s="11">
        <v>0.17</v>
      </c>
      <c r="N1759" s="8" t="s">
        <v>4325</v>
      </c>
      <c r="O1759" s="8">
        <v>1519.0</v>
      </c>
      <c r="P1759" s="11">
        <v>19.477</v>
      </c>
      <c r="Q1759" s="8" t="s">
        <v>2056</v>
      </c>
      <c r="R1759" s="11">
        <v>8.3104</v>
      </c>
      <c r="S1759" s="12">
        <v>3362942.0</v>
      </c>
      <c r="T1759" s="12">
        <v>1.26806247747E11</v>
      </c>
      <c r="U1759" s="13">
        <v>15.947</v>
      </c>
      <c r="V1759" s="13">
        <v>22.5412</v>
      </c>
      <c r="W1759" s="13">
        <v>39.4274</v>
      </c>
      <c r="X1759" s="13">
        <v>9.925</v>
      </c>
      <c r="Y1759" s="13">
        <v>0.1091</v>
      </c>
      <c r="Z1759" s="13">
        <v>2.9009</v>
      </c>
      <c r="AA1759" s="8" t="s">
        <v>2620</v>
      </c>
      <c r="AB1759" s="14">
        <f>IFERROR(__xludf.DUMMYFUNCTION("IFERROR(GOOGLEFINANCE(B1759,""price""),"""")"),436.27)</f>
        <v>436.27</v>
      </c>
    </row>
    <row r="1760">
      <c r="A1760" s="15">
        <v>46091.66951614732</v>
      </c>
      <c r="B1760" s="16" t="s">
        <v>2139</v>
      </c>
      <c r="C1760" s="16" t="s">
        <v>2140</v>
      </c>
      <c r="D1760" s="17">
        <v>46096.0</v>
      </c>
      <c r="E1760" s="18">
        <v>59.34</v>
      </c>
      <c r="F1760" s="16" t="s">
        <v>270</v>
      </c>
      <c r="G1760" s="21">
        <v>22.7793</v>
      </c>
      <c r="H1760" s="21">
        <v>2.605</v>
      </c>
      <c r="I1760" s="17">
        <v>46101.0</v>
      </c>
      <c r="J1760" s="18">
        <v>60.0</v>
      </c>
      <c r="K1760" s="16">
        <v>1414.0</v>
      </c>
      <c r="L1760" s="16" t="s">
        <v>2608</v>
      </c>
      <c r="M1760" s="19">
        <v>1.11</v>
      </c>
      <c r="N1760" s="16" t="s">
        <v>4326</v>
      </c>
      <c r="O1760" s="16">
        <v>1414.0</v>
      </c>
      <c r="P1760" s="19">
        <v>30.9511</v>
      </c>
      <c r="Q1760" s="16" t="s">
        <v>2141</v>
      </c>
      <c r="R1760" s="19">
        <v>-1.2646</v>
      </c>
      <c r="S1760" s="20">
        <v>1.3694664E7</v>
      </c>
      <c r="T1760" s="20">
        <v>5.8641953088E10</v>
      </c>
      <c r="U1760" s="21">
        <v>1.729</v>
      </c>
      <c r="V1760" s="21">
        <v>14.4868</v>
      </c>
      <c r="W1760" s="21">
        <v>12.8259</v>
      </c>
      <c r="X1760" s="21">
        <v>-0.345</v>
      </c>
      <c r="Y1760" s="21">
        <v>0.3558</v>
      </c>
      <c r="Z1760" s="21">
        <v>1.3568</v>
      </c>
      <c r="AA1760" s="16" t="s">
        <v>2620</v>
      </c>
      <c r="AB1760" s="22">
        <f>IFERROR(__xludf.DUMMYFUNCTION("IFERROR(GOOGLEFINANCE(B1760,""price""),"""")"),62.83)</f>
        <v>62.83</v>
      </c>
    </row>
    <row r="1761">
      <c r="A1761" s="7">
        <v>46091.66951614732</v>
      </c>
      <c r="B1761" s="8" t="s">
        <v>2344</v>
      </c>
      <c r="C1761" s="8" t="s">
        <v>2345</v>
      </c>
      <c r="D1761" s="9">
        <v>46096.0</v>
      </c>
      <c r="E1761" s="10">
        <v>73.84</v>
      </c>
      <c r="F1761" s="8" t="s">
        <v>270</v>
      </c>
      <c r="G1761" s="13">
        <v>34.592</v>
      </c>
      <c r="H1761" s="13">
        <v>2.1346</v>
      </c>
      <c r="I1761" s="9">
        <v>46094.0</v>
      </c>
      <c r="J1761" s="10">
        <v>75.0</v>
      </c>
      <c r="K1761" s="8">
        <v>1288.0</v>
      </c>
      <c r="L1761" s="8" t="s">
        <v>2608</v>
      </c>
      <c r="M1761" s="11">
        <v>1.57</v>
      </c>
      <c r="N1761" s="8" t="s">
        <v>4327</v>
      </c>
      <c r="O1761" s="8">
        <v>1288.0</v>
      </c>
      <c r="P1761" s="11">
        <v>48.2777</v>
      </c>
      <c r="Q1761" s="8" t="s">
        <v>2346</v>
      </c>
      <c r="R1761" s="11">
        <v>0.9019</v>
      </c>
      <c r="S1761" s="12">
        <v>6860262.0</v>
      </c>
      <c r="T1761" s="12">
        <v>9.0200220444E10</v>
      </c>
      <c r="U1761" s="13">
        <v>1.6176</v>
      </c>
      <c r="V1761" s="13">
        <v>20.7424</v>
      </c>
      <c r="W1761" s="13">
        <v>35.471</v>
      </c>
      <c r="X1761" s="13">
        <v>9.774</v>
      </c>
      <c r="Y1761" s="13">
        <v>2.3069</v>
      </c>
      <c r="Z1761" s="13">
        <v>0.5313</v>
      </c>
      <c r="AA1761" s="8" t="s">
        <v>2620</v>
      </c>
      <c r="AB1761" s="14">
        <f>IFERROR(__xludf.DUMMYFUNCTION("IFERROR(GOOGLEFINANCE(B1761,""price""),"""")"),72.74)</f>
        <v>72.74</v>
      </c>
    </row>
    <row r="1762">
      <c r="A1762" s="15">
        <v>46091.66951614732</v>
      </c>
      <c r="B1762" s="16" t="s">
        <v>2658</v>
      </c>
      <c r="C1762" s="16" t="s">
        <v>2659</v>
      </c>
      <c r="D1762" s="17">
        <v>46096.0</v>
      </c>
      <c r="E1762" s="18">
        <v>91.54</v>
      </c>
      <c r="F1762" s="16" t="s">
        <v>917</v>
      </c>
      <c r="G1762" s="21">
        <v>27.7369</v>
      </c>
      <c r="H1762" s="21">
        <v>3.3003</v>
      </c>
      <c r="I1762" s="17">
        <v>46094.0</v>
      </c>
      <c r="J1762" s="18">
        <v>92.0</v>
      </c>
      <c r="K1762" s="16">
        <v>1215.0</v>
      </c>
      <c r="L1762" s="16" t="s">
        <v>2608</v>
      </c>
      <c r="M1762" s="19">
        <v>0.5</v>
      </c>
      <c r="N1762" s="16" t="s">
        <v>4328</v>
      </c>
      <c r="O1762" s="16">
        <v>1215.0</v>
      </c>
      <c r="P1762" s="19">
        <v>27.5969</v>
      </c>
      <c r="Q1762" s="16" t="s">
        <v>2661</v>
      </c>
      <c r="R1762" s="19">
        <v>-0.5108</v>
      </c>
      <c r="S1762" s="20">
        <v>7481556.0</v>
      </c>
      <c r="T1762" s="20">
        <v>1.90725605805E11</v>
      </c>
      <c r="U1762" s="21">
        <v>2.1178</v>
      </c>
      <c r="V1762" s="21">
        <v>13.0533</v>
      </c>
      <c r="W1762" s="21">
        <v>26.8934</v>
      </c>
      <c r="X1762" s="21">
        <v>8.6905</v>
      </c>
      <c r="Y1762" s="21">
        <v>1.7594</v>
      </c>
      <c r="Z1762" s="21">
        <v>0.5953</v>
      </c>
      <c r="AA1762" s="16" t="s">
        <v>2620</v>
      </c>
      <c r="AB1762" s="22">
        <f>IFERROR(__xludf.DUMMYFUNCTION("IFERROR(GOOGLEFINANCE(B1762,""price""),"""")"),94.08)</f>
        <v>94.08</v>
      </c>
    </row>
    <row r="1763">
      <c r="A1763" s="7">
        <v>46091.66951614732</v>
      </c>
      <c r="B1763" s="8" t="s">
        <v>1637</v>
      </c>
      <c r="C1763" s="8" t="s">
        <v>1638</v>
      </c>
      <c r="D1763" s="9">
        <v>46096.0</v>
      </c>
      <c r="E1763" s="10">
        <v>40.64</v>
      </c>
      <c r="F1763" s="8" t="s">
        <v>245</v>
      </c>
      <c r="G1763" s="13"/>
      <c r="H1763" s="13">
        <v>-0.3537</v>
      </c>
      <c r="I1763" s="9">
        <v>46101.0</v>
      </c>
      <c r="J1763" s="10">
        <v>40.0</v>
      </c>
      <c r="K1763" s="8">
        <v>1070.0</v>
      </c>
      <c r="L1763" s="8" t="s">
        <v>2608</v>
      </c>
      <c r="M1763" s="11">
        <v>1.57</v>
      </c>
      <c r="N1763" s="8" t="s">
        <v>4329</v>
      </c>
      <c r="O1763" s="8">
        <v>1070.0</v>
      </c>
      <c r="P1763" s="11">
        <v>29.5904</v>
      </c>
      <c r="Q1763" s="8" t="s">
        <v>1639</v>
      </c>
      <c r="R1763" s="11">
        <v>1.2709</v>
      </c>
      <c r="S1763" s="12">
        <v>1527809.0</v>
      </c>
      <c r="T1763" s="12">
        <v>2.430614338E9</v>
      </c>
      <c r="U1763" s="13">
        <v>2.3692</v>
      </c>
      <c r="V1763" s="13">
        <v>-6.8079</v>
      </c>
      <c r="W1763" s="13">
        <v>3.7024</v>
      </c>
      <c r="X1763" s="13">
        <v>-11.1269</v>
      </c>
      <c r="Y1763" s="13">
        <v>11.5407</v>
      </c>
      <c r="Z1763" s="13">
        <v>0.8176</v>
      </c>
      <c r="AA1763" s="8" t="s">
        <v>2611</v>
      </c>
      <c r="AB1763" s="14">
        <f>IFERROR(__xludf.DUMMYFUNCTION("IFERROR(GOOGLEFINANCE(B1763,""price""),"""")"),41.74)</f>
        <v>41.74</v>
      </c>
    </row>
    <row r="1764">
      <c r="A1764" s="15">
        <v>46091.66951614732</v>
      </c>
      <c r="B1764" s="16" t="s">
        <v>3873</v>
      </c>
      <c r="C1764" s="16" t="s">
        <v>3874</v>
      </c>
      <c r="D1764" s="17">
        <v>46096.0</v>
      </c>
      <c r="E1764" s="18">
        <v>78.83</v>
      </c>
      <c r="F1764" s="16" t="s">
        <v>149</v>
      </c>
      <c r="G1764" s="21">
        <v>37.6546</v>
      </c>
      <c r="H1764" s="21">
        <v>2.0935</v>
      </c>
      <c r="I1764" s="17">
        <v>46101.0</v>
      </c>
      <c r="J1764" s="18">
        <v>80.0</v>
      </c>
      <c r="K1764" s="16">
        <v>1047.0</v>
      </c>
      <c r="L1764" s="16" t="s">
        <v>2627</v>
      </c>
      <c r="M1764" s="19">
        <v>1.48</v>
      </c>
      <c r="N1764" s="16" t="s">
        <v>4330</v>
      </c>
      <c r="O1764" s="16">
        <v>1047.0</v>
      </c>
      <c r="P1764" s="19">
        <v>22.4094</v>
      </c>
      <c r="Q1764" s="16" t="s">
        <v>3876</v>
      </c>
      <c r="R1764" s="19">
        <v>-2.4502</v>
      </c>
      <c r="S1764" s="20">
        <v>1789356.0</v>
      </c>
      <c r="T1764" s="20">
        <v>1.2710445236E10</v>
      </c>
      <c r="U1764" s="21">
        <v>2.1702</v>
      </c>
      <c r="V1764" s="21">
        <v>17.3353</v>
      </c>
      <c r="W1764" s="21">
        <v>16.2259</v>
      </c>
      <c r="X1764" s="21">
        <v>9.2423</v>
      </c>
      <c r="Y1764" s="21">
        <v>0.0239</v>
      </c>
      <c r="Z1764" s="21">
        <v>1.542</v>
      </c>
      <c r="AA1764" s="16" t="s">
        <v>2620</v>
      </c>
      <c r="AB1764" s="22">
        <f>IFERROR(__xludf.DUMMYFUNCTION("IFERROR(GOOGLEFINANCE(B1764,""price""),"""")"),79.01)</f>
        <v>79.01</v>
      </c>
    </row>
    <row r="1765">
      <c r="A1765" s="7">
        <v>46092.66805691831</v>
      </c>
      <c r="B1765" s="8" t="s">
        <v>2630</v>
      </c>
      <c r="C1765" s="8" t="s">
        <v>2631</v>
      </c>
      <c r="D1765" s="9">
        <v>46096.0</v>
      </c>
      <c r="E1765" s="10">
        <v>418.69</v>
      </c>
      <c r="F1765" s="8" t="s">
        <v>308</v>
      </c>
      <c r="G1765" s="13">
        <v>39.7994</v>
      </c>
      <c r="H1765" s="13">
        <v>10.52</v>
      </c>
      <c r="I1765" s="9">
        <v>46094.0</v>
      </c>
      <c r="J1765" s="10">
        <v>420.0</v>
      </c>
      <c r="K1765" s="8">
        <v>6100.0</v>
      </c>
      <c r="L1765" s="8" t="s">
        <v>2608</v>
      </c>
      <c r="M1765" s="11">
        <v>0.31</v>
      </c>
      <c r="N1765" s="8" t="s">
        <v>4331</v>
      </c>
      <c r="O1765" s="8">
        <v>19956.0</v>
      </c>
      <c r="P1765" s="11">
        <v>23.0665</v>
      </c>
      <c r="Q1765" s="8" t="s">
        <v>2633</v>
      </c>
      <c r="R1765" s="11">
        <v>3.865</v>
      </c>
      <c r="S1765" s="12">
        <v>2.9779943E7</v>
      </c>
      <c r="T1765" s="12">
        <v>4.71239462207E11</v>
      </c>
      <c r="U1765" s="13">
        <v>25.276</v>
      </c>
      <c r="V1765" s="13">
        <v>22.5543</v>
      </c>
      <c r="W1765" s="13">
        <v>32.9221</v>
      </c>
      <c r="X1765" s="13">
        <v>45.432</v>
      </c>
      <c r="Y1765" s="13">
        <v>0.2124</v>
      </c>
      <c r="Z1765" s="13">
        <v>2.4598</v>
      </c>
      <c r="AA1765" s="8" t="s">
        <v>2620</v>
      </c>
      <c r="AB1765" s="14">
        <f>IFERROR(__xludf.DUMMYFUNCTION("IFERROR(GOOGLEFINANCE(B1765,""price""),"""")"),420.59)</f>
        <v>420.59</v>
      </c>
    </row>
    <row r="1766">
      <c r="A1766" s="15">
        <v>46092.66805691831</v>
      </c>
      <c r="B1766" s="16" t="s">
        <v>2616</v>
      </c>
      <c r="C1766" s="16" t="s">
        <v>2617</v>
      </c>
      <c r="D1766" s="17">
        <v>46096.0</v>
      </c>
      <c r="E1766" s="18">
        <v>77.63</v>
      </c>
      <c r="F1766" s="16" t="s">
        <v>286</v>
      </c>
      <c r="G1766" s="21">
        <v>25.5488</v>
      </c>
      <c r="H1766" s="21">
        <v>3.0385</v>
      </c>
      <c r="I1766" s="17">
        <v>46094.0</v>
      </c>
      <c r="J1766" s="18">
        <v>79.0</v>
      </c>
      <c r="K1766" s="16">
        <v>6561.0</v>
      </c>
      <c r="L1766" s="16" t="s">
        <v>2608</v>
      </c>
      <c r="M1766" s="19">
        <v>1.76</v>
      </c>
      <c r="N1766" s="16" t="s">
        <v>4332</v>
      </c>
      <c r="O1766" s="16">
        <v>15319.0</v>
      </c>
      <c r="P1766" s="19">
        <v>26.5271</v>
      </c>
      <c r="Q1766" s="16" t="s">
        <v>2619</v>
      </c>
      <c r="R1766" s="19">
        <v>-0.321</v>
      </c>
      <c r="S1766" s="20">
        <v>1.0977156E7</v>
      </c>
      <c r="T1766" s="20">
        <v>3.33865125936E11</v>
      </c>
      <c r="U1766" s="21">
        <v>1.3211</v>
      </c>
      <c r="V1766" s="21">
        <v>45.9693</v>
      </c>
      <c r="W1766" s="21">
        <v>31.3688</v>
      </c>
      <c r="X1766" s="21">
        <v>3.4769</v>
      </c>
      <c r="Y1766" s="21">
        <v>1.4577</v>
      </c>
      <c r="Z1766" s="21">
        <v>1.4588</v>
      </c>
      <c r="AA1766" s="16" t="s">
        <v>2620</v>
      </c>
      <c r="AB1766" s="22">
        <f>IFERROR(__xludf.DUMMYFUNCTION("IFERROR(GOOGLEFINANCE(B1766,""price""),"""")"),77.47)</f>
        <v>77.47</v>
      </c>
    </row>
    <row r="1767">
      <c r="A1767" s="7">
        <v>46092.66805691831</v>
      </c>
      <c r="B1767" s="8" t="s">
        <v>2638</v>
      </c>
      <c r="C1767" s="8" t="s">
        <v>2639</v>
      </c>
      <c r="D1767" s="9">
        <v>46096.0</v>
      </c>
      <c r="E1767" s="10">
        <v>151.58</v>
      </c>
      <c r="F1767" s="8" t="s">
        <v>245</v>
      </c>
      <c r="G1767" s="13">
        <v>22.6415</v>
      </c>
      <c r="H1767" s="13">
        <v>6.6948</v>
      </c>
      <c r="I1767" s="9">
        <v>46094.0</v>
      </c>
      <c r="J1767" s="10">
        <v>152.5</v>
      </c>
      <c r="K1767" s="8">
        <v>5002.0</v>
      </c>
      <c r="L1767" s="8" t="s">
        <v>2608</v>
      </c>
      <c r="M1767" s="11">
        <v>0.61</v>
      </c>
      <c r="N1767" s="8" t="s">
        <v>4333</v>
      </c>
      <c r="O1767" s="8">
        <v>14117.0</v>
      </c>
      <c r="P1767" s="11">
        <v>35.0383</v>
      </c>
      <c r="Q1767" s="8" t="s">
        <v>2641</v>
      </c>
      <c r="R1767" s="11">
        <v>2.329</v>
      </c>
      <c r="S1767" s="12">
        <v>1.5151328E7</v>
      </c>
      <c r="T1767" s="12">
        <v>6.31598058202E11</v>
      </c>
      <c r="U1767" s="13">
        <v>3.907</v>
      </c>
      <c r="V1767" s="13">
        <v>11.0283</v>
      </c>
      <c r="W1767" s="13">
        <v>10.3419</v>
      </c>
      <c r="X1767" s="13">
        <v>-4.856</v>
      </c>
      <c r="Y1767" s="13">
        <v>0.1871</v>
      </c>
      <c r="Z1767" s="13">
        <v>1.1528</v>
      </c>
      <c r="AA1767" s="8" t="s">
        <v>2620</v>
      </c>
      <c r="AB1767" s="14">
        <f>IFERROR(__xludf.DUMMYFUNCTION("IFERROR(GOOGLEFINANCE(B1767,""price""),"""")"),152.51)</f>
        <v>152.51</v>
      </c>
    </row>
    <row r="1768">
      <c r="A1768" s="15">
        <v>46092.66805691831</v>
      </c>
      <c r="B1768" s="16" t="s">
        <v>2399</v>
      </c>
      <c r="C1768" s="16" t="s">
        <v>2400</v>
      </c>
      <c r="D1768" s="17">
        <v>46096.0</v>
      </c>
      <c r="E1768" s="18">
        <v>18.75</v>
      </c>
      <c r="F1768" s="16" t="s">
        <v>270</v>
      </c>
      <c r="G1768" s="21">
        <v>15.519</v>
      </c>
      <c r="H1768" s="21">
        <v>1.2082</v>
      </c>
      <c r="I1768" s="17">
        <v>46094.0</v>
      </c>
      <c r="J1768" s="18">
        <v>19.0</v>
      </c>
      <c r="K1768" s="16">
        <v>7185.0</v>
      </c>
      <c r="L1768" s="16" t="s">
        <v>2608</v>
      </c>
      <c r="M1768" s="19">
        <v>1.33</v>
      </c>
      <c r="N1768" s="16" t="s">
        <v>4334</v>
      </c>
      <c r="O1768" s="16">
        <v>12061.0</v>
      </c>
      <c r="P1768" s="19">
        <v>26.104</v>
      </c>
      <c r="Q1768" s="16" t="s">
        <v>2401</v>
      </c>
      <c r="R1768" s="19">
        <v>2.459</v>
      </c>
      <c r="S1768" s="20">
        <v>1.0099311E7</v>
      </c>
      <c r="T1768" s="20">
        <v>6.4505893306E10</v>
      </c>
      <c r="U1768" s="21">
        <v>0.3516</v>
      </c>
      <c r="V1768" s="21">
        <v>12.7475</v>
      </c>
      <c r="W1768" s="21">
        <v>10.8866</v>
      </c>
      <c r="X1768" s="21">
        <v>3.4655</v>
      </c>
      <c r="Y1768" s="21">
        <v>2.0395</v>
      </c>
      <c r="Z1768" s="21">
        <v>1.2192</v>
      </c>
      <c r="AA1768" s="16" t="s">
        <v>2620</v>
      </c>
      <c r="AB1768" s="22">
        <f>IFERROR(__xludf.DUMMYFUNCTION("IFERROR(GOOGLEFINANCE(B1768,""price""),"""")"),19.19)</f>
        <v>19.19</v>
      </c>
    </row>
    <row r="1769">
      <c r="A1769" s="7">
        <v>46092.66805691831</v>
      </c>
      <c r="B1769" s="8" t="s">
        <v>2634</v>
      </c>
      <c r="C1769" s="8" t="s">
        <v>2635</v>
      </c>
      <c r="D1769" s="9">
        <v>46096.0</v>
      </c>
      <c r="E1769" s="10">
        <v>191.79</v>
      </c>
      <c r="F1769" s="8" t="s">
        <v>245</v>
      </c>
      <c r="G1769" s="13">
        <v>28.8493</v>
      </c>
      <c r="H1769" s="13">
        <v>6.648</v>
      </c>
      <c r="I1769" s="9">
        <v>46094.0</v>
      </c>
      <c r="J1769" s="10">
        <v>190.0</v>
      </c>
      <c r="K1769" s="8">
        <v>6058.0</v>
      </c>
      <c r="L1769" s="8" t="s">
        <v>2608</v>
      </c>
      <c r="M1769" s="11">
        <v>0.93</v>
      </c>
      <c r="N1769" s="8" t="s">
        <v>4335</v>
      </c>
      <c r="O1769" s="8">
        <v>11037.0</v>
      </c>
      <c r="P1769" s="11">
        <v>40.1818</v>
      </c>
      <c r="Q1769" s="8" t="s">
        <v>2637</v>
      </c>
      <c r="R1769" s="11">
        <v>2.9524</v>
      </c>
      <c r="S1769" s="12">
        <v>1.1300088E7</v>
      </c>
      <c r="T1769" s="12">
        <v>3.82694970878E11</v>
      </c>
      <c r="U1769" s="13">
        <v>3.8497</v>
      </c>
      <c r="V1769" s="13">
        <v>7.261</v>
      </c>
      <c r="W1769" s="13">
        <v>8.8802</v>
      </c>
      <c r="X1769" s="13">
        <v>-4.6193</v>
      </c>
      <c r="Y1769" s="13">
        <v>0.2507</v>
      </c>
      <c r="Z1769" s="13">
        <v>1.1547</v>
      </c>
      <c r="AA1769" s="8" t="s">
        <v>2611</v>
      </c>
      <c r="AB1769" s="14">
        <f>IFERROR(__xludf.DUMMYFUNCTION("IFERROR(GOOGLEFINANCE(B1769,""price""),"""")"),188.55)</f>
        <v>188.55</v>
      </c>
    </row>
    <row r="1770">
      <c r="A1770" s="15">
        <v>46092.66805691831</v>
      </c>
      <c r="B1770" s="16" t="s">
        <v>3944</v>
      </c>
      <c r="C1770" s="16" t="s">
        <v>3945</v>
      </c>
      <c r="D1770" s="17">
        <v>46096.0</v>
      </c>
      <c r="E1770" s="18">
        <v>130.03</v>
      </c>
      <c r="F1770" s="16" t="s">
        <v>917</v>
      </c>
      <c r="G1770" s="21">
        <v>20.5995</v>
      </c>
      <c r="H1770" s="21">
        <v>6.3123</v>
      </c>
      <c r="I1770" s="17">
        <v>46101.0</v>
      </c>
      <c r="J1770" s="18">
        <v>130.0</v>
      </c>
      <c r="K1770" s="16">
        <v>8791.0</v>
      </c>
      <c r="L1770" s="16" t="s">
        <v>2608</v>
      </c>
      <c r="M1770" s="19">
        <v>0.02</v>
      </c>
      <c r="N1770" s="16" t="s">
        <v>4336</v>
      </c>
      <c r="O1770" s="16">
        <v>8791.0</v>
      </c>
      <c r="P1770" s="19">
        <v>26.9443</v>
      </c>
      <c r="Q1770" s="16" t="s">
        <v>3947</v>
      </c>
      <c r="R1770" s="19">
        <v>0.2622</v>
      </c>
      <c r="S1770" s="20">
        <v>4248803.0</v>
      </c>
      <c r="T1770" s="20">
        <v>1.01120548827E11</v>
      </c>
      <c r="U1770" s="21">
        <v>2.1874</v>
      </c>
      <c r="V1770" s="21">
        <v>9.7422</v>
      </c>
      <c r="W1770" s="21">
        <v>26.6061</v>
      </c>
      <c r="X1770" s="21">
        <v>6.193</v>
      </c>
      <c r="Y1770" s="21">
        <v>1.7574</v>
      </c>
      <c r="Z1770" s="21">
        <v>0.5518</v>
      </c>
      <c r="AA1770" s="16" t="s">
        <v>2611</v>
      </c>
      <c r="AB1770" s="22">
        <f>IFERROR(__xludf.DUMMYFUNCTION("IFERROR(GOOGLEFINANCE(B1770,""price""),"""")"),131.79)</f>
        <v>131.79</v>
      </c>
    </row>
    <row r="1771">
      <c r="A1771" s="7">
        <v>46092.66805691831</v>
      </c>
      <c r="B1771" s="8" t="s">
        <v>2692</v>
      </c>
      <c r="C1771" s="8" t="s">
        <v>2693</v>
      </c>
      <c r="D1771" s="9">
        <v>46096.0</v>
      </c>
      <c r="E1771" s="10">
        <v>242.99</v>
      </c>
      <c r="F1771" s="8" t="s">
        <v>117</v>
      </c>
      <c r="G1771" s="13">
        <v>21.9984</v>
      </c>
      <c r="H1771" s="13">
        <v>11.0458</v>
      </c>
      <c r="I1771" s="9">
        <v>46094.0</v>
      </c>
      <c r="J1771" s="10">
        <v>245.0</v>
      </c>
      <c r="K1771" s="8">
        <v>2752.0</v>
      </c>
      <c r="L1771" s="8" t="s">
        <v>2608</v>
      </c>
      <c r="M1771" s="11">
        <v>0.83</v>
      </c>
      <c r="N1771" s="8" t="s">
        <v>4337</v>
      </c>
      <c r="O1771" s="8">
        <v>8732.0</v>
      </c>
      <c r="P1771" s="11">
        <v>27.8702</v>
      </c>
      <c r="Q1771" s="8" t="s">
        <v>2695</v>
      </c>
      <c r="R1771" s="11">
        <v>-0.2954</v>
      </c>
      <c r="S1771" s="12">
        <v>6930803.0</v>
      </c>
      <c r="T1771" s="12">
        <v>5.85581356108E11</v>
      </c>
      <c r="U1771" s="13">
        <v>4.2331</v>
      </c>
      <c r="V1771" s="13">
        <v>35.0301</v>
      </c>
      <c r="W1771" s="13">
        <v>27.2081</v>
      </c>
      <c r="X1771" s="13">
        <v>6.046</v>
      </c>
      <c r="Y1771" s="13">
        <v>0.605</v>
      </c>
      <c r="Z1771" s="13">
        <v>1.0277</v>
      </c>
      <c r="AA1771" s="8" t="s">
        <v>2620</v>
      </c>
      <c r="AB1771" s="14">
        <f>IFERROR(__xludf.DUMMYFUNCTION("IFERROR(GOOGLEFINANCE(B1771,""price""),"""")"),238.46)</f>
        <v>238.46</v>
      </c>
    </row>
    <row r="1772">
      <c r="A1772" s="15">
        <v>46092.66805691831</v>
      </c>
      <c r="B1772" s="16" t="s">
        <v>3802</v>
      </c>
      <c r="C1772" s="16" t="s">
        <v>3803</v>
      </c>
      <c r="D1772" s="17">
        <v>46096.0</v>
      </c>
      <c r="E1772" s="18">
        <v>45.68</v>
      </c>
      <c r="F1772" s="16" t="s">
        <v>270</v>
      </c>
      <c r="G1772" s="21"/>
      <c r="H1772" s="21"/>
      <c r="I1772" s="17">
        <v>46101.0</v>
      </c>
      <c r="J1772" s="18">
        <v>45.0</v>
      </c>
      <c r="K1772" s="16">
        <v>5893.0</v>
      </c>
      <c r="L1772" s="16" t="s">
        <v>2608</v>
      </c>
      <c r="M1772" s="19">
        <v>1.49</v>
      </c>
      <c r="N1772" s="16" t="s">
        <v>4338</v>
      </c>
      <c r="O1772" s="16">
        <v>7287.0</v>
      </c>
      <c r="P1772" s="19">
        <v>26.202</v>
      </c>
      <c r="Q1772" s="16" t="s">
        <v>3805</v>
      </c>
      <c r="R1772" s="19">
        <v>1.4097</v>
      </c>
      <c r="S1772" s="20">
        <v>1812723.0</v>
      </c>
      <c r="T1772" s="20">
        <v>4.779154449E9</v>
      </c>
      <c r="U1772" s="21">
        <v>1.4515</v>
      </c>
      <c r="V1772" s="21">
        <v>3.4054</v>
      </c>
      <c r="W1772" s="21">
        <v>34.4448</v>
      </c>
      <c r="X1772" s="21">
        <v>51.1384</v>
      </c>
      <c r="Y1772" s="21">
        <v>1.4965</v>
      </c>
      <c r="Z1772" s="21">
        <v>2.5453</v>
      </c>
      <c r="AA1772" s="16" t="s">
        <v>2611</v>
      </c>
      <c r="AB1772" s="22">
        <f>IFERROR(__xludf.DUMMYFUNCTION("IFERROR(GOOGLEFINANCE(B1772,""price""),"""")"),53.28)</f>
        <v>53.28</v>
      </c>
    </row>
    <row r="1773">
      <c r="A1773" s="7">
        <v>46092.66805691831</v>
      </c>
      <c r="B1773" s="8" t="s">
        <v>3697</v>
      </c>
      <c r="C1773" s="8" t="s">
        <v>3698</v>
      </c>
      <c r="D1773" s="9">
        <v>46096.0</v>
      </c>
      <c r="E1773" s="10">
        <v>48.84</v>
      </c>
      <c r="F1773" s="8" t="s">
        <v>917</v>
      </c>
      <c r="G1773" s="13">
        <v>17.8581</v>
      </c>
      <c r="H1773" s="13">
        <v>2.7349</v>
      </c>
      <c r="I1773" s="9">
        <v>46101.0</v>
      </c>
      <c r="J1773" s="10">
        <v>49.0</v>
      </c>
      <c r="K1773" s="8">
        <v>7273.0</v>
      </c>
      <c r="L1773" s="8" t="s">
        <v>2608</v>
      </c>
      <c r="M1773" s="11">
        <v>0.33</v>
      </c>
      <c r="N1773" s="8" t="s">
        <v>4339</v>
      </c>
      <c r="O1773" s="8">
        <v>7273.0</v>
      </c>
      <c r="P1773" s="11">
        <v>30.2065</v>
      </c>
      <c r="Q1773" s="8" t="s">
        <v>3700</v>
      </c>
      <c r="R1773" s="11">
        <v>-0.3469</v>
      </c>
      <c r="S1773" s="12">
        <v>8209201.0</v>
      </c>
      <c r="T1773" s="12">
        <v>4.9958071805E10</v>
      </c>
      <c r="U1773" s="13">
        <v>0.9285</v>
      </c>
      <c r="V1773" s="13">
        <v>9.9356</v>
      </c>
      <c r="W1773" s="13">
        <v>21.2054</v>
      </c>
      <c r="X1773" s="13">
        <v>5.3367</v>
      </c>
      <c r="Y1773" s="13">
        <v>1.7554</v>
      </c>
      <c r="Z1773" s="13">
        <v>0.924</v>
      </c>
      <c r="AA1773" s="8" t="s">
        <v>2620</v>
      </c>
      <c r="AB1773" s="14">
        <f>IFERROR(__xludf.DUMMYFUNCTION("IFERROR(GOOGLEFINANCE(B1773,""price""),"""")"),48.57)</f>
        <v>48.57</v>
      </c>
    </row>
    <row r="1774">
      <c r="A1774" s="15">
        <v>46092.66805691831</v>
      </c>
      <c r="B1774" s="16" t="s">
        <v>3684</v>
      </c>
      <c r="C1774" s="16" t="s">
        <v>3685</v>
      </c>
      <c r="D1774" s="17">
        <v>46096.0</v>
      </c>
      <c r="E1774" s="18">
        <v>37.64</v>
      </c>
      <c r="F1774" s="16" t="s">
        <v>917</v>
      </c>
      <c r="G1774" s="21">
        <v>23.7072</v>
      </c>
      <c r="H1774" s="21">
        <v>1.5877</v>
      </c>
      <c r="I1774" s="17">
        <v>46101.0</v>
      </c>
      <c r="J1774" s="18">
        <v>37.0</v>
      </c>
      <c r="K1774" s="16">
        <v>3906.0</v>
      </c>
      <c r="L1774" s="16" t="s">
        <v>2608</v>
      </c>
      <c r="M1774" s="19">
        <v>1.7</v>
      </c>
      <c r="N1774" s="16" t="s">
        <v>4340</v>
      </c>
      <c r="O1774" s="16">
        <v>6609.0</v>
      </c>
      <c r="P1774" s="19">
        <v>21.1107</v>
      </c>
      <c r="Q1774" s="16" t="s">
        <v>3687</v>
      </c>
      <c r="R1774" s="19">
        <v>-0.5285</v>
      </c>
      <c r="S1774" s="20">
        <v>6763008.0</v>
      </c>
      <c r="T1774" s="20">
        <v>2.827918896E10</v>
      </c>
      <c r="U1774" s="21">
        <v>0.7763</v>
      </c>
      <c r="V1774" s="21">
        <v>8.1497</v>
      </c>
      <c r="W1774" s="21">
        <v>23.6452</v>
      </c>
      <c r="X1774" s="21">
        <v>6.8542</v>
      </c>
      <c r="Y1774" s="21">
        <v>1.3003</v>
      </c>
      <c r="Z1774" s="21">
        <v>0.8647</v>
      </c>
      <c r="AA1774" s="16" t="s">
        <v>2611</v>
      </c>
      <c r="AB1774" s="22">
        <f>IFERROR(__xludf.DUMMYFUNCTION("IFERROR(GOOGLEFINANCE(B1774,""price""),"""")"),39.65)</f>
        <v>39.65</v>
      </c>
    </row>
    <row r="1775">
      <c r="A1775" s="7">
        <v>46092.66805691831</v>
      </c>
      <c r="B1775" s="8" t="s">
        <v>2188</v>
      </c>
      <c r="C1775" s="8" t="s">
        <v>2189</v>
      </c>
      <c r="D1775" s="9">
        <v>46096.0</v>
      </c>
      <c r="E1775" s="10">
        <v>481.55</v>
      </c>
      <c r="F1775" s="8" t="s">
        <v>107</v>
      </c>
      <c r="G1775" s="13">
        <v>32.989</v>
      </c>
      <c r="H1775" s="13">
        <v>14.5973</v>
      </c>
      <c r="I1775" s="9">
        <v>46101.0</v>
      </c>
      <c r="J1775" s="10">
        <v>480.0</v>
      </c>
      <c r="K1775" s="8">
        <v>2493.0</v>
      </c>
      <c r="L1775" s="8" t="s">
        <v>2627</v>
      </c>
      <c r="M1775" s="11">
        <v>0.32</v>
      </c>
      <c r="N1775" s="8" t="s">
        <v>4341</v>
      </c>
      <c r="O1775" s="8">
        <v>3867.0</v>
      </c>
      <c r="P1775" s="11">
        <v>31.0942</v>
      </c>
      <c r="Q1775" s="8" t="s">
        <v>2190</v>
      </c>
      <c r="R1775" s="11">
        <v>0.7553</v>
      </c>
      <c r="S1775" s="12">
        <v>1979407.0</v>
      </c>
      <c r="T1775" s="12">
        <v>2.23147461314E11</v>
      </c>
      <c r="U1775" s="13">
        <v>9.8289</v>
      </c>
      <c r="V1775" s="13">
        <v>18.0725</v>
      </c>
      <c r="W1775" s="13">
        <v>27.2289</v>
      </c>
      <c r="X1775" s="13">
        <v>2.9723</v>
      </c>
      <c r="Y1775" s="13">
        <v>0.7339</v>
      </c>
      <c r="Z1775" s="13">
        <v>0.8768</v>
      </c>
      <c r="AA1775" s="8" t="s">
        <v>2611</v>
      </c>
      <c r="AB1775" s="14">
        <f>IFERROR(__xludf.DUMMYFUNCTION("IFERROR(GOOGLEFINANCE(B1775,""price""),"""")"),503.15)</f>
        <v>503.15</v>
      </c>
    </row>
    <row r="1776">
      <c r="A1776" s="15">
        <v>46092.66805691831</v>
      </c>
      <c r="B1776" s="16" t="s">
        <v>3416</v>
      </c>
      <c r="C1776" s="16" t="s">
        <v>3417</v>
      </c>
      <c r="D1776" s="17">
        <v>46096.0</v>
      </c>
      <c r="E1776" s="18">
        <v>66.34</v>
      </c>
      <c r="F1776" s="16" t="s">
        <v>286</v>
      </c>
      <c r="G1776" s="21">
        <v>16.1148</v>
      </c>
      <c r="H1776" s="21">
        <v>4.1167</v>
      </c>
      <c r="I1776" s="17">
        <v>46094.0</v>
      </c>
      <c r="J1776" s="18">
        <v>67.0</v>
      </c>
      <c r="K1776" s="16">
        <v>1512.0</v>
      </c>
      <c r="L1776" s="16" t="s">
        <v>2627</v>
      </c>
      <c r="M1776" s="19">
        <v>0.99</v>
      </c>
      <c r="N1776" s="16" t="s">
        <v>4342</v>
      </c>
      <c r="O1776" s="16">
        <v>3617.0</v>
      </c>
      <c r="P1776" s="19">
        <v>26.3557</v>
      </c>
      <c r="Q1776" s="16" t="s">
        <v>3419</v>
      </c>
      <c r="R1776" s="19">
        <v>-1.1915</v>
      </c>
      <c r="S1776" s="20">
        <v>9205085.0</v>
      </c>
      <c r="T1776" s="20">
        <v>1.10913717041E11</v>
      </c>
      <c r="U1776" s="21">
        <v>1.3712</v>
      </c>
      <c r="V1776" s="21"/>
      <c r="W1776" s="21">
        <v>63.8109</v>
      </c>
      <c r="X1776" s="21">
        <v>-1.3989</v>
      </c>
      <c r="Y1776" s="21"/>
      <c r="Z1776" s="21">
        <v>0.648</v>
      </c>
      <c r="AA1776" s="16" t="s">
        <v>2620</v>
      </c>
      <c r="AB1776" s="22">
        <f>IFERROR(__xludf.DUMMYFUNCTION("IFERROR(GOOGLEFINANCE(B1776,""price""),"""")"),67.38)</f>
        <v>67.38</v>
      </c>
    </row>
    <row r="1777">
      <c r="A1777" s="7">
        <v>46092.66805691831</v>
      </c>
      <c r="B1777" s="8" t="s">
        <v>2297</v>
      </c>
      <c r="C1777" s="8" t="s">
        <v>2298</v>
      </c>
      <c r="D1777" s="9">
        <v>46096.0</v>
      </c>
      <c r="E1777" s="10">
        <v>103.82</v>
      </c>
      <c r="F1777" s="8" t="s">
        <v>917</v>
      </c>
      <c r="G1777" s="13">
        <v>26.5361</v>
      </c>
      <c r="H1777" s="13">
        <v>3.9124</v>
      </c>
      <c r="I1777" s="9">
        <v>46101.0</v>
      </c>
      <c r="J1777" s="10">
        <v>105.0</v>
      </c>
      <c r="K1777" s="8">
        <v>3172.0</v>
      </c>
      <c r="L1777" s="8" t="s">
        <v>2608</v>
      </c>
      <c r="M1777" s="11">
        <v>1.14</v>
      </c>
      <c r="N1777" s="8" t="s">
        <v>4310</v>
      </c>
      <c r="O1777" s="8">
        <v>3172.0</v>
      </c>
      <c r="P1777" s="11">
        <v>28.8889</v>
      </c>
      <c r="Q1777" s="8" t="s">
        <v>2299</v>
      </c>
      <c r="R1777" s="11">
        <v>-0.8973</v>
      </c>
      <c r="S1777" s="12">
        <v>2437655.0</v>
      </c>
      <c r="T1777" s="12">
        <v>4.7029405904E10</v>
      </c>
      <c r="U1777" s="13">
        <v>2.0564</v>
      </c>
      <c r="V1777" s="13">
        <v>10.931</v>
      </c>
      <c r="W1777" s="13">
        <v>22.9697</v>
      </c>
      <c r="X1777" s="13">
        <v>8.3782</v>
      </c>
      <c r="Y1777" s="13">
        <v>1.8276</v>
      </c>
      <c r="Z1777" s="13">
        <v>0.7243</v>
      </c>
      <c r="AA1777" s="8" t="s">
        <v>2620</v>
      </c>
      <c r="AB1777" s="14">
        <f>IFERROR(__xludf.DUMMYFUNCTION("IFERROR(GOOGLEFINANCE(B1777,""price""),"""")"),116.47)</f>
        <v>116.47</v>
      </c>
    </row>
    <row r="1778">
      <c r="A1778" s="15">
        <v>46092.66805691831</v>
      </c>
      <c r="B1778" s="16" t="s">
        <v>2710</v>
      </c>
      <c r="C1778" s="16" t="s">
        <v>2711</v>
      </c>
      <c r="D1778" s="17">
        <v>46096.0</v>
      </c>
      <c r="E1778" s="18">
        <v>131.26</v>
      </c>
      <c r="F1778" s="16" t="s">
        <v>917</v>
      </c>
      <c r="G1778" s="21">
        <v>19.709</v>
      </c>
      <c r="H1778" s="21">
        <v>6.6599</v>
      </c>
      <c r="I1778" s="17">
        <v>46101.0</v>
      </c>
      <c r="J1778" s="18">
        <v>130.0</v>
      </c>
      <c r="K1778" s="16">
        <v>2736.0</v>
      </c>
      <c r="L1778" s="16" t="s">
        <v>2608</v>
      </c>
      <c r="M1778" s="19">
        <v>0.96</v>
      </c>
      <c r="N1778" s="16" t="s">
        <v>4343</v>
      </c>
      <c r="O1778" s="16">
        <v>2736.0</v>
      </c>
      <c r="P1778" s="19">
        <v>39.5473</v>
      </c>
      <c r="Q1778" s="16" t="s">
        <v>2713</v>
      </c>
      <c r="R1778" s="19">
        <v>-0.7936</v>
      </c>
      <c r="S1778" s="20">
        <v>2521942.0</v>
      </c>
      <c r="T1778" s="20">
        <v>7.0993480654E10</v>
      </c>
      <c r="U1778" s="21">
        <v>2.3982</v>
      </c>
      <c r="V1778" s="21">
        <v>12.3274</v>
      </c>
      <c r="W1778" s="21">
        <v>25.0742</v>
      </c>
      <c r="X1778" s="21">
        <v>10.4587</v>
      </c>
      <c r="Y1778" s="21">
        <v>1.5949</v>
      </c>
      <c r="Z1778" s="21">
        <v>0.4546</v>
      </c>
      <c r="AA1778" s="16" t="s">
        <v>2611</v>
      </c>
      <c r="AB1778" s="22">
        <f>IFERROR(__xludf.DUMMYFUNCTION("IFERROR(GOOGLEFINANCE(B1778,""price""),"""")"),136.3)</f>
        <v>136.3</v>
      </c>
    </row>
    <row r="1779">
      <c r="A1779" s="7">
        <v>46092.66805691831</v>
      </c>
      <c r="B1779" s="8" t="s">
        <v>2843</v>
      </c>
      <c r="C1779" s="8" t="s">
        <v>2844</v>
      </c>
      <c r="D1779" s="9">
        <v>46096.0</v>
      </c>
      <c r="E1779" s="10">
        <v>207.26</v>
      </c>
      <c r="F1779" s="8" t="s">
        <v>308</v>
      </c>
      <c r="G1779" s="13">
        <v>41.7661</v>
      </c>
      <c r="H1779" s="13">
        <v>4.9624</v>
      </c>
      <c r="I1779" s="9">
        <v>46094.0</v>
      </c>
      <c r="J1779" s="10">
        <v>210.0</v>
      </c>
      <c r="K1779" s="8">
        <v>1248.0</v>
      </c>
      <c r="L1779" s="8" t="s">
        <v>2608</v>
      </c>
      <c r="M1779" s="11">
        <v>1.32</v>
      </c>
      <c r="N1779" s="8" t="s">
        <v>4344</v>
      </c>
      <c r="O1779" s="8">
        <v>2282.0</v>
      </c>
      <c r="P1779" s="11">
        <v>19.6743</v>
      </c>
      <c r="Q1779" s="8" t="s">
        <v>2846</v>
      </c>
      <c r="R1779" s="11">
        <v>0.1256</v>
      </c>
      <c r="S1779" s="12">
        <v>4343325.0</v>
      </c>
      <c r="T1779" s="12">
        <v>2.7820252749E11</v>
      </c>
      <c r="U1779" s="13">
        <v>5.5864</v>
      </c>
      <c r="V1779" s="13">
        <v>10.7368</v>
      </c>
      <c r="W1779" s="13">
        <v>10.0301</v>
      </c>
      <c r="X1779" s="13">
        <v>9.7414</v>
      </c>
      <c r="Y1779" s="13">
        <v>0.6124</v>
      </c>
      <c r="Z1779" s="13">
        <v>0.9804</v>
      </c>
      <c r="AA1779" s="8" t="s">
        <v>2620</v>
      </c>
      <c r="AB1779" s="14">
        <f>IFERROR(__xludf.DUMMYFUNCTION("IFERROR(GOOGLEFINANCE(B1779,""price""),"""")"),201.56)</f>
        <v>201.56</v>
      </c>
    </row>
    <row r="1780">
      <c r="A1780" s="15">
        <v>46092.66805691831</v>
      </c>
      <c r="B1780" s="16" t="s">
        <v>1570</v>
      </c>
      <c r="C1780" s="16" t="s">
        <v>1571</v>
      </c>
      <c r="D1780" s="17">
        <v>46096.0</v>
      </c>
      <c r="E1780" s="18">
        <v>50.65</v>
      </c>
      <c r="F1780" s="16" t="s">
        <v>917</v>
      </c>
      <c r="G1780" s="21">
        <v>28.7018</v>
      </c>
      <c r="H1780" s="21">
        <v>1.7647</v>
      </c>
      <c r="I1780" s="17">
        <v>46101.0</v>
      </c>
      <c r="J1780" s="18">
        <v>50.0</v>
      </c>
      <c r="K1780" s="16">
        <v>2254.0</v>
      </c>
      <c r="L1780" s="16" t="s">
        <v>2608</v>
      </c>
      <c r="M1780" s="19">
        <v>1.28</v>
      </c>
      <c r="N1780" s="16" t="s">
        <v>4317</v>
      </c>
      <c r="O1780" s="16">
        <v>2254.0</v>
      </c>
      <c r="P1780" s="19">
        <v>31.6878</v>
      </c>
      <c r="Q1780" s="16" t="s">
        <v>1572</v>
      </c>
      <c r="R1780" s="19">
        <v>-0.0197</v>
      </c>
      <c r="S1780" s="20">
        <v>4527167.0</v>
      </c>
      <c r="T1780" s="20">
        <v>2.9272299338E10</v>
      </c>
      <c r="U1780" s="21">
        <v>0.8742</v>
      </c>
      <c r="V1780" s="21">
        <v>8.1714</v>
      </c>
      <c r="W1780" s="21">
        <v>18.774</v>
      </c>
      <c r="X1780" s="21">
        <v>12.0101</v>
      </c>
      <c r="Y1780" s="21">
        <v>2.1457</v>
      </c>
      <c r="Z1780" s="21">
        <v>0.5652</v>
      </c>
      <c r="AA1780" s="16" t="s">
        <v>2611</v>
      </c>
      <c r="AB1780" s="22">
        <f>IFERROR(__xludf.DUMMYFUNCTION("IFERROR(GOOGLEFINANCE(B1780,""price""),"""")"),51.43)</f>
        <v>51.43</v>
      </c>
    </row>
    <row r="1781">
      <c r="A1781" s="7">
        <v>46092.66805691831</v>
      </c>
      <c r="B1781" s="8" t="s">
        <v>4318</v>
      </c>
      <c r="C1781" s="8" t="s">
        <v>4319</v>
      </c>
      <c r="D1781" s="9">
        <v>46096.0</v>
      </c>
      <c r="E1781" s="10">
        <v>75.84</v>
      </c>
      <c r="F1781" s="8" t="s">
        <v>917</v>
      </c>
      <c r="G1781" s="13">
        <v>21.5308</v>
      </c>
      <c r="H1781" s="13">
        <v>3.5224</v>
      </c>
      <c r="I1781" s="9">
        <v>46101.0</v>
      </c>
      <c r="J1781" s="10">
        <v>75.0</v>
      </c>
      <c r="K1781" s="8">
        <v>2181.0</v>
      </c>
      <c r="L1781" s="8" t="s">
        <v>2608</v>
      </c>
      <c r="M1781" s="11">
        <v>1.11</v>
      </c>
      <c r="N1781" s="8" t="s">
        <v>4320</v>
      </c>
      <c r="O1781" s="8">
        <v>2181.0</v>
      </c>
      <c r="P1781" s="11">
        <v>23.3911</v>
      </c>
      <c r="Q1781" s="8" t="s">
        <v>4321</v>
      </c>
      <c r="R1781" s="11">
        <v>-0.7719</v>
      </c>
      <c r="S1781" s="12">
        <v>2442982.0</v>
      </c>
      <c r="T1781" s="12">
        <v>2.323896103E10</v>
      </c>
      <c r="U1781" s="13">
        <v>1.276</v>
      </c>
      <c r="V1781" s="13">
        <v>12.3288</v>
      </c>
      <c r="W1781" s="13">
        <v>20.2249</v>
      </c>
      <c r="X1781" s="13">
        <v>13.6261</v>
      </c>
      <c r="Y1781" s="13">
        <v>2.0691</v>
      </c>
      <c r="Z1781" s="13">
        <v>0.9786</v>
      </c>
      <c r="AA1781" s="8" t="s">
        <v>2611</v>
      </c>
      <c r="AB1781" s="14">
        <f>IFERROR(__xludf.DUMMYFUNCTION("IFERROR(GOOGLEFINANCE(B1781,""price""),"""")"),79.38)</f>
        <v>79.38</v>
      </c>
    </row>
    <row r="1782">
      <c r="A1782" s="15">
        <v>46092.66805691831</v>
      </c>
      <c r="B1782" s="16" t="s">
        <v>3242</v>
      </c>
      <c r="C1782" s="16" t="s">
        <v>3243</v>
      </c>
      <c r="D1782" s="17">
        <v>46096.0</v>
      </c>
      <c r="E1782" s="18">
        <v>111.74</v>
      </c>
      <c r="F1782" s="16" t="s">
        <v>917</v>
      </c>
      <c r="G1782" s="21">
        <v>19.7672</v>
      </c>
      <c r="H1782" s="21">
        <v>5.6528</v>
      </c>
      <c r="I1782" s="17">
        <v>46101.0</v>
      </c>
      <c r="J1782" s="18">
        <v>110.0</v>
      </c>
      <c r="K1782" s="16">
        <v>2041.0</v>
      </c>
      <c r="L1782" s="16" t="s">
        <v>2608</v>
      </c>
      <c r="M1782" s="19">
        <v>1.56</v>
      </c>
      <c r="N1782" s="16" t="s">
        <v>4345</v>
      </c>
      <c r="O1782" s="16">
        <v>2041.0</v>
      </c>
      <c r="P1782" s="19">
        <v>17.2505</v>
      </c>
      <c r="Q1782" s="16" t="s">
        <v>3245</v>
      </c>
      <c r="R1782" s="19">
        <v>0.3953</v>
      </c>
      <c r="S1782" s="20">
        <v>1438210.0</v>
      </c>
      <c r="T1782" s="20">
        <v>4.0371961826E10</v>
      </c>
      <c r="U1782" s="21">
        <v>2.1906</v>
      </c>
      <c r="V1782" s="21">
        <v>8.7624</v>
      </c>
      <c r="W1782" s="21">
        <v>17.3247</v>
      </c>
      <c r="X1782" s="21">
        <v>10.8577</v>
      </c>
      <c r="Y1782" s="21">
        <v>1.173</v>
      </c>
      <c r="Z1782" s="21">
        <v>1.0206</v>
      </c>
      <c r="AA1782" s="16" t="s">
        <v>2611</v>
      </c>
      <c r="AB1782" s="22">
        <f>IFERROR(__xludf.DUMMYFUNCTION("IFERROR(GOOGLEFINANCE(B1782,""price""),"""")"),113.56)</f>
        <v>113.56</v>
      </c>
    </row>
    <row r="1783">
      <c r="A1783" s="7">
        <v>46092.66805691831</v>
      </c>
      <c r="B1783" s="8" t="s">
        <v>4346</v>
      </c>
      <c r="C1783" s="8" t="s">
        <v>4347</v>
      </c>
      <c r="D1783" s="9">
        <v>46096.0</v>
      </c>
      <c r="E1783" s="10">
        <v>274.89</v>
      </c>
      <c r="F1783" s="8" t="s">
        <v>149</v>
      </c>
      <c r="G1783" s="13">
        <v>36.3683</v>
      </c>
      <c r="H1783" s="13">
        <v>7.5585</v>
      </c>
      <c r="I1783" s="9">
        <v>46101.0</v>
      </c>
      <c r="J1783" s="10">
        <v>270.0</v>
      </c>
      <c r="K1783" s="8">
        <v>1973.0</v>
      </c>
      <c r="L1783" s="8" t="s">
        <v>2608</v>
      </c>
      <c r="M1783" s="11">
        <v>1.78</v>
      </c>
      <c r="N1783" s="8" t="s">
        <v>4348</v>
      </c>
      <c r="O1783" s="8">
        <v>1973.0</v>
      </c>
      <c r="P1783" s="11">
        <v>51.088</v>
      </c>
      <c r="Q1783" s="8" t="s">
        <v>4349</v>
      </c>
      <c r="R1783" s="11">
        <v>6.5837</v>
      </c>
      <c r="S1783" s="12">
        <v>2385303.0</v>
      </c>
      <c r="T1783" s="12">
        <v>4.772717187E9</v>
      </c>
      <c r="U1783" s="13">
        <v>10.5492</v>
      </c>
      <c r="V1783" s="13">
        <v>6.4954</v>
      </c>
      <c r="W1783" s="13">
        <v>7.1122</v>
      </c>
      <c r="X1783" s="13">
        <v>0.4065</v>
      </c>
      <c r="Y1783" s="13">
        <v>0.0356</v>
      </c>
      <c r="Z1783" s="13">
        <v>3.2296</v>
      </c>
      <c r="AA1783" s="8" t="s">
        <v>2611</v>
      </c>
      <c r="AB1783" s="14">
        <f>IFERROR(__xludf.DUMMYFUNCTION("IFERROR(GOOGLEFINANCE(B1783,""price""),"""")"),256.22)</f>
        <v>256.22</v>
      </c>
    </row>
    <row r="1784">
      <c r="A1784" s="15">
        <v>46092.66805691831</v>
      </c>
      <c r="B1784" s="16" t="s">
        <v>3291</v>
      </c>
      <c r="C1784" s="16" t="s">
        <v>3292</v>
      </c>
      <c r="D1784" s="17">
        <v>46096.0</v>
      </c>
      <c r="E1784" s="18">
        <v>236.5</v>
      </c>
      <c r="F1784" s="16" t="s">
        <v>270</v>
      </c>
      <c r="G1784" s="21">
        <v>35.3059</v>
      </c>
      <c r="H1784" s="21">
        <v>6.6986</v>
      </c>
      <c r="I1784" s="17">
        <v>46101.0</v>
      </c>
      <c r="J1784" s="18">
        <v>240.0</v>
      </c>
      <c r="K1784" s="16">
        <v>1875.0</v>
      </c>
      <c r="L1784" s="16" t="s">
        <v>2608</v>
      </c>
      <c r="M1784" s="19">
        <v>1.48</v>
      </c>
      <c r="N1784" s="16" t="s">
        <v>4350</v>
      </c>
      <c r="O1784" s="16">
        <v>1875.0</v>
      </c>
      <c r="P1784" s="19">
        <v>26.1453</v>
      </c>
      <c r="Q1784" s="16" t="s">
        <v>3294</v>
      </c>
      <c r="R1784" s="19">
        <v>0.4076</v>
      </c>
      <c r="S1784" s="20">
        <v>1612259.0</v>
      </c>
      <c r="T1784" s="20">
        <v>9.5388910412E10</v>
      </c>
      <c r="U1784" s="21">
        <v>5.1969</v>
      </c>
      <c r="V1784" s="21">
        <v>29.6897</v>
      </c>
      <c r="W1784" s="21">
        <v>18.2788</v>
      </c>
      <c r="X1784" s="21">
        <v>14.2365</v>
      </c>
      <c r="Y1784" s="21">
        <v>2.3941</v>
      </c>
      <c r="Z1784" s="21">
        <v>0.8888</v>
      </c>
      <c r="AA1784" s="16" t="s">
        <v>2620</v>
      </c>
      <c r="AB1784" s="22">
        <f>IFERROR(__xludf.DUMMYFUNCTION("IFERROR(GOOGLEFINANCE(B1784,""price""),"""")"),229.45)</f>
        <v>229.45</v>
      </c>
    </row>
    <row r="1785">
      <c r="A1785" s="7">
        <v>46092.66805691831</v>
      </c>
      <c r="B1785" s="8" t="s">
        <v>4287</v>
      </c>
      <c r="C1785" s="8" t="s">
        <v>4288</v>
      </c>
      <c r="D1785" s="9">
        <v>46096.0</v>
      </c>
      <c r="E1785" s="10">
        <v>96.26</v>
      </c>
      <c r="F1785" s="8" t="s">
        <v>917</v>
      </c>
      <c r="G1785" s="13">
        <v>24.5887</v>
      </c>
      <c r="H1785" s="13">
        <v>3.9148</v>
      </c>
      <c r="I1785" s="9">
        <v>46094.0</v>
      </c>
      <c r="J1785" s="10">
        <v>98.0</v>
      </c>
      <c r="K1785" s="8">
        <v>1558.0</v>
      </c>
      <c r="L1785" s="8" t="s">
        <v>2608</v>
      </c>
      <c r="M1785" s="11">
        <v>1.81</v>
      </c>
      <c r="N1785" s="8" t="s">
        <v>4351</v>
      </c>
      <c r="O1785" s="8">
        <v>1558.0</v>
      </c>
      <c r="P1785" s="11">
        <v>27.6294</v>
      </c>
      <c r="Q1785" s="8" t="s">
        <v>4290</v>
      </c>
      <c r="R1785" s="11">
        <v>-0.0104</v>
      </c>
      <c r="S1785" s="12">
        <v>5330005.0</v>
      </c>
      <c r="T1785" s="12">
        <v>1.07752596558E11</v>
      </c>
      <c r="U1785" s="13">
        <v>1.6684</v>
      </c>
      <c r="V1785" s="13">
        <v>12.5419</v>
      </c>
      <c r="W1785" s="13">
        <v>24.7056</v>
      </c>
      <c r="X1785" s="13">
        <v>10.5822</v>
      </c>
      <c r="Y1785" s="13">
        <v>2.0567</v>
      </c>
      <c r="Z1785" s="13">
        <v>0.6464</v>
      </c>
      <c r="AA1785" s="8" t="s">
        <v>2620</v>
      </c>
      <c r="AB1785" s="14">
        <f>IFERROR(__xludf.DUMMYFUNCTION("IFERROR(GOOGLEFINANCE(B1785,""price""),"""")"),97.15)</f>
        <v>97.15</v>
      </c>
    </row>
    <row r="1786">
      <c r="A1786" s="15">
        <v>46092.66805691831</v>
      </c>
      <c r="B1786" s="16" t="s">
        <v>2344</v>
      </c>
      <c r="C1786" s="16" t="s">
        <v>2345</v>
      </c>
      <c r="D1786" s="17">
        <v>46096.0</v>
      </c>
      <c r="E1786" s="18">
        <v>74.4</v>
      </c>
      <c r="F1786" s="16" t="s">
        <v>270</v>
      </c>
      <c r="G1786" s="21">
        <v>34.8543</v>
      </c>
      <c r="H1786" s="21">
        <v>2.1346</v>
      </c>
      <c r="I1786" s="17">
        <v>46094.0</v>
      </c>
      <c r="J1786" s="18">
        <v>75.0</v>
      </c>
      <c r="K1786" s="16">
        <v>1303.0</v>
      </c>
      <c r="L1786" s="16" t="s">
        <v>2608</v>
      </c>
      <c r="M1786" s="19">
        <v>0.81</v>
      </c>
      <c r="N1786" s="16" t="s">
        <v>4352</v>
      </c>
      <c r="O1786" s="16">
        <v>1303.0</v>
      </c>
      <c r="P1786" s="19">
        <v>46.7885</v>
      </c>
      <c r="Q1786" s="16" t="s">
        <v>2346</v>
      </c>
      <c r="R1786" s="19">
        <v>0.7584</v>
      </c>
      <c r="S1786" s="20">
        <v>4766794.0</v>
      </c>
      <c r="T1786" s="20">
        <v>9.0884290903E10</v>
      </c>
      <c r="U1786" s="21">
        <v>1.5874</v>
      </c>
      <c r="V1786" s="21">
        <v>20.7424</v>
      </c>
      <c r="W1786" s="21">
        <v>35.471</v>
      </c>
      <c r="X1786" s="21">
        <v>9.774</v>
      </c>
      <c r="Y1786" s="21">
        <v>2.3069</v>
      </c>
      <c r="Z1786" s="21">
        <v>0.5313</v>
      </c>
      <c r="AA1786" s="16" t="s">
        <v>2620</v>
      </c>
      <c r="AB1786" s="22">
        <f>IFERROR(__xludf.DUMMYFUNCTION("IFERROR(GOOGLEFINANCE(B1786,""price""),"""")"),72.74)</f>
        <v>72.74</v>
      </c>
    </row>
    <row r="1787">
      <c r="A1787" s="7">
        <v>46092.66805691831</v>
      </c>
      <c r="B1787" s="8" t="s">
        <v>2658</v>
      </c>
      <c r="C1787" s="8" t="s">
        <v>2659</v>
      </c>
      <c r="D1787" s="9">
        <v>46096.0</v>
      </c>
      <c r="E1787" s="10">
        <v>91.66</v>
      </c>
      <c r="F1787" s="8" t="s">
        <v>917</v>
      </c>
      <c r="G1787" s="13">
        <v>27.7732</v>
      </c>
      <c r="H1787" s="13">
        <v>3.3003</v>
      </c>
      <c r="I1787" s="9">
        <v>46094.0</v>
      </c>
      <c r="J1787" s="10">
        <v>92.0</v>
      </c>
      <c r="K1787" s="8">
        <v>1257.0</v>
      </c>
      <c r="L1787" s="8" t="s">
        <v>2608</v>
      </c>
      <c r="M1787" s="11">
        <v>0.37</v>
      </c>
      <c r="N1787" s="8" t="s">
        <v>4353</v>
      </c>
      <c r="O1787" s="8">
        <v>1257.0</v>
      </c>
      <c r="P1787" s="11">
        <v>25.8037</v>
      </c>
      <c r="Q1787" s="8" t="s">
        <v>2661</v>
      </c>
      <c r="R1787" s="11">
        <v>0.1311</v>
      </c>
      <c r="S1787" s="12">
        <v>9733589.0</v>
      </c>
      <c r="T1787" s="12">
        <v>1.90975625923E11</v>
      </c>
      <c r="U1787" s="13">
        <v>2.0637</v>
      </c>
      <c r="V1787" s="13">
        <v>13.0533</v>
      </c>
      <c r="W1787" s="13">
        <v>26.8934</v>
      </c>
      <c r="X1787" s="13">
        <v>8.6905</v>
      </c>
      <c r="Y1787" s="13">
        <v>1.7594</v>
      </c>
      <c r="Z1787" s="13">
        <v>0.5953</v>
      </c>
      <c r="AA1787" s="8" t="s">
        <v>2620</v>
      </c>
      <c r="AB1787" s="14">
        <f>IFERROR(__xludf.DUMMYFUNCTION("IFERROR(GOOGLEFINANCE(B1787,""price""),"""")"),94.08)</f>
        <v>94.08</v>
      </c>
    </row>
    <row r="1788">
      <c r="A1788" s="15">
        <v>46092.66805691831</v>
      </c>
      <c r="B1788" s="16" t="s">
        <v>2646</v>
      </c>
      <c r="C1788" s="16" t="s">
        <v>2647</v>
      </c>
      <c r="D1788" s="17">
        <v>46096.0</v>
      </c>
      <c r="E1788" s="18">
        <v>37.2</v>
      </c>
      <c r="F1788" s="16" t="s">
        <v>270</v>
      </c>
      <c r="G1788" s="21">
        <v>14.0473</v>
      </c>
      <c r="H1788" s="21">
        <v>2.6482</v>
      </c>
      <c r="I1788" s="17">
        <v>46094.0</v>
      </c>
      <c r="J1788" s="18">
        <v>37.0</v>
      </c>
      <c r="K1788" s="16">
        <v>1219.0</v>
      </c>
      <c r="L1788" s="16" t="s">
        <v>2627</v>
      </c>
      <c r="M1788" s="19">
        <v>0.54</v>
      </c>
      <c r="N1788" s="16" t="s">
        <v>4354</v>
      </c>
      <c r="O1788" s="16">
        <v>1219.0</v>
      </c>
      <c r="P1788" s="19">
        <v>41.9265</v>
      </c>
      <c r="Q1788" s="16" t="s">
        <v>2649</v>
      </c>
      <c r="R1788" s="19">
        <v>1.3072</v>
      </c>
      <c r="S1788" s="20">
        <v>3008342.0</v>
      </c>
      <c r="T1788" s="20">
        <v>8.0417502283E10</v>
      </c>
      <c r="U1788" s="21">
        <v>0.726</v>
      </c>
      <c r="V1788" s="21">
        <v>19.6987</v>
      </c>
      <c r="W1788" s="21">
        <v>12.3812</v>
      </c>
      <c r="X1788" s="21">
        <v>-6.474</v>
      </c>
      <c r="Y1788" s="21">
        <v>1.1744</v>
      </c>
      <c r="Z1788" s="21">
        <v>1.0411</v>
      </c>
      <c r="AA1788" s="16" t="s">
        <v>2611</v>
      </c>
      <c r="AB1788" s="22">
        <f>IFERROR(__xludf.DUMMYFUNCTION("IFERROR(GOOGLEFINANCE(B1788,""price""),"""")"),37.35)</f>
        <v>37.35</v>
      </c>
    </row>
    <row r="1789">
      <c r="A1789" s="7">
        <v>46092.66805691831</v>
      </c>
      <c r="B1789" s="8" t="s">
        <v>3558</v>
      </c>
      <c r="C1789" s="8" t="s">
        <v>3559</v>
      </c>
      <c r="D1789" s="9">
        <v>46096.0</v>
      </c>
      <c r="E1789" s="10">
        <v>239.44</v>
      </c>
      <c r="F1789" s="8" t="s">
        <v>308</v>
      </c>
      <c r="G1789" s="13">
        <v>29.96</v>
      </c>
      <c r="H1789" s="13">
        <v>7.992</v>
      </c>
      <c r="I1789" s="9">
        <v>46094.0</v>
      </c>
      <c r="J1789" s="10">
        <v>235.0</v>
      </c>
      <c r="K1789" s="8">
        <v>1158.0</v>
      </c>
      <c r="L1789" s="8" t="s">
        <v>2627</v>
      </c>
      <c r="M1789" s="11">
        <v>1.85</v>
      </c>
      <c r="N1789" s="8" t="s">
        <v>4355</v>
      </c>
      <c r="O1789" s="8">
        <v>1158.0</v>
      </c>
      <c r="P1789" s="11">
        <v>41.6897</v>
      </c>
      <c r="Q1789" s="8" t="s">
        <v>3561</v>
      </c>
      <c r="R1789" s="11">
        <v>-0.4863</v>
      </c>
      <c r="S1789" s="12">
        <v>3215008.0</v>
      </c>
      <c r="T1789" s="12">
        <v>1.5220618022E11</v>
      </c>
      <c r="U1789" s="13">
        <v>5.495</v>
      </c>
      <c r="V1789" s="13">
        <v>31.7068</v>
      </c>
      <c r="W1789" s="13">
        <v>19.7843</v>
      </c>
      <c r="X1789" s="13">
        <v>4.7901</v>
      </c>
      <c r="Y1789" s="13">
        <v>2.5578</v>
      </c>
      <c r="Z1789" s="13">
        <v>1.2978</v>
      </c>
      <c r="AA1789" s="8" t="s">
        <v>2611</v>
      </c>
      <c r="AB1789" s="14">
        <f>IFERROR(__xludf.DUMMYFUNCTION("IFERROR(GOOGLEFINANCE(B1789,""price""),"""")"),235.06)</f>
        <v>235.06</v>
      </c>
    </row>
    <row r="1790">
      <c r="A1790" s="7">
        <v>46093.670563004314</v>
      </c>
      <c r="B1790" s="8" t="s">
        <v>2630</v>
      </c>
      <c r="C1790" s="8" t="s">
        <v>2631</v>
      </c>
      <c r="D1790" s="9">
        <v>46096.0</v>
      </c>
      <c r="E1790" s="10">
        <v>405.35</v>
      </c>
      <c r="F1790" s="8" t="s">
        <v>308</v>
      </c>
      <c r="G1790" s="13">
        <v>38.5314</v>
      </c>
      <c r="H1790" s="13">
        <v>10.52</v>
      </c>
      <c r="I1790" s="9">
        <v>46094.0</v>
      </c>
      <c r="J1790" s="10">
        <v>410.0</v>
      </c>
      <c r="K1790" s="8">
        <v>12445.0</v>
      </c>
      <c r="L1790" s="8" t="s">
        <v>2627</v>
      </c>
      <c r="M1790" s="11">
        <v>1.15</v>
      </c>
      <c r="N1790" s="8" t="s">
        <v>4356</v>
      </c>
      <c r="O1790" s="8">
        <v>44657.0</v>
      </c>
      <c r="P1790" s="11">
        <v>21.6988</v>
      </c>
      <c r="Q1790" s="8" t="s">
        <v>2633</v>
      </c>
      <c r="R1790" s="11">
        <v>-3.1861</v>
      </c>
      <c r="S1790" s="12">
        <v>3.1390917E7</v>
      </c>
      <c r="T1790" s="12">
        <v>4.56225188232E11</v>
      </c>
      <c r="U1790" s="13">
        <v>25.0438</v>
      </c>
      <c r="V1790" s="13">
        <v>22.5543</v>
      </c>
      <c r="W1790" s="13">
        <v>32.9221</v>
      </c>
      <c r="X1790" s="13">
        <v>45.432</v>
      </c>
      <c r="Y1790" s="13">
        <v>0.2124</v>
      </c>
      <c r="Z1790" s="13">
        <v>2.4598</v>
      </c>
      <c r="AA1790" s="8" t="s">
        <v>2620</v>
      </c>
      <c r="AB1790" s="14">
        <f>IFERROR(__xludf.DUMMYFUNCTION("IFERROR(GOOGLEFINANCE(B1790,""price""),"""")"),420.59)</f>
        <v>420.59</v>
      </c>
    </row>
    <row r="1791">
      <c r="A1791" s="15">
        <v>46093.670563004314</v>
      </c>
      <c r="B1791" s="16" t="s">
        <v>2638</v>
      </c>
      <c r="C1791" s="16" t="s">
        <v>2639</v>
      </c>
      <c r="D1791" s="17">
        <v>46096.0</v>
      </c>
      <c r="E1791" s="18">
        <v>153.53</v>
      </c>
      <c r="F1791" s="16" t="s">
        <v>245</v>
      </c>
      <c r="G1791" s="21">
        <v>22.9327</v>
      </c>
      <c r="H1791" s="21">
        <v>6.6948</v>
      </c>
      <c r="I1791" s="17">
        <v>46094.0</v>
      </c>
      <c r="J1791" s="18">
        <v>155.0</v>
      </c>
      <c r="K1791" s="16">
        <v>8549.0</v>
      </c>
      <c r="L1791" s="16" t="s">
        <v>2608</v>
      </c>
      <c r="M1791" s="19">
        <v>0.96</v>
      </c>
      <c r="N1791" s="16" t="s">
        <v>4357</v>
      </c>
      <c r="O1791" s="16">
        <v>15777.0</v>
      </c>
      <c r="P1791" s="19">
        <v>34.72</v>
      </c>
      <c r="Q1791" s="16" t="s">
        <v>2641</v>
      </c>
      <c r="R1791" s="19">
        <v>1.2864</v>
      </c>
      <c r="S1791" s="20">
        <v>2.5996257E7</v>
      </c>
      <c r="T1791" s="20">
        <v>6.3972323427E11</v>
      </c>
      <c r="U1791" s="21">
        <v>3.8722</v>
      </c>
      <c r="V1791" s="21">
        <v>11.0283</v>
      </c>
      <c r="W1791" s="21">
        <v>10.3419</v>
      </c>
      <c r="X1791" s="21">
        <v>-4.856</v>
      </c>
      <c r="Y1791" s="21">
        <v>0.1871</v>
      </c>
      <c r="Z1791" s="21">
        <v>1.1528</v>
      </c>
      <c r="AA1791" s="16" t="s">
        <v>2620</v>
      </c>
      <c r="AB1791" s="22">
        <f>IFERROR(__xludf.DUMMYFUNCTION("IFERROR(GOOGLEFINANCE(B1791,""price""),"""")"),152.51)</f>
        <v>152.51</v>
      </c>
    </row>
    <row r="1792">
      <c r="A1792" s="7">
        <v>46093.670563004314</v>
      </c>
      <c r="B1792" s="8" t="s">
        <v>3697</v>
      </c>
      <c r="C1792" s="8" t="s">
        <v>3698</v>
      </c>
      <c r="D1792" s="9">
        <v>46096.0</v>
      </c>
      <c r="E1792" s="10">
        <v>49.48</v>
      </c>
      <c r="F1792" s="8" t="s">
        <v>917</v>
      </c>
      <c r="G1792" s="13">
        <v>18.0921</v>
      </c>
      <c r="H1792" s="13">
        <v>2.7349</v>
      </c>
      <c r="I1792" s="9">
        <v>46101.0</v>
      </c>
      <c r="J1792" s="10">
        <v>50.0</v>
      </c>
      <c r="K1792" s="8">
        <v>8007.0</v>
      </c>
      <c r="L1792" s="8" t="s">
        <v>2608</v>
      </c>
      <c r="M1792" s="11">
        <v>1.05</v>
      </c>
      <c r="N1792" s="8" t="s">
        <v>4358</v>
      </c>
      <c r="O1792" s="8">
        <v>15281.0</v>
      </c>
      <c r="P1792" s="11">
        <v>30.191</v>
      </c>
      <c r="Q1792" s="8" t="s">
        <v>3700</v>
      </c>
      <c r="R1792" s="11">
        <v>1.3104</v>
      </c>
      <c r="S1792" s="12">
        <v>1.1372804E7</v>
      </c>
      <c r="T1792" s="12">
        <v>5.0612724924E10</v>
      </c>
      <c r="U1792" s="13">
        <v>0.9633</v>
      </c>
      <c r="V1792" s="13">
        <v>9.9356</v>
      </c>
      <c r="W1792" s="13">
        <v>21.2054</v>
      </c>
      <c r="X1792" s="13">
        <v>5.3367</v>
      </c>
      <c r="Y1792" s="13">
        <v>1.7554</v>
      </c>
      <c r="Z1792" s="13">
        <v>0.924</v>
      </c>
      <c r="AA1792" s="8" t="s">
        <v>2620</v>
      </c>
      <c r="AB1792" s="14">
        <f>IFERROR(__xludf.DUMMYFUNCTION("IFERROR(GOOGLEFINANCE(B1792,""price""),"""")"),48.57)</f>
        <v>48.57</v>
      </c>
    </row>
    <row r="1793">
      <c r="A1793" s="15">
        <v>46093.670563004314</v>
      </c>
      <c r="B1793" s="16" t="s">
        <v>4359</v>
      </c>
      <c r="C1793" s="16" t="s">
        <v>4360</v>
      </c>
      <c r="D1793" s="17">
        <v>46096.0</v>
      </c>
      <c r="E1793" s="18">
        <v>87.67</v>
      </c>
      <c r="F1793" s="16" t="s">
        <v>308</v>
      </c>
      <c r="G1793" s="21">
        <v>28.3878</v>
      </c>
      <c r="H1793" s="21">
        <v>3.0883</v>
      </c>
      <c r="I1793" s="17">
        <v>46094.0</v>
      </c>
      <c r="J1793" s="18">
        <v>88.0</v>
      </c>
      <c r="K1793" s="16">
        <v>4912.0</v>
      </c>
      <c r="L1793" s="16" t="s">
        <v>2627</v>
      </c>
      <c r="M1793" s="19">
        <v>0.38</v>
      </c>
      <c r="N1793" s="16" t="s">
        <v>4361</v>
      </c>
      <c r="O1793" s="16">
        <v>15235.0</v>
      </c>
      <c r="P1793" s="19">
        <v>19.6487</v>
      </c>
      <c r="Q1793" s="16" t="s">
        <v>4362</v>
      </c>
      <c r="R1793" s="19">
        <v>-3.0628</v>
      </c>
      <c r="S1793" s="20">
        <v>1.6483989E7</v>
      </c>
      <c r="T1793" s="20">
        <v>7.6575348584E10</v>
      </c>
      <c r="U1793" s="21">
        <v>4.6329</v>
      </c>
      <c r="V1793" s="21">
        <v>19.2541</v>
      </c>
      <c r="W1793" s="21">
        <v>16.3327</v>
      </c>
      <c r="X1793" s="21">
        <v>42.0873</v>
      </c>
      <c r="Y1793" s="21">
        <v>0.3124</v>
      </c>
      <c r="Z1793" s="21">
        <v>2.0061</v>
      </c>
      <c r="AA1793" s="16" t="s">
        <v>2620</v>
      </c>
      <c r="AB1793" s="22">
        <f>IFERROR(__xludf.DUMMYFUNCTION("IFERROR(GOOGLEFINANCE(B1793,""price""),"""")"),128.49)</f>
        <v>128.49</v>
      </c>
    </row>
    <row r="1794">
      <c r="A1794" s="7">
        <v>46093.670563004314</v>
      </c>
      <c r="B1794" s="8" t="s">
        <v>2634</v>
      </c>
      <c r="C1794" s="8" t="s">
        <v>2635</v>
      </c>
      <c r="D1794" s="9">
        <v>46096.0</v>
      </c>
      <c r="E1794" s="10">
        <v>196.97</v>
      </c>
      <c r="F1794" s="8" t="s">
        <v>245</v>
      </c>
      <c r="G1794" s="13">
        <v>29.6285</v>
      </c>
      <c r="H1794" s="13">
        <v>6.648</v>
      </c>
      <c r="I1794" s="9">
        <v>46094.0</v>
      </c>
      <c r="J1794" s="10">
        <v>200.0</v>
      </c>
      <c r="K1794" s="8">
        <v>7162.0</v>
      </c>
      <c r="L1794" s="8" t="s">
        <v>2608</v>
      </c>
      <c r="M1794" s="11">
        <v>1.54</v>
      </c>
      <c r="N1794" s="8" t="s">
        <v>4363</v>
      </c>
      <c r="O1794" s="8">
        <v>11757.0</v>
      </c>
      <c r="P1794" s="11">
        <v>40.6013</v>
      </c>
      <c r="Q1794" s="8" t="s">
        <v>2637</v>
      </c>
      <c r="R1794" s="11">
        <v>2.7009</v>
      </c>
      <c r="S1794" s="12">
        <v>2.6972644E7</v>
      </c>
      <c r="T1794" s="12">
        <v>3.93031067792E11</v>
      </c>
      <c r="U1794" s="13">
        <v>4.0826</v>
      </c>
      <c r="V1794" s="13">
        <v>7.261</v>
      </c>
      <c r="W1794" s="13">
        <v>8.8802</v>
      </c>
      <c r="X1794" s="13">
        <v>-4.6193</v>
      </c>
      <c r="Y1794" s="13">
        <v>0.2507</v>
      </c>
      <c r="Z1794" s="13">
        <v>1.1547</v>
      </c>
      <c r="AA1794" s="8" t="s">
        <v>2620</v>
      </c>
      <c r="AB1794" s="14">
        <f>IFERROR(__xludf.DUMMYFUNCTION("IFERROR(GOOGLEFINANCE(B1794,""price""),"""")"),188.55)</f>
        <v>188.55</v>
      </c>
    </row>
    <row r="1795">
      <c r="A1795" s="15">
        <v>46093.670563004314</v>
      </c>
      <c r="B1795" s="16" t="s">
        <v>3944</v>
      </c>
      <c r="C1795" s="16" t="s">
        <v>3945</v>
      </c>
      <c r="D1795" s="17">
        <v>46096.0</v>
      </c>
      <c r="E1795" s="18">
        <v>131.82</v>
      </c>
      <c r="F1795" s="16" t="s">
        <v>917</v>
      </c>
      <c r="G1795" s="21">
        <v>20.883</v>
      </c>
      <c r="H1795" s="21">
        <v>6.3123</v>
      </c>
      <c r="I1795" s="17">
        <v>46101.0</v>
      </c>
      <c r="J1795" s="18">
        <v>130.0</v>
      </c>
      <c r="K1795" s="16">
        <v>9124.0</v>
      </c>
      <c r="L1795" s="16" t="s">
        <v>2608</v>
      </c>
      <c r="M1795" s="19">
        <v>1.38</v>
      </c>
      <c r="N1795" s="16" t="s">
        <v>4364</v>
      </c>
      <c r="O1795" s="16">
        <v>10216.0</v>
      </c>
      <c r="P1795" s="19">
        <v>26.8221</v>
      </c>
      <c r="Q1795" s="16" t="s">
        <v>3947</v>
      </c>
      <c r="R1795" s="19">
        <v>1.3766</v>
      </c>
      <c r="S1795" s="20">
        <v>5841178.0</v>
      </c>
      <c r="T1795" s="20">
        <v>1.0251257687E11</v>
      </c>
      <c r="U1795" s="21">
        <v>2.2626</v>
      </c>
      <c r="V1795" s="21">
        <v>9.7422</v>
      </c>
      <c r="W1795" s="21">
        <v>26.6061</v>
      </c>
      <c r="X1795" s="21">
        <v>6.193</v>
      </c>
      <c r="Y1795" s="21">
        <v>1.7574</v>
      </c>
      <c r="Z1795" s="21">
        <v>0.5518</v>
      </c>
      <c r="AA1795" s="16" t="s">
        <v>2611</v>
      </c>
      <c r="AB1795" s="22">
        <f>IFERROR(__xludf.DUMMYFUNCTION("IFERROR(GOOGLEFINANCE(B1795,""price""),"""")"),131.79)</f>
        <v>131.79</v>
      </c>
    </row>
    <row r="1796">
      <c r="A1796" s="7">
        <v>46093.670563004314</v>
      </c>
      <c r="B1796" s="8" t="s">
        <v>2692</v>
      </c>
      <c r="C1796" s="8" t="s">
        <v>2693</v>
      </c>
      <c r="D1796" s="9">
        <v>46096.0</v>
      </c>
      <c r="E1796" s="10">
        <v>242.04</v>
      </c>
      <c r="F1796" s="8" t="s">
        <v>117</v>
      </c>
      <c r="G1796" s="13">
        <v>21.9124</v>
      </c>
      <c r="H1796" s="13">
        <v>11.0458</v>
      </c>
      <c r="I1796" s="9">
        <v>46094.0</v>
      </c>
      <c r="J1796" s="10">
        <v>245.0</v>
      </c>
      <c r="K1796" s="8">
        <v>2978.0</v>
      </c>
      <c r="L1796" s="8" t="s">
        <v>2608</v>
      </c>
      <c r="M1796" s="11">
        <v>1.22</v>
      </c>
      <c r="N1796" s="8" t="s">
        <v>4365</v>
      </c>
      <c r="O1796" s="8">
        <v>8744.0</v>
      </c>
      <c r="P1796" s="11">
        <v>26.0165</v>
      </c>
      <c r="Q1796" s="8" t="s">
        <v>2695</v>
      </c>
      <c r="R1796" s="11">
        <v>-0.391</v>
      </c>
      <c r="S1796" s="12">
        <v>7696490.0</v>
      </c>
      <c r="T1796" s="12">
        <v>5.83291949183E11</v>
      </c>
      <c r="U1796" s="13">
        <v>4.2236</v>
      </c>
      <c r="V1796" s="13">
        <v>35.0301</v>
      </c>
      <c r="W1796" s="13">
        <v>27.2081</v>
      </c>
      <c r="X1796" s="13">
        <v>6.046</v>
      </c>
      <c r="Y1796" s="13">
        <v>0.605</v>
      </c>
      <c r="Z1796" s="13">
        <v>1.0277</v>
      </c>
      <c r="AA1796" s="8" t="s">
        <v>2620</v>
      </c>
      <c r="AB1796" s="14">
        <f>IFERROR(__xludf.DUMMYFUNCTION("IFERROR(GOOGLEFINANCE(B1796,""price""),"""")"),238.46)</f>
        <v>238.46</v>
      </c>
    </row>
    <row r="1797">
      <c r="A1797" s="15">
        <v>46093.670563004314</v>
      </c>
      <c r="B1797" s="16" t="s">
        <v>3802</v>
      </c>
      <c r="C1797" s="16" t="s">
        <v>3803</v>
      </c>
      <c r="D1797" s="17">
        <v>46096.0</v>
      </c>
      <c r="E1797" s="18">
        <v>44.79</v>
      </c>
      <c r="F1797" s="16" t="s">
        <v>270</v>
      </c>
      <c r="G1797" s="21"/>
      <c r="H1797" s="21"/>
      <c r="I1797" s="17">
        <v>46101.0</v>
      </c>
      <c r="J1797" s="18">
        <v>45.0</v>
      </c>
      <c r="K1797" s="16">
        <v>5888.0</v>
      </c>
      <c r="L1797" s="16" t="s">
        <v>2608</v>
      </c>
      <c r="M1797" s="19">
        <v>0.47</v>
      </c>
      <c r="N1797" s="16" t="s">
        <v>4366</v>
      </c>
      <c r="O1797" s="16">
        <v>5888.0</v>
      </c>
      <c r="P1797" s="19">
        <v>25.2955</v>
      </c>
      <c r="Q1797" s="16" t="s">
        <v>3805</v>
      </c>
      <c r="R1797" s="19">
        <v>-1.9483</v>
      </c>
      <c r="S1797" s="20">
        <v>1581970.0</v>
      </c>
      <c r="T1797" s="20">
        <v>4.686040672E9</v>
      </c>
      <c r="U1797" s="21">
        <v>1.4564</v>
      </c>
      <c r="V1797" s="21">
        <v>3.4054</v>
      </c>
      <c r="W1797" s="21">
        <v>34.4448</v>
      </c>
      <c r="X1797" s="21">
        <v>51.1384</v>
      </c>
      <c r="Y1797" s="21">
        <v>1.4965</v>
      </c>
      <c r="Z1797" s="21">
        <v>2.5453</v>
      </c>
      <c r="AA1797" s="16" t="s">
        <v>2620</v>
      </c>
      <c r="AB1797" s="22">
        <f>IFERROR(__xludf.DUMMYFUNCTION("IFERROR(GOOGLEFINANCE(B1797,""price""),"""")"),53.28)</f>
        <v>53.28</v>
      </c>
    </row>
    <row r="1798">
      <c r="A1798" s="7">
        <v>46093.670563004314</v>
      </c>
      <c r="B1798" s="8" t="s">
        <v>2399</v>
      </c>
      <c r="C1798" s="8" t="s">
        <v>2400</v>
      </c>
      <c r="D1798" s="9">
        <v>46096.0</v>
      </c>
      <c r="E1798" s="10">
        <v>18.56</v>
      </c>
      <c r="F1798" s="8" t="s">
        <v>270</v>
      </c>
      <c r="G1798" s="13">
        <v>15.3617</v>
      </c>
      <c r="H1798" s="13">
        <v>1.2082</v>
      </c>
      <c r="I1798" s="9">
        <v>46094.0</v>
      </c>
      <c r="J1798" s="10">
        <v>18.5</v>
      </c>
      <c r="K1798" s="8">
        <v>2994.0</v>
      </c>
      <c r="L1798" s="8" t="s">
        <v>2627</v>
      </c>
      <c r="M1798" s="11">
        <v>0.32</v>
      </c>
      <c r="N1798" s="8" t="s">
        <v>4367</v>
      </c>
      <c r="O1798" s="8">
        <v>5636.0</v>
      </c>
      <c r="P1798" s="11">
        <v>25.0758</v>
      </c>
      <c r="Q1798" s="8" t="s">
        <v>2401</v>
      </c>
      <c r="R1798" s="11">
        <v>-1.0133</v>
      </c>
      <c r="S1798" s="12">
        <v>1.4586843E7</v>
      </c>
      <c r="T1798" s="12">
        <v>6.385223625E10</v>
      </c>
      <c r="U1798" s="13">
        <v>0.3558</v>
      </c>
      <c r="V1798" s="13">
        <v>12.7475</v>
      </c>
      <c r="W1798" s="13">
        <v>10.8866</v>
      </c>
      <c r="X1798" s="13">
        <v>3.4655</v>
      </c>
      <c r="Y1798" s="13">
        <v>2.0395</v>
      </c>
      <c r="Z1798" s="13">
        <v>1.2192</v>
      </c>
      <c r="AA1798" s="8" t="s">
        <v>2611</v>
      </c>
      <c r="AB1798" s="14">
        <f>IFERROR(__xludf.DUMMYFUNCTION("IFERROR(GOOGLEFINANCE(B1798,""price""),"""")"),19.19)</f>
        <v>19.19</v>
      </c>
    </row>
    <row r="1799">
      <c r="A1799" s="15">
        <v>46093.670563004314</v>
      </c>
      <c r="B1799" s="16" t="s">
        <v>3416</v>
      </c>
      <c r="C1799" s="16" t="s">
        <v>3417</v>
      </c>
      <c r="D1799" s="17">
        <v>46096.0</v>
      </c>
      <c r="E1799" s="18">
        <v>67.72</v>
      </c>
      <c r="F1799" s="16" t="s">
        <v>286</v>
      </c>
      <c r="G1799" s="21">
        <v>16.4501</v>
      </c>
      <c r="H1799" s="21">
        <v>4.1167</v>
      </c>
      <c r="I1799" s="17">
        <v>46094.0</v>
      </c>
      <c r="J1799" s="18">
        <v>69.0</v>
      </c>
      <c r="K1799" s="16">
        <v>3858.0</v>
      </c>
      <c r="L1799" s="16" t="s">
        <v>2608</v>
      </c>
      <c r="M1799" s="19">
        <v>1.89</v>
      </c>
      <c r="N1799" s="16" t="s">
        <v>4368</v>
      </c>
      <c r="O1799" s="16">
        <v>5374.0</v>
      </c>
      <c r="P1799" s="19">
        <v>25.2221</v>
      </c>
      <c r="Q1799" s="16" t="s">
        <v>3419</v>
      </c>
      <c r="R1799" s="19">
        <v>2.0802</v>
      </c>
      <c r="S1799" s="20">
        <v>8786957.0</v>
      </c>
      <c r="T1799" s="20">
        <v>1.13220931138E11</v>
      </c>
      <c r="U1799" s="21">
        <v>1.4254</v>
      </c>
      <c r="V1799" s="21"/>
      <c r="W1799" s="21">
        <v>63.8109</v>
      </c>
      <c r="X1799" s="21">
        <v>-1.3989</v>
      </c>
      <c r="Y1799" s="21"/>
      <c r="Z1799" s="21">
        <v>0.648</v>
      </c>
      <c r="AA1799" s="16" t="s">
        <v>2620</v>
      </c>
      <c r="AB1799" s="22">
        <f>IFERROR(__xludf.DUMMYFUNCTION("IFERROR(GOOGLEFINANCE(B1799,""price""),"""")"),67.38)</f>
        <v>67.38</v>
      </c>
    </row>
    <row r="1800">
      <c r="A1800" s="7">
        <v>46093.670563004314</v>
      </c>
      <c r="B1800" s="8" t="s">
        <v>2297</v>
      </c>
      <c r="C1800" s="8" t="s">
        <v>2298</v>
      </c>
      <c r="D1800" s="9">
        <v>46096.0</v>
      </c>
      <c r="E1800" s="10">
        <v>104.52</v>
      </c>
      <c r="F1800" s="8" t="s">
        <v>917</v>
      </c>
      <c r="G1800" s="13">
        <v>26.7151</v>
      </c>
      <c r="H1800" s="13">
        <v>3.9124</v>
      </c>
      <c r="I1800" s="9">
        <v>46101.0</v>
      </c>
      <c r="J1800" s="10">
        <v>105.0</v>
      </c>
      <c r="K1800" s="8">
        <v>3170.0</v>
      </c>
      <c r="L1800" s="8" t="s">
        <v>2608</v>
      </c>
      <c r="M1800" s="11">
        <v>0.46</v>
      </c>
      <c r="N1800" s="8" t="s">
        <v>4369</v>
      </c>
      <c r="O1800" s="8">
        <v>3170.0</v>
      </c>
      <c r="P1800" s="11">
        <v>27.9014</v>
      </c>
      <c r="Q1800" s="8" t="s">
        <v>2299</v>
      </c>
      <c r="R1800" s="11">
        <v>0.6742</v>
      </c>
      <c r="S1800" s="12">
        <v>3065838.0</v>
      </c>
      <c r="T1800" s="12">
        <v>4.7346497691E10</v>
      </c>
      <c r="U1800" s="13">
        <v>2.1295</v>
      </c>
      <c r="V1800" s="13">
        <v>10.931</v>
      </c>
      <c r="W1800" s="13">
        <v>22.9697</v>
      </c>
      <c r="X1800" s="13">
        <v>8.3782</v>
      </c>
      <c r="Y1800" s="13">
        <v>1.8276</v>
      </c>
      <c r="Z1800" s="13">
        <v>0.7243</v>
      </c>
      <c r="AA1800" s="8" t="s">
        <v>2620</v>
      </c>
      <c r="AB1800" s="14">
        <f>IFERROR(__xludf.DUMMYFUNCTION("IFERROR(GOOGLEFINANCE(B1800,""price""),"""")"),116.47)</f>
        <v>116.47</v>
      </c>
    </row>
    <row r="1801">
      <c r="A1801" s="15">
        <v>46093.670563004314</v>
      </c>
      <c r="B1801" s="16" t="s">
        <v>3744</v>
      </c>
      <c r="C1801" s="16" t="s">
        <v>3745</v>
      </c>
      <c r="D1801" s="17">
        <v>46096.0</v>
      </c>
      <c r="E1801" s="18">
        <v>38.31</v>
      </c>
      <c r="F1801" s="16" t="s">
        <v>112</v>
      </c>
      <c r="G1801" s="21">
        <v>60.8675</v>
      </c>
      <c r="H1801" s="21">
        <v>0.6294</v>
      </c>
      <c r="I1801" s="17">
        <v>46101.0</v>
      </c>
      <c r="J1801" s="18">
        <v>38.0</v>
      </c>
      <c r="K1801" s="16">
        <v>3013.0</v>
      </c>
      <c r="L1801" s="16" t="s">
        <v>2627</v>
      </c>
      <c r="M1801" s="19">
        <v>0.81</v>
      </c>
      <c r="N1801" s="16" t="s">
        <v>4370</v>
      </c>
      <c r="O1801" s="16">
        <v>3013.0</v>
      </c>
      <c r="P1801" s="19">
        <v>19.8318</v>
      </c>
      <c r="Q1801" s="16" t="s">
        <v>3747</v>
      </c>
      <c r="R1801" s="19">
        <v>-3.7437</v>
      </c>
      <c r="S1801" s="20">
        <v>1000050.0</v>
      </c>
      <c r="T1801" s="20">
        <v>2.068472376E9</v>
      </c>
      <c r="U1801" s="21">
        <v>1.4627</v>
      </c>
      <c r="V1801" s="21">
        <v>10.9439</v>
      </c>
      <c r="W1801" s="21">
        <v>23.4035</v>
      </c>
      <c r="X1801" s="21">
        <v>16.4687</v>
      </c>
      <c r="Y1801" s="21">
        <v>0.8573</v>
      </c>
      <c r="Z1801" s="21">
        <v>1.6697</v>
      </c>
      <c r="AA1801" s="16" t="s">
        <v>2611</v>
      </c>
      <c r="AB1801" s="22">
        <f>IFERROR(__xludf.DUMMYFUNCTION("IFERROR(GOOGLEFINANCE(B1801,""price""),"""")"),37.84)</f>
        <v>37.84</v>
      </c>
    </row>
    <row r="1802">
      <c r="A1802" s="7">
        <v>46093.670563004314</v>
      </c>
      <c r="B1802" s="8" t="s">
        <v>2710</v>
      </c>
      <c r="C1802" s="8" t="s">
        <v>2711</v>
      </c>
      <c r="D1802" s="9">
        <v>46096.0</v>
      </c>
      <c r="E1802" s="10">
        <v>132.22</v>
      </c>
      <c r="F1802" s="8" t="s">
        <v>917</v>
      </c>
      <c r="G1802" s="13">
        <v>19.8532</v>
      </c>
      <c r="H1802" s="13">
        <v>6.6599</v>
      </c>
      <c r="I1802" s="9">
        <v>46101.0</v>
      </c>
      <c r="J1802" s="10">
        <v>130.0</v>
      </c>
      <c r="K1802" s="8">
        <v>2736.0</v>
      </c>
      <c r="L1802" s="8" t="s">
        <v>2608</v>
      </c>
      <c r="M1802" s="11">
        <v>1.68</v>
      </c>
      <c r="N1802" s="8" t="s">
        <v>4343</v>
      </c>
      <c r="O1802" s="8">
        <v>2736.0</v>
      </c>
      <c r="P1802" s="11">
        <v>39.4564</v>
      </c>
      <c r="Q1802" s="8" t="s">
        <v>2713</v>
      </c>
      <c r="R1802" s="11">
        <v>0.7314</v>
      </c>
      <c r="S1802" s="12">
        <v>2500128.0</v>
      </c>
      <c r="T1802" s="12">
        <v>7.1512706022E10</v>
      </c>
      <c r="U1802" s="13">
        <v>2.4529</v>
      </c>
      <c r="V1802" s="13">
        <v>12.3274</v>
      </c>
      <c r="W1802" s="13">
        <v>25.0742</v>
      </c>
      <c r="X1802" s="13">
        <v>10.4587</v>
      </c>
      <c r="Y1802" s="13">
        <v>1.5949</v>
      </c>
      <c r="Z1802" s="13">
        <v>0.4546</v>
      </c>
      <c r="AA1802" s="8" t="s">
        <v>2611</v>
      </c>
      <c r="AB1802" s="14">
        <f>IFERROR(__xludf.DUMMYFUNCTION("IFERROR(GOOGLEFINANCE(B1802,""price""),"""")"),136.3)</f>
        <v>136.3</v>
      </c>
    </row>
    <row r="1803">
      <c r="A1803" s="15">
        <v>46093.670563004314</v>
      </c>
      <c r="B1803" s="16" t="s">
        <v>3684</v>
      </c>
      <c r="C1803" s="16" t="s">
        <v>3685</v>
      </c>
      <c r="D1803" s="17">
        <v>46096.0</v>
      </c>
      <c r="E1803" s="18">
        <v>38.07</v>
      </c>
      <c r="F1803" s="16" t="s">
        <v>917</v>
      </c>
      <c r="G1803" s="21">
        <v>23.9781</v>
      </c>
      <c r="H1803" s="21">
        <v>1.5877</v>
      </c>
      <c r="I1803" s="17">
        <v>46101.0</v>
      </c>
      <c r="J1803" s="18">
        <v>38.0</v>
      </c>
      <c r="K1803" s="16">
        <v>2707.0</v>
      </c>
      <c r="L1803" s="16" t="s">
        <v>2608</v>
      </c>
      <c r="M1803" s="19">
        <v>0.18</v>
      </c>
      <c r="N1803" s="16" t="s">
        <v>4371</v>
      </c>
      <c r="O1803" s="16">
        <v>2707.0</v>
      </c>
      <c r="P1803" s="19">
        <v>21.2682</v>
      </c>
      <c r="Q1803" s="16" t="s">
        <v>3687</v>
      </c>
      <c r="R1803" s="19">
        <v>1.1424</v>
      </c>
      <c r="S1803" s="20">
        <v>8034200.0</v>
      </c>
      <c r="T1803" s="20">
        <v>2.8602250316E10</v>
      </c>
      <c r="U1803" s="21">
        <v>0.8027</v>
      </c>
      <c r="V1803" s="21">
        <v>8.1497</v>
      </c>
      <c r="W1803" s="21">
        <v>23.6452</v>
      </c>
      <c r="X1803" s="21">
        <v>6.8542</v>
      </c>
      <c r="Y1803" s="21">
        <v>1.3003</v>
      </c>
      <c r="Z1803" s="21">
        <v>0.8647</v>
      </c>
      <c r="AA1803" s="16" t="s">
        <v>2611</v>
      </c>
      <c r="AB1803" s="22">
        <f>IFERROR(__xludf.DUMMYFUNCTION("IFERROR(GOOGLEFINANCE(B1803,""price""),"""")"),39.65)</f>
        <v>39.65</v>
      </c>
    </row>
    <row r="1804">
      <c r="A1804" s="7">
        <v>46093.670563004314</v>
      </c>
      <c r="B1804" s="8" t="s">
        <v>2804</v>
      </c>
      <c r="C1804" s="8" t="s">
        <v>2805</v>
      </c>
      <c r="D1804" s="9">
        <v>46096.0</v>
      </c>
      <c r="E1804" s="10">
        <v>129.77</v>
      </c>
      <c r="F1804" s="8" t="s">
        <v>308</v>
      </c>
      <c r="G1804" s="13">
        <v>70.5694</v>
      </c>
      <c r="H1804" s="13">
        <v>1.8389</v>
      </c>
      <c r="I1804" s="9">
        <v>46094.0</v>
      </c>
      <c r="J1804" s="10">
        <v>128.0</v>
      </c>
      <c r="K1804" s="8">
        <v>2423.0</v>
      </c>
      <c r="L1804" s="8" t="s">
        <v>2627</v>
      </c>
      <c r="M1804" s="11">
        <v>1.36</v>
      </c>
      <c r="N1804" s="8" t="s">
        <v>4372</v>
      </c>
      <c r="O1804" s="8">
        <v>2423.0</v>
      </c>
      <c r="P1804" s="11">
        <v>31.6662</v>
      </c>
      <c r="Q1804" s="8" t="s">
        <v>2807</v>
      </c>
      <c r="R1804" s="11">
        <v>-1.5103</v>
      </c>
      <c r="S1804" s="12">
        <v>8004367.0</v>
      </c>
      <c r="T1804" s="12">
        <v>1.11335922906E11</v>
      </c>
      <c r="U1804" s="13">
        <v>8.6625</v>
      </c>
      <c r="V1804" s="13">
        <v>14.1911</v>
      </c>
      <c r="W1804" s="13">
        <v>15.3241</v>
      </c>
      <c r="X1804" s="13">
        <v>19.1416</v>
      </c>
      <c r="Y1804" s="13">
        <v>0.7942</v>
      </c>
      <c r="Z1804" s="13">
        <v>1.5878</v>
      </c>
      <c r="AA1804" s="8" t="s">
        <v>2611</v>
      </c>
      <c r="AB1804" s="14">
        <f>IFERROR(__xludf.DUMMYFUNCTION("IFERROR(GOOGLEFINANCE(B1804,""price""),"""")"),171.24)</f>
        <v>171.24</v>
      </c>
    </row>
    <row r="1805">
      <c r="A1805" s="15">
        <v>46093.670563004314</v>
      </c>
      <c r="B1805" s="16" t="s">
        <v>1570</v>
      </c>
      <c r="C1805" s="16" t="s">
        <v>1571</v>
      </c>
      <c r="D1805" s="17">
        <v>46096.0</v>
      </c>
      <c r="E1805" s="18">
        <v>50.82</v>
      </c>
      <c r="F1805" s="16" t="s">
        <v>917</v>
      </c>
      <c r="G1805" s="21">
        <v>28.7981</v>
      </c>
      <c r="H1805" s="21">
        <v>1.7647</v>
      </c>
      <c r="I1805" s="17">
        <v>46101.0</v>
      </c>
      <c r="J1805" s="18">
        <v>50.0</v>
      </c>
      <c r="K1805" s="16">
        <v>2254.0</v>
      </c>
      <c r="L1805" s="16" t="s">
        <v>2608</v>
      </c>
      <c r="M1805" s="19">
        <v>1.61</v>
      </c>
      <c r="N1805" s="16" t="s">
        <v>4317</v>
      </c>
      <c r="O1805" s="16">
        <v>2254.0</v>
      </c>
      <c r="P1805" s="19">
        <v>31.253</v>
      </c>
      <c r="Q1805" s="16" t="s">
        <v>1572</v>
      </c>
      <c r="R1805" s="19">
        <v>0.3356</v>
      </c>
      <c r="S1805" s="20">
        <v>3324472.0</v>
      </c>
      <c r="T1805" s="20">
        <v>2.9370548897E10</v>
      </c>
      <c r="U1805" s="21">
        <v>0.8768</v>
      </c>
      <c r="V1805" s="21">
        <v>8.1714</v>
      </c>
      <c r="W1805" s="21">
        <v>18.774</v>
      </c>
      <c r="X1805" s="21">
        <v>12.0101</v>
      </c>
      <c r="Y1805" s="21">
        <v>2.1457</v>
      </c>
      <c r="Z1805" s="21">
        <v>0.5652</v>
      </c>
      <c r="AA1805" s="16" t="s">
        <v>2611</v>
      </c>
      <c r="AB1805" s="22">
        <f>IFERROR(__xludf.DUMMYFUNCTION("IFERROR(GOOGLEFINANCE(B1805,""price""),"""")"),51.43)</f>
        <v>51.43</v>
      </c>
    </row>
    <row r="1806">
      <c r="A1806" s="7">
        <v>46093.670563004314</v>
      </c>
      <c r="B1806" s="8" t="s">
        <v>3141</v>
      </c>
      <c r="C1806" s="8" t="s">
        <v>3142</v>
      </c>
      <c r="D1806" s="9">
        <v>46096.0</v>
      </c>
      <c r="E1806" s="10">
        <v>329.56</v>
      </c>
      <c r="F1806" s="8" t="s">
        <v>93</v>
      </c>
      <c r="G1806" s="13">
        <v>12.8126</v>
      </c>
      <c r="H1806" s="13">
        <v>25.7215</v>
      </c>
      <c r="I1806" s="9">
        <v>46101.0</v>
      </c>
      <c r="J1806" s="10">
        <v>330.0</v>
      </c>
      <c r="K1806" s="8">
        <v>2160.0</v>
      </c>
      <c r="L1806" s="8" t="s">
        <v>2608</v>
      </c>
      <c r="M1806" s="11">
        <v>0.13</v>
      </c>
      <c r="N1806" s="8" t="s">
        <v>4373</v>
      </c>
      <c r="O1806" s="8">
        <v>2160.0</v>
      </c>
      <c r="P1806" s="11">
        <v>24.7259</v>
      </c>
      <c r="Q1806" s="8" t="s">
        <v>3144</v>
      </c>
      <c r="R1806" s="11">
        <v>2.1068</v>
      </c>
      <c r="S1806" s="12">
        <v>2014208.0</v>
      </c>
      <c r="T1806" s="12">
        <v>1.28579998214E11</v>
      </c>
      <c r="U1806" s="13">
        <v>6.6604</v>
      </c>
      <c r="V1806" s="13">
        <v>14.9661</v>
      </c>
      <c r="W1806" s="13">
        <v>21.219</v>
      </c>
      <c r="X1806" s="13">
        <v>6.9804</v>
      </c>
      <c r="Y1806" s="13">
        <v>0.3008</v>
      </c>
      <c r="Z1806" s="13">
        <v>0.3807</v>
      </c>
      <c r="AA1806" s="8" t="s">
        <v>2620</v>
      </c>
      <c r="AB1806" s="14">
        <f>IFERROR(__xludf.DUMMYFUNCTION("IFERROR(GOOGLEFINANCE(B1806,""price""),"""")"),327.91)</f>
        <v>327.91</v>
      </c>
    </row>
    <row r="1807">
      <c r="A1807" s="15">
        <v>46093.670563004314</v>
      </c>
      <c r="B1807" s="16" t="s">
        <v>3291</v>
      </c>
      <c r="C1807" s="16" t="s">
        <v>3292</v>
      </c>
      <c r="D1807" s="17">
        <v>46096.0</v>
      </c>
      <c r="E1807" s="18">
        <v>238.61</v>
      </c>
      <c r="F1807" s="16" t="s">
        <v>270</v>
      </c>
      <c r="G1807" s="21">
        <v>35.6209</v>
      </c>
      <c r="H1807" s="21">
        <v>6.6986</v>
      </c>
      <c r="I1807" s="17">
        <v>46101.0</v>
      </c>
      <c r="J1807" s="18">
        <v>240.0</v>
      </c>
      <c r="K1807" s="16">
        <v>1871.0</v>
      </c>
      <c r="L1807" s="16" t="s">
        <v>2608</v>
      </c>
      <c r="M1807" s="19">
        <v>0.58</v>
      </c>
      <c r="N1807" s="16" t="s">
        <v>4374</v>
      </c>
      <c r="O1807" s="16">
        <v>1871.0</v>
      </c>
      <c r="P1807" s="19">
        <v>25.5048</v>
      </c>
      <c r="Q1807" s="16" t="s">
        <v>3294</v>
      </c>
      <c r="R1807" s="19">
        <v>0.8922</v>
      </c>
      <c r="S1807" s="20">
        <v>2579577.0</v>
      </c>
      <c r="T1807" s="20">
        <v>9.6239951638E10</v>
      </c>
      <c r="U1807" s="21">
        <v>5.3249</v>
      </c>
      <c r="V1807" s="21">
        <v>29.6897</v>
      </c>
      <c r="W1807" s="21">
        <v>18.2788</v>
      </c>
      <c r="X1807" s="21">
        <v>14.2365</v>
      </c>
      <c r="Y1807" s="21">
        <v>2.3941</v>
      </c>
      <c r="Z1807" s="21">
        <v>0.8888</v>
      </c>
      <c r="AA1807" s="16" t="s">
        <v>2620</v>
      </c>
      <c r="AB1807" s="22">
        <f>IFERROR(__xludf.DUMMYFUNCTION("IFERROR(GOOGLEFINANCE(B1807,""price""),"""")"),229.45)</f>
        <v>229.45</v>
      </c>
    </row>
    <row r="1808">
      <c r="A1808" s="7">
        <v>46093.670563004314</v>
      </c>
      <c r="B1808" s="8" t="s">
        <v>4287</v>
      </c>
      <c r="C1808" s="8" t="s">
        <v>4288</v>
      </c>
      <c r="D1808" s="9">
        <v>46096.0</v>
      </c>
      <c r="E1808" s="10">
        <v>97.84</v>
      </c>
      <c r="F1808" s="8" t="s">
        <v>917</v>
      </c>
      <c r="G1808" s="13">
        <v>24.9923</v>
      </c>
      <c r="H1808" s="13">
        <v>3.9148</v>
      </c>
      <c r="I1808" s="9">
        <v>46094.0</v>
      </c>
      <c r="J1808" s="10">
        <v>98.0</v>
      </c>
      <c r="K1808" s="8">
        <v>1544.0</v>
      </c>
      <c r="L1808" s="8" t="s">
        <v>2608</v>
      </c>
      <c r="M1808" s="11">
        <v>0.16</v>
      </c>
      <c r="N1808" s="8" t="s">
        <v>4375</v>
      </c>
      <c r="O1808" s="8">
        <v>1544.0</v>
      </c>
      <c r="P1808" s="11">
        <v>27.8156</v>
      </c>
      <c r="Q1808" s="8" t="s">
        <v>4290</v>
      </c>
      <c r="R1808" s="11">
        <v>1.6414</v>
      </c>
      <c r="S1808" s="12">
        <v>8655441.0</v>
      </c>
      <c r="T1808" s="12">
        <v>1.09521240897E11</v>
      </c>
      <c r="U1808" s="13">
        <v>1.7396</v>
      </c>
      <c r="V1808" s="13">
        <v>12.5419</v>
      </c>
      <c r="W1808" s="13">
        <v>24.7056</v>
      </c>
      <c r="X1808" s="13">
        <v>10.5822</v>
      </c>
      <c r="Y1808" s="13">
        <v>2.0567</v>
      </c>
      <c r="Z1808" s="13">
        <v>0.6464</v>
      </c>
      <c r="AA1808" s="8" t="s">
        <v>2620</v>
      </c>
      <c r="AB1808" s="14">
        <f>IFERROR(__xludf.DUMMYFUNCTION("IFERROR(GOOGLEFINANCE(B1808,""price""),"""")"),97.15)</f>
        <v>97.15</v>
      </c>
    </row>
    <row r="1809">
      <c r="A1809" s="15">
        <v>46093.670563004314</v>
      </c>
      <c r="B1809" s="16" t="s">
        <v>2188</v>
      </c>
      <c r="C1809" s="16" t="s">
        <v>2189</v>
      </c>
      <c r="D1809" s="17">
        <v>46096.0</v>
      </c>
      <c r="E1809" s="18">
        <v>490.41</v>
      </c>
      <c r="F1809" s="16" t="s">
        <v>107</v>
      </c>
      <c r="G1809" s="21">
        <v>33.5959</v>
      </c>
      <c r="H1809" s="21">
        <v>14.5973</v>
      </c>
      <c r="I1809" s="17">
        <v>46101.0</v>
      </c>
      <c r="J1809" s="18">
        <v>490.0</v>
      </c>
      <c r="K1809" s="16">
        <v>1378.0</v>
      </c>
      <c r="L1809" s="16" t="s">
        <v>2608</v>
      </c>
      <c r="M1809" s="19">
        <v>0.08</v>
      </c>
      <c r="N1809" s="16" t="s">
        <v>4376</v>
      </c>
      <c r="O1809" s="16">
        <v>1378.0</v>
      </c>
      <c r="P1809" s="19">
        <v>29.1957</v>
      </c>
      <c r="Q1809" s="16" t="s">
        <v>2190</v>
      </c>
      <c r="R1809" s="19">
        <v>1.8399</v>
      </c>
      <c r="S1809" s="20">
        <v>2879095.0</v>
      </c>
      <c r="T1809" s="20">
        <v>2.27253126716E11</v>
      </c>
      <c r="U1809" s="21">
        <v>10.2183</v>
      </c>
      <c r="V1809" s="21">
        <v>18.0725</v>
      </c>
      <c r="W1809" s="21">
        <v>27.2289</v>
      </c>
      <c r="X1809" s="21">
        <v>2.9723</v>
      </c>
      <c r="Y1809" s="21">
        <v>0.7339</v>
      </c>
      <c r="Z1809" s="21">
        <v>0.8768</v>
      </c>
      <c r="AA1809" s="16" t="s">
        <v>2611</v>
      </c>
      <c r="AB1809" s="22">
        <f>IFERROR(__xludf.DUMMYFUNCTION("IFERROR(GOOGLEFINANCE(B1809,""price""),"""")"),503.15)</f>
        <v>503.15</v>
      </c>
    </row>
    <row r="1810">
      <c r="A1810" s="7">
        <v>46093.670563004314</v>
      </c>
      <c r="B1810" s="8" t="s">
        <v>2646</v>
      </c>
      <c r="C1810" s="8" t="s">
        <v>2647</v>
      </c>
      <c r="D1810" s="9">
        <v>46096.0</v>
      </c>
      <c r="E1810" s="10">
        <v>36.59</v>
      </c>
      <c r="F1810" s="8" t="s">
        <v>270</v>
      </c>
      <c r="G1810" s="13">
        <v>13.8169</v>
      </c>
      <c r="H1810" s="13">
        <v>2.6482</v>
      </c>
      <c r="I1810" s="9">
        <v>46094.0</v>
      </c>
      <c r="J1810" s="10">
        <v>37.0</v>
      </c>
      <c r="K1810" s="8">
        <v>1278.0</v>
      </c>
      <c r="L1810" s="8" t="s">
        <v>2627</v>
      </c>
      <c r="M1810" s="11">
        <v>1.12</v>
      </c>
      <c r="N1810" s="8" t="s">
        <v>4377</v>
      </c>
      <c r="O1810" s="8">
        <v>1278.0</v>
      </c>
      <c r="P1810" s="11">
        <v>41.2572</v>
      </c>
      <c r="Q1810" s="8" t="s">
        <v>2649</v>
      </c>
      <c r="R1810" s="11">
        <v>-1.6398</v>
      </c>
      <c r="S1810" s="12">
        <v>3702738.0</v>
      </c>
      <c r="T1810" s="12">
        <v>7.9098827179E10</v>
      </c>
      <c r="U1810" s="13">
        <v>0.737</v>
      </c>
      <c r="V1810" s="13">
        <v>19.6987</v>
      </c>
      <c r="W1810" s="13">
        <v>12.3812</v>
      </c>
      <c r="X1810" s="13">
        <v>-6.474</v>
      </c>
      <c r="Y1810" s="13">
        <v>1.1744</v>
      </c>
      <c r="Z1810" s="13">
        <v>1.0411</v>
      </c>
      <c r="AA1810" s="8" t="s">
        <v>2620</v>
      </c>
      <c r="AB1810" s="14">
        <f>IFERROR(__xludf.DUMMYFUNCTION("IFERROR(GOOGLEFINANCE(B1810,""price""),"""")"),37.35)</f>
        <v>37.35</v>
      </c>
    </row>
    <row r="1811">
      <c r="A1811" s="15">
        <v>46093.670563004314</v>
      </c>
      <c r="B1811" s="16" t="s">
        <v>2658</v>
      </c>
      <c r="C1811" s="16" t="s">
        <v>2659</v>
      </c>
      <c r="D1811" s="17">
        <v>46096.0</v>
      </c>
      <c r="E1811" s="18">
        <v>91.75</v>
      </c>
      <c r="F1811" s="16" t="s">
        <v>917</v>
      </c>
      <c r="G1811" s="21">
        <v>27.8005</v>
      </c>
      <c r="H1811" s="21">
        <v>3.3003</v>
      </c>
      <c r="I1811" s="17">
        <v>46094.0</v>
      </c>
      <c r="J1811" s="18">
        <v>92.0</v>
      </c>
      <c r="K1811" s="16">
        <v>1242.0</v>
      </c>
      <c r="L1811" s="16" t="s">
        <v>2608</v>
      </c>
      <c r="M1811" s="19">
        <v>0.27</v>
      </c>
      <c r="N1811" s="16" t="s">
        <v>4378</v>
      </c>
      <c r="O1811" s="16">
        <v>1242.0</v>
      </c>
      <c r="P1811" s="19">
        <v>23.9945</v>
      </c>
      <c r="Q1811" s="16" t="s">
        <v>2661</v>
      </c>
      <c r="R1811" s="19">
        <v>0.0982</v>
      </c>
      <c r="S1811" s="20">
        <v>8337119.0</v>
      </c>
      <c r="T1811" s="20">
        <v>1.91163148629E11</v>
      </c>
      <c r="U1811" s="21">
        <v>2.0534</v>
      </c>
      <c r="V1811" s="21">
        <v>13.0533</v>
      </c>
      <c r="W1811" s="21">
        <v>26.8934</v>
      </c>
      <c r="X1811" s="21">
        <v>8.6905</v>
      </c>
      <c r="Y1811" s="21">
        <v>1.7594</v>
      </c>
      <c r="Z1811" s="21">
        <v>0.5953</v>
      </c>
      <c r="AA1811" s="16" t="s">
        <v>2620</v>
      </c>
      <c r="AB1811" s="22">
        <f>IFERROR(__xludf.DUMMYFUNCTION("IFERROR(GOOGLEFINANCE(B1811,""price""),"""")"),94.08)</f>
        <v>94.08</v>
      </c>
    </row>
    <row r="1812">
      <c r="A1812" s="7">
        <v>46093.670563004314</v>
      </c>
      <c r="B1812" s="8" t="s">
        <v>3558</v>
      </c>
      <c r="C1812" s="8" t="s">
        <v>3559</v>
      </c>
      <c r="D1812" s="9">
        <v>46096.0</v>
      </c>
      <c r="E1812" s="10">
        <v>233.4</v>
      </c>
      <c r="F1812" s="8" t="s">
        <v>308</v>
      </c>
      <c r="G1812" s="13">
        <v>29.2042</v>
      </c>
      <c r="H1812" s="13">
        <v>7.992</v>
      </c>
      <c r="I1812" s="9">
        <v>46094.0</v>
      </c>
      <c r="J1812" s="10">
        <v>235.0</v>
      </c>
      <c r="K1812" s="8">
        <v>1157.0</v>
      </c>
      <c r="L1812" s="8" t="s">
        <v>2627</v>
      </c>
      <c r="M1812" s="11">
        <v>0.69</v>
      </c>
      <c r="N1812" s="8" t="s">
        <v>4379</v>
      </c>
      <c r="O1812" s="8">
        <v>1157.0</v>
      </c>
      <c r="P1812" s="11">
        <v>38.9484</v>
      </c>
      <c r="Q1812" s="8" t="s">
        <v>3561</v>
      </c>
      <c r="R1812" s="11">
        <v>-2.5226</v>
      </c>
      <c r="S1812" s="12">
        <v>4589275.0</v>
      </c>
      <c r="T1812" s="12">
        <v>1.48366700365E11</v>
      </c>
      <c r="U1812" s="13">
        <v>5.5725</v>
      </c>
      <c r="V1812" s="13">
        <v>31.7068</v>
      </c>
      <c r="W1812" s="13">
        <v>19.7843</v>
      </c>
      <c r="X1812" s="13">
        <v>4.7901</v>
      </c>
      <c r="Y1812" s="13">
        <v>2.5578</v>
      </c>
      <c r="Z1812" s="13">
        <v>1.2978</v>
      </c>
      <c r="AA1812" s="8" t="s">
        <v>2620</v>
      </c>
      <c r="AB1812" s="14">
        <f>IFERROR(__xludf.DUMMYFUNCTION("IFERROR(GOOGLEFINANCE(B1812,""price""),"""")"),235.06)</f>
        <v>235.06</v>
      </c>
    </row>
    <row r="1813">
      <c r="A1813" s="15">
        <v>46093.670563004314</v>
      </c>
      <c r="B1813" s="16" t="s">
        <v>2680</v>
      </c>
      <c r="C1813" s="16" t="s">
        <v>2681</v>
      </c>
      <c r="D1813" s="17">
        <v>46096.0</v>
      </c>
      <c r="E1813" s="18">
        <v>235.81</v>
      </c>
      <c r="F1813" s="16" t="s">
        <v>245</v>
      </c>
      <c r="G1813" s="21">
        <v>30.8357</v>
      </c>
      <c r="H1813" s="21">
        <v>7.6473</v>
      </c>
      <c r="I1813" s="17">
        <v>46094.0</v>
      </c>
      <c r="J1813" s="18">
        <v>240.0</v>
      </c>
      <c r="K1813" s="16">
        <v>1128.0</v>
      </c>
      <c r="L1813" s="16" t="s">
        <v>2608</v>
      </c>
      <c r="M1813" s="19">
        <v>1.78</v>
      </c>
      <c r="N1813" s="16" t="s">
        <v>4380</v>
      </c>
      <c r="O1813" s="16">
        <v>1128.0</v>
      </c>
      <c r="P1813" s="19">
        <v>49.2707</v>
      </c>
      <c r="Q1813" s="16" t="s">
        <v>2683</v>
      </c>
      <c r="R1813" s="19">
        <v>2.0602</v>
      </c>
      <c r="S1813" s="20">
        <v>4977991.0</v>
      </c>
      <c r="T1813" s="20">
        <v>7.0513372596E10</v>
      </c>
      <c r="U1813" s="21">
        <v>8.3464</v>
      </c>
      <c r="V1813" s="21">
        <v>9.6938</v>
      </c>
      <c r="W1813" s="21">
        <v>3.5855</v>
      </c>
      <c r="X1813" s="21">
        <v>-5.443</v>
      </c>
      <c r="Y1813" s="21">
        <v>0.4933</v>
      </c>
      <c r="Z1813" s="21">
        <v>1.645</v>
      </c>
      <c r="AA1813" s="16" t="s">
        <v>2620</v>
      </c>
      <c r="AB1813" s="22">
        <f>IFERROR(__xludf.DUMMYFUNCTION("IFERROR(GOOGLEFINANCE(B1813,""price""),"""")"),238.82)</f>
        <v>238.82</v>
      </c>
    </row>
    <row r="1814">
      <c r="A1814" s="7">
        <v>46093.670563004314</v>
      </c>
      <c r="B1814" s="8" t="s">
        <v>3463</v>
      </c>
      <c r="C1814" s="8" t="s">
        <v>3464</v>
      </c>
      <c r="D1814" s="9">
        <v>46096.0</v>
      </c>
      <c r="E1814" s="10">
        <v>64.64</v>
      </c>
      <c r="F1814" s="8" t="s">
        <v>245</v>
      </c>
      <c r="G1814" s="13">
        <v>19.5069</v>
      </c>
      <c r="H1814" s="13">
        <v>3.3137</v>
      </c>
      <c r="I1814" s="9">
        <v>46094.0</v>
      </c>
      <c r="J1814" s="10">
        <v>65.0</v>
      </c>
      <c r="K1814" s="8">
        <v>1067.0</v>
      </c>
      <c r="L1814" s="8" t="s">
        <v>2608</v>
      </c>
      <c r="M1814" s="11">
        <v>0.56</v>
      </c>
      <c r="N1814" s="8" t="s">
        <v>4381</v>
      </c>
      <c r="O1814" s="8">
        <v>1067.0</v>
      </c>
      <c r="P1814" s="11">
        <v>34.9431</v>
      </c>
      <c r="Q1814" s="8" t="s">
        <v>3466</v>
      </c>
      <c r="R1814" s="11">
        <v>1.269</v>
      </c>
      <c r="S1814" s="12">
        <v>9565010.0</v>
      </c>
      <c r="T1814" s="12">
        <v>4.0353071666E10</v>
      </c>
      <c r="U1814" s="13">
        <v>2.0109</v>
      </c>
      <c r="V1814" s="13">
        <v>9.1961</v>
      </c>
      <c r="W1814" s="13">
        <v>35.6577</v>
      </c>
      <c r="X1814" s="13">
        <v>59.9561</v>
      </c>
      <c r="Y1814" s="13">
        <v>0.3357</v>
      </c>
      <c r="Z1814" s="13">
        <v>0.7627</v>
      </c>
      <c r="AA1814" s="8" t="s">
        <v>2620</v>
      </c>
      <c r="AB1814" s="14">
        <f>IFERROR(__xludf.DUMMYFUNCTION("IFERROR(GOOGLEFINANCE(B1814,""price""),"""")"),58.68)</f>
        <v>58.68</v>
      </c>
    </row>
    <row r="1815">
      <c r="A1815" s="15">
        <v>46093.670563004314</v>
      </c>
      <c r="B1815" s="16" t="s">
        <v>2843</v>
      </c>
      <c r="C1815" s="16" t="s">
        <v>2844</v>
      </c>
      <c r="D1815" s="17">
        <v>46096.0</v>
      </c>
      <c r="E1815" s="18">
        <v>203.04</v>
      </c>
      <c r="F1815" s="16" t="s">
        <v>308</v>
      </c>
      <c r="G1815" s="21">
        <v>40.9157</v>
      </c>
      <c r="H1815" s="21">
        <v>4.9624</v>
      </c>
      <c r="I1815" s="17">
        <v>46094.0</v>
      </c>
      <c r="J1815" s="18">
        <v>205.0</v>
      </c>
      <c r="K1815" s="16">
        <v>1019.0</v>
      </c>
      <c r="L1815" s="16" t="s">
        <v>2608</v>
      </c>
      <c r="M1815" s="19">
        <v>0.97</v>
      </c>
      <c r="N1815" s="16" t="s">
        <v>4382</v>
      </c>
      <c r="O1815" s="16">
        <v>1019.0</v>
      </c>
      <c r="P1815" s="19">
        <v>18.3239</v>
      </c>
      <c r="Q1815" s="16" t="s">
        <v>2846</v>
      </c>
      <c r="R1815" s="19">
        <v>-2.0361</v>
      </c>
      <c r="S1815" s="20">
        <v>6381694.0</v>
      </c>
      <c r="T1815" s="20">
        <v>2.72538066605E11</v>
      </c>
      <c r="U1815" s="21">
        <v>5.5745</v>
      </c>
      <c r="V1815" s="21">
        <v>10.7368</v>
      </c>
      <c r="W1815" s="21">
        <v>10.0301</v>
      </c>
      <c r="X1815" s="21">
        <v>9.7414</v>
      </c>
      <c r="Y1815" s="21">
        <v>0.6124</v>
      </c>
      <c r="Z1815" s="21">
        <v>0.9804</v>
      </c>
      <c r="AA1815" s="16" t="s">
        <v>2620</v>
      </c>
      <c r="AB1815" s="22">
        <f>IFERROR(__xludf.DUMMYFUNCTION("IFERROR(GOOGLEFINANCE(B1815,""price""),"""")"),201.56)</f>
        <v>201.56</v>
      </c>
    </row>
    <row r="1816">
      <c r="A1816" s="7">
        <v>46094.66737599243</v>
      </c>
      <c r="B1816" s="8" t="s">
        <v>2630</v>
      </c>
      <c r="C1816" s="8" t="s">
        <v>2631</v>
      </c>
      <c r="D1816" s="9">
        <v>46096.0</v>
      </c>
      <c r="E1816" s="10">
        <v>426.13</v>
      </c>
      <c r="F1816" s="8" t="s">
        <v>308</v>
      </c>
      <c r="G1816" s="13">
        <v>40.5067</v>
      </c>
      <c r="H1816" s="13">
        <v>10.52</v>
      </c>
      <c r="I1816" s="9">
        <v>46094.0</v>
      </c>
      <c r="J1816" s="10">
        <v>420.0</v>
      </c>
      <c r="K1816" s="8">
        <v>11385.0</v>
      </c>
      <c r="L1816" s="8" t="s">
        <v>2608</v>
      </c>
      <c r="M1816" s="11">
        <v>1.44</v>
      </c>
      <c r="N1816" s="8" t="s">
        <v>4383</v>
      </c>
      <c r="O1816" s="8">
        <v>35324.0</v>
      </c>
      <c r="P1816" s="11">
        <v>21.1037</v>
      </c>
      <c r="Q1816" s="8" t="s">
        <v>2633</v>
      </c>
      <c r="R1816" s="11">
        <v>5.1264</v>
      </c>
      <c r="S1816" s="12">
        <v>3.9051216E7</v>
      </c>
      <c r="T1816" s="12">
        <v>4.79613275576E11</v>
      </c>
      <c r="U1816" s="13">
        <v>24.9692</v>
      </c>
      <c r="V1816" s="13">
        <v>22.5543</v>
      </c>
      <c r="W1816" s="13">
        <v>32.9221</v>
      </c>
      <c r="X1816" s="13">
        <v>45.432</v>
      </c>
      <c r="Y1816" s="13">
        <v>0.2124</v>
      </c>
      <c r="Z1816" s="13">
        <v>2.4598</v>
      </c>
      <c r="AA1816" s="8" t="s">
        <v>2611</v>
      </c>
      <c r="AB1816" s="14">
        <f>IFERROR(__xludf.DUMMYFUNCTION("IFERROR(GOOGLEFINANCE(B1816,""price""),"""")"),420.59)</f>
        <v>420.59</v>
      </c>
    </row>
    <row r="1817">
      <c r="A1817" s="15">
        <v>46094.66737599243</v>
      </c>
      <c r="B1817" s="16" t="s">
        <v>2399</v>
      </c>
      <c r="C1817" s="16" t="s">
        <v>2400</v>
      </c>
      <c r="D1817" s="17">
        <v>46096.0</v>
      </c>
      <c r="E1817" s="18">
        <v>18.75</v>
      </c>
      <c r="F1817" s="16" t="s">
        <v>270</v>
      </c>
      <c r="G1817" s="21">
        <v>15.519</v>
      </c>
      <c r="H1817" s="21">
        <v>1.2082</v>
      </c>
      <c r="I1817" s="17">
        <v>46094.0</v>
      </c>
      <c r="J1817" s="18">
        <v>19.0</v>
      </c>
      <c r="K1817" s="16">
        <v>12161.0</v>
      </c>
      <c r="L1817" s="16" t="s">
        <v>2608</v>
      </c>
      <c r="M1817" s="19">
        <v>1.33</v>
      </c>
      <c r="N1817" s="16" t="s">
        <v>4384</v>
      </c>
      <c r="O1817" s="16">
        <v>17793.0</v>
      </c>
      <c r="P1817" s="19">
        <v>23.867</v>
      </c>
      <c r="Q1817" s="16" t="s">
        <v>2401</v>
      </c>
      <c r="R1817" s="19">
        <v>1.0237</v>
      </c>
      <c r="S1817" s="20">
        <v>1.6710529E7</v>
      </c>
      <c r="T1817" s="20">
        <v>6.450589414E10</v>
      </c>
      <c r="U1817" s="21">
        <v>0.3547</v>
      </c>
      <c r="V1817" s="21">
        <v>12.7475</v>
      </c>
      <c r="W1817" s="21">
        <v>10.8866</v>
      </c>
      <c r="X1817" s="21">
        <v>3.4655</v>
      </c>
      <c r="Y1817" s="21">
        <v>2.0395</v>
      </c>
      <c r="Z1817" s="21">
        <v>1.2192</v>
      </c>
      <c r="AA1817" s="16" t="s">
        <v>2620</v>
      </c>
      <c r="AB1817" s="22">
        <f>IFERROR(__xludf.DUMMYFUNCTION("IFERROR(GOOGLEFINANCE(B1817,""price""),"""")"),19.19)</f>
        <v>19.19</v>
      </c>
    </row>
    <row r="1818">
      <c r="A1818" s="7">
        <v>46094.66737599243</v>
      </c>
      <c r="B1818" s="8" t="s">
        <v>3416</v>
      </c>
      <c r="C1818" s="8" t="s">
        <v>3417</v>
      </c>
      <c r="D1818" s="9">
        <v>46096.0</v>
      </c>
      <c r="E1818" s="10">
        <v>67.89</v>
      </c>
      <c r="F1818" s="8" t="s">
        <v>286</v>
      </c>
      <c r="G1818" s="13">
        <v>16.4914</v>
      </c>
      <c r="H1818" s="13">
        <v>4.1167</v>
      </c>
      <c r="I1818" s="9">
        <v>46094.0</v>
      </c>
      <c r="J1818" s="10">
        <v>68.0</v>
      </c>
      <c r="K1818" s="8">
        <v>11140.0</v>
      </c>
      <c r="L1818" s="8" t="s">
        <v>2608</v>
      </c>
      <c r="M1818" s="11">
        <v>0.16</v>
      </c>
      <c r="N1818" s="8" t="s">
        <v>4385</v>
      </c>
      <c r="O1818" s="8">
        <v>16633.0</v>
      </c>
      <c r="P1818" s="11">
        <v>24.7592</v>
      </c>
      <c r="Q1818" s="8" t="s">
        <v>3419</v>
      </c>
      <c r="R1818" s="11">
        <v>0.251</v>
      </c>
      <c r="S1818" s="12">
        <v>7293749.0</v>
      </c>
      <c r="T1818" s="12">
        <v>1.13505162106E11</v>
      </c>
      <c r="U1818" s="13">
        <v>1.3821</v>
      </c>
      <c r="V1818" s="13"/>
      <c r="W1818" s="13">
        <v>63.8109</v>
      </c>
      <c r="X1818" s="13">
        <v>-1.3989</v>
      </c>
      <c r="Y1818" s="13"/>
      <c r="Z1818" s="13">
        <v>0.648</v>
      </c>
      <c r="AA1818" s="8" t="s">
        <v>2620</v>
      </c>
      <c r="AB1818" s="14">
        <f>IFERROR(__xludf.DUMMYFUNCTION("IFERROR(GOOGLEFINANCE(B1818,""price""),"""")"),67.38)</f>
        <v>67.38</v>
      </c>
    </row>
    <row r="1819">
      <c r="A1819" s="15">
        <v>46094.66737599243</v>
      </c>
      <c r="B1819" s="16" t="s">
        <v>3697</v>
      </c>
      <c r="C1819" s="16" t="s">
        <v>3698</v>
      </c>
      <c r="D1819" s="17">
        <v>46096.0</v>
      </c>
      <c r="E1819" s="18">
        <v>49.82</v>
      </c>
      <c r="F1819" s="16" t="s">
        <v>917</v>
      </c>
      <c r="G1819" s="21">
        <v>18.2164</v>
      </c>
      <c r="H1819" s="21">
        <v>2.7349</v>
      </c>
      <c r="I1819" s="17">
        <v>46101.0</v>
      </c>
      <c r="J1819" s="18">
        <v>50.0</v>
      </c>
      <c r="K1819" s="16">
        <v>7982.0</v>
      </c>
      <c r="L1819" s="16" t="s">
        <v>2608</v>
      </c>
      <c r="M1819" s="19">
        <v>0.36</v>
      </c>
      <c r="N1819" s="16" t="s">
        <v>4386</v>
      </c>
      <c r="O1819" s="16">
        <v>15250.0</v>
      </c>
      <c r="P1819" s="19">
        <v>30.651</v>
      </c>
      <c r="Q1819" s="16" t="s">
        <v>3700</v>
      </c>
      <c r="R1819" s="19">
        <v>0.6871</v>
      </c>
      <c r="S1819" s="20">
        <v>8885963.0</v>
      </c>
      <c r="T1819" s="20">
        <v>5.096050777E10</v>
      </c>
      <c r="U1819" s="21">
        <v>0.9584</v>
      </c>
      <c r="V1819" s="21">
        <v>9.9356</v>
      </c>
      <c r="W1819" s="21">
        <v>21.2054</v>
      </c>
      <c r="X1819" s="21">
        <v>5.3367</v>
      </c>
      <c r="Y1819" s="21">
        <v>1.7554</v>
      </c>
      <c r="Z1819" s="21">
        <v>0.924</v>
      </c>
      <c r="AA1819" s="16" t="s">
        <v>2620</v>
      </c>
      <c r="AB1819" s="22">
        <f>IFERROR(__xludf.DUMMYFUNCTION("IFERROR(GOOGLEFINANCE(B1819,""price""),"""")"),48.57)</f>
        <v>48.57</v>
      </c>
    </row>
    <row r="1820">
      <c r="A1820" s="7">
        <v>46094.66737599243</v>
      </c>
      <c r="B1820" s="8" t="s">
        <v>4359</v>
      </c>
      <c r="C1820" s="8" t="s">
        <v>4360</v>
      </c>
      <c r="D1820" s="9">
        <v>46096.0</v>
      </c>
      <c r="E1820" s="10">
        <v>87.86</v>
      </c>
      <c r="F1820" s="8" t="s">
        <v>308</v>
      </c>
      <c r="G1820" s="13">
        <v>28.4245</v>
      </c>
      <c r="H1820" s="13">
        <v>3.091</v>
      </c>
      <c r="I1820" s="9">
        <v>46094.0</v>
      </c>
      <c r="J1820" s="10">
        <v>88.0</v>
      </c>
      <c r="K1820" s="8">
        <v>4646.0</v>
      </c>
      <c r="L1820" s="8" t="s">
        <v>2627</v>
      </c>
      <c r="M1820" s="11">
        <v>0.16</v>
      </c>
      <c r="N1820" s="8" t="s">
        <v>4387</v>
      </c>
      <c r="O1820" s="8">
        <v>14575.0</v>
      </c>
      <c r="P1820" s="11">
        <v>18.9312</v>
      </c>
      <c r="Q1820" s="8" t="s">
        <v>4362</v>
      </c>
      <c r="R1820" s="11">
        <v>0.2167</v>
      </c>
      <c r="S1820" s="12">
        <v>1.4082584E7</v>
      </c>
      <c r="T1820" s="12">
        <v>7.6815995323E10</v>
      </c>
      <c r="U1820" s="13">
        <v>4.5647</v>
      </c>
      <c r="V1820" s="13">
        <v>19.2541</v>
      </c>
      <c r="W1820" s="13">
        <v>16.3327</v>
      </c>
      <c r="X1820" s="13">
        <v>42.0873</v>
      </c>
      <c r="Y1820" s="13">
        <v>0.3519</v>
      </c>
      <c r="Z1820" s="13">
        <v>2.0061</v>
      </c>
      <c r="AA1820" s="8" t="s">
        <v>2620</v>
      </c>
      <c r="AB1820" s="14">
        <f>IFERROR(__xludf.DUMMYFUNCTION("IFERROR(GOOGLEFINANCE(B1820,""price""),"""")"),128.49)</f>
        <v>128.49</v>
      </c>
    </row>
    <row r="1821">
      <c r="A1821" s="15">
        <v>46094.66737599243</v>
      </c>
      <c r="B1821" s="16" t="s">
        <v>2638</v>
      </c>
      <c r="C1821" s="16" t="s">
        <v>2639</v>
      </c>
      <c r="D1821" s="17">
        <v>46096.0</v>
      </c>
      <c r="E1821" s="18">
        <v>156.12</v>
      </c>
      <c r="F1821" s="16" t="s">
        <v>245</v>
      </c>
      <c r="G1821" s="21">
        <v>23.3196</v>
      </c>
      <c r="H1821" s="21">
        <v>6.6948</v>
      </c>
      <c r="I1821" s="17">
        <v>46094.0</v>
      </c>
      <c r="J1821" s="18">
        <v>155.0</v>
      </c>
      <c r="K1821" s="16">
        <v>7678.0</v>
      </c>
      <c r="L1821" s="16" t="s">
        <v>2608</v>
      </c>
      <c r="M1821" s="19">
        <v>0.72</v>
      </c>
      <c r="N1821" s="16" t="s">
        <v>4388</v>
      </c>
      <c r="O1821" s="16">
        <v>14316.0</v>
      </c>
      <c r="P1821" s="19">
        <v>34.7593</v>
      </c>
      <c r="Q1821" s="16" t="s">
        <v>2641</v>
      </c>
      <c r="R1821" s="19">
        <v>1.687</v>
      </c>
      <c r="S1821" s="20">
        <v>2.2368286E7</v>
      </c>
      <c r="T1821" s="20">
        <v>6.50515139281E11</v>
      </c>
      <c r="U1821" s="21">
        <v>3.8753</v>
      </c>
      <c r="V1821" s="21">
        <v>11.0283</v>
      </c>
      <c r="W1821" s="21">
        <v>10.3419</v>
      </c>
      <c r="X1821" s="21">
        <v>-4.856</v>
      </c>
      <c r="Y1821" s="21">
        <v>0.1871</v>
      </c>
      <c r="Z1821" s="21">
        <v>1.1528</v>
      </c>
      <c r="AA1821" s="16" t="s">
        <v>2611</v>
      </c>
      <c r="AB1821" s="22">
        <f>IFERROR(__xludf.DUMMYFUNCTION("IFERROR(GOOGLEFINANCE(B1821,""price""),"""")"),152.51)</f>
        <v>152.51</v>
      </c>
    </row>
    <row r="1822">
      <c r="A1822" s="7">
        <v>46094.66737599243</v>
      </c>
      <c r="B1822" s="8" t="s">
        <v>1612</v>
      </c>
      <c r="C1822" s="8" t="s">
        <v>1613</v>
      </c>
      <c r="D1822" s="9">
        <v>46096.0</v>
      </c>
      <c r="E1822" s="10">
        <v>75.6</v>
      </c>
      <c r="F1822" s="8" t="s">
        <v>137</v>
      </c>
      <c r="G1822" s="13">
        <v>49.1963</v>
      </c>
      <c r="H1822" s="13">
        <v>1.5367</v>
      </c>
      <c r="I1822" s="9">
        <v>46094.0</v>
      </c>
      <c r="J1822" s="10">
        <v>77.0</v>
      </c>
      <c r="K1822" s="8">
        <v>8899.0</v>
      </c>
      <c r="L1822" s="8" t="s">
        <v>2608</v>
      </c>
      <c r="M1822" s="11">
        <v>1.85</v>
      </c>
      <c r="N1822" s="8" t="s">
        <v>4389</v>
      </c>
      <c r="O1822" s="8">
        <v>14138.0</v>
      </c>
      <c r="P1822" s="11">
        <v>30.6809</v>
      </c>
      <c r="Q1822" s="8" t="s">
        <v>1614</v>
      </c>
      <c r="R1822" s="11">
        <v>0.8538</v>
      </c>
      <c r="S1822" s="12">
        <v>6069059.0</v>
      </c>
      <c r="T1822" s="12">
        <v>4.7843397585E10</v>
      </c>
      <c r="U1822" s="13">
        <v>2.1797</v>
      </c>
      <c r="V1822" s="13">
        <v>14.12</v>
      </c>
      <c r="W1822" s="13">
        <v>3.2288</v>
      </c>
      <c r="X1822" s="13">
        <v>0.3528</v>
      </c>
      <c r="Y1822" s="13">
        <v>4.1577</v>
      </c>
      <c r="Z1822" s="13">
        <v>0.802</v>
      </c>
      <c r="AA1822" s="8" t="s">
        <v>2620</v>
      </c>
      <c r="AB1822" s="14">
        <f>IFERROR(__xludf.DUMMYFUNCTION("IFERROR(GOOGLEFINANCE(B1822,""price""),"""")"),67.99)</f>
        <v>67.99</v>
      </c>
    </row>
    <row r="1823">
      <c r="A1823" s="15">
        <v>46094.66737599243</v>
      </c>
      <c r="B1823" s="16" t="s">
        <v>2634</v>
      </c>
      <c r="C1823" s="16" t="s">
        <v>2635</v>
      </c>
      <c r="D1823" s="17">
        <v>46096.0</v>
      </c>
      <c r="E1823" s="18">
        <v>196.82</v>
      </c>
      <c r="F1823" s="16" t="s">
        <v>245</v>
      </c>
      <c r="G1823" s="21">
        <v>29.6059</v>
      </c>
      <c r="H1823" s="21">
        <v>6.648</v>
      </c>
      <c r="I1823" s="17">
        <v>46094.0</v>
      </c>
      <c r="J1823" s="18">
        <v>200.0</v>
      </c>
      <c r="K1823" s="16">
        <v>6835.0</v>
      </c>
      <c r="L1823" s="16" t="s">
        <v>2608</v>
      </c>
      <c r="M1823" s="19">
        <v>1.62</v>
      </c>
      <c r="N1823" s="16" t="s">
        <v>4390</v>
      </c>
      <c r="O1823" s="16">
        <v>10856.0</v>
      </c>
      <c r="P1823" s="19">
        <v>40.9908</v>
      </c>
      <c r="Q1823" s="16" t="s">
        <v>2637</v>
      </c>
      <c r="R1823" s="19">
        <v>-0.0762</v>
      </c>
      <c r="S1823" s="20">
        <v>1.3001814E7</v>
      </c>
      <c r="T1823" s="20">
        <v>3.92731776159E11</v>
      </c>
      <c r="U1823" s="21">
        <v>4.001</v>
      </c>
      <c r="V1823" s="21">
        <v>7.261</v>
      </c>
      <c r="W1823" s="21">
        <v>8.8802</v>
      </c>
      <c r="X1823" s="21">
        <v>-4.6193</v>
      </c>
      <c r="Y1823" s="21">
        <v>0.2507</v>
      </c>
      <c r="Z1823" s="21">
        <v>1.1547</v>
      </c>
      <c r="AA1823" s="16" t="s">
        <v>2620</v>
      </c>
      <c r="AB1823" s="22">
        <f>IFERROR(__xludf.DUMMYFUNCTION("IFERROR(GOOGLEFINANCE(B1823,""price""),"""")"),188.55)</f>
        <v>188.55</v>
      </c>
    </row>
    <row r="1824">
      <c r="A1824" s="7">
        <v>46094.66737599243</v>
      </c>
      <c r="B1824" s="8" t="s">
        <v>3684</v>
      </c>
      <c r="C1824" s="8" t="s">
        <v>3685</v>
      </c>
      <c r="D1824" s="9">
        <v>46096.0</v>
      </c>
      <c r="E1824" s="10">
        <v>38.51</v>
      </c>
      <c r="F1824" s="8" t="s">
        <v>917</v>
      </c>
      <c r="G1824" s="13">
        <v>24.2552</v>
      </c>
      <c r="H1824" s="13">
        <v>1.5877</v>
      </c>
      <c r="I1824" s="9">
        <v>46101.0</v>
      </c>
      <c r="J1824" s="10">
        <v>39.0</v>
      </c>
      <c r="K1824" s="8">
        <v>7107.0</v>
      </c>
      <c r="L1824" s="8" t="s">
        <v>2608</v>
      </c>
      <c r="M1824" s="11">
        <v>1.27</v>
      </c>
      <c r="N1824" s="8" t="s">
        <v>4391</v>
      </c>
      <c r="O1824" s="8">
        <v>9813.0</v>
      </c>
      <c r="P1824" s="11">
        <v>21.8071</v>
      </c>
      <c r="Q1824" s="8" t="s">
        <v>3687</v>
      </c>
      <c r="R1824" s="11">
        <v>1.1558</v>
      </c>
      <c r="S1824" s="12">
        <v>8011115.0</v>
      </c>
      <c r="T1824" s="12">
        <v>2.893282555E10</v>
      </c>
      <c r="U1824" s="13">
        <v>0.8089</v>
      </c>
      <c r="V1824" s="13">
        <v>8.1497</v>
      </c>
      <c r="W1824" s="13">
        <v>23.6452</v>
      </c>
      <c r="X1824" s="13">
        <v>6.8542</v>
      </c>
      <c r="Y1824" s="13">
        <v>1.3003</v>
      </c>
      <c r="Z1824" s="13">
        <v>0.8647</v>
      </c>
      <c r="AA1824" s="8" t="s">
        <v>2620</v>
      </c>
      <c r="AB1824" s="14">
        <f>IFERROR(__xludf.DUMMYFUNCTION("IFERROR(GOOGLEFINANCE(B1824,""price""),"""")"),39.65)</f>
        <v>39.65</v>
      </c>
    </row>
    <row r="1825">
      <c r="A1825" s="15">
        <v>46094.66737599243</v>
      </c>
      <c r="B1825" s="16" t="s">
        <v>2692</v>
      </c>
      <c r="C1825" s="16" t="s">
        <v>2693</v>
      </c>
      <c r="D1825" s="17">
        <v>46096.0</v>
      </c>
      <c r="E1825" s="18">
        <v>241.52</v>
      </c>
      <c r="F1825" s="16" t="s">
        <v>117</v>
      </c>
      <c r="G1825" s="21">
        <v>21.8653</v>
      </c>
      <c r="H1825" s="21">
        <v>11.0458</v>
      </c>
      <c r="I1825" s="17">
        <v>46094.0</v>
      </c>
      <c r="J1825" s="18">
        <v>245.0</v>
      </c>
      <c r="K1825" s="16">
        <v>3087.0</v>
      </c>
      <c r="L1825" s="16" t="s">
        <v>2608</v>
      </c>
      <c r="M1825" s="19">
        <v>1.44</v>
      </c>
      <c r="N1825" s="16" t="s">
        <v>4392</v>
      </c>
      <c r="O1825" s="16">
        <v>6650.0</v>
      </c>
      <c r="P1825" s="19">
        <v>24.6212</v>
      </c>
      <c r="Q1825" s="16" t="s">
        <v>2695</v>
      </c>
      <c r="R1825" s="19">
        <v>-0.2148</v>
      </c>
      <c r="S1825" s="20">
        <v>6413155.0</v>
      </c>
      <c r="T1825" s="20">
        <v>5.82038772409E11</v>
      </c>
      <c r="U1825" s="21">
        <v>4.214</v>
      </c>
      <c r="V1825" s="21">
        <v>35.0301</v>
      </c>
      <c r="W1825" s="21">
        <v>27.2081</v>
      </c>
      <c r="X1825" s="21">
        <v>6.046</v>
      </c>
      <c r="Y1825" s="21">
        <v>0.605</v>
      </c>
      <c r="Z1825" s="21">
        <v>1.0277</v>
      </c>
      <c r="AA1825" s="16" t="s">
        <v>2620</v>
      </c>
      <c r="AB1825" s="22">
        <f>IFERROR(__xludf.DUMMYFUNCTION("IFERROR(GOOGLEFINANCE(B1825,""price""),"""")"),238.46)</f>
        <v>238.46</v>
      </c>
    </row>
    <row r="1826">
      <c r="A1826" s="7">
        <v>46094.66737599243</v>
      </c>
      <c r="B1826" s="8" t="s">
        <v>3944</v>
      </c>
      <c r="C1826" s="8" t="s">
        <v>3945</v>
      </c>
      <c r="D1826" s="9">
        <v>46096.0</v>
      </c>
      <c r="E1826" s="10">
        <v>133.15</v>
      </c>
      <c r="F1826" s="8" t="s">
        <v>917</v>
      </c>
      <c r="G1826" s="13">
        <v>21.0937</v>
      </c>
      <c r="H1826" s="13">
        <v>6.3123</v>
      </c>
      <c r="I1826" s="9">
        <v>46101.0</v>
      </c>
      <c r="J1826" s="10">
        <v>135.0</v>
      </c>
      <c r="K1826" s="8">
        <v>4513.0</v>
      </c>
      <c r="L1826" s="8" t="s">
        <v>2608</v>
      </c>
      <c r="M1826" s="11">
        <v>1.39</v>
      </c>
      <c r="N1826" s="8" t="s">
        <v>4393</v>
      </c>
      <c r="O1826" s="8">
        <v>4513.0</v>
      </c>
      <c r="P1826" s="11">
        <v>27.0613</v>
      </c>
      <c r="Q1826" s="8" t="s">
        <v>3947</v>
      </c>
      <c r="R1826" s="11">
        <v>1.009</v>
      </c>
      <c r="S1826" s="12">
        <v>4706604.0</v>
      </c>
      <c r="T1826" s="12">
        <v>1.0354688588E11</v>
      </c>
      <c r="U1826" s="13">
        <v>2.2652</v>
      </c>
      <c r="V1826" s="13">
        <v>9.7422</v>
      </c>
      <c r="W1826" s="13">
        <v>26.6061</v>
      </c>
      <c r="X1826" s="13">
        <v>6.193</v>
      </c>
      <c r="Y1826" s="13">
        <v>1.7574</v>
      </c>
      <c r="Z1826" s="13">
        <v>0.5518</v>
      </c>
      <c r="AA1826" s="8" t="s">
        <v>2620</v>
      </c>
      <c r="AB1826" s="14">
        <f>IFERROR(__xludf.DUMMYFUNCTION("IFERROR(GOOGLEFINANCE(B1826,""price""),"""")"),131.79)</f>
        <v>131.79</v>
      </c>
    </row>
    <row r="1827">
      <c r="A1827" s="15">
        <v>46094.66737599243</v>
      </c>
      <c r="B1827" s="16" t="s">
        <v>2658</v>
      </c>
      <c r="C1827" s="16" t="s">
        <v>2659</v>
      </c>
      <c r="D1827" s="17">
        <v>46096.0</v>
      </c>
      <c r="E1827" s="18">
        <v>92.78</v>
      </c>
      <c r="F1827" s="16" t="s">
        <v>917</v>
      </c>
      <c r="G1827" s="21">
        <v>28.1126</v>
      </c>
      <c r="H1827" s="21">
        <v>3.3003</v>
      </c>
      <c r="I1827" s="17">
        <v>46094.0</v>
      </c>
      <c r="J1827" s="18">
        <v>94.0</v>
      </c>
      <c r="K1827" s="16">
        <v>1545.0</v>
      </c>
      <c r="L1827" s="16" t="s">
        <v>2608</v>
      </c>
      <c r="M1827" s="19">
        <v>1.31</v>
      </c>
      <c r="N1827" s="16" t="s">
        <v>4394</v>
      </c>
      <c r="O1827" s="16">
        <v>2754.0</v>
      </c>
      <c r="P1827" s="19">
        <v>23.0487</v>
      </c>
      <c r="Q1827" s="16" t="s">
        <v>2661</v>
      </c>
      <c r="R1827" s="19">
        <v>1.1226</v>
      </c>
      <c r="S1827" s="20">
        <v>7502828.0</v>
      </c>
      <c r="T1827" s="20">
        <v>1.93309175697E11</v>
      </c>
      <c r="U1827" s="21">
        <v>2.0603</v>
      </c>
      <c r="V1827" s="21">
        <v>13.0533</v>
      </c>
      <c r="W1827" s="21">
        <v>26.8934</v>
      </c>
      <c r="X1827" s="21">
        <v>8.6905</v>
      </c>
      <c r="Y1827" s="21">
        <v>1.7594</v>
      </c>
      <c r="Z1827" s="21">
        <v>0.5953</v>
      </c>
      <c r="AA1827" s="16" t="s">
        <v>2620</v>
      </c>
      <c r="AB1827" s="22">
        <f>IFERROR(__xludf.DUMMYFUNCTION("IFERROR(GOOGLEFINANCE(B1827,""price""),"""")"),94.08)</f>
        <v>94.08</v>
      </c>
    </row>
    <row r="1828">
      <c r="A1828" s="7">
        <v>46094.66737599243</v>
      </c>
      <c r="B1828" s="8" t="s">
        <v>2297</v>
      </c>
      <c r="C1828" s="8" t="s">
        <v>2298</v>
      </c>
      <c r="D1828" s="9">
        <v>46096.0</v>
      </c>
      <c r="E1828" s="10">
        <v>105.58</v>
      </c>
      <c r="F1828" s="8" t="s">
        <v>917</v>
      </c>
      <c r="G1828" s="13">
        <v>26.986</v>
      </c>
      <c r="H1828" s="13">
        <v>3.9124</v>
      </c>
      <c r="I1828" s="9">
        <v>46101.0</v>
      </c>
      <c r="J1828" s="10">
        <v>105.0</v>
      </c>
      <c r="K1828" s="8">
        <v>2248.0</v>
      </c>
      <c r="L1828" s="8" t="s">
        <v>2608</v>
      </c>
      <c r="M1828" s="11">
        <v>0.55</v>
      </c>
      <c r="N1828" s="8" t="s">
        <v>4395</v>
      </c>
      <c r="O1828" s="8">
        <v>2248.0</v>
      </c>
      <c r="P1828" s="11">
        <v>27.2457</v>
      </c>
      <c r="Q1828" s="8" t="s">
        <v>2299</v>
      </c>
      <c r="R1828" s="11">
        <v>1.0142</v>
      </c>
      <c r="S1828" s="12">
        <v>1848259.0</v>
      </c>
      <c r="T1828" s="12">
        <v>4.7826665522E10</v>
      </c>
      <c r="U1828" s="13">
        <v>2.1274</v>
      </c>
      <c r="V1828" s="13">
        <v>10.931</v>
      </c>
      <c r="W1828" s="13">
        <v>22.9697</v>
      </c>
      <c r="X1828" s="13">
        <v>8.3782</v>
      </c>
      <c r="Y1828" s="13">
        <v>1.8276</v>
      </c>
      <c r="Z1828" s="13">
        <v>0.7243</v>
      </c>
      <c r="AA1828" s="8" t="s">
        <v>2611</v>
      </c>
      <c r="AB1828" s="14">
        <f>IFERROR(__xludf.DUMMYFUNCTION("IFERROR(GOOGLEFINANCE(B1828,""price""),"""")"),116.47)</f>
        <v>116.47</v>
      </c>
    </row>
    <row r="1829">
      <c r="A1829" s="15">
        <v>46094.66737599243</v>
      </c>
      <c r="B1829" s="16" t="s">
        <v>2710</v>
      </c>
      <c r="C1829" s="16" t="s">
        <v>2711</v>
      </c>
      <c r="D1829" s="17">
        <v>46096.0</v>
      </c>
      <c r="E1829" s="18">
        <v>133.61</v>
      </c>
      <c r="F1829" s="16" t="s">
        <v>917</v>
      </c>
      <c r="G1829" s="21">
        <v>20.0619</v>
      </c>
      <c r="H1829" s="21">
        <v>6.6599</v>
      </c>
      <c r="I1829" s="17">
        <v>46101.0</v>
      </c>
      <c r="J1829" s="18">
        <v>135.0</v>
      </c>
      <c r="K1829" s="16">
        <v>2197.0</v>
      </c>
      <c r="L1829" s="16" t="s">
        <v>2608</v>
      </c>
      <c r="M1829" s="19">
        <v>1.04</v>
      </c>
      <c r="N1829" s="16" t="s">
        <v>4396</v>
      </c>
      <c r="O1829" s="16">
        <v>2197.0</v>
      </c>
      <c r="P1829" s="19">
        <v>39.5439</v>
      </c>
      <c r="Q1829" s="16" t="s">
        <v>2713</v>
      </c>
      <c r="R1829" s="19">
        <v>1.0513</v>
      </c>
      <c r="S1829" s="20">
        <v>3631586.0</v>
      </c>
      <c r="T1829" s="20">
        <v>7.2264507183E10</v>
      </c>
      <c r="U1829" s="21">
        <v>2.4392</v>
      </c>
      <c r="V1829" s="21">
        <v>12.3274</v>
      </c>
      <c r="W1829" s="21">
        <v>25.0742</v>
      </c>
      <c r="X1829" s="21">
        <v>10.4587</v>
      </c>
      <c r="Y1829" s="21">
        <v>1.5949</v>
      </c>
      <c r="Z1829" s="21">
        <v>0.4546</v>
      </c>
      <c r="AA1829" s="16" t="s">
        <v>2620</v>
      </c>
      <c r="AB1829" s="22">
        <f>IFERROR(__xludf.DUMMYFUNCTION("IFERROR(GOOGLEFINANCE(B1829,""price""),"""")"),136.3)</f>
        <v>136.3</v>
      </c>
    </row>
    <row r="1830">
      <c r="A1830" s="7">
        <v>46094.66737599243</v>
      </c>
      <c r="B1830" s="8" t="s">
        <v>3141</v>
      </c>
      <c r="C1830" s="8" t="s">
        <v>3142</v>
      </c>
      <c r="D1830" s="9">
        <v>46096.0</v>
      </c>
      <c r="E1830" s="10">
        <v>328.97</v>
      </c>
      <c r="F1830" s="8" t="s">
        <v>93</v>
      </c>
      <c r="G1830" s="13">
        <v>12.7897</v>
      </c>
      <c r="H1830" s="13">
        <v>25.7215</v>
      </c>
      <c r="I1830" s="9">
        <v>46101.0</v>
      </c>
      <c r="J1830" s="10">
        <v>330.0</v>
      </c>
      <c r="K1830" s="8">
        <v>2156.0</v>
      </c>
      <c r="L1830" s="8" t="s">
        <v>2608</v>
      </c>
      <c r="M1830" s="11">
        <v>0.31</v>
      </c>
      <c r="N1830" s="8" t="s">
        <v>4397</v>
      </c>
      <c r="O1830" s="8">
        <v>2156.0</v>
      </c>
      <c r="P1830" s="11">
        <v>24.0521</v>
      </c>
      <c r="Q1830" s="8" t="s">
        <v>3144</v>
      </c>
      <c r="R1830" s="11">
        <v>-0.179</v>
      </c>
      <c r="S1830" s="12">
        <v>1991150.0</v>
      </c>
      <c r="T1830" s="12">
        <v>1.28349801005E11</v>
      </c>
      <c r="U1830" s="13">
        <v>6.5679</v>
      </c>
      <c r="V1830" s="13">
        <v>14.9661</v>
      </c>
      <c r="W1830" s="13">
        <v>21.219</v>
      </c>
      <c r="X1830" s="13">
        <v>6.9804</v>
      </c>
      <c r="Y1830" s="13">
        <v>0.3008</v>
      </c>
      <c r="Z1830" s="13">
        <v>0.3807</v>
      </c>
      <c r="AA1830" s="8" t="s">
        <v>2620</v>
      </c>
      <c r="AB1830" s="14">
        <f>IFERROR(__xludf.DUMMYFUNCTION("IFERROR(GOOGLEFINANCE(B1830,""price""),"""")"),327.91)</f>
        <v>327.91</v>
      </c>
    </row>
    <row r="1831">
      <c r="A1831" s="15">
        <v>46094.66737599243</v>
      </c>
      <c r="B1831" s="16" t="s">
        <v>3291</v>
      </c>
      <c r="C1831" s="16" t="s">
        <v>3292</v>
      </c>
      <c r="D1831" s="17">
        <v>46096.0</v>
      </c>
      <c r="E1831" s="18">
        <v>238.53</v>
      </c>
      <c r="F1831" s="16" t="s">
        <v>270</v>
      </c>
      <c r="G1831" s="21">
        <v>35.6089</v>
      </c>
      <c r="H1831" s="21">
        <v>6.6986</v>
      </c>
      <c r="I1831" s="17">
        <v>46101.0</v>
      </c>
      <c r="J1831" s="18">
        <v>240.0</v>
      </c>
      <c r="K1831" s="16">
        <v>1852.0</v>
      </c>
      <c r="L1831" s="16" t="s">
        <v>2608</v>
      </c>
      <c r="M1831" s="19">
        <v>0.62</v>
      </c>
      <c r="N1831" s="16" t="s">
        <v>4398</v>
      </c>
      <c r="O1831" s="16">
        <v>1852.0</v>
      </c>
      <c r="P1831" s="19">
        <v>24.91</v>
      </c>
      <c r="Q1831" s="16" t="s">
        <v>3294</v>
      </c>
      <c r="R1831" s="19">
        <v>-0.0335</v>
      </c>
      <c r="S1831" s="20">
        <v>2240382.0</v>
      </c>
      <c r="T1831" s="20">
        <v>9.6207685021E10</v>
      </c>
      <c r="U1831" s="21">
        <v>5.2025</v>
      </c>
      <c r="V1831" s="21">
        <v>29.6897</v>
      </c>
      <c r="W1831" s="21">
        <v>18.2788</v>
      </c>
      <c r="X1831" s="21">
        <v>14.2365</v>
      </c>
      <c r="Y1831" s="21">
        <v>2.3941</v>
      </c>
      <c r="Z1831" s="21">
        <v>0.8888</v>
      </c>
      <c r="AA1831" s="16" t="s">
        <v>2620</v>
      </c>
      <c r="AB1831" s="22">
        <f>IFERROR(__xludf.DUMMYFUNCTION("IFERROR(GOOGLEFINANCE(B1831,""price""),"""")"),229.45)</f>
        <v>229.45</v>
      </c>
    </row>
    <row r="1832">
      <c r="A1832" s="7">
        <v>46094.66737599243</v>
      </c>
      <c r="B1832" s="8" t="s">
        <v>3802</v>
      </c>
      <c r="C1832" s="8" t="s">
        <v>3803</v>
      </c>
      <c r="D1832" s="9">
        <v>46096.0</v>
      </c>
      <c r="E1832" s="10">
        <v>42.94</v>
      </c>
      <c r="F1832" s="8" t="s">
        <v>270</v>
      </c>
      <c r="G1832" s="13"/>
      <c r="H1832" s="13"/>
      <c r="I1832" s="9">
        <v>46101.0</v>
      </c>
      <c r="J1832" s="10">
        <v>43.0</v>
      </c>
      <c r="K1832" s="8">
        <v>1623.0</v>
      </c>
      <c r="L1832" s="8" t="s">
        <v>2608</v>
      </c>
      <c r="M1832" s="11">
        <v>0.14</v>
      </c>
      <c r="N1832" s="8" t="s">
        <v>4399</v>
      </c>
      <c r="O1832" s="8">
        <v>1623.0</v>
      </c>
      <c r="P1832" s="11">
        <v>23.9245</v>
      </c>
      <c r="Q1832" s="8" t="s">
        <v>3805</v>
      </c>
      <c r="R1832" s="11">
        <v>-4.1304</v>
      </c>
      <c r="S1832" s="12">
        <v>1850756.0</v>
      </c>
      <c r="T1832" s="12">
        <v>4.492489154E9</v>
      </c>
      <c r="U1832" s="13">
        <v>1.4913</v>
      </c>
      <c r="V1832" s="13">
        <v>3.4054</v>
      </c>
      <c r="W1832" s="13">
        <v>34.4448</v>
      </c>
      <c r="X1832" s="13">
        <v>51.1384</v>
      </c>
      <c r="Y1832" s="13">
        <v>1.4965</v>
      </c>
      <c r="Z1832" s="13">
        <v>2.5453</v>
      </c>
      <c r="AA1832" s="8" t="s">
        <v>2620</v>
      </c>
      <c r="AB1832" s="14">
        <f>IFERROR(__xludf.DUMMYFUNCTION("IFERROR(GOOGLEFINANCE(B1832,""price""),"""")"),53.28)</f>
        <v>53.28</v>
      </c>
    </row>
    <row r="1833">
      <c r="A1833" s="15">
        <v>46094.66737599243</v>
      </c>
      <c r="B1833" s="16" t="s">
        <v>4287</v>
      </c>
      <c r="C1833" s="16" t="s">
        <v>4288</v>
      </c>
      <c r="D1833" s="17">
        <v>46096.0</v>
      </c>
      <c r="E1833" s="18">
        <v>98.01</v>
      </c>
      <c r="F1833" s="16" t="s">
        <v>917</v>
      </c>
      <c r="G1833" s="21">
        <v>25.0358</v>
      </c>
      <c r="H1833" s="21">
        <v>3.9148</v>
      </c>
      <c r="I1833" s="17">
        <v>46094.0</v>
      </c>
      <c r="J1833" s="18">
        <v>98.0</v>
      </c>
      <c r="K1833" s="16">
        <v>1533.0</v>
      </c>
      <c r="L1833" s="16" t="s">
        <v>2608</v>
      </c>
      <c r="M1833" s="19">
        <v>0.01</v>
      </c>
      <c r="N1833" s="16" t="s">
        <v>4400</v>
      </c>
      <c r="O1833" s="16">
        <v>1533.0</v>
      </c>
      <c r="P1833" s="19">
        <v>28.1559</v>
      </c>
      <c r="Q1833" s="16" t="s">
        <v>4290</v>
      </c>
      <c r="R1833" s="19">
        <v>0.1738</v>
      </c>
      <c r="S1833" s="20">
        <v>6965851.0</v>
      </c>
      <c r="T1833" s="20">
        <v>1.0971153087E11</v>
      </c>
      <c r="U1833" s="21">
        <v>1.7074</v>
      </c>
      <c r="V1833" s="21">
        <v>12.5419</v>
      </c>
      <c r="W1833" s="21">
        <v>24.7056</v>
      </c>
      <c r="X1833" s="21">
        <v>10.5822</v>
      </c>
      <c r="Y1833" s="21">
        <v>2.0567</v>
      </c>
      <c r="Z1833" s="21">
        <v>0.6464</v>
      </c>
      <c r="AA1833" s="16" t="s">
        <v>2611</v>
      </c>
      <c r="AB1833" s="22">
        <f>IFERROR(__xludf.DUMMYFUNCTION("IFERROR(GOOGLEFINANCE(B1833,""price""),"""")"),97.15)</f>
        <v>97.15</v>
      </c>
    </row>
    <row r="1834">
      <c r="A1834" s="7">
        <v>46094.66737599243</v>
      </c>
      <c r="B1834" s="8" t="s">
        <v>2188</v>
      </c>
      <c r="C1834" s="8" t="s">
        <v>2189</v>
      </c>
      <c r="D1834" s="9">
        <v>46096.0</v>
      </c>
      <c r="E1834" s="10">
        <v>493.92</v>
      </c>
      <c r="F1834" s="8" t="s">
        <v>107</v>
      </c>
      <c r="G1834" s="13">
        <v>33.8364</v>
      </c>
      <c r="H1834" s="13">
        <v>14.5973</v>
      </c>
      <c r="I1834" s="9">
        <v>46101.0</v>
      </c>
      <c r="J1834" s="10">
        <v>490.0</v>
      </c>
      <c r="K1834" s="8">
        <v>1388.0</v>
      </c>
      <c r="L1834" s="8" t="s">
        <v>2608</v>
      </c>
      <c r="M1834" s="11">
        <v>0.79</v>
      </c>
      <c r="N1834" s="8" t="s">
        <v>4401</v>
      </c>
      <c r="O1834" s="8">
        <v>1388.0</v>
      </c>
      <c r="P1834" s="11">
        <v>28.1439</v>
      </c>
      <c r="Q1834" s="8" t="s">
        <v>2190</v>
      </c>
      <c r="R1834" s="11">
        <v>0.7157</v>
      </c>
      <c r="S1834" s="12">
        <v>2641418.0</v>
      </c>
      <c r="T1834" s="12">
        <v>2.28879647705E11</v>
      </c>
      <c r="U1834" s="13">
        <v>10.1741</v>
      </c>
      <c r="V1834" s="13">
        <v>18.0725</v>
      </c>
      <c r="W1834" s="13">
        <v>27.2289</v>
      </c>
      <c r="X1834" s="13">
        <v>2.9723</v>
      </c>
      <c r="Y1834" s="13">
        <v>0.7339</v>
      </c>
      <c r="Z1834" s="13">
        <v>0.8768</v>
      </c>
      <c r="AA1834" s="8" t="s">
        <v>2611</v>
      </c>
      <c r="AB1834" s="14">
        <f>IFERROR(__xludf.DUMMYFUNCTION("IFERROR(GOOGLEFINANCE(B1834,""price""),"""")"),503.15)</f>
        <v>503.15</v>
      </c>
    </row>
    <row r="1835">
      <c r="A1835" s="15">
        <v>46094.66737599243</v>
      </c>
      <c r="B1835" s="16" t="s">
        <v>2646</v>
      </c>
      <c r="C1835" s="16" t="s">
        <v>2647</v>
      </c>
      <c r="D1835" s="17">
        <v>46096.0</v>
      </c>
      <c r="E1835" s="18">
        <v>36.99</v>
      </c>
      <c r="F1835" s="16" t="s">
        <v>270</v>
      </c>
      <c r="G1835" s="21">
        <v>13.968</v>
      </c>
      <c r="H1835" s="21">
        <v>2.6482</v>
      </c>
      <c r="I1835" s="17">
        <v>46094.0</v>
      </c>
      <c r="J1835" s="18">
        <v>37.0</v>
      </c>
      <c r="K1835" s="16">
        <v>1253.0</v>
      </c>
      <c r="L1835" s="16" t="s">
        <v>2627</v>
      </c>
      <c r="M1835" s="19">
        <v>0.03</v>
      </c>
      <c r="N1835" s="16" t="s">
        <v>4402</v>
      </c>
      <c r="O1835" s="16">
        <v>1253.0</v>
      </c>
      <c r="P1835" s="19">
        <v>40.3338</v>
      </c>
      <c r="Q1835" s="16" t="s">
        <v>2649</v>
      </c>
      <c r="R1835" s="19">
        <v>1.0932</v>
      </c>
      <c r="S1835" s="20">
        <v>2438960.0</v>
      </c>
      <c r="T1835" s="20">
        <v>7.9963530186E10</v>
      </c>
      <c r="U1835" s="21">
        <v>0.7368</v>
      </c>
      <c r="V1835" s="21">
        <v>19.6987</v>
      </c>
      <c r="W1835" s="21">
        <v>12.3812</v>
      </c>
      <c r="X1835" s="21">
        <v>-6.474</v>
      </c>
      <c r="Y1835" s="21">
        <v>1.1744</v>
      </c>
      <c r="Z1835" s="21">
        <v>1.0411</v>
      </c>
      <c r="AA1835" s="16" t="s">
        <v>2620</v>
      </c>
      <c r="AB1835" s="22">
        <f>IFERROR(__xludf.DUMMYFUNCTION("IFERROR(GOOGLEFINANCE(B1835,""price""),"""")"),37.35)</f>
        <v>37.35</v>
      </c>
    </row>
    <row r="1836">
      <c r="A1836" s="7">
        <v>46094.66737599243</v>
      </c>
      <c r="B1836" s="8" t="s">
        <v>1080</v>
      </c>
      <c r="C1836" s="8" t="s">
        <v>1081</v>
      </c>
      <c r="D1836" s="9">
        <v>46096.0</v>
      </c>
      <c r="E1836" s="10">
        <v>35.67</v>
      </c>
      <c r="F1836" s="8" t="s">
        <v>308</v>
      </c>
      <c r="G1836" s="13"/>
      <c r="H1836" s="13">
        <v>-0.2955</v>
      </c>
      <c r="I1836" s="9">
        <v>46101.0</v>
      </c>
      <c r="J1836" s="10">
        <v>35.0</v>
      </c>
      <c r="K1836" s="8">
        <v>1213.0</v>
      </c>
      <c r="L1836" s="8" t="s">
        <v>2608</v>
      </c>
      <c r="M1836" s="11">
        <v>1.88</v>
      </c>
      <c r="N1836" s="8" t="s">
        <v>4403</v>
      </c>
      <c r="O1836" s="8">
        <v>1213.0</v>
      </c>
      <c r="P1836" s="11">
        <v>27.9309</v>
      </c>
      <c r="Q1836" s="8" t="s">
        <v>1082</v>
      </c>
      <c r="R1836" s="11">
        <v>-5.259</v>
      </c>
      <c r="S1836" s="12">
        <v>1585596.0</v>
      </c>
      <c r="T1836" s="12">
        <v>1.092477341E9</v>
      </c>
      <c r="U1836" s="13">
        <v>4.5595</v>
      </c>
      <c r="V1836" s="13">
        <v>-6.9744</v>
      </c>
      <c r="W1836" s="13">
        <v>-22.8493</v>
      </c>
      <c r="X1836" s="13">
        <v>4.9552</v>
      </c>
      <c r="Y1836" s="13">
        <v>0.0777</v>
      </c>
      <c r="Z1836" s="13">
        <v>10.6188</v>
      </c>
      <c r="AA1836" s="8" t="s">
        <v>2611</v>
      </c>
      <c r="AB1836" s="14">
        <f>IFERROR(__xludf.DUMMYFUNCTION("IFERROR(GOOGLEFINANCE(B1836,""price""),"""")"),70.43)</f>
        <v>70.43</v>
      </c>
    </row>
    <row r="1837">
      <c r="A1837" s="15">
        <v>46094.66737599243</v>
      </c>
      <c r="B1837" s="16" t="s">
        <v>3463</v>
      </c>
      <c r="C1837" s="16" t="s">
        <v>3464</v>
      </c>
      <c r="D1837" s="17">
        <v>46096.0</v>
      </c>
      <c r="E1837" s="18">
        <v>64.37</v>
      </c>
      <c r="F1837" s="16" t="s">
        <v>245</v>
      </c>
      <c r="G1837" s="21">
        <v>19.4254</v>
      </c>
      <c r="H1837" s="21">
        <v>3.3137</v>
      </c>
      <c r="I1837" s="17">
        <v>46094.0</v>
      </c>
      <c r="J1837" s="18">
        <v>65.0</v>
      </c>
      <c r="K1837" s="16">
        <v>1149.0</v>
      </c>
      <c r="L1837" s="16" t="s">
        <v>2608</v>
      </c>
      <c r="M1837" s="19">
        <v>0.98</v>
      </c>
      <c r="N1837" s="16" t="s">
        <v>4404</v>
      </c>
      <c r="O1837" s="16">
        <v>1149.0</v>
      </c>
      <c r="P1837" s="19">
        <v>36.4667</v>
      </c>
      <c r="Q1837" s="16" t="s">
        <v>3466</v>
      </c>
      <c r="R1837" s="19">
        <v>-0.4177</v>
      </c>
      <c r="S1837" s="20">
        <v>7947577.0</v>
      </c>
      <c r="T1837" s="20">
        <v>4.0184516152E10</v>
      </c>
      <c r="U1837" s="21">
        <v>1.7551</v>
      </c>
      <c r="V1837" s="21">
        <v>9.1961</v>
      </c>
      <c r="W1837" s="21">
        <v>35.6577</v>
      </c>
      <c r="X1837" s="21">
        <v>59.9561</v>
      </c>
      <c r="Y1837" s="21">
        <v>0.3357</v>
      </c>
      <c r="Z1837" s="21">
        <v>0.7627</v>
      </c>
      <c r="AA1837" s="16" t="s">
        <v>2620</v>
      </c>
      <c r="AB1837" s="22">
        <f>IFERROR(__xludf.DUMMYFUNCTION("IFERROR(GOOGLEFINANCE(B1837,""price""),"""")"),58.68)</f>
        <v>58.68</v>
      </c>
    </row>
    <row r="1838">
      <c r="A1838" s="7">
        <v>46094.66737599243</v>
      </c>
      <c r="B1838" s="8" t="s">
        <v>2843</v>
      </c>
      <c r="C1838" s="8" t="s">
        <v>2844</v>
      </c>
      <c r="D1838" s="9">
        <v>46096.0</v>
      </c>
      <c r="E1838" s="10">
        <v>204.52</v>
      </c>
      <c r="F1838" s="8" t="s">
        <v>308</v>
      </c>
      <c r="G1838" s="13">
        <v>41.2139</v>
      </c>
      <c r="H1838" s="13">
        <v>4.9624</v>
      </c>
      <c r="I1838" s="9">
        <v>46094.0</v>
      </c>
      <c r="J1838" s="10">
        <v>205.0</v>
      </c>
      <c r="K1838" s="8">
        <v>1041.0</v>
      </c>
      <c r="L1838" s="8" t="s">
        <v>2608</v>
      </c>
      <c r="M1838" s="11">
        <v>0.23</v>
      </c>
      <c r="N1838" s="8" t="s">
        <v>4405</v>
      </c>
      <c r="O1838" s="8">
        <v>1041.0</v>
      </c>
      <c r="P1838" s="11">
        <v>17.0699</v>
      </c>
      <c r="Q1838" s="8" t="s">
        <v>2846</v>
      </c>
      <c r="R1838" s="11">
        <v>0.7289</v>
      </c>
      <c r="S1838" s="12">
        <v>4769729.0</v>
      </c>
      <c r="T1838" s="12">
        <v>2.74524650395E11</v>
      </c>
      <c r="U1838" s="13">
        <v>5.4898</v>
      </c>
      <c r="V1838" s="13">
        <v>10.7368</v>
      </c>
      <c r="W1838" s="13">
        <v>10.0301</v>
      </c>
      <c r="X1838" s="13">
        <v>9.7414</v>
      </c>
      <c r="Y1838" s="13">
        <v>0.6124</v>
      </c>
      <c r="Z1838" s="13">
        <v>0.9804</v>
      </c>
      <c r="AA1838" s="8" t="s">
        <v>2620</v>
      </c>
      <c r="AB1838" s="14">
        <f>IFERROR(__xludf.DUMMYFUNCTION("IFERROR(GOOGLEFINANCE(B1838,""price""),"""")"),201.56)</f>
        <v>201.56</v>
      </c>
    </row>
    <row r="1839">
      <c r="A1839" s="15">
        <v>46094.66737599243</v>
      </c>
      <c r="B1839" s="16" t="s">
        <v>3873</v>
      </c>
      <c r="C1839" s="16" t="s">
        <v>3874</v>
      </c>
      <c r="D1839" s="17">
        <v>46096.0</v>
      </c>
      <c r="E1839" s="18">
        <v>79.31</v>
      </c>
      <c r="F1839" s="16" t="s">
        <v>149</v>
      </c>
      <c r="G1839" s="21">
        <v>37.8839</v>
      </c>
      <c r="H1839" s="21">
        <v>2.0935</v>
      </c>
      <c r="I1839" s="17">
        <v>46101.0</v>
      </c>
      <c r="J1839" s="18">
        <v>80.0</v>
      </c>
      <c r="K1839" s="16">
        <v>1031.0</v>
      </c>
      <c r="L1839" s="16" t="s">
        <v>2627</v>
      </c>
      <c r="M1839" s="19">
        <v>0.87</v>
      </c>
      <c r="N1839" s="16" t="s">
        <v>4406</v>
      </c>
      <c r="O1839" s="16">
        <v>1031.0</v>
      </c>
      <c r="P1839" s="19">
        <v>18.5419</v>
      </c>
      <c r="Q1839" s="16" t="s">
        <v>3876</v>
      </c>
      <c r="R1839" s="19">
        <v>1.6013</v>
      </c>
      <c r="S1839" s="20">
        <v>2316703.0</v>
      </c>
      <c r="T1839" s="20">
        <v>1.2787839789E10</v>
      </c>
      <c r="U1839" s="21">
        <v>1.9493</v>
      </c>
      <c r="V1839" s="21">
        <v>17.3353</v>
      </c>
      <c r="W1839" s="21">
        <v>16.2259</v>
      </c>
      <c r="X1839" s="21">
        <v>9.2423</v>
      </c>
      <c r="Y1839" s="21">
        <v>0.0239</v>
      </c>
      <c r="Z1839" s="21">
        <v>1.542</v>
      </c>
      <c r="AA1839" s="16" t="s">
        <v>2620</v>
      </c>
      <c r="AB1839" s="22">
        <f>IFERROR(__xludf.DUMMYFUNCTION("IFERROR(GOOGLEFINANCE(B1839,""price""),"""")"),79.01)</f>
        <v>79.01</v>
      </c>
    </row>
    <row r="1840">
      <c r="A1840" s="7">
        <v>46097.62878326493</v>
      </c>
      <c r="B1840" s="8" t="s">
        <v>2399</v>
      </c>
      <c r="C1840" s="8" t="s">
        <v>2400</v>
      </c>
      <c r="D1840" s="9">
        <v>46103.0</v>
      </c>
      <c r="E1840" s="10">
        <v>18.795</v>
      </c>
      <c r="F1840" s="8" t="s">
        <v>270</v>
      </c>
      <c r="G1840" s="13">
        <v>15.5562</v>
      </c>
      <c r="H1840" s="13">
        <v>1.2082</v>
      </c>
      <c r="I1840" s="9">
        <v>46101.0</v>
      </c>
      <c r="J1840" s="10">
        <v>19.0</v>
      </c>
      <c r="K1840" s="8">
        <v>67268.0</v>
      </c>
      <c r="L1840" s="8" t="s">
        <v>2608</v>
      </c>
      <c r="M1840" s="11">
        <v>1.09</v>
      </c>
      <c r="N1840" s="8" t="s">
        <v>4407</v>
      </c>
      <c r="O1840" s="8">
        <v>75721.0</v>
      </c>
      <c r="P1840" s="11">
        <v>23.2943</v>
      </c>
      <c r="Q1840" s="8" t="s">
        <v>2401</v>
      </c>
      <c r="R1840" s="11">
        <v>0.24</v>
      </c>
      <c r="S1840" s="12">
        <v>1.2150386E7</v>
      </c>
      <c r="T1840" s="12">
        <v>6.4660710146E10</v>
      </c>
      <c r="U1840" s="13">
        <v>0.3486</v>
      </c>
      <c r="V1840" s="13">
        <v>12.7475</v>
      </c>
      <c r="W1840" s="13">
        <v>10.8866</v>
      </c>
      <c r="X1840" s="13">
        <v>3.4655</v>
      </c>
      <c r="Y1840" s="13">
        <v>2.0395</v>
      </c>
      <c r="Z1840" s="13">
        <v>1.2192</v>
      </c>
      <c r="AA1840" s="8" t="s">
        <v>2620</v>
      </c>
      <c r="AB1840" s="14">
        <f>IFERROR(__xludf.DUMMYFUNCTION("IFERROR(GOOGLEFINANCE(B1840,""price""),"""")"),19.19)</f>
        <v>19.19</v>
      </c>
    </row>
    <row r="1841">
      <c r="A1841" s="15">
        <v>46097.62878326493</v>
      </c>
      <c r="B1841" s="16" t="s">
        <v>2638</v>
      </c>
      <c r="C1841" s="16" t="s">
        <v>2639</v>
      </c>
      <c r="D1841" s="17">
        <v>46103.0</v>
      </c>
      <c r="E1841" s="18">
        <v>156.891</v>
      </c>
      <c r="F1841" s="16" t="s">
        <v>245</v>
      </c>
      <c r="G1841" s="21">
        <v>23.4348</v>
      </c>
      <c r="H1841" s="21">
        <v>6.6948</v>
      </c>
      <c r="I1841" s="17">
        <v>46101.0</v>
      </c>
      <c r="J1841" s="18">
        <v>160.0</v>
      </c>
      <c r="K1841" s="16">
        <v>16284.0</v>
      </c>
      <c r="L1841" s="16" t="s">
        <v>2608</v>
      </c>
      <c r="M1841" s="19">
        <v>1.98</v>
      </c>
      <c r="N1841" s="16" t="s">
        <v>4408</v>
      </c>
      <c r="O1841" s="16">
        <v>37295.0</v>
      </c>
      <c r="P1841" s="19">
        <v>34.9489</v>
      </c>
      <c r="Q1841" s="16" t="s">
        <v>2641</v>
      </c>
      <c r="R1841" s="19">
        <v>0.4939</v>
      </c>
      <c r="S1841" s="20">
        <v>1.3044805E7</v>
      </c>
      <c r="T1841" s="20">
        <v>6.53727698799E11</v>
      </c>
      <c r="U1841" s="21">
        <v>3.8142</v>
      </c>
      <c r="V1841" s="21">
        <v>11.0283</v>
      </c>
      <c r="W1841" s="21">
        <v>10.3419</v>
      </c>
      <c r="X1841" s="21">
        <v>-4.856</v>
      </c>
      <c r="Y1841" s="21">
        <v>0.1871</v>
      </c>
      <c r="Z1841" s="21">
        <v>1.1528</v>
      </c>
      <c r="AA1841" s="16" t="s">
        <v>2620</v>
      </c>
      <c r="AB1841" s="22">
        <f>IFERROR(__xludf.DUMMYFUNCTION("IFERROR(GOOGLEFINANCE(B1841,""price""),"""")"),152.51)</f>
        <v>152.51</v>
      </c>
    </row>
    <row r="1842">
      <c r="A1842" s="7">
        <v>46097.62878326493</v>
      </c>
      <c r="B1842" s="8" t="s">
        <v>2625</v>
      </c>
      <c r="C1842" s="8" t="s">
        <v>2626</v>
      </c>
      <c r="D1842" s="9">
        <v>46103.0</v>
      </c>
      <c r="E1842" s="10">
        <v>125.6999</v>
      </c>
      <c r="F1842" s="8" t="s">
        <v>137</v>
      </c>
      <c r="G1842" s="13">
        <v>46.049</v>
      </c>
      <c r="H1842" s="13">
        <v>2.7297</v>
      </c>
      <c r="I1842" s="9">
        <v>46101.0</v>
      </c>
      <c r="J1842" s="10">
        <v>125.0</v>
      </c>
      <c r="K1842" s="8">
        <v>14968.0</v>
      </c>
      <c r="L1842" s="8" t="s">
        <v>2608</v>
      </c>
      <c r="M1842" s="11">
        <v>0.56</v>
      </c>
      <c r="N1842" s="8" t="s">
        <v>4409</v>
      </c>
      <c r="O1842" s="8">
        <v>32973.0</v>
      </c>
      <c r="P1842" s="11">
        <v>15.6699</v>
      </c>
      <c r="Q1842" s="8" t="s">
        <v>2629</v>
      </c>
      <c r="R1842" s="11">
        <v>-0.6482</v>
      </c>
      <c r="S1842" s="12">
        <v>9322986.0</v>
      </c>
      <c r="T1842" s="12">
        <v>1.001849167319E12</v>
      </c>
      <c r="U1842" s="13">
        <v>2.9777</v>
      </c>
      <c r="V1842" s="13">
        <v>22.9691</v>
      </c>
      <c r="W1842" s="13">
        <v>4.1821</v>
      </c>
      <c r="X1842" s="13">
        <v>4.7252</v>
      </c>
      <c r="Y1842" s="13">
        <v>0.6735</v>
      </c>
      <c r="Z1842" s="13">
        <v>0.7898</v>
      </c>
      <c r="AA1842" s="8" t="s">
        <v>2611</v>
      </c>
      <c r="AB1842" s="14">
        <f>IFERROR(__xludf.DUMMYFUNCTION("IFERROR(GOOGLEFINANCE(B1842,""price""),"""")"),126.79)</f>
        <v>126.79</v>
      </c>
    </row>
    <row r="1843">
      <c r="A1843" s="15">
        <v>46097.62878326493</v>
      </c>
      <c r="B1843" s="16" t="s">
        <v>4359</v>
      </c>
      <c r="C1843" s="16" t="s">
        <v>4360</v>
      </c>
      <c r="D1843" s="17">
        <v>46103.0</v>
      </c>
      <c r="E1843" s="18">
        <v>90.978</v>
      </c>
      <c r="F1843" s="16" t="s">
        <v>308</v>
      </c>
      <c r="G1843" s="21">
        <v>29.4332</v>
      </c>
      <c r="H1843" s="21">
        <v>3.091</v>
      </c>
      <c r="I1843" s="17">
        <v>46101.0</v>
      </c>
      <c r="J1843" s="18">
        <v>90.0</v>
      </c>
      <c r="K1843" s="16">
        <v>11617.0</v>
      </c>
      <c r="L1843" s="16" t="s">
        <v>2608</v>
      </c>
      <c r="M1843" s="19">
        <v>1.07</v>
      </c>
      <c r="N1843" s="16" t="s">
        <v>4410</v>
      </c>
      <c r="O1843" s="16">
        <v>26909.0</v>
      </c>
      <c r="P1843" s="19">
        <v>18.7347</v>
      </c>
      <c r="Q1843" s="16" t="s">
        <v>4362</v>
      </c>
      <c r="R1843" s="19">
        <v>3.5488</v>
      </c>
      <c r="S1843" s="20">
        <v>1.1357144E7</v>
      </c>
      <c r="T1843" s="20">
        <v>7.9542064842E10</v>
      </c>
      <c r="U1843" s="21">
        <v>4.5715</v>
      </c>
      <c r="V1843" s="21">
        <v>19.2541</v>
      </c>
      <c r="W1843" s="21">
        <v>16.3327</v>
      </c>
      <c r="X1843" s="21">
        <v>42.0873</v>
      </c>
      <c r="Y1843" s="21">
        <v>0.3519</v>
      </c>
      <c r="Z1843" s="21">
        <v>2.0061</v>
      </c>
      <c r="AA1843" s="16" t="s">
        <v>2611</v>
      </c>
      <c r="AB1843" s="22">
        <f>IFERROR(__xludf.DUMMYFUNCTION("IFERROR(GOOGLEFINANCE(B1843,""price""),"""")"),128.49)</f>
        <v>128.49</v>
      </c>
    </row>
    <row r="1844">
      <c r="A1844" s="7">
        <v>46097.62878326493</v>
      </c>
      <c r="B1844" s="8" t="s">
        <v>2634</v>
      </c>
      <c r="C1844" s="8" t="s">
        <v>2635</v>
      </c>
      <c r="D1844" s="9">
        <v>46103.0</v>
      </c>
      <c r="E1844" s="10">
        <v>196.8</v>
      </c>
      <c r="F1844" s="8" t="s">
        <v>245</v>
      </c>
      <c r="G1844" s="13">
        <v>29.6029</v>
      </c>
      <c r="H1844" s="13">
        <v>6.648</v>
      </c>
      <c r="I1844" s="9">
        <v>46101.0</v>
      </c>
      <c r="J1844" s="10">
        <v>200.0</v>
      </c>
      <c r="K1844" s="8">
        <v>8681.0</v>
      </c>
      <c r="L1844" s="8" t="s">
        <v>2608</v>
      </c>
      <c r="M1844" s="11">
        <v>1.63</v>
      </c>
      <c r="N1844" s="8" t="s">
        <v>4411</v>
      </c>
      <c r="O1844" s="8">
        <v>23643.0</v>
      </c>
      <c r="P1844" s="11">
        <v>41.3836</v>
      </c>
      <c r="Q1844" s="8" t="s">
        <v>2637</v>
      </c>
      <c r="R1844" s="11">
        <v>-0.0102</v>
      </c>
      <c r="S1844" s="12">
        <v>7641414.0</v>
      </c>
      <c r="T1844" s="12">
        <v>3.92691880629E11</v>
      </c>
      <c r="U1844" s="13">
        <v>3.877</v>
      </c>
      <c r="V1844" s="13">
        <v>7.261</v>
      </c>
      <c r="W1844" s="13">
        <v>8.8802</v>
      </c>
      <c r="X1844" s="13">
        <v>-4.6193</v>
      </c>
      <c r="Y1844" s="13">
        <v>0.2507</v>
      </c>
      <c r="Z1844" s="13">
        <v>1.1547</v>
      </c>
      <c r="AA1844" s="8" t="s">
        <v>2620</v>
      </c>
      <c r="AB1844" s="14">
        <f>IFERROR(__xludf.DUMMYFUNCTION("IFERROR(GOOGLEFINANCE(B1844,""price""),"""")"),188.55)</f>
        <v>188.55</v>
      </c>
    </row>
    <row r="1845">
      <c r="A1845" s="15">
        <v>46097.62878326493</v>
      </c>
      <c r="B1845" s="16" t="s">
        <v>2987</v>
      </c>
      <c r="C1845" s="16" t="s">
        <v>2988</v>
      </c>
      <c r="D1845" s="17">
        <v>46103.0</v>
      </c>
      <c r="E1845" s="18">
        <v>91.25</v>
      </c>
      <c r="F1845" s="16" t="s">
        <v>137</v>
      </c>
      <c r="G1845" s="21">
        <v>21.0103</v>
      </c>
      <c r="H1845" s="21">
        <v>4.3431</v>
      </c>
      <c r="I1845" s="17">
        <v>46101.0</v>
      </c>
      <c r="J1845" s="18">
        <v>90.0</v>
      </c>
      <c r="K1845" s="16">
        <v>7056.0</v>
      </c>
      <c r="L1845" s="16" t="s">
        <v>2608</v>
      </c>
      <c r="M1845" s="19">
        <v>1.37</v>
      </c>
      <c r="N1845" s="16" t="s">
        <v>4412</v>
      </c>
      <c r="O1845" s="16">
        <v>15441.0</v>
      </c>
      <c r="P1845" s="19">
        <v>16.7248</v>
      </c>
      <c r="Q1845" s="16" t="s">
        <v>2990</v>
      </c>
      <c r="R1845" s="19">
        <v>-0.0985</v>
      </c>
      <c r="S1845" s="20">
        <v>3075417.0</v>
      </c>
      <c r="T1845" s="20">
        <v>4.0879998361E10</v>
      </c>
      <c r="U1845" s="21">
        <v>3.0022</v>
      </c>
      <c r="V1845" s="21">
        <v>40.8472</v>
      </c>
      <c r="W1845" s="21">
        <v>20.8934</v>
      </c>
      <c r="X1845" s="21">
        <v>8.0681</v>
      </c>
      <c r="Y1845" s="21">
        <v>1.5558</v>
      </c>
      <c r="Z1845" s="21">
        <v>1.0968</v>
      </c>
      <c r="AA1845" s="16" t="s">
        <v>2611</v>
      </c>
      <c r="AB1845" s="22">
        <f>IFERROR(__xludf.DUMMYFUNCTION("IFERROR(GOOGLEFINANCE(B1845,""price""),"""")"),95.4)</f>
        <v>95.4</v>
      </c>
    </row>
    <row r="1846">
      <c r="A1846" s="7">
        <v>46097.62878326493</v>
      </c>
      <c r="B1846" s="8" t="s">
        <v>2646</v>
      </c>
      <c r="C1846" s="8" t="s">
        <v>2647</v>
      </c>
      <c r="D1846" s="9">
        <v>46103.0</v>
      </c>
      <c r="E1846" s="10">
        <v>37.315</v>
      </c>
      <c r="F1846" s="8" t="s">
        <v>270</v>
      </c>
      <c r="G1846" s="13">
        <v>14.0907</v>
      </c>
      <c r="H1846" s="13">
        <v>2.6482</v>
      </c>
      <c r="I1846" s="9">
        <v>46101.0</v>
      </c>
      <c r="J1846" s="10">
        <v>38.0</v>
      </c>
      <c r="K1846" s="8">
        <v>10312.0</v>
      </c>
      <c r="L1846" s="8" t="s">
        <v>2608</v>
      </c>
      <c r="M1846" s="11">
        <v>1.84</v>
      </c>
      <c r="N1846" s="8" t="s">
        <v>4413</v>
      </c>
      <c r="O1846" s="8">
        <v>13179.0</v>
      </c>
      <c r="P1846" s="11">
        <v>39.8774</v>
      </c>
      <c r="Q1846" s="8" t="s">
        <v>2649</v>
      </c>
      <c r="R1846" s="11">
        <v>0.8786</v>
      </c>
      <c r="S1846" s="12">
        <v>2706159.0</v>
      </c>
      <c r="T1846" s="12">
        <v>8.0666105755E10</v>
      </c>
      <c r="U1846" s="13">
        <v>0.7285</v>
      </c>
      <c r="V1846" s="13">
        <v>19.6987</v>
      </c>
      <c r="W1846" s="13">
        <v>12.3812</v>
      </c>
      <c r="X1846" s="13">
        <v>-6.474</v>
      </c>
      <c r="Y1846" s="13">
        <v>1.1744</v>
      </c>
      <c r="Z1846" s="13">
        <v>1.0411</v>
      </c>
      <c r="AA1846" s="8" t="s">
        <v>2620</v>
      </c>
      <c r="AB1846" s="14">
        <f>IFERROR(__xludf.DUMMYFUNCTION("IFERROR(GOOGLEFINANCE(B1846,""price""),"""")"),37.35)</f>
        <v>37.35</v>
      </c>
    </row>
    <row r="1847">
      <c r="A1847" s="15">
        <v>46097.62878326493</v>
      </c>
      <c r="B1847" s="16" t="s">
        <v>3463</v>
      </c>
      <c r="C1847" s="16" t="s">
        <v>3464</v>
      </c>
      <c r="D1847" s="17">
        <v>46103.0</v>
      </c>
      <c r="E1847" s="18">
        <v>64.485</v>
      </c>
      <c r="F1847" s="16" t="s">
        <v>245</v>
      </c>
      <c r="G1847" s="21">
        <v>19.4601</v>
      </c>
      <c r="H1847" s="21">
        <v>3.3137</v>
      </c>
      <c r="I1847" s="17">
        <v>46101.0</v>
      </c>
      <c r="J1847" s="18">
        <v>65.0</v>
      </c>
      <c r="K1847" s="16">
        <v>8912.0</v>
      </c>
      <c r="L1847" s="16" t="s">
        <v>2608</v>
      </c>
      <c r="M1847" s="19">
        <v>0.8</v>
      </c>
      <c r="N1847" s="16" t="s">
        <v>4414</v>
      </c>
      <c r="O1847" s="16">
        <v>10726.0</v>
      </c>
      <c r="P1847" s="19">
        <v>37.7559</v>
      </c>
      <c r="Q1847" s="16" t="s">
        <v>3466</v>
      </c>
      <c r="R1847" s="19">
        <v>0.1787</v>
      </c>
      <c r="S1847" s="20">
        <v>4852875.0</v>
      </c>
      <c r="T1847" s="20">
        <v>4.0256309758E10</v>
      </c>
      <c r="U1847" s="21">
        <v>1.704</v>
      </c>
      <c r="V1847" s="21">
        <v>9.1961</v>
      </c>
      <c r="W1847" s="21">
        <v>35.6577</v>
      </c>
      <c r="X1847" s="21">
        <v>59.9561</v>
      </c>
      <c r="Y1847" s="21">
        <v>0.3357</v>
      </c>
      <c r="Z1847" s="21">
        <v>0.7627</v>
      </c>
      <c r="AA1847" s="16" t="s">
        <v>2620</v>
      </c>
      <c r="AB1847" s="22">
        <f>IFERROR(__xludf.DUMMYFUNCTION("IFERROR(GOOGLEFINANCE(B1847,""price""),"""")"),58.68)</f>
        <v>58.68</v>
      </c>
    </row>
    <row r="1848">
      <c r="A1848" s="7">
        <v>46097.62878326493</v>
      </c>
      <c r="B1848" s="8" t="s">
        <v>2630</v>
      </c>
      <c r="C1848" s="8" t="s">
        <v>2631</v>
      </c>
      <c r="D1848" s="9">
        <v>46103.0</v>
      </c>
      <c r="E1848" s="10">
        <v>439.74</v>
      </c>
      <c r="F1848" s="8" t="s">
        <v>308</v>
      </c>
      <c r="G1848" s="13">
        <v>41.8004</v>
      </c>
      <c r="H1848" s="13">
        <v>10.52</v>
      </c>
      <c r="I1848" s="9">
        <v>46101.0</v>
      </c>
      <c r="J1848" s="10">
        <v>440.0</v>
      </c>
      <c r="K1848" s="8">
        <v>4364.0</v>
      </c>
      <c r="L1848" s="8" t="s">
        <v>2608</v>
      </c>
      <c r="M1848" s="11">
        <v>0.06</v>
      </c>
      <c r="N1848" s="8" t="s">
        <v>4415</v>
      </c>
      <c r="O1848" s="8">
        <v>10527.0</v>
      </c>
      <c r="P1848" s="11">
        <v>21.4638</v>
      </c>
      <c r="Q1848" s="8" t="s">
        <v>2633</v>
      </c>
      <c r="R1848" s="11">
        <v>3.1939</v>
      </c>
      <c r="S1848" s="12">
        <v>3.6223158E7</v>
      </c>
      <c r="T1848" s="12">
        <v>4.9493145529E11</v>
      </c>
      <c r="U1848" s="13">
        <v>25.2379</v>
      </c>
      <c r="V1848" s="13">
        <v>22.5543</v>
      </c>
      <c r="W1848" s="13">
        <v>32.9221</v>
      </c>
      <c r="X1848" s="13">
        <v>45.432</v>
      </c>
      <c r="Y1848" s="13">
        <v>0.2124</v>
      </c>
      <c r="Z1848" s="13">
        <v>2.4598</v>
      </c>
      <c r="AA1848" s="8" t="s">
        <v>2620</v>
      </c>
      <c r="AB1848" s="14">
        <f>IFERROR(__xludf.DUMMYFUNCTION("IFERROR(GOOGLEFINANCE(B1848,""price""),"""")"),420.59)</f>
        <v>420.59</v>
      </c>
    </row>
    <row r="1849">
      <c r="A1849" s="15">
        <v>46097.62878326493</v>
      </c>
      <c r="B1849" s="16" t="s">
        <v>3416</v>
      </c>
      <c r="C1849" s="16" t="s">
        <v>3417</v>
      </c>
      <c r="D1849" s="17">
        <v>46103.0</v>
      </c>
      <c r="E1849" s="18">
        <v>67.635</v>
      </c>
      <c r="F1849" s="16" t="s">
        <v>286</v>
      </c>
      <c r="G1849" s="21">
        <v>16.4294</v>
      </c>
      <c r="H1849" s="21">
        <v>4.1167</v>
      </c>
      <c r="I1849" s="17">
        <v>46101.0</v>
      </c>
      <c r="J1849" s="18">
        <v>67.5</v>
      </c>
      <c r="K1849" s="16">
        <v>4575.0</v>
      </c>
      <c r="L1849" s="16" t="s">
        <v>2608</v>
      </c>
      <c r="M1849" s="19">
        <v>0.2</v>
      </c>
      <c r="N1849" s="16" t="s">
        <v>4416</v>
      </c>
      <c r="O1849" s="16">
        <v>10459.0</v>
      </c>
      <c r="P1849" s="19">
        <v>24.3827</v>
      </c>
      <c r="Q1849" s="16" t="s">
        <v>3419</v>
      </c>
      <c r="R1849" s="19">
        <v>-0.3756</v>
      </c>
      <c r="S1849" s="20">
        <v>4599425.0</v>
      </c>
      <c r="T1849" s="20">
        <v>1.13078825035E11</v>
      </c>
      <c r="U1849" s="21">
        <v>1.3488</v>
      </c>
      <c r="V1849" s="21"/>
      <c r="W1849" s="21">
        <v>63.8109</v>
      </c>
      <c r="X1849" s="21">
        <v>-1.3989</v>
      </c>
      <c r="Y1849" s="21"/>
      <c r="Z1849" s="21">
        <v>0.648</v>
      </c>
      <c r="AA1849" s="16" t="s">
        <v>2611</v>
      </c>
      <c r="AB1849" s="22">
        <f>IFERROR(__xludf.DUMMYFUNCTION("IFERROR(GOOGLEFINANCE(B1849,""price""),"""")"),67.38)</f>
        <v>67.38</v>
      </c>
    </row>
    <row r="1850">
      <c r="A1850" s="7">
        <v>46097.62878326493</v>
      </c>
      <c r="B1850" s="8" t="s">
        <v>2658</v>
      </c>
      <c r="C1850" s="8" t="s">
        <v>2659</v>
      </c>
      <c r="D1850" s="9">
        <v>46103.0</v>
      </c>
      <c r="E1850" s="10">
        <v>93.059</v>
      </c>
      <c r="F1850" s="8" t="s">
        <v>917</v>
      </c>
      <c r="G1850" s="13">
        <v>28.1971</v>
      </c>
      <c r="H1850" s="13">
        <v>3.3003</v>
      </c>
      <c r="I1850" s="9">
        <v>46101.0</v>
      </c>
      <c r="J1850" s="10">
        <v>92.5</v>
      </c>
      <c r="K1850" s="8">
        <v>4510.0</v>
      </c>
      <c r="L1850" s="8" t="s">
        <v>2608</v>
      </c>
      <c r="M1850" s="11">
        <v>0.6</v>
      </c>
      <c r="N1850" s="8" t="s">
        <v>4417</v>
      </c>
      <c r="O1850" s="8">
        <v>8192.0</v>
      </c>
      <c r="P1850" s="11">
        <v>22.5059</v>
      </c>
      <c r="Q1850" s="8" t="s">
        <v>2661</v>
      </c>
      <c r="R1850" s="11">
        <v>0.3007</v>
      </c>
      <c r="S1850" s="12">
        <v>5370777.0</v>
      </c>
      <c r="T1850" s="12">
        <v>1.93890468703E11</v>
      </c>
      <c r="U1850" s="13">
        <v>2.0703</v>
      </c>
      <c r="V1850" s="13">
        <v>13.0533</v>
      </c>
      <c r="W1850" s="13">
        <v>26.8934</v>
      </c>
      <c r="X1850" s="13">
        <v>8.6905</v>
      </c>
      <c r="Y1850" s="13">
        <v>1.7594</v>
      </c>
      <c r="Z1850" s="13">
        <v>0.5953</v>
      </c>
      <c r="AA1850" s="8" t="s">
        <v>2611</v>
      </c>
      <c r="AB1850" s="14">
        <f>IFERROR(__xludf.DUMMYFUNCTION("IFERROR(GOOGLEFINANCE(B1850,""price""),"""")"),94.08)</f>
        <v>94.08</v>
      </c>
    </row>
    <row r="1851">
      <c r="A1851" s="15">
        <v>46097.62878326493</v>
      </c>
      <c r="B1851" s="16" t="s">
        <v>3697</v>
      </c>
      <c r="C1851" s="16" t="s">
        <v>3698</v>
      </c>
      <c r="D1851" s="17">
        <v>46103.0</v>
      </c>
      <c r="E1851" s="18">
        <v>50.195</v>
      </c>
      <c r="F1851" s="16" t="s">
        <v>917</v>
      </c>
      <c r="G1851" s="21">
        <v>18.3535</v>
      </c>
      <c r="H1851" s="21">
        <v>2.7349</v>
      </c>
      <c r="I1851" s="17">
        <v>46101.0</v>
      </c>
      <c r="J1851" s="18">
        <v>50.0</v>
      </c>
      <c r="K1851" s="16">
        <v>7951.0</v>
      </c>
      <c r="L1851" s="16" t="s">
        <v>2608</v>
      </c>
      <c r="M1851" s="19">
        <v>0.39</v>
      </c>
      <c r="N1851" s="16" t="s">
        <v>4418</v>
      </c>
      <c r="O1851" s="16">
        <v>7951.0</v>
      </c>
      <c r="P1851" s="19">
        <v>31.0781</v>
      </c>
      <c r="Q1851" s="16" t="s">
        <v>3700</v>
      </c>
      <c r="R1851" s="19">
        <v>0.7527</v>
      </c>
      <c r="S1851" s="20">
        <v>5031871.0</v>
      </c>
      <c r="T1851" s="20">
        <v>5.1344092644E10</v>
      </c>
      <c r="U1851" s="21">
        <v>0.9199</v>
      </c>
      <c r="V1851" s="21">
        <v>9.9356</v>
      </c>
      <c r="W1851" s="21">
        <v>21.2054</v>
      </c>
      <c r="X1851" s="21">
        <v>5.3367</v>
      </c>
      <c r="Y1851" s="21">
        <v>1.7554</v>
      </c>
      <c r="Z1851" s="21">
        <v>0.924</v>
      </c>
      <c r="AA1851" s="16" t="s">
        <v>2611</v>
      </c>
      <c r="AB1851" s="22">
        <f>IFERROR(__xludf.DUMMYFUNCTION("IFERROR(GOOGLEFINANCE(B1851,""price""),"""")"),48.57)</f>
        <v>48.57</v>
      </c>
    </row>
    <row r="1852">
      <c r="A1852" s="7">
        <v>46097.62878326493</v>
      </c>
      <c r="B1852" s="8" t="s">
        <v>1612</v>
      </c>
      <c r="C1852" s="8" t="s">
        <v>1613</v>
      </c>
      <c r="D1852" s="9">
        <v>46103.0</v>
      </c>
      <c r="E1852" s="10">
        <v>74.5</v>
      </c>
      <c r="F1852" s="8" t="s">
        <v>137</v>
      </c>
      <c r="G1852" s="13">
        <v>48.4805</v>
      </c>
      <c r="H1852" s="13">
        <v>1.5367</v>
      </c>
      <c r="I1852" s="9">
        <v>46101.0</v>
      </c>
      <c r="J1852" s="10">
        <v>74.0</v>
      </c>
      <c r="K1852" s="8">
        <v>4546.0</v>
      </c>
      <c r="L1852" s="8" t="s">
        <v>2608</v>
      </c>
      <c r="M1852" s="11">
        <v>0.67</v>
      </c>
      <c r="N1852" s="8" t="s">
        <v>4419</v>
      </c>
      <c r="O1852" s="8">
        <v>7410.0</v>
      </c>
      <c r="P1852" s="11">
        <v>31.5583</v>
      </c>
      <c r="Q1852" s="8" t="s">
        <v>1614</v>
      </c>
      <c r="R1852" s="11">
        <v>-1.455</v>
      </c>
      <c r="S1852" s="12">
        <v>4063770.0</v>
      </c>
      <c r="T1852" s="12">
        <v>4.7147263117E10</v>
      </c>
      <c r="U1852" s="13">
        <v>2.1118</v>
      </c>
      <c r="V1852" s="13">
        <v>14.12</v>
      </c>
      <c r="W1852" s="13">
        <v>3.2288</v>
      </c>
      <c r="X1852" s="13">
        <v>0.3528</v>
      </c>
      <c r="Y1852" s="13">
        <v>4.1577</v>
      </c>
      <c r="Z1852" s="13">
        <v>0.802</v>
      </c>
      <c r="AA1852" s="8" t="s">
        <v>2611</v>
      </c>
      <c r="AB1852" s="14">
        <f>IFERROR(__xludf.DUMMYFUNCTION("IFERROR(GOOGLEFINANCE(B1852,""price""),"""")"),67.99)</f>
        <v>67.99</v>
      </c>
    </row>
    <row r="1853">
      <c r="A1853" s="15">
        <v>46097.62878326493</v>
      </c>
      <c r="B1853" s="16" t="s">
        <v>3684</v>
      </c>
      <c r="C1853" s="16" t="s">
        <v>3685</v>
      </c>
      <c r="D1853" s="17">
        <v>46103.0</v>
      </c>
      <c r="E1853" s="18">
        <v>38.915</v>
      </c>
      <c r="F1853" s="16" t="s">
        <v>917</v>
      </c>
      <c r="G1853" s="21">
        <v>24.5103</v>
      </c>
      <c r="H1853" s="21">
        <v>1.5877</v>
      </c>
      <c r="I1853" s="17">
        <v>46101.0</v>
      </c>
      <c r="J1853" s="18">
        <v>39.0</v>
      </c>
      <c r="K1853" s="16">
        <v>7092.0</v>
      </c>
      <c r="L1853" s="16" t="s">
        <v>2608</v>
      </c>
      <c r="M1853" s="19">
        <v>0.22</v>
      </c>
      <c r="N1853" s="16" t="s">
        <v>4420</v>
      </c>
      <c r="O1853" s="16">
        <v>7092.0</v>
      </c>
      <c r="P1853" s="19">
        <v>22.3075</v>
      </c>
      <c r="Q1853" s="16" t="s">
        <v>3687</v>
      </c>
      <c r="R1853" s="19">
        <v>1.0517</v>
      </c>
      <c r="S1853" s="20">
        <v>2483480.0</v>
      </c>
      <c r="T1853" s="20">
        <v>2.9237103771E10</v>
      </c>
      <c r="U1853" s="21">
        <v>0.7826</v>
      </c>
      <c r="V1853" s="21">
        <v>8.1497</v>
      </c>
      <c r="W1853" s="21">
        <v>23.6452</v>
      </c>
      <c r="X1853" s="21">
        <v>6.8542</v>
      </c>
      <c r="Y1853" s="21">
        <v>1.3003</v>
      </c>
      <c r="Z1853" s="21">
        <v>0.8647</v>
      </c>
      <c r="AA1853" s="16" t="s">
        <v>2620</v>
      </c>
      <c r="AB1853" s="22">
        <f>IFERROR(__xludf.DUMMYFUNCTION("IFERROR(GOOGLEFINANCE(B1853,""price""),"""")"),39.65)</f>
        <v>39.65</v>
      </c>
    </row>
    <row r="1854">
      <c r="A1854" s="7">
        <v>46097.62878326493</v>
      </c>
      <c r="B1854" s="8" t="s">
        <v>4421</v>
      </c>
      <c r="C1854" s="8" t="s">
        <v>4422</v>
      </c>
      <c r="D1854" s="9">
        <v>46103.0</v>
      </c>
      <c r="E1854" s="10">
        <v>251.7</v>
      </c>
      <c r="F1854" s="8" t="s">
        <v>270</v>
      </c>
      <c r="G1854" s="13">
        <v>10.345</v>
      </c>
      <c r="H1854" s="13">
        <v>24.3305</v>
      </c>
      <c r="I1854" s="9">
        <v>46101.0</v>
      </c>
      <c r="J1854" s="10">
        <v>250.0</v>
      </c>
      <c r="K1854" s="8">
        <v>2627.0</v>
      </c>
      <c r="L1854" s="8" t="s">
        <v>2608</v>
      </c>
      <c r="M1854" s="11">
        <v>0.68</v>
      </c>
      <c r="N1854" s="8" t="s">
        <v>4423</v>
      </c>
      <c r="O1854" s="8">
        <v>6502.0</v>
      </c>
      <c r="P1854" s="11">
        <v>52.0009</v>
      </c>
      <c r="Q1854" s="8" t="s">
        <v>4424</v>
      </c>
      <c r="R1854" s="11">
        <v>-0.2259</v>
      </c>
      <c r="S1854" s="12">
        <v>1514611.0</v>
      </c>
      <c r="T1854" s="12">
        <v>5.2908069849E10</v>
      </c>
      <c r="U1854" s="13">
        <v>7.4365</v>
      </c>
      <c r="V1854" s="13">
        <v>78.1695</v>
      </c>
      <c r="W1854" s="13">
        <v>27.0171</v>
      </c>
      <c r="X1854" s="13">
        <v>24.4422</v>
      </c>
      <c r="Y1854" s="13">
        <v>3.3413</v>
      </c>
      <c r="Z1854" s="13">
        <v>0.9428</v>
      </c>
      <c r="AA1854" s="8" t="s">
        <v>2611</v>
      </c>
      <c r="AB1854" s="14">
        <f>IFERROR(__xludf.DUMMYFUNCTION("IFERROR(GOOGLEFINANCE(B1854,""price""),"""")"),265.54)</f>
        <v>265.54</v>
      </c>
    </row>
    <row r="1855">
      <c r="A1855" s="15">
        <v>46097.62878326493</v>
      </c>
      <c r="B1855" s="16" t="s">
        <v>3802</v>
      </c>
      <c r="C1855" s="16" t="s">
        <v>3803</v>
      </c>
      <c r="D1855" s="17">
        <v>46103.0</v>
      </c>
      <c r="E1855" s="18">
        <v>44.825</v>
      </c>
      <c r="F1855" s="16" t="s">
        <v>270</v>
      </c>
      <c r="G1855" s="21"/>
      <c r="H1855" s="21"/>
      <c r="I1855" s="17">
        <v>46101.0</v>
      </c>
      <c r="J1855" s="18">
        <v>45.0</v>
      </c>
      <c r="K1855" s="16">
        <v>5882.0</v>
      </c>
      <c r="L1855" s="16" t="s">
        <v>2608</v>
      </c>
      <c r="M1855" s="19">
        <v>0.39</v>
      </c>
      <c r="N1855" s="16" t="s">
        <v>4425</v>
      </c>
      <c r="O1855" s="16">
        <v>5882.0</v>
      </c>
      <c r="P1855" s="19">
        <v>22.502</v>
      </c>
      <c r="Q1855" s="16" t="s">
        <v>3805</v>
      </c>
      <c r="R1855" s="19">
        <v>4.3898</v>
      </c>
      <c r="S1855" s="20">
        <v>1760709.0</v>
      </c>
      <c r="T1855" s="20">
        <v>4.689702277E9</v>
      </c>
      <c r="U1855" s="21">
        <v>1.5327</v>
      </c>
      <c r="V1855" s="21">
        <v>3.4054</v>
      </c>
      <c r="W1855" s="21">
        <v>34.4448</v>
      </c>
      <c r="X1855" s="21">
        <v>51.1384</v>
      </c>
      <c r="Y1855" s="21">
        <v>1.4965</v>
      </c>
      <c r="Z1855" s="21">
        <v>2.5453</v>
      </c>
      <c r="AA1855" s="16" t="s">
        <v>2620</v>
      </c>
      <c r="AB1855" s="22">
        <f>IFERROR(__xludf.DUMMYFUNCTION("IFERROR(GOOGLEFINANCE(B1855,""price""),"""")"),53.28)</f>
        <v>53.28</v>
      </c>
    </row>
    <row r="1856">
      <c r="A1856" s="7">
        <v>46097.62878326493</v>
      </c>
      <c r="B1856" s="8" t="s">
        <v>2344</v>
      </c>
      <c r="C1856" s="8" t="s">
        <v>2345</v>
      </c>
      <c r="D1856" s="9">
        <v>46103.0</v>
      </c>
      <c r="E1856" s="10">
        <v>73.77</v>
      </c>
      <c r="F1856" s="8" t="s">
        <v>270</v>
      </c>
      <c r="G1856" s="13">
        <v>34.5592</v>
      </c>
      <c r="H1856" s="13">
        <v>2.1346</v>
      </c>
      <c r="I1856" s="9">
        <v>46101.0</v>
      </c>
      <c r="J1856" s="10">
        <v>75.0</v>
      </c>
      <c r="K1856" s="8">
        <v>5753.0</v>
      </c>
      <c r="L1856" s="8" t="s">
        <v>2608</v>
      </c>
      <c r="M1856" s="11">
        <v>1.67</v>
      </c>
      <c r="N1856" s="8" t="s">
        <v>4426</v>
      </c>
      <c r="O1856" s="8">
        <v>5753.0</v>
      </c>
      <c r="P1856" s="11">
        <v>42.7252</v>
      </c>
      <c r="Q1856" s="8" t="s">
        <v>2346</v>
      </c>
      <c r="R1856" s="11">
        <v>0.5863</v>
      </c>
      <c r="S1856" s="12">
        <v>3870304.0</v>
      </c>
      <c r="T1856" s="12">
        <v>9.0114706151E10</v>
      </c>
      <c r="U1856" s="13">
        <v>1.5278</v>
      </c>
      <c r="V1856" s="13">
        <v>20.7424</v>
      </c>
      <c r="W1856" s="13">
        <v>35.471</v>
      </c>
      <c r="X1856" s="13">
        <v>9.774</v>
      </c>
      <c r="Y1856" s="13">
        <v>2.3069</v>
      </c>
      <c r="Z1856" s="13">
        <v>0.5313</v>
      </c>
      <c r="AA1856" s="8" t="s">
        <v>2620</v>
      </c>
      <c r="AB1856" s="14">
        <f>IFERROR(__xludf.DUMMYFUNCTION("IFERROR(GOOGLEFINANCE(B1856,""price""),"""")"),72.74)</f>
        <v>72.74</v>
      </c>
    </row>
    <row r="1857">
      <c r="A1857" s="15">
        <v>46097.62878326493</v>
      </c>
      <c r="B1857" s="16" t="s">
        <v>2692</v>
      </c>
      <c r="C1857" s="16" t="s">
        <v>2693</v>
      </c>
      <c r="D1857" s="17">
        <v>46103.0</v>
      </c>
      <c r="E1857" s="18">
        <v>241.99</v>
      </c>
      <c r="F1857" s="16" t="s">
        <v>117</v>
      </c>
      <c r="G1857" s="21">
        <v>21.9079</v>
      </c>
      <c r="H1857" s="21">
        <v>11.0458</v>
      </c>
      <c r="I1857" s="17">
        <v>46101.0</v>
      </c>
      <c r="J1857" s="18">
        <v>240.0</v>
      </c>
      <c r="K1857" s="16">
        <v>3017.0</v>
      </c>
      <c r="L1857" s="16" t="s">
        <v>2608</v>
      </c>
      <c r="M1857" s="19">
        <v>0.82</v>
      </c>
      <c r="N1857" s="16" t="s">
        <v>4427</v>
      </c>
      <c r="O1857" s="16">
        <v>5609.0</v>
      </c>
      <c r="P1857" s="19">
        <v>23.3256</v>
      </c>
      <c r="Q1857" s="16" t="s">
        <v>2695</v>
      </c>
      <c r="R1857" s="19">
        <v>0.1946</v>
      </c>
      <c r="S1857" s="20">
        <v>3774728.0</v>
      </c>
      <c r="T1857" s="20">
        <v>5.83171451366E11</v>
      </c>
      <c r="U1857" s="21">
        <v>4.1655</v>
      </c>
      <c r="V1857" s="21">
        <v>35.0301</v>
      </c>
      <c r="W1857" s="21">
        <v>27.2081</v>
      </c>
      <c r="X1857" s="21">
        <v>6.046</v>
      </c>
      <c r="Y1857" s="21">
        <v>0.605</v>
      </c>
      <c r="Z1857" s="21">
        <v>1.0277</v>
      </c>
      <c r="AA1857" s="16" t="s">
        <v>2611</v>
      </c>
      <c r="AB1857" s="22">
        <f>IFERROR(__xludf.DUMMYFUNCTION("IFERROR(GOOGLEFINANCE(B1857,""price""),"""")"),238.46)</f>
        <v>238.46</v>
      </c>
    </row>
    <row r="1858">
      <c r="A1858" s="7">
        <v>46097.62878326493</v>
      </c>
      <c r="B1858" s="8" t="s">
        <v>3944</v>
      </c>
      <c r="C1858" s="8" t="s">
        <v>3945</v>
      </c>
      <c r="D1858" s="9">
        <v>46103.0</v>
      </c>
      <c r="E1858" s="10">
        <v>133.65</v>
      </c>
      <c r="F1858" s="8" t="s">
        <v>917</v>
      </c>
      <c r="G1858" s="13">
        <v>21.1729</v>
      </c>
      <c r="H1858" s="13">
        <v>6.3123</v>
      </c>
      <c r="I1858" s="9">
        <v>46101.0</v>
      </c>
      <c r="J1858" s="10">
        <v>135.0</v>
      </c>
      <c r="K1858" s="8">
        <v>4501.0</v>
      </c>
      <c r="L1858" s="8" t="s">
        <v>2608</v>
      </c>
      <c r="M1858" s="11">
        <v>1.01</v>
      </c>
      <c r="N1858" s="8" t="s">
        <v>4428</v>
      </c>
      <c r="O1858" s="8">
        <v>4501.0</v>
      </c>
      <c r="P1858" s="11">
        <v>27.3406</v>
      </c>
      <c r="Q1858" s="8" t="s">
        <v>3947</v>
      </c>
      <c r="R1858" s="11">
        <v>0.3755</v>
      </c>
      <c r="S1858" s="12">
        <v>3116242.0</v>
      </c>
      <c r="T1858" s="12">
        <v>1.03935710811E11</v>
      </c>
      <c r="U1858" s="13">
        <v>2.1906</v>
      </c>
      <c r="V1858" s="13">
        <v>9.7422</v>
      </c>
      <c r="W1858" s="13">
        <v>26.6061</v>
      </c>
      <c r="X1858" s="13">
        <v>6.193</v>
      </c>
      <c r="Y1858" s="13">
        <v>1.7574</v>
      </c>
      <c r="Z1858" s="13">
        <v>0.5518</v>
      </c>
      <c r="AA1858" s="8" t="s">
        <v>2620</v>
      </c>
      <c r="AB1858" s="14">
        <f>IFERROR(__xludf.DUMMYFUNCTION("IFERROR(GOOGLEFINANCE(B1858,""price""),"""")"),131.79)</f>
        <v>131.79</v>
      </c>
    </row>
    <row r="1859">
      <c r="A1859" s="15">
        <v>46097.62878326493</v>
      </c>
      <c r="B1859" s="16" t="s">
        <v>3713</v>
      </c>
      <c r="C1859" s="16" t="s">
        <v>3714</v>
      </c>
      <c r="D1859" s="17">
        <v>46103.0</v>
      </c>
      <c r="E1859" s="18">
        <v>157.04</v>
      </c>
      <c r="F1859" s="16" t="s">
        <v>149</v>
      </c>
      <c r="G1859" s="21"/>
      <c r="H1859" s="21">
        <v>-0.2349</v>
      </c>
      <c r="I1859" s="17">
        <v>46101.0</v>
      </c>
      <c r="J1859" s="18">
        <v>160.0</v>
      </c>
      <c r="K1859" s="16">
        <v>2717.0</v>
      </c>
      <c r="L1859" s="16" t="s">
        <v>2608</v>
      </c>
      <c r="M1859" s="19">
        <v>1.88</v>
      </c>
      <c r="N1859" s="16" t="s">
        <v>4429</v>
      </c>
      <c r="O1859" s="16">
        <v>4178.0</v>
      </c>
      <c r="P1859" s="19">
        <v>24.4866</v>
      </c>
      <c r="Q1859" s="16" t="s">
        <v>3716</v>
      </c>
      <c r="R1859" s="19">
        <v>1.9939</v>
      </c>
      <c r="S1859" s="20">
        <v>2637693.0</v>
      </c>
      <c r="T1859" s="20">
        <v>3.6491108755E10</v>
      </c>
      <c r="U1859" s="21">
        <v>5.8684</v>
      </c>
      <c r="V1859" s="21">
        <v>-24.6827</v>
      </c>
      <c r="W1859" s="21">
        <v>5.9214</v>
      </c>
      <c r="X1859" s="21">
        <v>8.8349</v>
      </c>
      <c r="Y1859" s="21">
        <v>38.3916</v>
      </c>
      <c r="Z1859" s="21">
        <v>0.9951</v>
      </c>
      <c r="AA1859" s="16" t="s">
        <v>2620</v>
      </c>
      <c r="AB1859" s="22">
        <f>IFERROR(__xludf.DUMMYFUNCTION("IFERROR(GOOGLEFINANCE(B1859,""price""),"""")"),160.59)</f>
        <v>160.59</v>
      </c>
    </row>
    <row r="1860">
      <c r="A1860" s="7">
        <v>46097.62878326493</v>
      </c>
      <c r="B1860" s="8" t="s">
        <v>4287</v>
      </c>
      <c r="C1860" s="8" t="s">
        <v>4288</v>
      </c>
      <c r="D1860" s="9">
        <v>46103.0</v>
      </c>
      <c r="E1860" s="10">
        <v>99.075</v>
      </c>
      <c r="F1860" s="8" t="s">
        <v>917</v>
      </c>
      <c r="G1860" s="13">
        <v>25.3078</v>
      </c>
      <c r="H1860" s="13">
        <v>3.9148</v>
      </c>
      <c r="I1860" s="9">
        <v>46101.0</v>
      </c>
      <c r="J1860" s="10">
        <v>97.5</v>
      </c>
      <c r="K1860" s="8">
        <v>2422.0</v>
      </c>
      <c r="L1860" s="8" t="s">
        <v>2608</v>
      </c>
      <c r="M1860" s="11">
        <v>1.59</v>
      </c>
      <c r="N1860" s="8" t="s">
        <v>4430</v>
      </c>
      <c r="O1860" s="8">
        <v>3803.0</v>
      </c>
      <c r="P1860" s="11">
        <v>28.3776</v>
      </c>
      <c r="Q1860" s="8" t="s">
        <v>4290</v>
      </c>
      <c r="R1860" s="11">
        <v>1.0866</v>
      </c>
      <c r="S1860" s="12">
        <v>2907302.0</v>
      </c>
      <c r="T1860" s="12">
        <v>1.1090368906E11</v>
      </c>
      <c r="U1860" s="13">
        <v>1.6716</v>
      </c>
      <c r="V1860" s="13">
        <v>12.5419</v>
      </c>
      <c r="W1860" s="13">
        <v>24.7056</v>
      </c>
      <c r="X1860" s="13">
        <v>10.5822</v>
      </c>
      <c r="Y1860" s="13">
        <v>2.0567</v>
      </c>
      <c r="Z1860" s="13">
        <v>0.6464</v>
      </c>
      <c r="AA1860" s="8" t="s">
        <v>2611</v>
      </c>
      <c r="AB1860" s="14">
        <f>IFERROR(__xludf.DUMMYFUNCTION("IFERROR(GOOGLEFINANCE(B1860,""price""),"""")"),97.15)</f>
        <v>97.15</v>
      </c>
    </row>
    <row r="1861">
      <c r="A1861" s="15">
        <v>46097.62878326493</v>
      </c>
      <c r="B1861" s="16" t="s">
        <v>4218</v>
      </c>
      <c r="C1861" s="16" t="s">
        <v>4219</v>
      </c>
      <c r="D1861" s="17">
        <v>46103.0</v>
      </c>
      <c r="E1861" s="18">
        <v>122.13</v>
      </c>
      <c r="F1861" s="16" t="s">
        <v>107</v>
      </c>
      <c r="G1861" s="21">
        <v>13.5807</v>
      </c>
      <c r="H1861" s="21">
        <v>8.9929</v>
      </c>
      <c r="I1861" s="17">
        <v>46101.0</v>
      </c>
      <c r="J1861" s="18">
        <v>120.0</v>
      </c>
      <c r="K1861" s="16">
        <v>3092.0</v>
      </c>
      <c r="L1861" s="16" t="s">
        <v>2608</v>
      </c>
      <c r="M1861" s="19">
        <v>1.74</v>
      </c>
      <c r="N1861" s="16" t="s">
        <v>4431</v>
      </c>
      <c r="O1861" s="16">
        <v>3092.0</v>
      </c>
      <c r="P1861" s="19">
        <v>43.9802</v>
      </c>
      <c r="Q1861" s="16" t="s">
        <v>4221</v>
      </c>
      <c r="R1861" s="19">
        <v>-5.7421</v>
      </c>
      <c r="S1861" s="20">
        <v>6307686.0</v>
      </c>
      <c r="T1861" s="20">
        <v>1.8767574443E10</v>
      </c>
      <c r="U1861" s="21">
        <v>6.9825</v>
      </c>
      <c r="V1861" s="21">
        <v>29.6244</v>
      </c>
      <c r="W1861" s="21">
        <v>37.1118</v>
      </c>
      <c r="X1861" s="21">
        <v>19.3396</v>
      </c>
      <c r="Y1861" s="21">
        <v>0.7516</v>
      </c>
      <c r="Z1861" s="21">
        <v>3.3653</v>
      </c>
      <c r="AA1861" s="16" t="s">
        <v>2611</v>
      </c>
      <c r="AB1861" s="22">
        <f>IFERROR(__xludf.DUMMYFUNCTION("IFERROR(GOOGLEFINANCE(B1861,""price""),"""")"),121.32)</f>
        <v>121.32</v>
      </c>
    </row>
    <row r="1862">
      <c r="A1862" s="7">
        <v>46097.62878326493</v>
      </c>
      <c r="B1862" s="8" t="s">
        <v>2843</v>
      </c>
      <c r="C1862" s="8" t="s">
        <v>2844</v>
      </c>
      <c r="D1862" s="9">
        <v>46103.0</v>
      </c>
      <c r="E1862" s="10">
        <v>205.615</v>
      </c>
      <c r="F1862" s="8" t="s">
        <v>308</v>
      </c>
      <c r="G1862" s="13">
        <v>41.4346</v>
      </c>
      <c r="H1862" s="13">
        <v>4.9624</v>
      </c>
      <c r="I1862" s="9">
        <v>46101.0</v>
      </c>
      <c r="J1862" s="10">
        <v>205.0</v>
      </c>
      <c r="K1862" s="8">
        <v>1495.0</v>
      </c>
      <c r="L1862" s="8" t="s">
        <v>2608</v>
      </c>
      <c r="M1862" s="11">
        <v>0.3</v>
      </c>
      <c r="N1862" s="8" t="s">
        <v>4432</v>
      </c>
      <c r="O1862" s="8">
        <v>2931.0</v>
      </c>
      <c r="P1862" s="11">
        <v>16.394</v>
      </c>
      <c r="Q1862" s="8" t="s">
        <v>2846</v>
      </c>
      <c r="R1862" s="11">
        <v>0.5354</v>
      </c>
      <c r="S1862" s="12">
        <v>3182691.0</v>
      </c>
      <c r="T1862" s="12">
        <v>2.75994470158E11</v>
      </c>
      <c r="U1862" s="13">
        <v>5.4105</v>
      </c>
      <c r="V1862" s="13">
        <v>10.7368</v>
      </c>
      <c r="W1862" s="13">
        <v>10.0301</v>
      </c>
      <c r="X1862" s="13">
        <v>9.7414</v>
      </c>
      <c r="Y1862" s="13">
        <v>0.6124</v>
      </c>
      <c r="Z1862" s="13">
        <v>0.9804</v>
      </c>
      <c r="AA1862" s="8" t="s">
        <v>2611</v>
      </c>
      <c r="AB1862" s="14">
        <f>IFERROR(__xludf.DUMMYFUNCTION("IFERROR(GOOGLEFINANCE(B1862,""price""),"""")"),201.56)</f>
        <v>201.56</v>
      </c>
    </row>
    <row r="1863">
      <c r="A1863" s="15">
        <v>46097.62878326493</v>
      </c>
      <c r="B1863" s="16" t="s">
        <v>2768</v>
      </c>
      <c r="C1863" s="16" t="s">
        <v>2769</v>
      </c>
      <c r="D1863" s="17">
        <v>46103.0</v>
      </c>
      <c r="E1863" s="18">
        <v>284.0565</v>
      </c>
      <c r="F1863" s="16" t="s">
        <v>308</v>
      </c>
      <c r="G1863" s="21">
        <v>28.5177</v>
      </c>
      <c r="H1863" s="21">
        <v>9.9607</v>
      </c>
      <c r="I1863" s="17">
        <v>46101.0</v>
      </c>
      <c r="J1863" s="18">
        <v>280.0</v>
      </c>
      <c r="K1863" s="16">
        <v>1839.0</v>
      </c>
      <c r="L1863" s="16" t="s">
        <v>2608</v>
      </c>
      <c r="M1863" s="19">
        <v>1.43</v>
      </c>
      <c r="N1863" s="16" t="s">
        <v>4433</v>
      </c>
      <c r="O1863" s="16">
        <v>2878.0</v>
      </c>
      <c r="P1863" s="19">
        <v>17.6593</v>
      </c>
      <c r="Q1863" s="16" t="s">
        <v>2771</v>
      </c>
      <c r="R1863" s="19">
        <v>4.3213</v>
      </c>
      <c r="S1863" s="20">
        <v>6697733.0</v>
      </c>
      <c r="T1863" s="20">
        <v>9.6305931737E10</v>
      </c>
      <c r="U1863" s="21">
        <v>18.9683</v>
      </c>
      <c r="V1863" s="21">
        <v>41.2731</v>
      </c>
      <c r="W1863" s="21">
        <v>27.8834</v>
      </c>
      <c r="X1863" s="21">
        <v>-31.1967</v>
      </c>
      <c r="Y1863" s="21">
        <v>0.7076</v>
      </c>
      <c r="Z1863" s="21">
        <v>1.455</v>
      </c>
      <c r="AA1863" s="16" t="s">
        <v>2611</v>
      </c>
      <c r="AB1863" s="22">
        <f>IFERROR(__xludf.DUMMYFUNCTION("IFERROR(GOOGLEFINANCE(B1863,""price""),"""")"),343.43)</f>
        <v>343.43</v>
      </c>
    </row>
    <row r="1864">
      <c r="A1864" s="7">
        <v>46097.62878326493</v>
      </c>
      <c r="B1864" s="8" t="s">
        <v>2297</v>
      </c>
      <c r="C1864" s="8" t="s">
        <v>2298</v>
      </c>
      <c r="D1864" s="9">
        <v>46103.0</v>
      </c>
      <c r="E1864" s="10">
        <v>106.285</v>
      </c>
      <c r="F1864" s="8" t="s">
        <v>917</v>
      </c>
      <c r="G1864" s="13">
        <v>27.1662</v>
      </c>
      <c r="H1864" s="13">
        <v>3.9124</v>
      </c>
      <c r="I1864" s="9">
        <v>46101.0</v>
      </c>
      <c r="J1864" s="10">
        <v>105.0</v>
      </c>
      <c r="K1864" s="8">
        <v>2246.0</v>
      </c>
      <c r="L1864" s="8" t="s">
        <v>2608</v>
      </c>
      <c r="M1864" s="11">
        <v>1.21</v>
      </c>
      <c r="N1864" s="8" t="s">
        <v>4434</v>
      </c>
      <c r="O1864" s="8">
        <v>2246.0</v>
      </c>
      <c r="P1864" s="11">
        <v>26.6813</v>
      </c>
      <c r="Q1864" s="8" t="s">
        <v>2299</v>
      </c>
      <c r="R1864" s="11">
        <v>0.6677</v>
      </c>
      <c r="S1864" s="12">
        <v>1169072.0</v>
      </c>
      <c r="T1864" s="12">
        <v>4.8146025729E10</v>
      </c>
      <c r="U1864" s="13">
        <v>2.059</v>
      </c>
      <c r="V1864" s="13">
        <v>10.931</v>
      </c>
      <c r="W1864" s="13">
        <v>22.9697</v>
      </c>
      <c r="X1864" s="13">
        <v>8.3782</v>
      </c>
      <c r="Y1864" s="13">
        <v>1.8276</v>
      </c>
      <c r="Z1864" s="13">
        <v>0.7243</v>
      </c>
      <c r="AA1864" s="8" t="s">
        <v>2611</v>
      </c>
      <c r="AB1864" s="14">
        <f>IFERROR(__xludf.DUMMYFUNCTION("IFERROR(GOOGLEFINANCE(B1864,""price""),"""")"),116.47)</f>
        <v>116.47</v>
      </c>
    </row>
    <row r="1865">
      <c r="A1865" s="15">
        <v>46097.62878326493</v>
      </c>
      <c r="B1865" s="16" t="s">
        <v>3141</v>
      </c>
      <c r="C1865" s="16" t="s">
        <v>3142</v>
      </c>
      <c r="D1865" s="17">
        <v>46103.0</v>
      </c>
      <c r="E1865" s="18">
        <v>330.45</v>
      </c>
      <c r="F1865" s="16" t="s">
        <v>93</v>
      </c>
      <c r="G1865" s="21">
        <v>12.8472</v>
      </c>
      <c r="H1865" s="21">
        <v>25.7215</v>
      </c>
      <c r="I1865" s="17">
        <v>46101.0</v>
      </c>
      <c r="J1865" s="18">
        <v>330.0</v>
      </c>
      <c r="K1865" s="16">
        <v>2241.0</v>
      </c>
      <c r="L1865" s="16" t="s">
        <v>2608</v>
      </c>
      <c r="M1865" s="19">
        <v>0.14</v>
      </c>
      <c r="N1865" s="16" t="s">
        <v>4435</v>
      </c>
      <c r="O1865" s="16">
        <v>2241.0</v>
      </c>
      <c r="P1865" s="19">
        <v>23.4215</v>
      </c>
      <c r="Q1865" s="16" t="s">
        <v>3144</v>
      </c>
      <c r="R1865" s="19">
        <v>0.4499</v>
      </c>
      <c r="S1865" s="20">
        <v>1155891.0</v>
      </c>
      <c r="T1865" s="20">
        <v>1.28927234136E11</v>
      </c>
      <c r="U1865" s="21">
        <v>6.4116</v>
      </c>
      <c r="V1865" s="21">
        <v>14.9661</v>
      </c>
      <c r="W1865" s="21">
        <v>21.219</v>
      </c>
      <c r="X1865" s="21">
        <v>6.9804</v>
      </c>
      <c r="Y1865" s="21">
        <v>0.3008</v>
      </c>
      <c r="Z1865" s="21">
        <v>0.3807</v>
      </c>
      <c r="AA1865" s="16" t="s">
        <v>2611</v>
      </c>
      <c r="AB1865" s="22">
        <f>IFERROR(__xludf.DUMMYFUNCTION("IFERROR(GOOGLEFINANCE(B1865,""price""),"""")"),327.91)</f>
        <v>327.91</v>
      </c>
    </row>
    <row r="1866">
      <c r="A1866" s="7">
        <v>46097.62878326493</v>
      </c>
      <c r="B1866" s="8" t="s">
        <v>2710</v>
      </c>
      <c r="C1866" s="8" t="s">
        <v>2711</v>
      </c>
      <c r="D1866" s="9">
        <v>46103.0</v>
      </c>
      <c r="E1866" s="10">
        <v>134.34</v>
      </c>
      <c r="F1866" s="8" t="s">
        <v>917</v>
      </c>
      <c r="G1866" s="13">
        <v>20.1715</v>
      </c>
      <c r="H1866" s="13">
        <v>6.6599</v>
      </c>
      <c r="I1866" s="9">
        <v>46101.0</v>
      </c>
      <c r="J1866" s="10">
        <v>135.0</v>
      </c>
      <c r="K1866" s="8">
        <v>2095.0</v>
      </c>
      <c r="L1866" s="8" t="s">
        <v>2608</v>
      </c>
      <c r="M1866" s="11">
        <v>0.49</v>
      </c>
      <c r="N1866" s="8" t="s">
        <v>4436</v>
      </c>
      <c r="O1866" s="8">
        <v>2095.0</v>
      </c>
      <c r="P1866" s="11">
        <v>39.7976</v>
      </c>
      <c r="Q1866" s="8" t="s">
        <v>2713</v>
      </c>
      <c r="R1866" s="11">
        <v>0.5464</v>
      </c>
      <c r="S1866" s="12">
        <v>1775626.0</v>
      </c>
      <c r="T1866" s="12">
        <v>7.2659335751E10</v>
      </c>
      <c r="U1866" s="13">
        <v>2.3714</v>
      </c>
      <c r="V1866" s="13">
        <v>12.3274</v>
      </c>
      <c r="W1866" s="13">
        <v>25.0742</v>
      </c>
      <c r="X1866" s="13">
        <v>10.4587</v>
      </c>
      <c r="Y1866" s="13">
        <v>1.5949</v>
      </c>
      <c r="Z1866" s="13">
        <v>0.4546</v>
      </c>
      <c r="AA1866" s="8" t="s">
        <v>2620</v>
      </c>
      <c r="AB1866" s="14">
        <f>IFERROR(__xludf.DUMMYFUNCTION("IFERROR(GOOGLEFINANCE(B1866,""price""),"""")"),136.3)</f>
        <v>136.3</v>
      </c>
    </row>
    <row r="1867">
      <c r="A1867" s="15">
        <v>46097.62878326493</v>
      </c>
      <c r="B1867" s="16" t="s">
        <v>3291</v>
      </c>
      <c r="C1867" s="16" t="s">
        <v>3292</v>
      </c>
      <c r="D1867" s="17">
        <v>46103.0</v>
      </c>
      <c r="E1867" s="18">
        <v>236.2005</v>
      </c>
      <c r="F1867" s="16" t="s">
        <v>270</v>
      </c>
      <c r="G1867" s="21">
        <v>35.2612</v>
      </c>
      <c r="H1867" s="21">
        <v>6.6986</v>
      </c>
      <c r="I1867" s="17">
        <v>46101.0</v>
      </c>
      <c r="J1867" s="18">
        <v>240.0</v>
      </c>
      <c r="K1867" s="16">
        <v>1896.0</v>
      </c>
      <c r="L1867" s="16" t="s">
        <v>2608</v>
      </c>
      <c r="M1867" s="19">
        <v>1.61</v>
      </c>
      <c r="N1867" s="16" t="s">
        <v>4437</v>
      </c>
      <c r="O1867" s="16">
        <v>1896.0</v>
      </c>
      <c r="P1867" s="19">
        <v>24.107</v>
      </c>
      <c r="Q1867" s="16" t="s">
        <v>3294</v>
      </c>
      <c r="R1867" s="19">
        <v>-0.9766</v>
      </c>
      <c r="S1867" s="20">
        <v>1229413.0</v>
      </c>
      <c r="T1867" s="20">
        <v>9.5268113577E10</v>
      </c>
      <c r="U1867" s="21">
        <v>5.0841</v>
      </c>
      <c r="V1867" s="21">
        <v>29.6897</v>
      </c>
      <c r="W1867" s="21">
        <v>18.2788</v>
      </c>
      <c r="X1867" s="21">
        <v>14.2365</v>
      </c>
      <c r="Y1867" s="21">
        <v>2.3941</v>
      </c>
      <c r="Z1867" s="21">
        <v>0.8888</v>
      </c>
      <c r="AA1867" s="16" t="s">
        <v>2620</v>
      </c>
      <c r="AB1867" s="22">
        <f>IFERROR(__xludf.DUMMYFUNCTION("IFERROR(GOOGLEFINANCE(B1867,""price""),"""")"),229.45)</f>
        <v>229.45</v>
      </c>
    </row>
    <row r="1868">
      <c r="A1868" s="7">
        <v>46097.62878326493</v>
      </c>
      <c r="B1868" s="8" t="s">
        <v>4438</v>
      </c>
      <c r="C1868" s="8" t="s">
        <v>4439</v>
      </c>
      <c r="D1868" s="9">
        <v>46103.0</v>
      </c>
      <c r="E1868" s="10">
        <v>56.44</v>
      </c>
      <c r="F1868" s="8" t="s">
        <v>245</v>
      </c>
      <c r="G1868" s="13">
        <v>18.4432</v>
      </c>
      <c r="H1868" s="13">
        <v>3.0602</v>
      </c>
      <c r="I1868" s="9">
        <v>46101.0</v>
      </c>
      <c r="J1868" s="10">
        <v>57.5</v>
      </c>
      <c r="K1868" s="8">
        <v>1835.0</v>
      </c>
      <c r="L1868" s="8" t="s">
        <v>2608</v>
      </c>
      <c r="M1868" s="11">
        <v>1.88</v>
      </c>
      <c r="N1868" s="8" t="s">
        <v>4440</v>
      </c>
      <c r="O1868" s="8">
        <v>1835.0</v>
      </c>
      <c r="P1868" s="11">
        <v>19.2384</v>
      </c>
      <c r="Q1868" s="8" t="s">
        <v>4441</v>
      </c>
      <c r="R1868" s="11">
        <v>1.274</v>
      </c>
      <c r="S1868" s="12">
        <v>1703047.0</v>
      </c>
      <c r="T1868" s="12">
        <v>1.0174618949E10</v>
      </c>
      <c r="U1868" s="13">
        <v>2.564</v>
      </c>
      <c r="V1868" s="13">
        <v>6.2073</v>
      </c>
      <c r="W1868" s="13">
        <v>3.4166</v>
      </c>
      <c r="X1868" s="13">
        <v>-6.0035</v>
      </c>
      <c r="Y1868" s="13">
        <v>0.3519</v>
      </c>
      <c r="Z1868" s="13">
        <v>1.9364</v>
      </c>
      <c r="AA1868" s="8" t="s">
        <v>2620</v>
      </c>
      <c r="AB1868" s="14">
        <f>IFERROR(__xludf.DUMMYFUNCTION("IFERROR(GOOGLEFINANCE(B1868,""price""),"""")"),57.51)</f>
        <v>57.51</v>
      </c>
    </row>
    <row r="1869">
      <c r="A1869" s="15">
        <v>46097.62878326493</v>
      </c>
      <c r="B1869" s="16" t="s">
        <v>2188</v>
      </c>
      <c r="C1869" s="16" t="s">
        <v>2189</v>
      </c>
      <c r="D1869" s="17">
        <v>46103.0</v>
      </c>
      <c r="E1869" s="18">
        <v>497.0</v>
      </c>
      <c r="F1869" s="16" t="s">
        <v>107</v>
      </c>
      <c r="G1869" s="21">
        <v>34.0474</v>
      </c>
      <c r="H1869" s="21">
        <v>14.5973</v>
      </c>
      <c r="I1869" s="17">
        <v>46101.0</v>
      </c>
      <c r="J1869" s="18">
        <v>490.0</v>
      </c>
      <c r="K1869" s="16">
        <v>1381.0</v>
      </c>
      <c r="L1869" s="16" t="s">
        <v>2608</v>
      </c>
      <c r="M1869" s="19">
        <v>1.41</v>
      </c>
      <c r="N1869" s="16" t="s">
        <v>4442</v>
      </c>
      <c r="O1869" s="16">
        <v>1381.0</v>
      </c>
      <c r="P1869" s="19">
        <v>26.9521</v>
      </c>
      <c r="Q1869" s="16" t="s">
        <v>2190</v>
      </c>
      <c r="R1869" s="19">
        <v>0.6236</v>
      </c>
      <c r="S1869" s="20">
        <v>1284529.0</v>
      </c>
      <c r="T1869" s="20">
        <v>2.30306906285E11</v>
      </c>
      <c r="U1869" s="21">
        <v>9.9899</v>
      </c>
      <c r="V1869" s="21">
        <v>18.0725</v>
      </c>
      <c r="W1869" s="21">
        <v>27.2289</v>
      </c>
      <c r="X1869" s="21">
        <v>2.9723</v>
      </c>
      <c r="Y1869" s="21">
        <v>0.7339</v>
      </c>
      <c r="Z1869" s="21">
        <v>0.8768</v>
      </c>
      <c r="AA1869" s="16" t="s">
        <v>2611</v>
      </c>
      <c r="AB1869" s="22">
        <f>IFERROR(__xludf.DUMMYFUNCTION("IFERROR(GOOGLEFINANCE(B1869,""price""),"""")"),503.15)</f>
        <v>503.15</v>
      </c>
    </row>
    <row r="1870">
      <c r="A1870" s="7">
        <v>46097.62878326493</v>
      </c>
      <c r="B1870" s="8" t="s">
        <v>3100</v>
      </c>
      <c r="C1870" s="8" t="s">
        <v>3101</v>
      </c>
      <c r="D1870" s="9">
        <v>46103.0</v>
      </c>
      <c r="E1870" s="10">
        <v>364.66</v>
      </c>
      <c r="F1870" s="8" t="s">
        <v>308</v>
      </c>
      <c r="G1870" s="13">
        <v>231.5743</v>
      </c>
      <c r="H1870" s="13">
        <v>1.5747</v>
      </c>
      <c r="I1870" s="9">
        <v>46101.0</v>
      </c>
      <c r="J1870" s="10">
        <v>357.5</v>
      </c>
      <c r="K1870" s="8">
        <v>1031.0</v>
      </c>
      <c r="L1870" s="8" t="s">
        <v>2608</v>
      </c>
      <c r="M1870" s="11">
        <v>1.96</v>
      </c>
      <c r="N1870" s="8" t="s">
        <v>4443</v>
      </c>
      <c r="O1870" s="8">
        <v>1031.0</v>
      </c>
      <c r="P1870" s="11">
        <v>17.4334</v>
      </c>
      <c r="Q1870" s="8" t="s">
        <v>3103</v>
      </c>
      <c r="R1870" s="11">
        <v>8.0858</v>
      </c>
      <c r="S1870" s="12">
        <v>2707152.0</v>
      </c>
      <c r="T1870" s="12">
        <v>5.1562349401E10</v>
      </c>
      <c r="U1870" s="13">
        <v>24.4541</v>
      </c>
      <c r="V1870" s="13">
        <v>8.2012</v>
      </c>
      <c r="W1870" s="13">
        <v>8.1924</v>
      </c>
      <c r="X1870" s="13">
        <v>26.5411</v>
      </c>
      <c r="Y1870" s="13">
        <v>0.5689</v>
      </c>
      <c r="Z1870" s="13">
        <v>2.8139</v>
      </c>
      <c r="AA1870" s="8" t="s">
        <v>2611</v>
      </c>
      <c r="AB1870" s="14">
        <f>IFERROR(__xludf.DUMMYFUNCTION("IFERROR(GOOGLEFINANCE(B1870,""price""),"""")"),496.02)</f>
        <v>496.02</v>
      </c>
    </row>
    <row r="1871">
      <c r="A1871" s="15">
        <v>46097.62878326493</v>
      </c>
      <c r="B1871" s="16" t="s">
        <v>2680</v>
      </c>
      <c r="C1871" s="16" t="s">
        <v>2681</v>
      </c>
      <c r="D1871" s="17">
        <v>46103.0</v>
      </c>
      <c r="E1871" s="18">
        <v>232.46</v>
      </c>
      <c r="F1871" s="16" t="s">
        <v>245</v>
      </c>
      <c r="G1871" s="21">
        <v>30.3977</v>
      </c>
      <c r="H1871" s="21">
        <v>7.6473</v>
      </c>
      <c r="I1871" s="17">
        <v>46101.0</v>
      </c>
      <c r="J1871" s="18">
        <v>235.0</v>
      </c>
      <c r="K1871" s="16">
        <v>1004.0</v>
      </c>
      <c r="L1871" s="16" t="s">
        <v>2608</v>
      </c>
      <c r="M1871" s="19">
        <v>1.09</v>
      </c>
      <c r="N1871" s="16" t="s">
        <v>4444</v>
      </c>
      <c r="O1871" s="16">
        <v>1004.0</v>
      </c>
      <c r="P1871" s="19">
        <v>50.5378</v>
      </c>
      <c r="Q1871" s="16" t="s">
        <v>2683</v>
      </c>
      <c r="R1871" s="19">
        <v>0.811</v>
      </c>
      <c r="S1871" s="20">
        <v>1998429.0</v>
      </c>
      <c r="T1871" s="20">
        <v>6.9511632741E10</v>
      </c>
      <c r="U1871" s="21">
        <v>7.9171</v>
      </c>
      <c r="V1871" s="21">
        <v>9.6938</v>
      </c>
      <c r="W1871" s="21">
        <v>3.5855</v>
      </c>
      <c r="X1871" s="21">
        <v>-5.443</v>
      </c>
      <c r="Y1871" s="21">
        <v>0.4933</v>
      </c>
      <c r="Z1871" s="21">
        <v>1.645</v>
      </c>
      <c r="AA1871" s="16" t="s">
        <v>2620</v>
      </c>
      <c r="AB1871" s="22">
        <f>IFERROR(__xludf.DUMMYFUNCTION("IFERROR(GOOGLEFINANCE(B1871,""price""),"""")"),238.82)</f>
        <v>238.82</v>
      </c>
    </row>
    <row r="1872">
      <c r="A1872" s="7">
        <v>46097.66891447655</v>
      </c>
      <c r="B1872" s="8" t="s">
        <v>2399</v>
      </c>
      <c r="C1872" s="8" t="s">
        <v>2400</v>
      </c>
      <c r="D1872" s="9">
        <v>46103.0</v>
      </c>
      <c r="E1872" s="10">
        <v>18.74</v>
      </c>
      <c r="F1872" s="8" t="s">
        <v>270</v>
      </c>
      <c r="G1872" s="13">
        <v>15.5107</v>
      </c>
      <c r="H1872" s="13">
        <v>1.2082</v>
      </c>
      <c r="I1872" s="9">
        <v>46101.0</v>
      </c>
      <c r="J1872" s="10">
        <v>19.0</v>
      </c>
      <c r="K1872" s="8">
        <v>67268.0</v>
      </c>
      <c r="L1872" s="8" t="s">
        <v>2608</v>
      </c>
      <c r="M1872" s="11">
        <v>1.39</v>
      </c>
      <c r="N1872" s="8" t="s">
        <v>4407</v>
      </c>
      <c r="O1872" s="8">
        <v>75721.0</v>
      </c>
      <c r="P1872" s="11">
        <v>23.2943</v>
      </c>
      <c r="Q1872" s="8" t="s">
        <v>2401</v>
      </c>
      <c r="R1872" s="11">
        <v>-0.0533</v>
      </c>
      <c r="S1872" s="12">
        <v>1.3506515E7</v>
      </c>
      <c r="T1872" s="12">
        <v>6.4471492851E10</v>
      </c>
      <c r="U1872" s="13">
        <v>0.3486</v>
      </c>
      <c r="V1872" s="13">
        <v>12.7475</v>
      </c>
      <c r="W1872" s="13">
        <v>10.8866</v>
      </c>
      <c r="X1872" s="13">
        <v>3.4655</v>
      </c>
      <c r="Y1872" s="13">
        <v>2.0395</v>
      </c>
      <c r="Z1872" s="13">
        <v>1.2192</v>
      </c>
      <c r="AA1872" s="8" t="s">
        <v>2620</v>
      </c>
      <c r="AB1872" s="14">
        <f>IFERROR(__xludf.DUMMYFUNCTION("IFERROR(GOOGLEFINANCE(B1872,""price""),"""")"),19.19)</f>
        <v>19.19</v>
      </c>
    </row>
    <row r="1873">
      <c r="A1873" s="15">
        <v>46097.66891447655</v>
      </c>
      <c r="B1873" s="16" t="s">
        <v>2638</v>
      </c>
      <c r="C1873" s="16" t="s">
        <v>2639</v>
      </c>
      <c r="D1873" s="17">
        <v>46103.0</v>
      </c>
      <c r="E1873" s="18">
        <v>157.23</v>
      </c>
      <c r="F1873" s="16" t="s">
        <v>245</v>
      </c>
      <c r="G1873" s="21">
        <v>23.4854</v>
      </c>
      <c r="H1873" s="21">
        <v>6.6948</v>
      </c>
      <c r="I1873" s="17">
        <v>46101.0</v>
      </c>
      <c r="J1873" s="18">
        <v>160.0</v>
      </c>
      <c r="K1873" s="16">
        <v>16284.0</v>
      </c>
      <c r="L1873" s="16" t="s">
        <v>2608</v>
      </c>
      <c r="M1873" s="19">
        <v>1.76</v>
      </c>
      <c r="N1873" s="16" t="s">
        <v>4408</v>
      </c>
      <c r="O1873" s="16">
        <v>37295.0</v>
      </c>
      <c r="P1873" s="19">
        <v>34.9489</v>
      </c>
      <c r="Q1873" s="16" t="s">
        <v>2641</v>
      </c>
      <c r="R1873" s="19">
        <v>0.711</v>
      </c>
      <c r="S1873" s="20">
        <v>2.2229778E7</v>
      </c>
      <c r="T1873" s="20">
        <v>6.55140231639E11</v>
      </c>
      <c r="U1873" s="21">
        <v>3.8142</v>
      </c>
      <c r="V1873" s="21">
        <v>11.0283</v>
      </c>
      <c r="W1873" s="21">
        <v>10.3419</v>
      </c>
      <c r="X1873" s="21">
        <v>-4.856</v>
      </c>
      <c r="Y1873" s="21">
        <v>0.1871</v>
      </c>
      <c r="Z1873" s="21">
        <v>1.1528</v>
      </c>
      <c r="AA1873" s="16" t="s">
        <v>2620</v>
      </c>
      <c r="AB1873" s="22">
        <f>IFERROR(__xludf.DUMMYFUNCTION("IFERROR(GOOGLEFINANCE(B1873,""price""),"""")"),152.51)</f>
        <v>152.51</v>
      </c>
    </row>
    <row r="1874">
      <c r="A1874" s="7">
        <v>46097.66891447655</v>
      </c>
      <c r="B1874" s="8" t="s">
        <v>2625</v>
      </c>
      <c r="C1874" s="8" t="s">
        <v>2626</v>
      </c>
      <c r="D1874" s="9">
        <v>46103.0</v>
      </c>
      <c r="E1874" s="10">
        <v>125.99</v>
      </c>
      <c r="F1874" s="8" t="s">
        <v>137</v>
      </c>
      <c r="G1874" s="13">
        <v>46.1553</v>
      </c>
      <c r="H1874" s="13">
        <v>2.7297</v>
      </c>
      <c r="I1874" s="9">
        <v>46101.0</v>
      </c>
      <c r="J1874" s="10">
        <v>125.0</v>
      </c>
      <c r="K1874" s="8">
        <v>14968.0</v>
      </c>
      <c r="L1874" s="8" t="s">
        <v>2608</v>
      </c>
      <c r="M1874" s="11">
        <v>0.79</v>
      </c>
      <c r="N1874" s="8" t="s">
        <v>4409</v>
      </c>
      <c r="O1874" s="8">
        <v>32973.0</v>
      </c>
      <c r="P1874" s="11">
        <v>15.6699</v>
      </c>
      <c r="Q1874" s="8" t="s">
        <v>2629</v>
      </c>
      <c r="R1874" s="11">
        <v>-0.4189</v>
      </c>
      <c r="S1874" s="12">
        <v>2.0336492E7</v>
      </c>
      <c r="T1874" s="12">
        <v>1.004161312702E12</v>
      </c>
      <c r="U1874" s="13">
        <v>2.9777</v>
      </c>
      <c r="V1874" s="13">
        <v>22.9691</v>
      </c>
      <c r="W1874" s="13">
        <v>4.1821</v>
      </c>
      <c r="X1874" s="13">
        <v>4.7252</v>
      </c>
      <c r="Y1874" s="13">
        <v>0.6735</v>
      </c>
      <c r="Z1874" s="13">
        <v>0.7898</v>
      </c>
      <c r="AA1874" s="8" t="s">
        <v>2611</v>
      </c>
      <c r="AB1874" s="14">
        <f>IFERROR(__xludf.DUMMYFUNCTION("IFERROR(GOOGLEFINANCE(B1874,""price""),"""")"),126.79)</f>
        <v>126.79</v>
      </c>
    </row>
    <row r="1875">
      <c r="A1875" s="15">
        <v>46097.66891447655</v>
      </c>
      <c r="B1875" s="16" t="s">
        <v>4359</v>
      </c>
      <c r="C1875" s="16" t="s">
        <v>4360</v>
      </c>
      <c r="D1875" s="17">
        <v>46103.0</v>
      </c>
      <c r="E1875" s="18">
        <v>91.58</v>
      </c>
      <c r="F1875" s="16" t="s">
        <v>308</v>
      </c>
      <c r="G1875" s="21">
        <v>29.628</v>
      </c>
      <c r="H1875" s="21">
        <v>3.091</v>
      </c>
      <c r="I1875" s="17">
        <v>46101.0</v>
      </c>
      <c r="J1875" s="18">
        <v>90.0</v>
      </c>
      <c r="K1875" s="16">
        <v>11617.0</v>
      </c>
      <c r="L1875" s="16" t="s">
        <v>2608</v>
      </c>
      <c r="M1875" s="19">
        <v>1.73</v>
      </c>
      <c r="N1875" s="16" t="s">
        <v>4410</v>
      </c>
      <c r="O1875" s="16">
        <v>28048.0</v>
      </c>
      <c r="P1875" s="19">
        <v>18.7347</v>
      </c>
      <c r="Q1875" s="16" t="s">
        <v>4362</v>
      </c>
      <c r="R1875" s="19">
        <v>4.234</v>
      </c>
      <c r="S1875" s="20">
        <v>1.5707918E7</v>
      </c>
      <c r="T1875" s="20">
        <v>8.0068393438E10</v>
      </c>
      <c r="U1875" s="21">
        <v>4.5715</v>
      </c>
      <c r="V1875" s="21">
        <v>19.2541</v>
      </c>
      <c r="W1875" s="21">
        <v>16.3327</v>
      </c>
      <c r="X1875" s="21">
        <v>42.0873</v>
      </c>
      <c r="Y1875" s="21">
        <v>0.3519</v>
      </c>
      <c r="Z1875" s="21">
        <v>2.0061</v>
      </c>
      <c r="AA1875" s="16" t="s">
        <v>2611</v>
      </c>
      <c r="AB1875" s="22">
        <f>IFERROR(__xludf.DUMMYFUNCTION("IFERROR(GOOGLEFINANCE(B1875,""price""),"""")"),128.49)</f>
        <v>128.49</v>
      </c>
    </row>
    <row r="1876">
      <c r="A1876" s="7">
        <v>46097.66891447655</v>
      </c>
      <c r="B1876" s="8" t="s">
        <v>2634</v>
      </c>
      <c r="C1876" s="8" t="s">
        <v>2635</v>
      </c>
      <c r="D1876" s="9">
        <v>46103.0</v>
      </c>
      <c r="E1876" s="10">
        <v>196.84</v>
      </c>
      <c r="F1876" s="8" t="s">
        <v>245</v>
      </c>
      <c r="G1876" s="13">
        <v>29.6089</v>
      </c>
      <c r="H1876" s="13">
        <v>6.648</v>
      </c>
      <c r="I1876" s="9">
        <v>46101.0</v>
      </c>
      <c r="J1876" s="10">
        <v>200.0</v>
      </c>
      <c r="K1876" s="8">
        <v>8681.0</v>
      </c>
      <c r="L1876" s="8" t="s">
        <v>2608</v>
      </c>
      <c r="M1876" s="11">
        <v>1.61</v>
      </c>
      <c r="N1876" s="8" t="s">
        <v>4411</v>
      </c>
      <c r="O1876" s="8">
        <v>23643.0</v>
      </c>
      <c r="P1876" s="11">
        <v>41.3836</v>
      </c>
      <c r="Q1876" s="8" t="s">
        <v>2637</v>
      </c>
      <c r="R1876" s="11">
        <v>0.0102</v>
      </c>
      <c r="S1876" s="12">
        <v>1.2300481E7</v>
      </c>
      <c r="T1876" s="12">
        <v>3.92771696051E11</v>
      </c>
      <c r="U1876" s="13">
        <v>3.877</v>
      </c>
      <c r="V1876" s="13">
        <v>7.261</v>
      </c>
      <c r="W1876" s="13">
        <v>8.8802</v>
      </c>
      <c r="X1876" s="13">
        <v>-4.6193</v>
      </c>
      <c r="Y1876" s="13">
        <v>0.2507</v>
      </c>
      <c r="Z1876" s="13">
        <v>1.1547</v>
      </c>
      <c r="AA1876" s="8" t="s">
        <v>2620</v>
      </c>
      <c r="AB1876" s="14">
        <f>IFERROR(__xludf.DUMMYFUNCTION("IFERROR(GOOGLEFINANCE(B1876,""price""),"""")"),188.55)</f>
        <v>188.55</v>
      </c>
    </row>
    <row r="1877">
      <c r="A1877" s="15">
        <v>46097.66891447655</v>
      </c>
      <c r="B1877" s="16" t="s">
        <v>2630</v>
      </c>
      <c r="C1877" s="16" t="s">
        <v>2631</v>
      </c>
      <c r="D1877" s="17">
        <v>46103.0</v>
      </c>
      <c r="E1877" s="18">
        <v>441.8</v>
      </c>
      <c r="F1877" s="16" t="s">
        <v>308</v>
      </c>
      <c r="G1877" s="21">
        <v>41.9962</v>
      </c>
      <c r="H1877" s="21">
        <v>10.52</v>
      </c>
      <c r="I1877" s="17">
        <v>46101.0</v>
      </c>
      <c r="J1877" s="18">
        <v>450.0</v>
      </c>
      <c r="K1877" s="16">
        <v>10147.0</v>
      </c>
      <c r="L1877" s="16" t="s">
        <v>2608</v>
      </c>
      <c r="M1877" s="19">
        <v>1.86</v>
      </c>
      <c r="N1877" s="16" t="s">
        <v>4445</v>
      </c>
      <c r="O1877" s="16">
        <v>20674.0</v>
      </c>
      <c r="P1877" s="19">
        <v>21.4638</v>
      </c>
      <c r="Q1877" s="16" t="s">
        <v>2633</v>
      </c>
      <c r="R1877" s="19">
        <v>3.6773</v>
      </c>
      <c r="S1877" s="20">
        <v>4.2263761E7</v>
      </c>
      <c r="T1877" s="20">
        <v>4.97250004428E11</v>
      </c>
      <c r="U1877" s="21">
        <v>25.2379</v>
      </c>
      <c r="V1877" s="21">
        <v>22.5543</v>
      </c>
      <c r="W1877" s="21">
        <v>32.9221</v>
      </c>
      <c r="X1877" s="21">
        <v>45.432</v>
      </c>
      <c r="Y1877" s="21">
        <v>0.2124</v>
      </c>
      <c r="Z1877" s="21">
        <v>2.4598</v>
      </c>
      <c r="AA1877" s="16" t="s">
        <v>2620</v>
      </c>
      <c r="AB1877" s="22">
        <f>IFERROR(__xludf.DUMMYFUNCTION("IFERROR(GOOGLEFINANCE(B1877,""price""),"""")"),420.59)</f>
        <v>420.59</v>
      </c>
    </row>
    <row r="1878">
      <c r="A1878" s="7">
        <v>46097.66891447655</v>
      </c>
      <c r="B1878" s="8" t="s">
        <v>2987</v>
      </c>
      <c r="C1878" s="8" t="s">
        <v>2988</v>
      </c>
      <c r="D1878" s="9">
        <v>46103.0</v>
      </c>
      <c r="E1878" s="10">
        <v>91.41</v>
      </c>
      <c r="F1878" s="8" t="s">
        <v>137</v>
      </c>
      <c r="G1878" s="13">
        <v>21.0472</v>
      </c>
      <c r="H1878" s="13">
        <v>4.3431</v>
      </c>
      <c r="I1878" s="9">
        <v>46101.0</v>
      </c>
      <c r="J1878" s="10">
        <v>90.0</v>
      </c>
      <c r="K1878" s="8">
        <v>7056.0</v>
      </c>
      <c r="L1878" s="8" t="s">
        <v>2608</v>
      </c>
      <c r="M1878" s="11">
        <v>1.54</v>
      </c>
      <c r="N1878" s="8" t="s">
        <v>4412</v>
      </c>
      <c r="O1878" s="8">
        <v>15441.0</v>
      </c>
      <c r="P1878" s="11">
        <v>16.7248</v>
      </c>
      <c r="Q1878" s="8" t="s">
        <v>2990</v>
      </c>
      <c r="R1878" s="11">
        <v>0.0766</v>
      </c>
      <c r="S1878" s="12">
        <v>4534840.0</v>
      </c>
      <c r="T1878" s="12">
        <v>4.0951678358E10</v>
      </c>
      <c r="U1878" s="13">
        <v>3.0022</v>
      </c>
      <c r="V1878" s="13">
        <v>40.8472</v>
      </c>
      <c r="W1878" s="13">
        <v>20.8934</v>
      </c>
      <c r="X1878" s="13">
        <v>8.0681</v>
      </c>
      <c r="Y1878" s="13">
        <v>1.5558</v>
      </c>
      <c r="Z1878" s="13">
        <v>1.0968</v>
      </c>
      <c r="AA1878" s="8" t="s">
        <v>2611</v>
      </c>
      <c r="AB1878" s="14">
        <f>IFERROR(__xludf.DUMMYFUNCTION("IFERROR(GOOGLEFINANCE(B1878,""price""),"""")"),95.4)</f>
        <v>95.4</v>
      </c>
    </row>
    <row r="1879">
      <c r="A1879" s="15">
        <v>46097.66891447655</v>
      </c>
      <c r="B1879" s="16" t="s">
        <v>2646</v>
      </c>
      <c r="C1879" s="16" t="s">
        <v>2647</v>
      </c>
      <c r="D1879" s="17">
        <v>46103.0</v>
      </c>
      <c r="E1879" s="18">
        <v>37.32</v>
      </c>
      <c r="F1879" s="16" t="s">
        <v>270</v>
      </c>
      <c r="G1879" s="21">
        <v>14.0926</v>
      </c>
      <c r="H1879" s="21">
        <v>2.6482</v>
      </c>
      <c r="I1879" s="17">
        <v>46101.0</v>
      </c>
      <c r="J1879" s="18">
        <v>38.0</v>
      </c>
      <c r="K1879" s="16">
        <v>10312.0</v>
      </c>
      <c r="L1879" s="16" t="s">
        <v>2608</v>
      </c>
      <c r="M1879" s="19">
        <v>1.82</v>
      </c>
      <c r="N1879" s="16" t="s">
        <v>4413</v>
      </c>
      <c r="O1879" s="16">
        <v>13179.0</v>
      </c>
      <c r="P1879" s="19">
        <v>39.8774</v>
      </c>
      <c r="Q1879" s="16" t="s">
        <v>2649</v>
      </c>
      <c r="R1879" s="19">
        <v>0.8921</v>
      </c>
      <c r="S1879" s="20">
        <v>3368855.0</v>
      </c>
      <c r="T1879" s="20">
        <v>8.0676914559E10</v>
      </c>
      <c r="U1879" s="21">
        <v>0.7285</v>
      </c>
      <c r="V1879" s="21">
        <v>19.6987</v>
      </c>
      <c r="W1879" s="21">
        <v>12.3812</v>
      </c>
      <c r="X1879" s="21">
        <v>-6.474</v>
      </c>
      <c r="Y1879" s="21">
        <v>1.1744</v>
      </c>
      <c r="Z1879" s="21">
        <v>1.0411</v>
      </c>
      <c r="AA1879" s="16" t="s">
        <v>2620</v>
      </c>
      <c r="AB1879" s="22">
        <f>IFERROR(__xludf.DUMMYFUNCTION("IFERROR(GOOGLEFINANCE(B1879,""price""),"""")"),37.35)</f>
        <v>37.35</v>
      </c>
    </row>
    <row r="1880">
      <c r="A1880" s="7">
        <v>46097.66891447655</v>
      </c>
      <c r="B1880" s="8" t="s">
        <v>3463</v>
      </c>
      <c r="C1880" s="8" t="s">
        <v>3464</v>
      </c>
      <c r="D1880" s="9">
        <v>46103.0</v>
      </c>
      <c r="E1880" s="10">
        <v>64.31</v>
      </c>
      <c r="F1880" s="8" t="s">
        <v>245</v>
      </c>
      <c r="G1880" s="13">
        <v>19.4073</v>
      </c>
      <c r="H1880" s="13">
        <v>3.3137</v>
      </c>
      <c r="I1880" s="9">
        <v>46101.0</v>
      </c>
      <c r="J1880" s="10">
        <v>65.0</v>
      </c>
      <c r="K1880" s="8">
        <v>8912.0</v>
      </c>
      <c r="L1880" s="8" t="s">
        <v>2608</v>
      </c>
      <c r="M1880" s="11">
        <v>1.07</v>
      </c>
      <c r="N1880" s="8" t="s">
        <v>4414</v>
      </c>
      <c r="O1880" s="8">
        <v>10726.0</v>
      </c>
      <c r="P1880" s="11">
        <v>37.7559</v>
      </c>
      <c r="Q1880" s="8" t="s">
        <v>3466</v>
      </c>
      <c r="R1880" s="11">
        <v>-0.0932</v>
      </c>
      <c r="S1880" s="12">
        <v>6544065.0</v>
      </c>
      <c r="T1880" s="12">
        <v>4.0147061805E10</v>
      </c>
      <c r="U1880" s="13">
        <v>1.704</v>
      </c>
      <c r="V1880" s="13">
        <v>9.1961</v>
      </c>
      <c r="W1880" s="13">
        <v>35.6577</v>
      </c>
      <c r="X1880" s="13">
        <v>59.9561</v>
      </c>
      <c r="Y1880" s="13">
        <v>0.3357</v>
      </c>
      <c r="Z1880" s="13">
        <v>0.7627</v>
      </c>
      <c r="AA1880" s="8" t="s">
        <v>2620</v>
      </c>
      <c r="AB1880" s="14">
        <f>IFERROR(__xludf.DUMMYFUNCTION("IFERROR(GOOGLEFINANCE(B1880,""price""),"""")"),58.68)</f>
        <v>58.68</v>
      </c>
    </row>
    <row r="1881">
      <c r="A1881" s="15">
        <v>46097.66891447655</v>
      </c>
      <c r="B1881" s="16" t="s">
        <v>3416</v>
      </c>
      <c r="C1881" s="16" t="s">
        <v>3417</v>
      </c>
      <c r="D1881" s="17">
        <v>46103.0</v>
      </c>
      <c r="E1881" s="18">
        <v>67.53</v>
      </c>
      <c r="F1881" s="16" t="s">
        <v>286</v>
      </c>
      <c r="G1881" s="21">
        <v>16.4039</v>
      </c>
      <c r="H1881" s="21">
        <v>4.1167</v>
      </c>
      <c r="I1881" s="17">
        <v>46101.0</v>
      </c>
      <c r="J1881" s="18">
        <v>67.5</v>
      </c>
      <c r="K1881" s="16">
        <v>4575.0</v>
      </c>
      <c r="L1881" s="16" t="s">
        <v>2608</v>
      </c>
      <c r="M1881" s="19">
        <v>0.04</v>
      </c>
      <c r="N1881" s="16" t="s">
        <v>4416</v>
      </c>
      <c r="O1881" s="16">
        <v>10459.0</v>
      </c>
      <c r="P1881" s="19">
        <v>24.1858</v>
      </c>
      <c r="Q1881" s="16" t="s">
        <v>3419</v>
      </c>
      <c r="R1881" s="19">
        <v>-0.5303</v>
      </c>
      <c r="S1881" s="20">
        <v>7323930.0</v>
      </c>
      <c r="T1881" s="20">
        <v>1.12903275739E11</v>
      </c>
      <c r="U1881" s="21">
        <v>1.3563</v>
      </c>
      <c r="V1881" s="21"/>
      <c r="W1881" s="21">
        <v>63.8109</v>
      </c>
      <c r="X1881" s="21">
        <v>-1.3989</v>
      </c>
      <c r="Y1881" s="21"/>
      <c r="Z1881" s="21">
        <v>0.648</v>
      </c>
      <c r="AA1881" s="16" t="s">
        <v>2611</v>
      </c>
      <c r="AB1881" s="22">
        <f>IFERROR(__xludf.DUMMYFUNCTION("IFERROR(GOOGLEFINANCE(B1881,""price""),"""")"),67.38)</f>
        <v>67.38</v>
      </c>
    </row>
    <row r="1882">
      <c r="A1882" s="7">
        <v>46097.66891447655</v>
      </c>
      <c r="B1882" s="8" t="s">
        <v>3684</v>
      </c>
      <c r="C1882" s="8" t="s">
        <v>3685</v>
      </c>
      <c r="D1882" s="9">
        <v>46103.0</v>
      </c>
      <c r="E1882" s="10">
        <v>38.74</v>
      </c>
      <c r="F1882" s="8" t="s">
        <v>917</v>
      </c>
      <c r="G1882" s="13">
        <v>24.4001</v>
      </c>
      <c r="H1882" s="13">
        <v>1.5877</v>
      </c>
      <c r="I1882" s="9">
        <v>46101.0</v>
      </c>
      <c r="J1882" s="10">
        <v>39.0</v>
      </c>
      <c r="K1882" s="8">
        <v>7092.0</v>
      </c>
      <c r="L1882" s="8" t="s">
        <v>2608</v>
      </c>
      <c r="M1882" s="11">
        <v>0.67</v>
      </c>
      <c r="N1882" s="8" t="s">
        <v>4446</v>
      </c>
      <c r="O1882" s="8">
        <v>9765.0</v>
      </c>
      <c r="P1882" s="11">
        <v>22.3075</v>
      </c>
      <c r="Q1882" s="8" t="s">
        <v>3687</v>
      </c>
      <c r="R1882" s="11">
        <v>0.5972</v>
      </c>
      <c r="S1882" s="12">
        <v>6157587.0</v>
      </c>
      <c r="T1882" s="12">
        <v>2.9105625083E10</v>
      </c>
      <c r="U1882" s="13">
        <v>0.7829</v>
      </c>
      <c r="V1882" s="13">
        <v>8.1497</v>
      </c>
      <c r="W1882" s="13">
        <v>23.6452</v>
      </c>
      <c r="X1882" s="13">
        <v>6.8542</v>
      </c>
      <c r="Y1882" s="13">
        <v>1.3003</v>
      </c>
      <c r="Z1882" s="13">
        <v>0.8647</v>
      </c>
      <c r="AA1882" s="8" t="s">
        <v>2620</v>
      </c>
      <c r="AB1882" s="14">
        <f>IFERROR(__xludf.DUMMYFUNCTION("IFERROR(GOOGLEFINANCE(B1882,""price""),"""")"),39.65)</f>
        <v>39.65</v>
      </c>
    </row>
    <row r="1883">
      <c r="A1883" s="15">
        <v>46097.66891447655</v>
      </c>
      <c r="B1883" s="16" t="s">
        <v>2843</v>
      </c>
      <c r="C1883" s="16" t="s">
        <v>2844</v>
      </c>
      <c r="D1883" s="17">
        <v>46103.0</v>
      </c>
      <c r="E1883" s="18">
        <v>206.06</v>
      </c>
      <c r="F1883" s="16" t="s">
        <v>308</v>
      </c>
      <c r="G1883" s="21">
        <v>41.5243</v>
      </c>
      <c r="H1883" s="21">
        <v>4.9624</v>
      </c>
      <c r="I1883" s="17">
        <v>46101.0</v>
      </c>
      <c r="J1883" s="18">
        <v>210.0</v>
      </c>
      <c r="K1883" s="16">
        <v>5645.0</v>
      </c>
      <c r="L1883" s="16" t="s">
        <v>2608</v>
      </c>
      <c r="M1883" s="19">
        <v>1.91</v>
      </c>
      <c r="N1883" s="16" t="s">
        <v>4447</v>
      </c>
      <c r="O1883" s="16">
        <v>8576.0</v>
      </c>
      <c r="P1883" s="19">
        <v>16.394</v>
      </c>
      <c r="Q1883" s="16" t="s">
        <v>2846</v>
      </c>
      <c r="R1883" s="19">
        <v>0.753</v>
      </c>
      <c r="S1883" s="20">
        <v>4792069.0</v>
      </c>
      <c r="T1883" s="20">
        <v>2.76591788152E11</v>
      </c>
      <c r="U1883" s="21">
        <v>5.4105</v>
      </c>
      <c r="V1883" s="21">
        <v>10.7368</v>
      </c>
      <c r="W1883" s="21">
        <v>10.0301</v>
      </c>
      <c r="X1883" s="21">
        <v>9.7414</v>
      </c>
      <c r="Y1883" s="21">
        <v>0.6124</v>
      </c>
      <c r="Z1883" s="21">
        <v>0.9804</v>
      </c>
      <c r="AA1883" s="16" t="s">
        <v>2620</v>
      </c>
      <c r="AB1883" s="22">
        <f>IFERROR(__xludf.DUMMYFUNCTION("IFERROR(GOOGLEFINANCE(B1883,""price""),"""")"),201.56)</f>
        <v>201.56</v>
      </c>
    </row>
    <row r="1884">
      <c r="A1884" s="7">
        <v>46097.66891447655</v>
      </c>
      <c r="B1884" s="8" t="s">
        <v>2658</v>
      </c>
      <c r="C1884" s="8" t="s">
        <v>2659</v>
      </c>
      <c r="D1884" s="9">
        <v>46103.0</v>
      </c>
      <c r="E1884" s="10">
        <v>92.82</v>
      </c>
      <c r="F1884" s="8" t="s">
        <v>917</v>
      </c>
      <c r="G1884" s="13">
        <v>28.1247</v>
      </c>
      <c r="H1884" s="13">
        <v>3.3003</v>
      </c>
      <c r="I1884" s="9">
        <v>46101.0</v>
      </c>
      <c r="J1884" s="10">
        <v>92.5</v>
      </c>
      <c r="K1884" s="8">
        <v>4510.0</v>
      </c>
      <c r="L1884" s="8" t="s">
        <v>2608</v>
      </c>
      <c r="M1884" s="11">
        <v>0.34</v>
      </c>
      <c r="N1884" s="8" t="s">
        <v>4448</v>
      </c>
      <c r="O1884" s="8">
        <v>8192.0</v>
      </c>
      <c r="P1884" s="11">
        <v>22.5059</v>
      </c>
      <c r="Q1884" s="8" t="s">
        <v>2661</v>
      </c>
      <c r="R1884" s="11">
        <v>0.0431</v>
      </c>
      <c r="S1884" s="12">
        <v>7911197.0</v>
      </c>
      <c r="T1884" s="12">
        <v>1.93392506958E11</v>
      </c>
      <c r="U1884" s="13">
        <v>2.0703</v>
      </c>
      <c r="V1884" s="13">
        <v>13.0533</v>
      </c>
      <c r="W1884" s="13">
        <v>26.8934</v>
      </c>
      <c r="X1884" s="13">
        <v>8.6905</v>
      </c>
      <c r="Y1884" s="13">
        <v>1.7594</v>
      </c>
      <c r="Z1884" s="13">
        <v>0.5953</v>
      </c>
      <c r="AA1884" s="8" t="s">
        <v>2611</v>
      </c>
      <c r="AB1884" s="14">
        <f>IFERROR(__xludf.DUMMYFUNCTION("IFERROR(GOOGLEFINANCE(B1884,""price""),"""")"),94.08)</f>
        <v>94.08</v>
      </c>
    </row>
    <row r="1885">
      <c r="A1885" s="15">
        <v>46097.66891447655</v>
      </c>
      <c r="B1885" s="16" t="s">
        <v>3697</v>
      </c>
      <c r="C1885" s="16" t="s">
        <v>3698</v>
      </c>
      <c r="D1885" s="17">
        <v>46103.0</v>
      </c>
      <c r="E1885" s="18">
        <v>50.29</v>
      </c>
      <c r="F1885" s="16" t="s">
        <v>917</v>
      </c>
      <c r="G1885" s="21">
        <v>18.3882</v>
      </c>
      <c r="H1885" s="21">
        <v>2.7349</v>
      </c>
      <c r="I1885" s="17">
        <v>46101.0</v>
      </c>
      <c r="J1885" s="18">
        <v>50.0</v>
      </c>
      <c r="K1885" s="16">
        <v>7951.0</v>
      </c>
      <c r="L1885" s="16" t="s">
        <v>2608</v>
      </c>
      <c r="M1885" s="19">
        <v>0.58</v>
      </c>
      <c r="N1885" s="16" t="s">
        <v>4418</v>
      </c>
      <c r="O1885" s="16">
        <v>7951.0</v>
      </c>
      <c r="P1885" s="19">
        <v>31.0781</v>
      </c>
      <c r="Q1885" s="16" t="s">
        <v>3700</v>
      </c>
      <c r="R1885" s="19">
        <v>0.9434</v>
      </c>
      <c r="S1885" s="20">
        <v>7548930.0</v>
      </c>
      <c r="T1885" s="20">
        <v>5.1441267439E10</v>
      </c>
      <c r="U1885" s="21">
        <v>0.9278</v>
      </c>
      <c r="V1885" s="21">
        <v>9.9356</v>
      </c>
      <c r="W1885" s="21">
        <v>21.2054</v>
      </c>
      <c r="X1885" s="21">
        <v>5.3367</v>
      </c>
      <c r="Y1885" s="21">
        <v>1.7554</v>
      </c>
      <c r="Z1885" s="21">
        <v>0.924</v>
      </c>
      <c r="AA1885" s="16" t="s">
        <v>2611</v>
      </c>
      <c r="AB1885" s="22">
        <f>IFERROR(__xludf.DUMMYFUNCTION("IFERROR(GOOGLEFINANCE(B1885,""price""),"""")"),48.57)</f>
        <v>48.57</v>
      </c>
    </row>
    <row r="1886">
      <c r="A1886" s="7">
        <v>46097.66891447655</v>
      </c>
      <c r="B1886" s="8" t="s">
        <v>2692</v>
      </c>
      <c r="C1886" s="8" t="s">
        <v>2693</v>
      </c>
      <c r="D1886" s="9">
        <v>46103.0</v>
      </c>
      <c r="E1886" s="10">
        <v>243.19</v>
      </c>
      <c r="F1886" s="8" t="s">
        <v>117</v>
      </c>
      <c r="G1886" s="13">
        <v>22.0165</v>
      </c>
      <c r="H1886" s="13">
        <v>11.0458</v>
      </c>
      <c r="I1886" s="9">
        <v>46101.0</v>
      </c>
      <c r="J1886" s="10">
        <v>240.0</v>
      </c>
      <c r="K1886" s="8">
        <v>3017.0</v>
      </c>
      <c r="L1886" s="8" t="s">
        <v>2608</v>
      </c>
      <c r="M1886" s="11">
        <v>1.31</v>
      </c>
      <c r="N1886" s="8" t="s">
        <v>4449</v>
      </c>
      <c r="O1886" s="8">
        <v>7910.0</v>
      </c>
      <c r="P1886" s="11">
        <v>23.3256</v>
      </c>
      <c r="Q1886" s="8" t="s">
        <v>2695</v>
      </c>
      <c r="R1886" s="11">
        <v>0.6915</v>
      </c>
      <c r="S1886" s="12">
        <v>7569498.0</v>
      </c>
      <c r="T1886" s="12">
        <v>5.86063330128E11</v>
      </c>
      <c r="U1886" s="13">
        <v>4.1655</v>
      </c>
      <c r="V1886" s="13">
        <v>35.0301</v>
      </c>
      <c r="W1886" s="13">
        <v>27.2081</v>
      </c>
      <c r="X1886" s="13">
        <v>6.046</v>
      </c>
      <c r="Y1886" s="13">
        <v>0.605</v>
      </c>
      <c r="Z1886" s="13">
        <v>1.0277</v>
      </c>
      <c r="AA1886" s="8" t="s">
        <v>2611</v>
      </c>
      <c r="AB1886" s="14">
        <f>IFERROR(__xludf.DUMMYFUNCTION("IFERROR(GOOGLEFINANCE(B1886,""price""),"""")"),238.46)</f>
        <v>238.46</v>
      </c>
    </row>
    <row r="1887">
      <c r="A1887" s="15">
        <v>46097.66891447655</v>
      </c>
      <c r="B1887" s="16" t="s">
        <v>1612</v>
      </c>
      <c r="C1887" s="16" t="s">
        <v>1613</v>
      </c>
      <c r="D1887" s="17">
        <v>46103.0</v>
      </c>
      <c r="E1887" s="18">
        <v>74.49</v>
      </c>
      <c r="F1887" s="16" t="s">
        <v>137</v>
      </c>
      <c r="G1887" s="21">
        <v>48.474</v>
      </c>
      <c r="H1887" s="21">
        <v>1.5367</v>
      </c>
      <c r="I1887" s="17">
        <v>46101.0</v>
      </c>
      <c r="J1887" s="18">
        <v>74.0</v>
      </c>
      <c r="K1887" s="16">
        <v>4546.0</v>
      </c>
      <c r="L1887" s="16" t="s">
        <v>2608</v>
      </c>
      <c r="M1887" s="19">
        <v>0.66</v>
      </c>
      <c r="N1887" s="16" t="s">
        <v>4419</v>
      </c>
      <c r="O1887" s="16">
        <v>7410.0</v>
      </c>
      <c r="P1887" s="19">
        <v>31.5583</v>
      </c>
      <c r="Q1887" s="16" t="s">
        <v>1614</v>
      </c>
      <c r="R1887" s="19">
        <v>-1.4683</v>
      </c>
      <c r="S1887" s="20">
        <v>7240661.0</v>
      </c>
      <c r="T1887" s="20">
        <v>4.7140934625E10</v>
      </c>
      <c r="U1887" s="21">
        <v>2.1118</v>
      </c>
      <c r="V1887" s="21">
        <v>14.12</v>
      </c>
      <c r="W1887" s="21">
        <v>3.2288</v>
      </c>
      <c r="X1887" s="21">
        <v>0.3528</v>
      </c>
      <c r="Y1887" s="21">
        <v>4.1577</v>
      </c>
      <c r="Z1887" s="21">
        <v>0.802</v>
      </c>
      <c r="AA1887" s="16" t="s">
        <v>2611</v>
      </c>
      <c r="AB1887" s="22">
        <f>IFERROR(__xludf.DUMMYFUNCTION("IFERROR(GOOGLEFINANCE(B1887,""price""),"""")"),67.99)</f>
        <v>67.99</v>
      </c>
    </row>
    <row r="1888">
      <c r="A1888" s="7">
        <v>46097.66891447655</v>
      </c>
      <c r="B1888" s="8" t="s">
        <v>4421</v>
      </c>
      <c r="C1888" s="8" t="s">
        <v>4422</v>
      </c>
      <c r="D1888" s="9">
        <v>46103.0</v>
      </c>
      <c r="E1888" s="10">
        <v>251.29</v>
      </c>
      <c r="F1888" s="8" t="s">
        <v>270</v>
      </c>
      <c r="G1888" s="13">
        <v>10.3282</v>
      </c>
      <c r="H1888" s="13">
        <v>24.3305</v>
      </c>
      <c r="I1888" s="9">
        <v>46101.0</v>
      </c>
      <c r="J1888" s="10">
        <v>250.0</v>
      </c>
      <c r="K1888" s="8">
        <v>2627.0</v>
      </c>
      <c r="L1888" s="8" t="s">
        <v>2608</v>
      </c>
      <c r="M1888" s="11">
        <v>0.51</v>
      </c>
      <c r="N1888" s="8" t="s">
        <v>4423</v>
      </c>
      <c r="O1888" s="8">
        <v>6502.0</v>
      </c>
      <c r="P1888" s="11">
        <v>52.0009</v>
      </c>
      <c r="Q1888" s="8" t="s">
        <v>4424</v>
      </c>
      <c r="R1888" s="11">
        <v>-0.3885</v>
      </c>
      <c r="S1888" s="12">
        <v>1854517.0</v>
      </c>
      <c r="T1888" s="12">
        <v>5.282188666E10</v>
      </c>
      <c r="U1888" s="13">
        <v>7.4365</v>
      </c>
      <c r="V1888" s="13">
        <v>78.1695</v>
      </c>
      <c r="W1888" s="13">
        <v>27.0171</v>
      </c>
      <c r="X1888" s="13">
        <v>24.4422</v>
      </c>
      <c r="Y1888" s="13">
        <v>3.3413</v>
      </c>
      <c r="Z1888" s="13">
        <v>0.9428</v>
      </c>
      <c r="AA1888" s="8" t="s">
        <v>2611</v>
      </c>
      <c r="AB1888" s="14">
        <f>IFERROR(__xludf.DUMMYFUNCTION("IFERROR(GOOGLEFINANCE(B1888,""price""),"""")"),265.54)</f>
        <v>265.54</v>
      </c>
    </row>
    <row r="1889">
      <c r="A1889" s="15">
        <v>46097.66891447655</v>
      </c>
      <c r="B1889" s="16" t="s">
        <v>3802</v>
      </c>
      <c r="C1889" s="16" t="s">
        <v>3803</v>
      </c>
      <c r="D1889" s="17">
        <v>46103.0</v>
      </c>
      <c r="E1889" s="18">
        <v>44.86</v>
      </c>
      <c r="F1889" s="16" t="s">
        <v>270</v>
      </c>
      <c r="G1889" s="21"/>
      <c r="H1889" s="21"/>
      <c r="I1889" s="17">
        <v>46101.0</v>
      </c>
      <c r="J1889" s="18">
        <v>45.0</v>
      </c>
      <c r="K1889" s="16">
        <v>5882.0</v>
      </c>
      <c r="L1889" s="16" t="s">
        <v>2608</v>
      </c>
      <c r="M1889" s="19">
        <v>0.31</v>
      </c>
      <c r="N1889" s="16" t="s">
        <v>4425</v>
      </c>
      <c r="O1889" s="16">
        <v>5882.0</v>
      </c>
      <c r="P1889" s="19">
        <v>22.502</v>
      </c>
      <c r="Q1889" s="16" t="s">
        <v>3805</v>
      </c>
      <c r="R1889" s="19">
        <v>4.4714</v>
      </c>
      <c r="S1889" s="20">
        <v>2958568.0</v>
      </c>
      <c r="T1889" s="20">
        <v>4.693364064E9</v>
      </c>
      <c r="U1889" s="21">
        <v>1.5327</v>
      </c>
      <c r="V1889" s="21">
        <v>3.4054</v>
      </c>
      <c r="W1889" s="21">
        <v>34.4448</v>
      </c>
      <c r="X1889" s="21">
        <v>51.1384</v>
      </c>
      <c r="Y1889" s="21">
        <v>1.4965</v>
      </c>
      <c r="Z1889" s="21">
        <v>2.5453</v>
      </c>
      <c r="AA1889" s="16" t="s">
        <v>2620</v>
      </c>
      <c r="AB1889" s="22">
        <f>IFERROR(__xludf.DUMMYFUNCTION("IFERROR(GOOGLEFINANCE(B1889,""price""),"""")"),53.28)</f>
        <v>53.28</v>
      </c>
    </row>
    <row r="1890">
      <c r="A1890" s="7">
        <v>46097.66891447655</v>
      </c>
      <c r="B1890" s="8" t="s">
        <v>2344</v>
      </c>
      <c r="C1890" s="8" t="s">
        <v>2345</v>
      </c>
      <c r="D1890" s="9">
        <v>46103.0</v>
      </c>
      <c r="E1890" s="10">
        <v>73.89</v>
      </c>
      <c r="F1890" s="8" t="s">
        <v>270</v>
      </c>
      <c r="G1890" s="13">
        <v>34.6154</v>
      </c>
      <c r="H1890" s="13">
        <v>2.1346</v>
      </c>
      <c r="I1890" s="9">
        <v>46101.0</v>
      </c>
      <c r="J1890" s="10">
        <v>75.0</v>
      </c>
      <c r="K1890" s="8">
        <v>5753.0</v>
      </c>
      <c r="L1890" s="8" t="s">
        <v>2608</v>
      </c>
      <c r="M1890" s="11">
        <v>1.5</v>
      </c>
      <c r="N1890" s="8" t="s">
        <v>4426</v>
      </c>
      <c r="O1890" s="8">
        <v>5753.0</v>
      </c>
      <c r="P1890" s="11">
        <v>42.7922</v>
      </c>
      <c r="Q1890" s="8" t="s">
        <v>2346</v>
      </c>
      <c r="R1890" s="11">
        <v>0.7499</v>
      </c>
      <c r="S1890" s="12">
        <v>5714876.0</v>
      </c>
      <c r="T1890" s="12">
        <v>9.0261293717E10</v>
      </c>
      <c r="U1890" s="13">
        <v>1.5353</v>
      </c>
      <c r="V1890" s="13">
        <v>20.7424</v>
      </c>
      <c r="W1890" s="13">
        <v>35.471</v>
      </c>
      <c r="X1890" s="13">
        <v>9.774</v>
      </c>
      <c r="Y1890" s="13">
        <v>2.3069</v>
      </c>
      <c r="Z1890" s="13">
        <v>0.5313</v>
      </c>
      <c r="AA1890" s="8" t="s">
        <v>2620</v>
      </c>
      <c r="AB1890" s="14">
        <f>IFERROR(__xludf.DUMMYFUNCTION("IFERROR(GOOGLEFINANCE(B1890,""price""),"""")"),72.74)</f>
        <v>72.74</v>
      </c>
    </row>
    <row r="1891">
      <c r="A1891" s="15">
        <v>46097.66891447655</v>
      </c>
      <c r="B1891" s="16" t="s">
        <v>3944</v>
      </c>
      <c r="C1891" s="16" t="s">
        <v>3945</v>
      </c>
      <c r="D1891" s="17">
        <v>46103.0</v>
      </c>
      <c r="E1891" s="18">
        <v>133.46</v>
      </c>
      <c r="F1891" s="16" t="s">
        <v>917</v>
      </c>
      <c r="G1891" s="21">
        <v>21.1428</v>
      </c>
      <c r="H1891" s="21">
        <v>6.3123</v>
      </c>
      <c r="I1891" s="17">
        <v>46101.0</v>
      </c>
      <c r="J1891" s="18">
        <v>135.0</v>
      </c>
      <c r="K1891" s="16">
        <v>4501.0</v>
      </c>
      <c r="L1891" s="16" t="s">
        <v>2608</v>
      </c>
      <c r="M1891" s="19">
        <v>1.15</v>
      </c>
      <c r="N1891" s="16" t="s">
        <v>4428</v>
      </c>
      <c r="O1891" s="16">
        <v>4501.0</v>
      </c>
      <c r="P1891" s="19">
        <v>27.3406</v>
      </c>
      <c r="Q1891" s="16" t="s">
        <v>3947</v>
      </c>
      <c r="R1891" s="19">
        <v>0.2328</v>
      </c>
      <c r="S1891" s="20">
        <v>4897105.0</v>
      </c>
      <c r="T1891" s="20">
        <v>1.03787953347E11</v>
      </c>
      <c r="U1891" s="21">
        <v>2.1906</v>
      </c>
      <c r="V1891" s="21">
        <v>9.7422</v>
      </c>
      <c r="W1891" s="21">
        <v>26.6061</v>
      </c>
      <c r="X1891" s="21">
        <v>6.193</v>
      </c>
      <c r="Y1891" s="21">
        <v>1.7574</v>
      </c>
      <c r="Z1891" s="21">
        <v>0.5518</v>
      </c>
      <c r="AA1891" s="16" t="s">
        <v>2620</v>
      </c>
      <c r="AB1891" s="22">
        <f>IFERROR(__xludf.DUMMYFUNCTION("IFERROR(GOOGLEFINANCE(B1891,""price""),"""")"),131.79)</f>
        <v>131.79</v>
      </c>
    </row>
    <row r="1892">
      <c r="A1892" s="7">
        <v>46097.66891447655</v>
      </c>
      <c r="B1892" s="8" t="s">
        <v>3713</v>
      </c>
      <c r="C1892" s="8" t="s">
        <v>3714</v>
      </c>
      <c r="D1892" s="9">
        <v>46103.0</v>
      </c>
      <c r="E1892" s="10">
        <v>157.06</v>
      </c>
      <c r="F1892" s="8" t="s">
        <v>149</v>
      </c>
      <c r="G1892" s="13"/>
      <c r="H1892" s="13">
        <v>-0.2349</v>
      </c>
      <c r="I1892" s="9">
        <v>46101.0</v>
      </c>
      <c r="J1892" s="10">
        <v>160.0</v>
      </c>
      <c r="K1892" s="8">
        <v>2717.0</v>
      </c>
      <c r="L1892" s="8" t="s">
        <v>2608</v>
      </c>
      <c r="M1892" s="11">
        <v>1.87</v>
      </c>
      <c r="N1892" s="8" t="s">
        <v>4429</v>
      </c>
      <c r="O1892" s="8">
        <v>4178.0</v>
      </c>
      <c r="P1892" s="11">
        <v>24.4866</v>
      </c>
      <c r="Q1892" s="8" t="s">
        <v>3716</v>
      </c>
      <c r="R1892" s="11">
        <v>2.0069</v>
      </c>
      <c r="S1892" s="12">
        <v>3214731.0</v>
      </c>
      <c r="T1892" s="12">
        <v>3.6495756119E10</v>
      </c>
      <c r="U1892" s="13">
        <v>5.8684</v>
      </c>
      <c r="V1892" s="13">
        <v>-24.6827</v>
      </c>
      <c r="W1892" s="13">
        <v>5.9214</v>
      </c>
      <c r="X1892" s="13">
        <v>8.8349</v>
      </c>
      <c r="Y1892" s="13">
        <v>38.3916</v>
      </c>
      <c r="Z1892" s="13">
        <v>0.9951</v>
      </c>
      <c r="AA1892" s="8" t="s">
        <v>2620</v>
      </c>
      <c r="AB1892" s="14">
        <f>IFERROR(__xludf.DUMMYFUNCTION("IFERROR(GOOGLEFINANCE(B1892,""price""),"""")"),160.59)</f>
        <v>160.59</v>
      </c>
    </row>
    <row r="1893">
      <c r="A1893" s="15">
        <v>46097.66891447655</v>
      </c>
      <c r="B1893" s="16" t="s">
        <v>4287</v>
      </c>
      <c r="C1893" s="16" t="s">
        <v>4288</v>
      </c>
      <c r="D1893" s="17">
        <v>46103.0</v>
      </c>
      <c r="E1893" s="18">
        <v>99.11</v>
      </c>
      <c r="F1893" s="16" t="s">
        <v>917</v>
      </c>
      <c r="G1893" s="21">
        <v>25.3167</v>
      </c>
      <c r="H1893" s="21">
        <v>3.9148</v>
      </c>
      <c r="I1893" s="17">
        <v>46101.0</v>
      </c>
      <c r="J1893" s="18">
        <v>97.5</v>
      </c>
      <c r="K1893" s="16">
        <v>2422.0</v>
      </c>
      <c r="L1893" s="16" t="s">
        <v>2608</v>
      </c>
      <c r="M1893" s="19">
        <v>1.62</v>
      </c>
      <c r="N1893" s="16" t="s">
        <v>4430</v>
      </c>
      <c r="O1893" s="16">
        <v>3803.0</v>
      </c>
      <c r="P1893" s="19">
        <v>28.5574</v>
      </c>
      <c r="Q1893" s="16" t="s">
        <v>4290</v>
      </c>
      <c r="R1893" s="19">
        <v>1.1223</v>
      </c>
      <c r="S1893" s="20">
        <v>4470803.0</v>
      </c>
      <c r="T1893" s="20">
        <v>1.10942867754E11</v>
      </c>
      <c r="U1893" s="21">
        <v>1.6883</v>
      </c>
      <c r="V1893" s="21">
        <v>12.5419</v>
      </c>
      <c r="W1893" s="21">
        <v>24.7056</v>
      </c>
      <c r="X1893" s="21">
        <v>10.5822</v>
      </c>
      <c r="Y1893" s="21">
        <v>2.0567</v>
      </c>
      <c r="Z1893" s="21">
        <v>0.6464</v>
      </c>
      <c r="AA1893" s="16" t="s">
        <v>2611</v>
      </c>
      <c r="AB1893" s="22">
        <f>IFERROR(__xludf.DUMMYFUNCTION("IFERROR(GOOGLEFINANCE(B1893,""price""),"""")"),97.15)</f>
        <v>97.15</v>
      </c>
    </row>
    <row r="1894">
      <c r="A1894" s="7">
        <v>46097.66891447655</v>
      </c>
      <c r="B1894" s="8" t="s">
        <v>4218</v>
      </c>
      <c r="C1894" s="8" t="s">
        <v>4219</v>
      </c>
      <c r="D1894" s="9">
        <v>46103.0</v>
      </c>
      <c r="E1894" s="10">
        <v>122.33</v>
      </c>
      <c r="F1894" s="8" t="s">
        <v>107</v>
      </c>
      <c r="G1894" s="13">
        <v>13.603</v>
      </c>
      <c r="H1894" s="13">
        <v>8.9929</v>
      </c>
      <c r="I1894" s="9">
        <v>46101.0</v>
      </c>
      <c r="J1894" s="10">
        <v>120.0</v>
      </c>
      <c r="K1894" s="8">
        <v>3092.0</v>
      </c>
      <c r="L1894" s="8" t="s">
        <v>2608</v>
      </c>
      <c r="M1894" s="11">
        <v>1.9</v>
      </c>
      <c r="N1894" s="8" t="s">
        <v>4431</v>
      </c>
      <c r="O1894" s="8">
        <v>3092.0</v>
      </c>
      <c r="P1894" s="11">
        <v>43.9802</v>
      </c>
      <c r="Q1894" s="8" t="s">
        <v>4221</v>
      </c>
      <c r="R1894" s="11">
        <v>-5.5877</v>
      </c>
      <c r="S1894" s="12">
        <v>7647567.0</v>
      </c>
      <c r="T1894" s="12">
        <v>1.879830821E10</v>
      </c>
      <c r="U1894" s="13">
        <v>6.9825</v>
      </c>
      <c r="V1894" s="13">
        <v>29.6244</v>
      </c>
      <c r="W1894" s="13">
        <v>37.1118</v>
      </c>
      <c r="X1894" s="13">
        <v>19.3396</v>
      </c>
      <c r="Y1894" s="13">
        <v>0.7516</v>
      </c>
      <c r="Z1894" s="13">
        <v>3.3653</v>
      </c>
      <c r="AA1894" s="8" t="s">
        <v>2611</v>
      </c>
      <c r="AB1894" s="14">
        <f>IFERROR(__xludf.DUMMYFUNCTION("IFERROR(GOOGLEFINANCE(B1894,""price""),"""")"),121.32)</f>
        <v>121.32</v>
      </c>
    </row>
    <row r="1895">
      <c r="A1895" s="15">
        <v>46097.66891447655</v>
      </c>
      <c r="B1895" s="16" t="s">
        <v>4061</v>
      </c>
      <c r="C1895" s="16" t="s">
        <v>4062</v>
      </c>
      <c r="D1895" s="17">
        <v>46103.0</v>
      </c>
      <c r="E1895" s="18">
        <v>1001.74</v>
      </c>
      <c r="F1895" s="16" t="s">
        <v>137</v>
      </c>
      <c r="G1895" s="21">
        <v>52.0972</v>
      </c>
      <c r="H1895" s="21">
        <v>19.2283</v>
      </c>
      <c r="I1895" s="17">
        <v>46101.0</v>
      </c>
      <c r="J1895" s="18">
        <v>1000.0</v>
      </c>
      <c r="K1895" s="16">
        <v>1592.0</v>
      </c>
      <c r="L1895" s="16" t="s">
        <v>2608</v>
      </c>
      <c r="M1895" s="19">
        <v>0.17</v>
      </c>
      <c r="N1895" s="16" t="s">
        <v>4450</v>
      </c>
      <c r="O1895" s="16">
        <v>2655.0</v>
      </c>
      <c r="P1895" s="19">
        <v>16.1451</v>
      </c>
      <c r="Q1895" s="16" t="s">
        <v>4064</v>
      </c>
      <c r="R1895" s="19">
        <v>-0.6634</v>
      </c>
      <c r="S1895" s="20">
        <v>1234784.0</v>
      </c>
      <c r="T1895" s="20">
        <v>4.44424479024E11</v>
      </c>
      <c r="U1895" s="21">
        <v>19.2782</v>
      </c>
      <c r="V1895" s="21">
        <v>29.6511</v>
      </c>
      <c r="W1895" s="21">
        <v>3.8216</v>
      </c>
      <c r="X1895" s="21">
        <v>8.3984</v>
      </c>
      <c r="Y1895" s="21">
        <v>0.2567</v>
      </c>
      <c r="Z1895" s="21">
        <v>1.0581</v>
      </c>
      <c r="AA1895" s="16" t="s">
        <v>2611</v>
      </c>
      <c r="AB1895" s="22">
        <f>IFERROR(__xludf.DUMMYFUNCTION("IFERROR(GOOGLEFINANCE(B1895,""price""),"""")"),998.47)</f>
        <v>998.47</v>
      </c>
    </row>
    <row r="1896">
      <c r="A1896" s="7">
        <v>46097.66891447655</v>
      </c>
      <c r="B1896" s="8" t="s">
        <v>2297</v>
      </c>
      <c r="C1896" s="8" t="s">
        <v>2298</v>
      </c>
      <c r="D1896" s="9">
        <v>46103.0</v>
      </c>
      <c r="E1896" s="10">
        <v>106.17</v>
      </c>
      <c r="F1896" s="8" t="s">
        <v>917</v>
      </c>
      <c r="G1896" s="13">
        <v>27.1368</v>
      </c>
      <c r="H1896" s="13">
        <v>3.9124</v>
      </c>
      <c r="I1896" s="9">
        <v>46101.0</v>
      </c>
      <c r="J1896" s="10">
        <v>105.0</v>
      </c>
      <c r="K1896" s="8">
        <v>2246.0</v>
      </c>
      <c r="L1896" s="8" t="s">
        <v>2608</v>
      </c>
      <c r="M1896" s="11">
        <v>1.1</v>
      </c>
      <c r="N1896" s="8" t="s">
        <v>4434</v>
      </c>
      <c r="O1896" s="8">
        <v>2246.0</v>
      </c>
      <c r="P1896" s="11">
        <v>26.6813</v>
      </c>
      <c r="Q1896" s="8" t="s">
        <v>2299</v>
      </c>
      <c r="R1896" s="11">
        <v>0.5588</v>
      </c>
      <c r="S1896" s="12">
        <v>1751022.0</v>
      </c>
      <c r="T1896" s="12">
        <v>4.8093931897E10</v>
      </c>
      <c r="U1896" s="13">
        <v>2.059</v>
      </c>
      <c r="V1896" s="13">
        <v>10.931</v>
      </c>
      <c r="W1896" s="13">
        <v>22.9697</v>
      </c>
      <c r="X1896" s="13">
        <v>8.3782</v>
      </c>
      <c r="Y1896" s="13">
        <v>1.8276</v>
      </c>
      <c r="Z1896" s="13">
        <v>0.7243</v>
      </c>
      <c r="AA1896" s="8" t="s">
        <v>2611</v>
      </c>
      <c r="AB1896" s="14">
        <f>IFERROR(__xludf.DUMMYFUNCTION("IFERROR(GOOGLEFINANCE(B1896,""price""),"""")"),116.47)</f>
        <v>116.47</v>
      </c>
    </row>
    <row r="1897">
      <c r="A1897" s="15">
        <v>46097.66891447655</v>
      </c>
      <c r="B1897" s="16" t="s">
        <v>3141</v>
      </c>
      <c r="C1897" s="16" t="s">
        <v>3142</v>
      </c>
      <c r="D1897" s="17">
        <v>46103.0</v>
      </c>
      <c r="E1897" s="18">
        <v>330.12</v>
      </c>
      <c r="F1897" s="16" t="s">
        <v>93</v>
      </c>
      <c r="G1897" s="21">
        <v>12.8344</v>
      </c>
      <c r="H1897" s="21">
        <v>25.7215</v>
      </c>
      <c r="I1897" s="17">
        <v>46101.0</v>
      </c>
      <c r="J1897" s="18">
        <v>330.0</v>
      </c>
      <c r="K1897" s="16">
        <v>2241.0</v>
      </c>
      <c r="L1897" s="16" t="s">
        <v>2608</v>
      </c>
      <c r="M1897" s="19">
        <v>0.04</v>
      </c>
      <c r="N1897" s="16" t="s">
        <v>4435</v>
      </c>
      <c r="O1897" s="16">
        <v>2241.0</v>
      </c>
      <c r="P1897" s="19">
        <v>23.4215</v>
      </c>
      <c r="Q1897" s="16" t="s">
        <v>3144</v>
      </c>
      <c r="R1897" s="19">
        <v>0.3496</v>
      </c>
      <c r="S1897" s="20">
        <v>1558503.0</v>
      </c>
      <c r="T1897" s="20">
        <v>1.28798482472E11</v>
      </c>
      <c r="U1897" s="21">
        <v>6.4116</v>
      </c>
      <c r="V1897" s="21">
        <v>14.9661</v>
      </c>
      <c r="W1897" s="21">
        <v>21.219</v>
      </c>
      <c r="X1897" s="21">
        <v>6.9804</v>
      </c>
      <c r="Y1897" s="21">
        <v>0.3008</v>
      </c>
      <c r="Z1897" s="21">
        <v>0.3807</v>
      </c>
      <c r="AA1897" s="16" t="s">
        <v>2611</v>
      </c>
      <c r="AB1897" s="22">
        <f>IFERROR(__xludf.DUMMYFUNCTION("IFERROR(GOOGLEFINANCE(B1897,""price""),"""")"),327.91)</f>
        <v>327.91</v>
      </c>
    </row>
    <row r="1898">
      <c r="A1898" s="7">
        <v>46097.66891447655</v>
      </c>
      <c r="B1898" s="8" t="s">
        <v>3150</v>
      </c>
      <c r="C1898" s="8" t="s">
        <v>3151</v>
      </c>
      <c r="D1898" s="9">
        <v>46103.0</v>
      </c>
      <c r="E1898" s="10">
        <v>645.2</v>
      </c>
      <c r="F1898" s="8" t="s">
        <v>308</v>
      </c>
      <c r="G1898" s="13">
        <v>30.0294</v>
      </c>
      <c r="H1898" s="13">
        <v>21.4856</v>
      </c>
      <c r="I1898" s="9">
        <v>46101.0</v>
      </c>
      <c r="J1898" s="10">
        <v>650.0</v>
      </c>
      <c r="K1898" s="8">
        <v>2185.0</v>
      </c>
      <c r="L1898" s="8" t="s">
        <v>2608</v>
      </c>
      <c r="M1898" s="11">
        <v>0.74</v>
      </c>
      <c r="N1898" s="8" t="s">
        <v>4451</v>
      </c>
      <c r="O1898" s="8">
        <v>2185.0</v>
      </c>
      <c r="P1898" s="11">
        <v>34.2225</v>
      </c>
      <c r="Q1898" s="8" t="s">
        <v>3153</v>
      </c>
      <c r="R1898" s="11">
        <v>-0.1238</v>
      </c>
      <c r="S1898" s="12">
        <v>1179134.0</v>
      </c>
      <c r="T1898" s="12">
        <v>1.48447764856E11</v>
      </c>
      <c r="U1898" s="13">
        <v>18.1432</v>
      </c>
      <c r="V1898" s="13">
        <v>76.8653</v>
      </c>
      <c r="W1898" s="13">
        <v>10.1522</v>
      </c>
      <c r="X1898" s="13">
        <v>5.6374</v>
      </c>
      <c r="Y1898" s="13">
        <v>3.388</v>
      </c>
      <c r="Z1898" s="13">
        <v>1.0869</v>
      </c>
      <c r="AA1898" s="8" t="s">
        <v>2620</v>
      </c>
      <c r="AB1898" s="14">
        <f>IFERROR(__xludf.DUMMYFUNCTION("IFERROR(GOOGLEFINANCE(B1898,""price""),"""")"),613.72)</f>
        <v>613.72</v>
      </c>
    </row>
    <row r="1899">
      <c r="A1899" s="15">
        <v>46097.66891447655</v>
      </c>
      <c r="B1899" s="16" t="s">
        <v>2710</v>
      </c>
      <c r="C1899" s="16" t="s">
        <v>2711</v>
      </c>
      <c r="D1899" s="17">
        <v>46103.0</v>
      </c>
      <c r="E1899" s="18">
        <v>134.15</v>
      </c>
      <c r="F1899" s="16" t="s">
        <v>917</v>
      </c>
      <c r="G1899" s="21">
        <v>20.1429</v>
      </c>
      <c r="H1899" s="21">
        <v>6.6599</v>
      </c>
      <c r="I1899" s="17">
        <v>46101.0</v>
      </c>
      <c r="J1899" s="18">
        <v>135.0</v>
      </c>
      <c r="K1899" s="16">
        <v>2095.0</v>
      </c>
      <c r="L1899" s="16" t="s">
        <v>2608</v>
      </c>
      <c r="M1899" s="19">
        <v>0.63</v>
      </c>
      <c r="N1899" s="16" t="s">
        <v>4436</v>
      </c>
      <c r="O1899" s="16">
        <v>2095.0</v>
      </c>
      <c r="P1899" s="19">
        <v>39.7976</v>
      </c>
      <c r="Q1899" s="16" t="s">
        <v>2713</v>
      </c>
      <c r="R1899" s="19">
        <v>0.4042</v>
      </c>
      <c r="S1899" s="20">
        <v>4356482.0</v>
      </c>
      <c r="T1899" s="20">
        <v>7.2556572063E10</v>
      </c>
      <c r="U1899" s="21">
        <v>2.3714</v>
      </c>
      <c r="V1899" s="21">
        <v>12.3274</v>
      </c>
      <c r="W1899" s="21">
        <v>25.0742</v>
      </c>
      <c r="X1899" s="21">
        <v>10.4587</v>
      </c>
      <c r="Y1899" s="21">
        <v>1.5949</v>
      </c>
      <c r="Z1899" s="21">
        <v>0.4546</v>
      </c>
      <c r="AA1899" s="16" t="s">
        <v>2620</v>
      </c>
      <c r="AB1899" s="22">
        <f>IFERROR(__xludf.DUMMYFUNCTION("IFERROR(GOOGLEFINANCE(B1899,""price""),"""")"),136.3)</f>
        <v>136.3</v>
      </c>
    </row>
    <row r="1900">
      <c r="A1900" s="7">
        <v>46097.66891447655</v>
      </c>
      <c r="B1900" s="8" t="s">
        <v>3291</v>
      </c>
      <c r="C1900" s="8" t="s">
        <v>3292</v>
      </c>
      <c r="D1900" s="9">
        <v>46103.0</v>
      </c>
      <c r="E1900" s="10">
        <v>236.96</v>
      </c>
      <c r="F1900" s="8" t="s">
        <v>270</v>
      </c>
      <c r="G1900" s="13">
        <v>35.3746</v>
      </c>
      <c r="H1900" s="13">
        <v>6.6986</v>
      </c>
      <c r="I1900" s="9">
        <v>46101.0</v>
      </c>
      <c r="J1900" s="10">
        <v>240.0</v>
      </c>
      <c r="K1900" s="8">
        <v>1896.0</v>
      </c>
      <c r="L1900" s="8" t="s">
        <v>2608</v>
      </c>
      <c r="M1900" s="11">
        <v>1.28</v>
      </c>
      <c r="N1900" s="8" t="s">
        <v>4437</v>
      </c>
      <c r="O1900" s="8">
        <v>1896.0</v>
      </c>
      <c r="P1900" s="11">
        <v>24.0871</v>
      </c>
      <c r="Q1900" s="8" t="s">
        <v>3294</v>
      </c>
      <c r="R1900" s="11">
        <v>-0.6582</v>
      </c>
      <c r="S1900" s="12">
        <v>2160207.0</v>
      </c>
      <c r="T1900" s="12">
        <v>9.5574447104E10</v>
      </c>
      <c r="U1900" s="13">
        <v>5.0898</v>
      </c>
      <c r="V1900" s="13">
        <v>29.6897</v>
      </c>
      <c r="W1900" s="13">
        <v>18.2788</v>
      </c>
      <c r="X1900" s="13">
        <v>14.2365</v>
      </c>
      <c r="Y1900" s="13">
        <v>2.3941</v>
      </c>
      <c r="Z1900" s="13">
        <v>0.8888</v>
      </c>
      <c r="AA1900" s="8" t="s">
        <v>2620</v>
      </c>
      <c r="AB1900" s="14">
        <f>IFERROR(__xludf.DUMMYFUNCTION("IFERROR(GOOGLEFINANCE(B1900,""price""),"""")"),229.45)</f>
        <v>229.45</v>
      </c>
    </row>
    <row r="1901">
      <c r="A1901" s="15">
        <v>46097.66891447655</v>
      </c>
      <c r="B1901" s="16" t="s">
        <v>4438</v>
      </c>
      <c r="C1901" s="16" t="s">
        <v>4439</v>
      </c>
      <c r="D1901" s="17">
        <v>46103.0</v>
      </c>
      <c r="E1901" s="18">
        <v>56.59</v>
      </c>
      <c r="F1901" s="16" t="s">
        <v>245</v>
      </c>
      <c r="G1901" s="21">
        <v>18.4923</v>
      </c>
      <c r="H1901" s="21">
        <v>3.0602</v>
      </c>
      <c r="I1901" s="17">
        <v>46101.0</v>
      </c>
      <c r="J1901" s="18">
        <v>57.5</v>
      </c>
      <c r="K1901" s="16">
        <v>1835.0</v>
      </c>
      <c r="L1901" s="16" t="s">
        <v>2608</v>
      </c>
      <c r="M1901" s="19">
        <v>1.61</v>
      </c>
      <c r="N1901" s="16" t="s">
        <v>4440</v>
      </c>
      <c r="O1901" s="16">
        <v>1835.0</v>
      </c>
      <c r="P1901" s="19">
        <v>19.2384</v>
      </c>
      <c r="Q1901" s="16" t="s">
        <v>4441</v>
      </c>
      <c r="R1901" s="19">
        <v>1.5432</v>
      </c>
      <c r="S1901" s="20">
        <v>2353702.0</v>
      </c>
      <c r="T1901" s="20">
        <v>1.0201659928E10</v>
      </c>
      <c r="U1901" s="21">
        <v>2.564</v>
      </c>
      <c r="V1901" s="21">
        <v>6.2073</v>
      </c>
      <c r="W1901" s="21">
        <v>3.4166</v>
      </c>
      <c r="X1901" s="21">
        <v>-6.0035</v>
      </c>
      <c r="Y1901" s="21">
        <v>0.3519</v>
      </c>
      <c r="Z1901" s="21">
        <v>1.9364</v>
      </c>
      <c r="AA1901" s="16" t="s">
        <v>2620</v>
      </c>
      <c r="AB1901" s="22">
        <f>IFERROR(__xludf.DUMMYFUNCTION("IFERROR(GOOGLEFINANCE(B1901,""price""),"""")"),57.51)</f>
        <v>57.51</v>
      </c>
    </row>
    <row r="1902">
      <c r="A1902" s="7">
        <v>46097.66891447655</v>
      </c>
      <c r="B1902" s="8" t="s">
        <v>2768</v>
      </c>
      <c r="C1902" s="8" t="s">
        <v>2769</v>
      </c>
      <c r="D1902" s="9">
        <v>46103.0</v>
      </c>
      <c r="E1902" s="10">
        <v>286.21</v>
      </c>
      <c r="F1902" s="8" t="s">
        <v>308</v>
      </c>
      <c r="G1902" s="13">
        <v>28.7339</v>
      </c>
      <c r="H1902" s="13">
        <v>9.9607</v>
      </c>
      <c r="I1902" s="9">
        <v>46101.0</v>
      </c>
      <c r="J1902" s="10">
        <v>290.0</v>
      </c>
      <c r="K1902" s="8">
        <v>1670.0</v>
      </c>
      <c r="L1902" s="8" t="s">
        <v>2608</v>
      </c>
      <c r="M1902" s="11">
        <v>1.32</v>
      </c>
      <c r="N1902" s="8" t="s">
        <v>4452</v>
      </c>
      <c r="O1902" s="8">
        <v>1670.0</v>
      </c>
      <c r="P1902" s="11">
        <v>17.6593</v>
      </c>
      <c r="Q1902" s="8" t="s">
        <v>2771</v>
      </c>
      <c r="R1902" s="11">
        <v>5.1122</v>
      </c>
      <c r="S1902" s="12">
        <v>8535089.0</v>
      </c>
      <c r="T1902" s="12">
        <v>9.7036049949E10</v>
      </c>
      <c r="U1902" s="13">
        <v>18.9683</v>
      </c>
      <c r="V1902" s="13">
        <v>41.2731</v>
      </c>
      <c r="W1902" s="13">
        <v>27.8834</v>
      </c>
      <c r="X1902" s="13">
        <v>-31.1967</v>
      </c>
      <c r="Y1902" s="13">
        <v>0.7076</v>
      </c>
      <c r="Z1902" s="13">
        <v>1.455</v>
      </c>
      <c r="AA1902" s="8" t="s">
        <v>2620</v>
      </c>
      <c r="AB1902" s="14">
        <f>IFERROR(__xludf.DUMMYFUNCTION("IFERROR(GOOGLEFINANCE(B1902,""price""),"""")"),343.43)</f>
        <v>343.43</v>
      </c>
    </row>
    <row r="1903">
      <c r="A1903" s="15">
        <v>46097.66891447655</v>
      </c>
      <c r="B1903" s="16" t="s">
        <v>2188</v>
      </c>
      <c r="C1903" s="16" t="s">
        <v>2189</v>
      </c>
      <c r="D1903" s="17">
        <v>46103.0</v>
      </c>
      <c r="E1903" s="18">
        <v>497.41</v>
      </c>
      <c r="F1903" s="16" t="s">
        <v>107</v>
      </c>
      <c r="G1903" s="21">
        <v>34.0755</v>
      </c>
      <c r="H1903" s="21">
        <v>14.5973</v>
      </c>
      <c r="I1903" s="17">
        <v>46101.0</v>
      </c>
      <c r="J1903" s="18">
        <v>490.0</v>
      </c>
      <c r="K1903" s="16">
        <v>1381.0</v>
      </c>
      <c r="L1903" s="16" t="s">
        <v>2608</v>
      </c>
      <c r="M1903" s="19">
        <v>1.49</v>
      </c>
      <c r="N1903" s="16" t="s">
        <v>4442</v>
      </c>
      <c r="O1903" s="16">
        <v>1381.0</v>
      </c>
      <c r="P1903" s="19">
        <v>26.9521</v>
      </c>
      <c r="Q1903" s="16" t="s">
        <v>2190</v>
      </c>
      <c r="R1903" s="19">
        <v>0.7066</v>
      </c>
      <c r="S1903" s="20">
        <v>2212794.0</v>
      </c>
      <c r="T1903" s="20">
        <v>2.30496897898E11</v>
      </c>
      <c r="U1903" s="21">
        <v>9.9899</v>
      </c>
      <c r="V1903" s="21">
        <v>18.0725</v>
      </c>
      <c r="W1903" s="21">
        <v>27.2289</v>
      </c>
      <c r="X1903" s="21">
        <v>2.9723</v>
      </c>
      <c r="Y1903" s="21">
        <v>0.7339</v>
      </c>
      <c r="Z1903" s="21">
        <v>0.8768</v>
      </c>
      <c r="AA1903" s="16" t="s">
        <v>2611</v>
      </c>
      <c r="AB1903" s="22">
        <f>IFERROR(__xludf.DUMMYFUNCTION("IFERROR(GOOGLEFINANCE(B1903,""price""),"""")"),503.15)</f>
        <v>503.15</v>
      </c>
    </row>
    <row r="1904">
      <c r="A1904" s="7">
        <v>46097.66891447655</v>
      </c>
      <c r="B1904" s="8" t="s">
        <v>3100</v>
      </c>
      <c r="C1904" s="8" t="s">
        <v>3101</v>
      </c>
      <c r="D1904" s="9">
        <v>46103.0</v>
      </c>
      <c r="E1904" s="10">
        <v>363.88</v>
      </c>
      <c r="F1904" s="8" t="s">
        <v>308</v>
      </c>
      <c r="G1904" s="13">
        <v>231.0789</v>
      </c>
      <c r="H1904" s="13">
        <v>1.5747</v>
      </c>
      <c r="I1904" s="9">
        <v>46101.0</v>
      </c>
      <c r="J1904" s="10">
        <v>357.5</v>
      </c>
      <c r="K1904" s="8">
        <v>1031.0</v>
      </c>
      <c r="L1904" s="8" t="s">
        <v>2608</v>
      </c>
      <c r="M1904" s="11">
        <v>1.75</v>
      </c>
      <c r="N1904" s="8" t="s">
        <v>4443</v>
      </c>
      <c r="O1904" s="8">
        <v>1031.0</v>
      </c>
      <c r="P1904" s="11">
        <v>17.4334</v>
      </c>
      <c r="Q1904" s="8" t="s">
        <v>3103</v>
      </c>
      <c r="R1904" s="11">
        <v>7.8546</v>
      </c>
      <c r="S1904" s="12">
        <v>3689740.0</v>
      </c>
      <c r="T1904" s="12">
        <v>5.145205863E10</v>
      </c>
      <c r="U1904" s="13">
        <v>24.4541</v>
      </c>
      <c r="V1904" s="13">
        <v>8.2012</v>
      </c>
      <c r="W1904" s="13">
        <v>8.1924</v>
      </c>
      <c r="X1904" s="13">
        <v>26.5411</v>
      </c>
      <c r="Y1904" s="13">
        <v>0.5689</v>
      </c>
      <c r="Z1904" s="13">
        <v>2.8139</v>
      </c>
      <c r="AA1904" s="8" t="s">
        <v>2611</v>
      </c>
      <c r="AB1904" s="14">
        <f>IFERROR(__xludf.DUMMYFUNCTION("IFERROR(GOOGLEFINANCE(B1904,""price""),"""")"),496.02)</f>
        <v>496.02</v>
      </c>
    </row>
    <row r="1905">
      <c r="A1905" s="15">
        <v>46097.66891447655</v>
      </c>
      <c r="B1905" s="16" t="s">
        <v>3873</v>
      </c>
      <c r="C1905" s="16" t="s">
        <v>3874</v>
      </c>
      <c r="D1905" s="17">
        <v>46103.0</v>
      </c>
      <c r="E1905" s="18">
        <v>79.75</v>
      </c>
      <c r="F1905" s="16" t="s">
        <v>149</v>
      </c>
      <c r="G1905" s="21">
        <v>38.0941</v>
      </c>
      <c r="H1905" s="21">
        <v>2.0935</v>
      </c>
      <c r="I1905" s="17">
        <v>46101.0</v>
      </c>
      <c r="J1905" s="18">
        <v>80.0</v>
      </c>
      <c r="K1905" s="16">
        <v>1031.0</v>
      </c>
      <c r="L1905" s="16" t="s">
        <v>2627</v>
      </c>
      <c r="M1905" s="19">
        <v>0.31</v>
      </c>
      <c r="N1905" s="16" t="s">
        <v>4406</v>
      </c>
      <c r="O1905" s="16">
        <v>1031.0</v>
      </c>
      <c r="P1905" s="19">
        <v>18.1655</v>
      </c>
      <c r="Q1905" s="16" t="s">
        <v>3876</v>
      </c>
      <c r="R1905" s="19">
        <v>0.5548</v>
      </c>
      <c r="S1905" s="20">
        <v>1353650.0</v>
      </c>
      <c r="T1905" s="20">
        <v>1.2858784816E10</v>
      </c>
      <c r="U1905" s="21">
        <v>1.8958</v>
      </c>
      <c r="V1905" s="21">
        <v>17.3353</v>
      </c>
      <c r="W1905" s="21">
        <v>16.2259</v>
      </c>
      <c r="X1905" s="21">
        <v>9.2423</v>
      </c>
      <c r="Y1905" s="21">
        <v>0.0239</v>
      </c>
      <c r="Z1905" s="21">
        <v>1.542</v>
      </c>
      <c r="AA1905" s="16" t="s">
        <v>2620</v>
      </c>
      <c r="AB1905" s="22">
        <f>IFERROR(__xludf.DUMMYFUNCTION("IFERROR(GOOGLEFINANCE(B1905,""price""),"""")"),79.01)</f>
        <v>79.01</v>
      </c>
    </row>
    <row r="1906">
      <c r="A1906" s="7">
        <v>46097.66891447655</v>
      </c>
      <c r="B1906" s="8" t="s">
        <v>2680</v>
      </c>
      <c r="C1906" s="8" t="s">
        <v>2681</v>
      </c>
      <c r="D1906" s="9">
        <v>46103.0</v>
      </c>
      <c r="E1906" s="10">
        <v>232.57</v>
      </c>
      <c r="F1906" s="8" t="s">
        <v>245</v>
      </c>
      <c r="G1906" s="13">
        <v>30.412</v>
      </c>
      <c r="H1906" s="13">
        <v>7.6473</v>
      </c>
      <c r="I1906" s="9">
        <v>46101.0</v>
      </c>
      <c r="J1906" s="10">
        <v>235.0</v>
      </c>
      <c r="K1906" s="8">
        <v>1004.0</v>
      </c>
      <c r="L1906" s="8" t="s">
        <v>2608</v>
      </c>
      <c r="M1906" s="11">
        <v>1.04</v>
      </c>
      <c r="N1906" s="8" t="s">
        <v>4444</v>
      </c>
      <c r="O1906" s="8">
        <v>1004.0</v>
      </c>
      <c r="P1906" s="11">
        <v>50.5378</v>
      </c>
      <c r="Q1906" s="8" t="s">
        <v>2683</v>
      </c>
      <c r="R1906" s="11">
        <v>0.8587</v>
      </c>
      <c r="S1906" s="12">
        <v>2646284.0</v>
      </c>
      <c r="T1906" s="12">
        <v>6.9544525625E10</v>
      </c>
      <c r="U1906" s="13">
        <v>7.9171</v>
      </c>
      <c r="V1906" s="13">
        <v>9.6938</v>
      </c>
      <c r="W1906" s="13">
        <v>3.5855</v>
      </c>
      <c r="X1906" s="13">
        <v>-5.443</v>
      </c>
      <c r="Y1906" s="13">
        <v>0.4933</v>
      </c>
      <c r="Z1906" s="13">
        <v>1.645</v>
      </c>
      <c r="AA1906" s="8" t="s">
        <v>2620</v>
      </c>
      <c r="AB1906" s="14">
        <f>IFERROR(__xludf.DUMMYFUNCTION("IFERROR(GOOGLEFINANCE(B1906,""price""),"""")"),238.82)</f>
        <v>238.82</v>
      </c>
    </row>
    <row r="1907">
      <c r="A1907" s="7">
        <v>46102.75610357013</v>
      </c>
      <c r="B1907" s="8" t="s">
        <v>2630</v>
      </c>
      <c r="C1907" s="8" t="s">
        <v>2631</v>
      </c>
      <c r="D1907" s="9">
        <v>46103.0</v>
      </c>
      <c r="E1907" s="10">
        <v>422.9</v>
      </c>
      <c r="F1907" s="8" t="s">
        <v>308</v>
      </c>
      <c r="G1907" s="13">
        <v>19.9657</v>
      </c>
      <c r="H1907" s="13">
        <v>21.1813</v>
      </c>
      <c r="I1907" s="9">
        <v>46108.0</v>
      </c>
      <c r="J1907" s="10">
        <v>430.0</v>
      </c>
      <c r="K1907" s="8">
        <v>3263.0</v>
      </c>
      <c r="L1907" s="8" t="s">
        <v>2608</v>
      </c>
      <c r="M1907" s="11">
        <v>1.68</v>
      </c>
      <c r="N1907" s="8" t="s">
        <v>4453</v>
      </c>
      <c r="O1907" s="8">
        <v>8749.0</v>
      </c>
      <c r="P1907" s="11">
        <v>20.4558</v>
      </c>
      <c r="Q1907" s="8" t="s">
        <v>2633</v>
      </c>
      <c r="R1907" s="11">
        <v>-4.8101</v>
      </c>
      <c r="S1907" s="12">
        <v>6.4223681E7</v>
      </c>
      <c r="T1907" s="12">
        <v>4.76918705434E11</v>
      </c>
      <c r="U1907" s="13">
        <v>25.8678</v>
      </c>
      <c r="V1907" s="13">
        <v>39.8226</v>
      </c>
      <c r="W1907" s="13">
        <v>48.6536</v>
      </c>
      <c r="X1907" s="13">
        <v>85.5474</v>
      </c>
      <c r="Y1907" s="13">
        <v>0.149</v>
      </c>
      <c r="Z1907" s="13">
        <v>2.8968</v>
      </c>
      <c r="AA1907" s="8" t="s">
        <v>2620</v>
      </c>
      <c r="AB1907" s="14">
        <f>IFERROR(__xludf.DUMMYFUNCTION("IFERROR(GOOGLEFINANCE(B1907,""price""),"""")"),420.59)</f>
        <v>420.59</v>
      </c>
    </row>
    <row r="1908">
      <c r="A1908" s="15">
        <v>46102.75610357013</v>
      </c>
      <c r="B1908" s="16" t="s">
        <v>2634</v>
      </c>
      <c r="C1908" s="16" t="s">
        <v>2635</v>
      </c>
      <c r="D1908" s="17">
        <v>46103.0</v>
      </c>
      <c r="E1908" s="18">
        <v>201.73</v>
      </c>
      <c r="F1908" s="16" t="s">
        <v>245</v>
      </c>
      <c r="G1908" s="21">
        <v>30.3445</v>
      </c>
      <c r="H1908" s="21">
        <v>6.648</v>
      </c>
      <c r="I1908" s="17">
        <v>46108.0</v>
      </c>
      <c r="J1908" s="18">
        <v>205.0</v>
      </c>
      <c r="K1908" s="16">
        <v>2757.0</v>
      </c>
      <c r="L1908" s="16" t="s">
        <v>2608</v>
      </c>
      <c r="M1908" s="19">
        <v>1.62</v>
      </c>
      <c r="N1908" s="16" t="s">
        <v>4454</v>
      </c>
      <c r="O1908" s="16">
        <v>6480.0</v>
      </c>
      <c r="P1908" s="19">
        <v>44.925</v>
      </c>
      <c r="Q1908" s="16" t="s">
        <v>2637</v>
      </c>
      <c r="R1908" s="19">
        <v>0.144</v>
      </c>
      <c r="S1908" s="20">
        <v>3.5849471E7</v>
      </c>
      <c r="T1908" s="20">
        <v>4.02529107996E11</v>
      </c>
      <c r="U1908" s="21">
        <v>3.8335</v>
      </c>
      <c r="V1908" s="21">
        <v>7.261</v>
      </c>
      <c r="W1908" s="21">
        <v>8.8802</v>
      </c>
      <c r="X1908" s="21">
        <v>-4.6193</v>
      </c>
      <c r="Y1908" s="21">
        <v>0.2507</v>
      </c>
      <c r="Z1908" s="21">
        <v>1.1547</v>
      </c>
      <c r="AA1908" s="16" t="s">
        <v>2620</v>
      </c>
      <c r="AB1908" s="22">
        <f>IFERROR(__xludf.DUMMYFUNCTION("IFERROR(GOOGLEFINANCE(B1908,""price""),"""")"),188.55)</f>
        <v>188.55</v>
      </c>
    </row>
    <row r="1909">
      <c r="A1909" s="7">
        <v>46102.75610357013</v>
      </c>
      <c r="B1909" s="8" t="s">
        <v>2638</v>
      </c>
      <c r="C1909" s="8" t="s">
        <v>2639</v>
      </c>
      <c r="D1909" s="9">
        <v>46103.0</v>
      </c>
      <c r="E1909" s="10">
        <v>159.67</v>
      </c>
      <c r="F1909" s="8" t="s">
        <v>245</v>
      </c>
      <c r="G1909" s="13">
        <v>23.8499</v>
      </c>
      <c r="H1909" s="13">
        <v>6.6948</v>
      </c>
      <c r="I1909" s="9">
        <v>46108.0</v>
      </c>
      <c r="J1909" s="10">
        <v>160.0</v>
      </c>
      <c r="K1909" s="8">
        <v>6393.0</v>
      </c>
      <c r="L1909" s="8" t="s">
        <v>2608</v>
      </c>
      <c r="M1909" s="11">
        <v>0.21</v>
      </c>
      <c r="N1909" s="8" t="s">
        <v>4455</v>
      </c>
      <c r="O1909" s="8">
        <v>6393.0</v>
      </c>
      <c r="P1909" s="11">
        <v>35.6594</v>
      </c>
      <c r="Q1909" s="8" t="s">
        <v>2641</v>
      </c>
      <c r="R1909" s="11">
        <v>0.9547</v>
      </c>
      <c r="S1909" s="12">
        <v>5.3942139E7</v>
      </c>
      <c r="T1909" s="12">
        <v>6.65307147859E11</v>
      </c>
      <c r="U1909" s="13">
        <v>3.8264</v>
      </c>
      <c r="V1909" s="13">
        <v>11.0283</v>
      </c>
      <c r="W1909" s="13">
        <v>10.3419</v>
      </c>
      <c r="X1909" s="13">
        <v>-4.856</v>
      </c>
      <c r="Y1909" s="13">
        <v>0.1871</v>
      </c>
      <c r="Z1909" s="13">
        <v>1.1528</v>
      </c>
      <c r="AA1909" s="8" t="s">
        <v>2620</v>
      </c>
      <c r="AB1909" s="14">
        <f>IFERROR(__xludf.DUMMYFUNCTION("IFERROR(GOOGLEFINANCE(B1909,""price""),"""")"),152.51)</f>
        <v>152.51</v>
      </c>
    </row>
    <row r="1910">
      <c r="A1910" s="15">
        <v>46102.75610357013</v>
      </c>
      <c r="B1910" s="16" t="s">
        <v>2399</v>
      </c>
      <c r="C1910" s="16" t="s">
        <v>2400</v>
      </c>
      <c r="D1910" s="17">
        <v>46103.0</v>
      </c>
      <c r="E1910" s="18">
        <v>19.01</v>
      </c>
      <c r="F1910" s="16" t="s">
        <v>270</v>
      </c>
      <c r="G1910" s="21">
        <v>15.7341</v>
      </c>
      <c r="H1910" s="21">
        <v>1.2082</v>
      </c>
      <c r="I1910" s="17">
        <v>46108.0</v>
      </c>
      <c r="J1910" s="18">
        <v>19.0</v>
      </c>
      <c r="K1910" s="16">
        <v>6149.0</v>
      </c>
      <c r="L1910" s="16" t="s">
        <v>2608</v>
      </c>
      <c r="M1910" s="19">
        <v>0.05</v>
      </c>
      <c r="N1910" s="16" t="s">
        <v>4456</v>
      </c>
      <c r="O1910" s="16">
        <v>6149.0</v>
      </c>
      <c r="P1910" s="19">
        <v>22.0352</v>
      </c>
      <c r="Q1910" s="16" t="s">
        <v>2401</v>
      </c>
      <c r="R1910" s="19">
        <v>0.2637</v>
      </c>
      <c r="S1910" s="20">
        <v>1.7417205E7</v>
      </c>
      <c r="T1910" s="20">
        <v>6.5400378541E10</v>
      </c>
      <c r="U1910" s="21">
        <v>0.3272</v>
      </c>
      <c r="V1910" s="21">
        <v>12.7475</v>
      </c>
      <c r="W1910" s="21">
        <v>10.8866</v>
      </c>
      <c r="X1910" s="21">
        <v>3.4655</v>
      </c>
      <c r="Y1910" s="21">
        <v>2.0395</v>
      </c>
      <c r="Z1910" s="21">
        <v>1.2192</v>
      </c>
      <c r="AA1910" s="16" t="s">
        <v>2611</v>
      </c>
      <c r="AB1910" s="22">
        <f>IFERROR(__xludf.DUMMYFUNCTION("IFERROR(GOOGLEFINANCE(B1910,""price""),"""")"),19.19)</f>
        <v>19.19</v>
      </c>
    </row>
    <row r="1911">
      <c r="A1911" s="7">
        <v>46102.75610357013</v>
      </c>
      <c r="B1911" s="8" t="s">
        <v>1674</v>
      </c>
      <c r="C1911" s="8" t="s">
        <v>1675</v>
      </c>
      <c r="D1911" s="9">
        <v>46103.0</v>
      </c>
      <c r="E1911" s="10">
        <v>104.91</v>
      </c>
      <c r="F1911" s="8" t="s">
        <v>117</v>
      </c>
      <c r="G1911" s="13"/>
      <c r="H1911" s="13">
        <v>-1.1046</v>
      </c>
      <c r="I1911" s="9">
        <v>46129.0</v>
      </c>
      <c r="J1911" s="10">
        <v>105.0</v>
      </c>
      <c r="K1911" s="8">
        <v>5976.0</v>
      </c>
      <c r="L1911" s="8" t="s">
        <v>2608</v>
      </c>
      <c r="M1911" s="11">
        <v>0.09</v>
      </c>
      <c r="N1911" s="8" t="s">
        <v>4457</v>
      </c>
      <c r="O1911" s="8">
        <v>5976.0</v>
      </c>
      <c r="P1911" s="11">
        <v>42.9326</v>
      </c>
      <c r="Q1911" s="8" t="s">
        <v>1676</v>
      </c>
      <c r="R1911" s="11">
        <v>0.9527</v>
      </c>
      <c r="S1911" s="12">
        <v>2.1562141E7</v>
      </c>
      <c r="T1911" s="12">
        <v>2.0026083241E10</v>
      </c>
      <c r="U1911" s="13">
        <v>0.3725</v>
      </c>
      <c r="V1911" s="13">
        <v>-8.6586</v>
      </c>
      <c r="W1911" s="13">
        <v>-4.7946</v>
      </c>
      <c r="X1911" s="13">
        <v>17.6929</v>
      </c>
      <c r="Y1911" s="13">
        <v>1.0557</v>
      </c>
      <c r="Z1911" s="13">
        <v>2.4266</v>
      </c>
      <c r="AA1911" s="8" t="s">
        <v>2620</v>
      </c>
      <c r="AB1911" s="14">
        <f>IFERROR(__xludf.DUMMYFUNCTION("IFERROR(GOOGLEFINANCE(B1911,""price""),"""")"),890.12)</f>
        <v>890.12</v>
      </c>
    </row>
    <row r="1912">
      <c r="A1912" s="15">
        <v>46102.75610357013</v>
      </c>
      <c r="B1912" s="16" t="s">
        <v>4438</v>
      </c>
      <c r="C1912" s="16" t="s">
        <v>4439</v>
      </c>
      <c r="D1912" s="17">
        <v>46103.0</v>
      </c>
      <c r="E1912" s="18">
        <v>60.22</v>
      </c>
      <c r="F1912" s="16" t="s">
        <v>245</v>
      </c>
      <c r="G1912" s="21">
        <v>19.6785</v>
      </c>
      <c r="H1912" s="21">
        <v>3.0602</v>
      </c>
      <c r="I1912" s="17">
        <v>46129.0</v>
      </c>
      <c r="J1912" s="18">
        <v>60.0</v>
      </c>
      <c r="K1912" s="16">
        <v>3472.0</v>
      </c>
      <c r="L1912" s="16" t="s">
        <v>2608</v>
      </c>
      <c r="M1912" s="19">
        <v>0.37</v>
      </c>
      <c r="N1912" s="16" t="s">
        <v>4458</v>
      </c>
      <c r="O1912" s="16">
        <v>3472.0</v>
      </c>
      <c r="P1912" s="19">
        <v>19.8597</v>
      </c>
      <c r="Q1912" s="16" t="s">
        <v>4441</v>
      </c>
      <c r="R1912" s="19">
        <v>-0.4464</v>
      </c>
      <c r="S1912" s="20">
        <v>7420469.0</v>
      </c>
      <c r="T1912" s="20">
        <v>1.0856051924E10</v>
      </c>
      <c r="U1912" s="21">
        <v>2.4395</v>
      </c>
      <c r="V1912" s="21">
        <v>6.2073</v>
      </c>
      <c r="W1912" s="21">
        <v>3.4166</v>
      </c>
      <c r="X1912" s="21">
        <v>-6.0035</v>
      </c>
      <c r="Y1912" s="21">
        <v>0.3519</v>
      </c>
      <c r="Z1912" s="21">
        <v>1.9364</v>
      </c>
      <c r="AA1912" s="16" t="s">
        <v>2611</v>
      </c>
      <c r="AB1912" s="22">
        <f>IFERROR(__xludf.DUMMYFUNCTION("IFERROR(GOOGLEFINANCE(B1912,""price""),"""")"),57.51)</f>
        <v>57.51</v>
      </c>
    </row>
    <row r="1913">
      <c r="A1913" s="7">
        <v>46102.75610357013</v>
      </c>
      <c r="B1913" s="8" t="s">
        <v>4359</v>
      </c>
      <c r="C1913" s="8" t="s">
        <v>4360</v>
      </c>
      <c r="D1913" s="9">
        <v>46103.0</v>
      </c>
      <c r="E1913" s="10">
        <v>87.91</v>
      </c>
      <c r="F1913" s="8" t="s">
        <v>308</v>
      </c>
      <c r="G1913" s="13">
        <v>28.4406</v>
      </c>
      <c r="H1913" s="13">
        <v>3.091</v>
      </c>
      <c r="I1913" s="9">
        <v>46108.0</v>
      </c>
      <c r="J1913" s="10">
        <v>89.0</v>
      </c>
      <c r="K1913" s="8">
        <v>2362.0</v>
      </c>
      <c r="L1913" s="8" t="s">
        <v>2608</v>
      </c>
      <c r="M1913" s="11">
        <v>1.24</v>
      </c>
      <c r="N1913" s="8" t="s">
        <v>4459</v>
      </c>
      <c r="O1913" s="8">
        <v>2362.0</v>
      </c>
      <c r="P1913" s="11">
        <v>15.5508</v>
      </c>
      <c r="Q1913" s="8" t="s">
        <v>4362</v>
      </c>
      <c r="R1913" s="11">
        <v>-1.8094</v>
      </c>
      <c r="S1913" s="12">
        <v>2.5570428E7</v>
      </c>
      <c r="T1913" s="12">
        <v>7.6859715129E10</v>
      </c>
      <c r="U1913" s="13">
        <v>4.4528</v>
      </c>
      <c r="V1913" s="13">
        <v>19.2541</v>
      </c>
      <c r="W1913" s="13">
        <v>16.3327</v>
      </c>
      <c r="X1913" s="13">
        <v>42.0873</v>
      </c>
      <c r="Y1913" s="13">
        <v>0.3519</v>
      </c>
      <c r="Z1913" s="13">
        <v>2.0061</v>
      </c>
      <c r="AA1913" s="8" t="s">
        <v>2620</v>
      </c>
      <c r="AB1913" s="14">
        <f>IFERROR(__xludf.DUMMYFUNCTION("IFERROR(GOOGLEFINANCE(B1913,""price""),"""")"),128.49)</f>
        <v>128.49</v>
      </c>
    </row>
    <row r="1914">
      <c r="A1914" s="15">
        <v>46102.75610357013</v>
      </c>
      <c r="B1914" s="16" t="s">
        <v>3463</v>
      </c>
      <c r="C1914" s="16" t="s">
        <v>3464</v>
      </c>
      <c r="D1914" s="17">
        <v>46103.0</v>
      </c>
      <c r="E1914" s="18">
        <v>64.67</v>
      </c>
      <c r="F1914" s="16" t="s">
        <v>245</v>
      </c>
      <c r="G1914" s="21">
        <v>19.5159</v>
      </c>
      <c r="H1914" s="21">
        <v>3.3137</v>
      </c>
      <c r="I1914" s="17">
        <v>46108.0</v>
      </c>
      <c r="J1914" s="18">
        <v>64.0</v>
      </c>
      <c r="K1914" s="16">
        <v>2119.0</v>
      </c>
      <c r="L1914" s="16" t="s">
        <v>2627</v>
      </c>
      <c r="M1914" s="19">
        <v>1.04</v>
      </c>
      <c r="N1914" s="16" t="s">
        <v>4460</v>
      </c>
      <c r="O1914" s="16">
        <v>2119.0</v>
      </c>
      <c r="P1914" s="19">
        <v>31.3958</v>
      </c>
      <c r="Q1914" s="16" t="s">
        <v>3466</v>
      </c>
      <c r="R1914" s="19">
        <v>-0.0155</v>
      </c>
      <c r="S1914" s="20">
        <v>1.513929E7</v>
      </c>
      <c r="T1914" s="20">
        <v>4.0371797584E10</v>
      </c>
      <c r="U1914" s="21">
        <v>2.1458</v>
      </c>
      <c r="V1914" s="21">
        <v>9.1961</v>
      </c>
      <c r="W1914" s="21">
        <v>35.6577</v>
      </c>
      <c r="X1914" s="21">
        <v>59.9561</v>
      </c>
      <c r="Y1914" s="21">
        <v>0.3357</v>
      </c>
      <c r="Z1914" s="21">
        <v>0.7627</v>
      </c>
      <c r="AA1914" s="16" t="s">
        <v>2611</v>
      </c>
      <c r="AB1914" s="22">
        <f>IFERROR(__xludf.DUMMYFUNCTION("IFERROR(GOOGLEFINANCE(B1914,""price""),"""")"),58.68)</f>
        <v>58.68</v>
      </c>
    </row>
    <row r="1915">
      <c r="A1915" s="7">
        <v>46102.75610357013</v>
      </c>
      <c r="B1915" s="8" t="s">
        <v>2188</v>
      </c>
      <c r="C1915" s="8" t="s">
        <v>2189</v>
      </c>
      <c r="D1915" s="9">
        <v>46103.0</v>
      </c>
      <c r="E1915" s="10">
        <v>488.15</v>
      </c>
      <c r="F1915" s="8" t="s">
        <v>107</v>
      </c>
      <c r="G1915" s="13">
        <v>33.4411</v>
      </c>
      <c r="H1915" s="13">
        <v>14.5973</v>
      </c>
      <c r="I1915" s="9">
        <v>46129.0</v>
      </c>
      <c r="J1915" s="10">
        <v>490.0</v>
      </c>
      <c r="K1915" s="8">
        <v>1861.0</v>
      </c>
      <c r="L1915" s="8" t="s">
        <v>2627</v>
      </c>
      <c r="M1915" s="11">
        <v>0.38</v>
      </c>
      <c r="N1915" s="8" t="s">
        <v>4461</v>
      </c>
      <c r="O1915" s="8">
        <v>1861.0</v>
      </c>
      <c r="P1915" s="11">
        <v>21.6246</v>
      </c>
      <c r="Q1915" s="8" t="s">
        <v>2190</v>
      </c>
      <c r="R1915" s="11">
        <v>-0.3369</v>
      </c>
      <c r="S1915" s="12">
        <v>6334079.0</v>
      </c>
      <c r="T1915" s="12">
        <v>2.26205858835E11</v>
      </c>
      <c r="U1915" s="13">
        <v>9.5803</v>
      </c>
      <c r="V1915" s="13">
        <v>18.0725</v>
      </c>
      <c r="W1915" s="13">
        <v>27.2289</v>
      </c>
      <c r="X1915" s="13">
        <v>2.9723</v>
      </c>
      <c r="Y1915" s="13">
        <v>0.7339</v>
      </c>
      <c r="Z1915" s="13">
        <v>0.8768</v>
      </c>
      <c r="AA1915" s="8" t="s">
        <v>2620</v>
      </c>
      <c r="AB1915" s="14">
        <f>IFERROR(__xludf.DUMMYFUNCTION("IFERROR(GOOGLEFINANCE(B1915,""price""),"""")"),503.15)</f>
        <v>503.15</v>
      </c>
    </row>
    <row r="1916">
      <c r="A1916" s="15">
        <v>46102.75610357013</v>
      </c>
      <c r="B1916" s="16" t="s">
        <v>1626</v>
      </c>
      <c r="C1916" s="16" t="s">
        <v>1627</v>
      </c>
      <c r="D1916" s="17">
        <v>46103.0</v>
      </c>
      <c r="E1916" s="18">
        <v>45.02</v>
      </c>
      <c r="F1916" s="16" t="s">
        <v>917</v>
      </c>
      <c r="G1916" s="21">
        <v>23.0494</v>
      </c>
      <c r="H1916" s="21">
        <v>1.9532</v>
      </c>
      <c r="I1916" s="17">
        <v>46129.0</v>
      </c>
      <c r="J1916" s="18">
        <v>45.0</v>
      </c>
      <c r="K1916" s="16">
        <v>1791.0</v>
      </c>
      <c r="L1916" s="16" t="s">
        <v>2608</v>
      </c>
      <c r="M1916" s="19">
        <v>0.04</v>
      </c>
      <c r="N1916" s="16" t="s">
        <v>4462</v>
      </c>
      <c r="O1916" s="16">
        <v>1791.0</v>
      </c>
      <c r="P1916" s="19">
        <v>22.1761</v>
      </c>
      <c r="Q1916" s="16" t="s">
        <v>1628</v>
      </c>
      <c r="R1916" s="19">
        <v>-3.5768</v>
      </c>
      <c r="S1916" s="20">
        <v>5940773.0</v>
      </c>
      <c r="T1916" s="20">
        <v>2.1543562276E10</v>
      </c>
      <c r="U1916" s="21">
        <v>0.9539</v>
      </c>
      <c r="V1916" s="21">
        <v>10.2226</v>
      </c>
      <c r="W1916" s="21">
        <v>27.6399</v>
      </c>
      <c r="X1916" s="21">
        <v>21.7613</v>
      </c>
      <c r="Y1916" s="21">
        <v>1.7185</v>
      </c>
      <c r="Z1916" s="21">
        <v>0.6876</v>
      </c>
      <c r="AA1916" s="16" t="s">
        <v>2611</v>
      </c>
      <c r="AB1916" s="22">
        <f>IFERROR(__xludf.DUMMYFUNCTION("IFERROR(GOOGLEFINANCE(B1916,""price""),"""")"),48.05)</f>
        <v>48.05</v>
      </c>
    </row>
    <row r="1917">
      <c r="A1917" s="7">
        <v>46102.75610357013</v>
      </c>
      <c r="B1917" s="8" t="s">
        <v>3944</v>
      </c>
      <c r="C1917" s="8" t="s">
        <v>3945</v>
      </c>
      <c r="D1917" s="9">
        <v>46103.0</v>
      </c>
      <c r="E1917" s="10">
        <v>126.81</v>
      </c>
      <c r="F1917" s="8" t="s">
        <v>917</v>
      </c>
      <c r="G1917" s="13">
        <v>20.0893</v>
      </c>
      <c r="H1917" s="13">
        <v>6.3123</v>
      </c>
      <c r="I1917" s="9">
        <v>46129.0</v>
      </c>
      <c r="J1917" s="10">
        <v>125.0</v>
      </c>
      <c r="K1917" s="8">
        <v>1739.0</v>
      </c>
      <c r="L1917" s="8" t="s">
        <v>2608</v>
      </c>
      <c r="M1917" s="11">
        <v>1.43</v>
      </c>
      <c r="N1917" s="8" t="s">
        <v>4463</v>
      </c>
      <c r="O1917" s="8">
        <v>1739.0</v>
      </c>
      <c r="P1917" s="11">
        <v>24.0917</v>
      </c>
      <c r="Q1917" s="8" t="s">
        <v>3947</v>
      </c>
      <c r="R1917" s="11">
        <v>-2.2584</v>
      </c>
      <c r="S1917" s="12">
        <v>7644784.0</v>
      </c>
      <c r="T1917" s="12">
        <v>9.8616444732E10</v>
      </c>
      <c r="U1917" s="13">
        <v>2.3015</v>
      </c>
      <c r="V1917" s="13">
        <v>9.7422</v>
      </c>
      <c r="W1917" s="13">
        <v>26.6061</v>
      </c>
      <c r="X1917" s="13">
        <v>6.193</v>
      </c>
      <c r="Y1917" s="13">
        <v>1.7574</v>
      </c>
      <c r="Z1917" s="13">
        <v>0.5518</v>
      </c>
      <c r="AA1917" s="8" t="s">
        <v>2611</v>
      </c>
      <c r="AB1917" s="14">
        <f>IFERROR(__xludf.DUMMYFUNCTION("IFERROR(GOOGLEFINANCE(B1917,""price""),"""")"),131.79)</f>
        <v>131.79</v>
      </c>
    </row>
    <row r="1918">
      <c r="A1918" s="15">
        <v>46102.75610357013</v>
      </c>
      <c r="B1918" s="16" t="s">
        <v>3505</v>
      </c>
      <c r="C1918" s="16" t="s">
        <v>3506</v>
      </c>
      <c r="D1918" s="17">
        <v>46103.0</v>
      </c>
      <c r="E1918" s="18">
        <v>253.63</v>
      </c>
      <c r="F1918" s="16" t="s">
        <v>102</v>
      </c>
      <c r="G1918" s="21">
        <v>34.0187</v>
      </c>
      <c r="H1918" s="21">
        <v>7.4556</v>
      </c>
      <c r="I1918" s="17">
        <v>46108.0</v>
      </c>
      <c r="J1918" s="18">
        <v>255.0</v>
      </c>
      <c r="K1918" s="16">
        <v>1716.0</v>
      </c>
      <c r="L1918" s="16" t="s">
        <v>2627</v>
      </c>
      <c r="M1918" s="19">
        <v>0.54</v>
      </c>
      <c r="N1918" s="16" t="s">
        <v>4464</v>
      </c>
      <c r="O1918" s="16">
        <v>1716.0</v>
      </c>
      <c r="P1918" s="19">
        <v>16.094</v>
      </c>
      <c r="Q1918" s="16" t="s">
        <v>3508</v>
      </c>
      <c r="R1918" s="19">
        <v>-4.4024</v>
      </c>
      <c r="S1918" s="20">
        <v>2156877.0</v>
      </c>
      <c r="T1918" s="20">
        <v>2.6782128402E10</v>
      </c>
      <c r="U1918" s="21">
        <v>11.9115</v>
      </c>
      <c r="V1918" s="21">
        <v>59.8816</v>
      </c>
      <c r="W1918" s="21">
        <v>4.9775</v>
      </c>
      <c r="X1918" s="21">
        <v>19.0011</v>
      </c>
      <c r="Y1918" s="21">
        <v>3.2656</v>
      </c>
      <c r="Z1918" s="21">
        <v>1.0134</v>
      </c>
      <c r="AA1918" s="16" t="s">
        <v>2620</v>
      </c>
      <c r="AB1918" s="22">
        <f>IFERROR(__xludf.DUMMYFUNCTION("IFERROR(GOOGLEFINANCE(B1918,""price""),"""")"),299.5)</f>
        <v>299.5</v>
      </c>
    </row>
    <row r="1919">
      <c r="A1919" s="7">
        <v>46102.75610357013</v>
      </c>
      <c r="B1919" s="8" t="s">
        <v>1637</v>
      </c>
      <c r="C1919" s="8" t="s">
        <v>1638</v>
      </c>
      <c r="D1919" s="9">
        <v>46103.0</v>
      </c>
      <c r="E1919" s="10">
        <v>44.24</v>
      </c>
      <c r="F1919" s="8" t="s">
        <v>245</v>
      </c>
      <c r="G1919" s="13"/>
      <c r="H1919" s="13">
        <v>-0.3537</v>
      </c>
      <c r="I1919" s="9">
        <v>46129.0</v>
      </c>
      <c r="J1919" s="10">
        <v>45.0</v>
      </c>
      <c r="K1919" s="8">
        <v>1165.0</v>
      </c>
      <c r="L1919" s="8" t="s">
        <v>2608</v>
      </c>
      <c r="M1919" s="11">
        <v>1.72</v>
      </c>
      <c r="N1919" s="8" t="s">
        <v>4465</v>
      </c>
      <c r="O1919" s="8">
        <v>1165.0</v>
      </c>
      <c r="P1919" s="11">
        <v>29.1339</v>
      </c>
      <c r="Q1919" s="8" t="s">
        <v>1639</v>
      </c>
      <c r="R1919" s="11">
        <v>-0.8072</v>
      </c>
      <c r="S1919" s="12">
        <v>2083224.0</v>
      </c>
      <c r="T1919" s="12">
        <v>2.645924694E9</v>
      </c>
      <c r="U1919" s="13">
        <v>2.2586</v>
      </c>
      <c r="V1919" s="13">
        <v>-6.8079</v>
      </c>
      <c r="W1919" s="13">
        <v>3.7024</v>
      </c>
      <c r="X1919" s="13">
        <v>-11.1269</v>
      </c>
      <c r="Y1919" s="13">
        <v>11.5407</v>
      </c>
      <c r="Z1919" s="13">
        <v>0.8176</v>
      </c>
      <c r="AA1919" s="8" t="s">
        <v>2620</v>
      </c>
      <c r="AB1919" s="14">
        <f>IFERROR(__xludf.DUMMYFUNCTION("IFERROR(GOOGLEFINANCE(B1919,""price""),"""")"),41.74)</f>
        <v>41.74</v>
      </c>
    </row>
    <row r="1920">
      <c r="A1920" s="15">
        <v>46102.75610357013</v>
      </c>
      <c r="B1920" s="16" t="s">
        <v>3873</v>
      </c>
      <c r="C1920" s="16" t="s">
        <v>3874</v>
      </c>
      <c r="D1920" s="17">
        <v>46103.0</v>
      </c>
      <c r="E1920" s="18">
        <v>80.97</v>
      </c>
      <c r="F1920" s="16" t="s">
        <v>149</v>
      </c>
      <c r="G1920" s="21">
        <v>38.6769</v>
      </c>
      <c r="H1920" s="21">
        <v>2.0935</v>
      </c>
      <c r="I1920" s="17">
        <v>46129.0</v>
      </c>
      <c r="J1920" s="18">
        <v>80.0</v>
      </c>
      <c r="K1920" s="16">
        <v>1106.0</v>
      </c>
      <c r="L1920" s="16" t="s">
        <v>2608</v>
      </c>
      <c r="M1920" s="19">
        <v>1.2</v>
      </c>
      <c r="N1920" s="16" t="s">
        <v>4466</v>
      </c>
      <c r="O1920" s="16">
        <v>1106.0</v>
      </c>
      <c r="P1920" s="19">
        <v>18.7671</v>
      </c>
      <c r="Q1920" s="16" t="s">
        <v>3876</v>
      </c>
      <c r="R1920" s="19">
        <v>-0.3814</v>
      </c>
      <c r="S1920" s="20">
        <v>5097167.0</v>
      </c>
      <c r="T1920" s="20">
        <v>1.3055496605E10</v>
      </c>
      <c r="U1920" s="21">
        <v>1.8059</v>
      </c>
      <c r="V1920" s="21">
        <v>17.3353</v>
      </c>
      <c r="W1920" s="21">
        <v>16.2259</v>
      </c>
      <c r="X1920" s="21">
        <v>9.2423</v>
      </c>
      <c r="Y1920" s="21">
        <v>0.0239</v>
      </c>
      <c r="Z1920" s="21">
        <v>1.542</v>
      </c>
      <c r="AA1920" s="16" t="s">
        <v>2611</v>
      </c>
      <c r="AB1920" s="22">
        <f>IFERROR(__xludf.DUMMYFUNCTION("IFERROR(GOOGLEFINANCE(B1920,""price""),"""")"),79.01)</f>
        <v>79.01</v>
      </c>
    </row>
    <row r="1921">
      <c r="A1921" s="7">
        <v>46102.75610357013</v>
      </c>
      <c r="B1921" s="8" t="s">
        <v>3129</v>
      </c>
      <c r="C1921" s="8" t="s">
        <v>3130</v>
      </c>
      <c r="D1921" s="9">
        <v>46103.0</v>
      </c>
      <c r="E1921" s="10">
        <v>555.39</v>
      </c>
      <c r="F1921" s="8" t="s">
        <v>270</v>
      </c>
      <c r="G1921" s="13">
        <v>81.7471</v>
      </c>
      <c r="H1921" s="13">
        <v>6.794</v>
      </c>
      <c r="I1921" s="9">
        <v>46129.0</v>
      </c>
      <c r="J1921" s="10">
        <v>560.0</v>
      </c>
      <c r="K1921" s="8">
        <v>1036.0</v>
      </c>
      <c r="L1921" s="8" t="s">
        <v>2627</v>
      </c>
      <c r="M1921" s="11">
        <v>0.83</v>
      </c>
      <c r="N1921" s="8" t="s">
        <v>4467</v>
      </c>
      <c r="O1921" s="8">
        <v>1036.0</v>
      </c>
      <c r="P1921" s="11">
        <v>20.9818</v>
      </c>
      <c r="Q1921" s="8" t="s">
        <v>3132</v>
      </c>
      <c r="R1921" s="11">
        <v>-3.9035</v>
      </c>
      <c r="S1921" s="12">
        <v>1689434.0</v>
      </c>
      <c r="T1921" s="12">
        <v>8.3097129246E10</v>
      </c>
      <c r="U1921" s="13">
        <v>20.9024</v>
      </c>
      <c r="V1921" s="13">
        <v>12.6523</v>
      </c>
      <c r="W1921" s="13">
        <v>5.9024</v>
      </c>
      <c r="X1921" s="13">
        <v>20.3056</v>
      </c>
      <c r="Y1921" s="13">
        <v>0.7181</v>
      </c>
      <c r="Z1921" s="13">
        <v>1.1362</v>
      </c>
      <c r="AA1921" s="8" t="s">
        <v>2620</v>
      </c>
      <c r="AB1921" s="14">
        <f>IFERROR(__xludf.DUMMYFUNCTION("IFERROR(GOOGLEFINANCE(B1921,""price""),"""")"),585.36)</f>
        <v>585.36</v>
      </c>
    </row>
    <row r="1922">
      <c r="A1922" s="7">
        <v>46104.669112351345</v>
      </c>
      <c r="B1922" s="8" t="s">
        <v>2630</v>
      </c>
      <c r="C1922" s="8" t="s">
        <v>2631</v>
      </c>
      <c r="D1922" s="9">
        <v>46110.0</v>
      </c>
      <c r="E1922" s="10">
        <v>404.35</v>
      </c>
      <c r="F1922" s="8" t="s">
        <v>308</v>
      </c>
      <c r="G1922" s="13">
        <v>19.09</v>
      </c>
      <c r="H1922" s="13">
        <v>21.1813</v>
      </c>
      <c r="I1922" s="9">
        <v>46108.0</v>
      </c>
      <c r="J1922" s="10">
        <v>400.0</v>
      </c>
      <c r="K1922" s="8">
        <v>6402.0</v>
      </c>
      <c r="L1922" s="8" t="s">
        <v>2627</v>
      </c>
      <c r="M1922" s="11">
        <v>1.08</v>
      </c>
      <c r="N1922" s="8" t="s">
        <v>4468</v>
      </c>
      <c r="O1922" s="8">
        <v>12452.0</v>
      </c>
      <c r="P1922" s="11">
        <v>19.2782</v>
      </c>
      <c r="Q1922" s="8" t="s">
        <v>2633</v>
      </c>
      <c r="R1922" s="11">
        <v>-4.3864</v>
      </c>
      <c r="S1922" s="12">
        <v>5.4052073E7</v>
      </c>
      <c r="T1922" s="12">
        <v>4.55999239873E11</v>
      </c>
      <c r="U1922" s="13">
        <v>27.0736</v>
      </c>
      <c r="V1922" s="13">
        <v>39.8226</v>
      </c>
      <c r="W1922" s="13">
        <v>48.6536</v>
      </c>
      <c r="X1922" s="13">
        <v>85.5474</v>
      </c>
      <c r="Y1922" s="13">
        <v>0.149</v>
      </c>
      <c r="Z1922" s="13">
        <v>2.8968</v>
      </c>
      <c r="AA1922" s="8" t="s">
        <v>2611</v>
      </c>
      <c r="AB1922" s="14">
        <f>IFERROR(__xludf.DUMMYFUNCTION("IFERROR(GOOGLEFINANCE(B1922,""price""),"""")"),420.59)</f>
        <v>420.59</v>
      </c>
    </row>
    <row r="1923">
      <c r="A1923" s="15">
        <v>46104.669112351345</v>
      </c>
      <c r="B1923" s="16" t="s">
        <v>2638</v>
      </c>
      <c r="C1923" s="16" t="s">
        <v>2639</v>
      </c>
      <c r="D1923" s="17">
        <v>46110.0</v>
      </c>
      <c r="E1923" s="18">
        <v>161.13</v>
      </c>
      <c r="F1923" s="16" t="s">
        <v>245</v>
      </c>
      <c r="G1923" s="21">
        <v>24.0679</v>
      </c>
      <c r="H1923" s="21">
        <v>6.6948</v>
      </c>
      <c r="I1923" s="17">
        <v>46108.0</v>
      </c>
      <c r="J1923" s="18">
        <v>160.0</v>
      </c>
      <c r="K1923" s="16">
        <v>6721.0</v>
      </c>
      <c r="L1923" s="16" t="s">
        <v>2608</v>
      </c>
      <c r="M1923" s="19">
        <v>0.7</v>
      </c>
      <c r="N1923" s="16" t="s">
        <v>4469</v>
      </c>
      <c r="O1923" s="16">
        <v>9704.0</v>
      </c>
      <c r="P1923" s="19">
        <v>34.367</v>
      </c>
      <c r="Q1923" s="16" t="s">
        <v>2641</v>
      </c>
      <c r="R1923" s="19">
        <v>0.9144</v>
      </c>
      <c r="S1923" s="20">
        <v>2.4990183E7</v>
      </c>
      <c r="T1923" s="20">
        <v>6.7139062275E11</v>
      </c>
      <c r="U1923" s="21">
        <v>4.0103</v>
      </c>
      <c r="V1923" s="21">
        <v>11.0283</v>
      </c>
      <c r="W1923" s="21">
        <v>10.3419</v>
      </c>
      <c r="X1923" s="21">
        <v>-4.856</v>
      </c>
      <c r="Y1923" s="21">
        <v>0.1871</v>
      </c>
      <c r="Z1923" s="21">
        <v>1.1528</v>
      </c>
      <c r="AA1923" s="16" t="s">
        <v>2611</v>
      </c>
      <c r="AB1923" s="22">
        <f>IFERROR(__xludf.DUMMYFUNCTION("IFERROR(GOOGLEFINANCE(B1923,""price""),"""")"),152.51)</f>
        <v>152.51</v>
      </c>
    </row>
    <row r="1924">
      <c r="A1924" s="7">
        <v>46104.669112351345</v>
      </c>
      <c r="B1924" s="8" t="s">
        <v>2634</v>
      </c>
      <c r="C1924" s="8" t="s">
        <v>2635</v>
      </c>
      <c r="D1924" s="9">
        <v>46110.0</v>
      </c>
      <c r="E1924" s="10">
        <v>205.21</v>
      </c>
      <c r="F1924" s="8" t="s">
        <v>245</v>
      </c>
      <c r="G1924" s="13">
        <v>30.8679</v>
      </c>
      <c r="H1924" s="13">
        <v>6.648</v>
      </c>
      <c r="I1924" s="9">
        <v>46108.0</v>
      </c>
      <c r="J1924" s="10">
        <v>205.0</v>
      </c>
      <c r="K1924" s="8">
        <v>3147.0</v>
      </c>
      <c r="L1924" s="8" t="s">
        <v>2608</v>
      </c>
      <c r="M1924" s="11">
        <v>0.1</v>
      </c>
      <c r="N1924" s="8" t="s">
        <v>4470</v>
      </c>
      <c r="O1924" s="8">
        <v>7487.0</v>
      </c>
      <c r="P1924" s="11">
        <v>44.504</v>
      </c>
      <c r="Q1924" s="8" t="s">
        <v>2637</v>
      </c>
      <c r="R1924" s="11">
        <v>1.7251</v>
      </c>
      <c r="S1924" s="12">
        <v>1.5616738E7</v>
      </c>
      <c r="T1924" s="12">
        <v>4.09473049382E11</v>
      </c>
      <c r="U1924" s="13">
        <v>4.1304</v>
      </c>
      <c r="V1924" s="13">
        <v>7.261</v>
      </c>
      <c r="W1924" s="13">
        <v>8.8802</v>
      </c>
      <c r="X1924" s="13">
        <v>-4.6193</v>
      </c>
      <c r="Y1924" s="13">
        <v>0.2507</v>
      </c>
      <c r="Z1924" s="13">
        <v>1.1547</v>
      </c>
      <c r="AA1924" s="8" t="s">
        <v>2611</v>
      </c>
      <c r="AB1924" s="14">
        <f>IFERROR(__xludf.DUMMYFUNCTION("IFERROR(GOOGLEFINANCE(B1924,""price""),"""")"),188.55)</f>
        <v>188.55</v>
      </c>
    </row>
    <row r="1925">
      <c r="A1925" s="15">
        <v>46104.669112351345</v>
      </c>
      <c r="B1925" s="16" t="s">
        <v>2399</v>
      </c>
      <c r="C1925" s="16" t="s">
        <v>2400</v>
      </c>
      <c r="D1925" s="17">
        <v>46110.0</v>
      </c>
      <c r="E1925" s="18">
        <v>19.06</v>
      </c>
      <c r="F1925" s="16" t="s">
        <v>270</v>
      </c>
      <c r="G1925" s="21">
        <v>15.7755</v>
      </c>
      <c r="H1925" s="21">
        <v>1.2082</v>
      </c>
      <c r="I1925" s="17">
        <v>46108.0</v>
      </c>
      <c r="J1925" s="18">
        <v>19.0</v>
      </c>
      <c r="K1925" s="16">
        <v>6286.0</v>
      </c>
      <c r="L1925" s="16" t="s">
        <v>2608</v>
      </c>
      <c r="M1925" s="19">
        <v>0.31</v>
      </c>
      <c r="N1925" s="16" t="s">
        <v>4471</v>
      </c>
      <c r="O1925" s="16">
        <v>6286.0</v>
      </c>
      <c r="P1925" s="19">
        <v>21.0867</v>
      </c>
      <c r="Q1925" s="16" t="s">
        <v>2401</v>
      </c>
      <c r="R1925" s="19">
        <v>0.263</v>
      </c>
      <c r="S1925" s="20">
        <v>1.4698102E7</v>
      </c>
      <c r="T1925" s="20">
        <v>6.5572394266E10</v>
      </c>
      <c r="U1925" s="21">
        <v>0.3324</v>
      </c>
      <c r="V1925" s="21">
        <v>12.7475</v>
      </c>
      <c r="W1925" s="21">
        <v>10.8866</v>
      </c>
      <c r="X1925" s="21">
        <v>3.4655</v>
      </c>
      <c r="Y1925" s="21">
        <v>2.0395</v>
      </c>
      <c r="Z1925" s="21">
        <v>1.2192</v>
      </c>
      <c r="AA1925" s="16" t="s">
        <v>2611</v>
      </c>
      <c r="AB1925" s="22">
        <f>IFERROR(__xludf.DUMMYFUNCTION("IFERROR(GOOGLEFINANCE(B1925,""price""),"""")"),19.19)</f>
        <v>19.19</v>
      </c>
    </row>
    <row r="1926">
      <c r="A1926" s="7">
        <v>46104.669112351345</v>
      </c>
      <c r="B1926" s="8" t="s">
        <v>1674</v>
      </c>
      <c r="C1926" s="8" t="s">
        <v>1675</v>
      </c>
      <c r="D1926" s="9">
        <v>46110.0</v>
      </c>
      <c r="E1926" s="10">
        <v>104.91</v>
      </c>
      <c r="F1926" s="8" t="s">
        <v>117</v>
      </c>
      <c r="G1926" s="13"/>
      <c r="H1926" s="13">
        <v>-1.1046</v>
      </c>
      <c r="I1926" s="9">
        <v>46129.0</v>
      </c>
      <c r="J1926" s="10">
        <v>105.0</v>
      </c>
      <c r="K1926" s="8">
        <v>5997.0</v>
      </c>
      <c r="L1926" s="8" t="s">
        <v>2608</v>
      </c>
      <c r="M1926" s="11">
        <v>0.09</v>
      </c>
      <c r="N1926" s="8" t="s">
        <v>4472</v>
      </c>
      <c r="O1926" s="8">
        <v>5997.0</v>
      </c>
      <c r="P1926" s="11">
        <v>42.9326</v>
      </c>
      <c r="Q1926" s="8" t="s">
        <v>1676</v>
      </c>
      <c r="R1926" s="11">
        <v>0.9527</v>
      </c>
      <c r="S1926" s="12">
        <v>2.1562141E7</v>
      </c>
      <c r="T1926" s="12">
        <v>2.0026083241E10</v>
      </c>
      <c r="U1926" s="13">
        <v>0.3725</v>
      </c>
      <c r="V1926" s="13">
        <v>-8.6586</v>
      </c>
      <c r="W1926" s="13">
        <v>-4.7946</v>
      </c>
      <c r="X1926" s="13">
        <v>17.6929</v>
      </c>
      <c r="Y1926" s="13">
        <v>1.0557</v>
      </c>
      <c r="Z1926" s="13">
        <v>2.4266</v>
      </c>
      <c r="AA1926" s="8" t="s">
        <v>2620</v>
      </c>
      <c r="AB1926" s="14">
        <f>IFERROR(__xludf.DUMMYFUNCTION("IFERROR(GOOGLEFINANCE(B1926,""price""),"""")"),890.12)</f>
        <v>890.12</v>
      </c>
    </row>
    <row r="1927">
      <c r="A1927" s="15">
        <v>46104.669112351345</v>
      </c>
      <c r="B1927" s="16" t="s">
        <v>2700</v>
      </c>
      <c r="C1927" s="16" t="s">
        <v>2701</v>
      </c>
      <c r="D1927" s="17">
        <v>46110.0</v>
      </c>
      <c r="E1927" s="18">
        <v>233.31</v>
      </c>
      <c r="F1927" s="16" t="s">
        <v>102</v>
      </c>
      <c r="G1927" s="21">
        <v>47.8163</v>
      </c>
      <c r="H1927" s="21">
        <v>4.8793</v>
      </c>
      <c r="I1927" s="17">
        <v>46108.0</v>
      </c>
      <c r="J1927" s="18">
        <v>232.5</v>
      </c>
      <c r="K1927" s="16">
        <v>2144.0</v>
      </c>
      <c r="L1927" s="16" t="s">
        <v>2608</v>
      </c>
      <c r="M1927" s="19">
        <v>0.35</v>
      </c>
      <c r="N1927" s="16" t="s">
        <v>4473</v>
      </c>
      <c r="O1927" s="16">
        <v>3523.0</v>
      </c>
      <c r="P1927" s="19">
        <v>17.0276</v>
      </c>
      <c r="Q1927" s="16" t="s">
        <v>2703</v>
      </c>
      <c r="R1927" s="19">
        <v>2.1676</v>
      </c>
      <c r="S1927" s="20">
        <v>9431226.0</v>
      </c>
      <c r="T1927" s="20">
        <v>2.91350761877E11</v>
      </c>
      <c r="U1927" s="21">
        <v>11.8993</v>
      </c>
      <c r="V1927" s="21">
        <v>65.5649</v>
      </c>
      <c r="W1927" s="21">
        <v>33.7646</v>
      </c>
      <c r="X1927" s="21">
        <v>26.8457</v>
      </c>
      <c r="Y1927" s="21">
        <v>0.4419</v>
      </c>
      <c r="Z1927" s="21">
        <v>2.2562</v>
      </c>
      <c r="AA1927" s="16" t="s">
        <v>2611</v>
      </c>
      <c r="AB1927" s="22">
        <f>IFERROR(__xludf.DUMMYFUNCTION("IFERROR(GOOGLEFINANCE(B1927,""price""),"""")"),263.66)</f>
        <v>263.66</v>
      </c>
    </row>
    <row r="1928">
      <c r="A1928" s="7">
        <v>46104.669112351345</v>
      </c>
      <c r="B1928" s="8" t="s">
        <v>4438</v>
      </c>
      <c r="C1928" s="8" t="s">
        <v>4439</v>
      </c>
      <c r="D1928" s="9">
        <v>46110.0</v>
      </c>
      <c r="E1928" s="10">
        <v>59.27</v>
      </c>
      <c r="F1928" s="8" t="s">
        <v>245</v>
      </c>
      <c r="G1928" s="13">
        <v>19.368</v>
      </c>
      <c r="H1928" s="13">
        <v>3.0602</v>
      </c>
      <c r="I1928" s="9">
        <v>46129.0</v>
      </c>
      <c r="J1928" s="10">
        <v>60.0</v>
      </c>
      <c r="K1928" s="8">
        <v>3338.0</v>
      </c>
      <c r="L1928" s="8" t="s">
        <v>2608</v>
      </c>
      <c r="M1928" s="11">
        <v>1.23</v>
      </c>
      <c r="N1928" s="8" t="s">
        <v>4474</v>
      </c>
      <c r="O1928" s="8">
        <v>3338.0</v>
      </c>
      <c r="P1928" s="11">
        <v>19.1187</v>
      </c>
      <c r="Q1928" s="8" t="s">
        <v>4441</v>
      </c>
      <c r="R1928" s="11">
        <v>-1.5775</v>
      </c>
      <c r="S1928" s="12">
        <v>2919740.0</v>
      </c>
      <c r="T1928" s="12">
        <v>1.0684792387E10</v>
      </c>
      <c r="U1928" s="13">
        <v>2.4924</v>
      </c>
      <c r="V1928" s="13">
        <v>6.2073</v>
      </c>
      <c r="W1928" s="13">
        <v>3.4166</v>
      </c>
      <c r="X1928" s="13">
        <v>-6.0035</v>
      </c>
      <c r="Y1928" s="13">
        <v>0.3519</v>
      </c>
      <c r="Z1928" s="13">
        <v>1.9364</v>
      </c>
      <c r="AA1928" s="8" t="s">
        <v>2620</v>
      </c>
      <c r="AB1928" s="14">
        <f>IFERROR(__xludf.DUMMYFUNCTION("IFERROR(GOOGLEFINANCE(B1928,""price""),"""")"),57.51)</f>
        <v>57.51</v>
      </c>
    </row>
    <row r="1929">
      <c r="A1929" s="15">
        <v>46104.669112351345</v>
      </c>
      <c r="B1929" s="16" t="s">
        <v>3463</v>
      </c>
      <c r="C1929" s="16" t="s">
        <v>3464</v>
      </c>
      <c r="D1929" s="17">
        <v>46110.0</v>
      </c>
      <c r="E1929" s="18">
        <v>65.23</v>
      </c>
      <c r="F1929" s="16" t="s">
        <v>245</v>
      </c>
      <c r="G1929" s="21">
        <v>19.6849</v>
      </c>
      <c r="H1929" s="21">
        <v>3.3137</v>
      </c>
      <c r="I1929" s="17">
        <v>46108.0</v>
      </c>
      <c r="J1929" s="18">
        <v>64.0</v>
      </c>
      <c r="K1929" s="16">
        <v>2096.0</v>
      </c>
      <c r="L1929" s="16" t="s">
        <v>2627</v>
      </c>
      <c r="M1929" s="19">
        <v>1.89</v>
      </c>
      <c r="N1929" s="16" t="s">
        <v>4475</v>
      </c>
      <c r="O1929" s="16">
        <v>2096.0</v>
      </c>
      <c r="P1929" s="19">
        <v>29.7535</v>
      </c>
      <c r="Q1929" s="16" t="s">
        <v>3466</v>
      </c>
      <c r="R1929" s="19">
        <v>0.8659</v>
      </c>
      <c r="S1929" s="20">
        <v>1.0961484E7</v>
      </c>
      <c r="T1929" s="20">
        <v>4.0721391007E10</v>
      </c>
      <c r="U1929" s="21">
        <v>2.2411</v>
      </c>
      <c r="V1929" s="21">
        <v>9.1961</v>
      </c>
      <c r="W1929" s="21">
        <v>35.6577</v>
      </c>
      <c r="X1929" s="21">
        <v>59.9561</v>
      </c>
      <c r="Y1929" s="21">
        <v>0.3357</v>
      </c>
      <c r="Z1929" s="21">
        <v>0.7627</v>
      </c>
      <c r="AA1929" s="16" t="s">
        <v>2611</v>
      </c>
      <c r="AB1929" s="22">
        <f>IFERROR(__xludf.DUMMYFUNCTION("IFERROR(GOOGLEFINANCE(B1929,""price""),"""")"),58.68)</f>
        <v>58.68</v>
      </c>
    </row>
    <row r="1930">
      <c r="A1930" s="7">
        <v>46104.669112351345</v>
      </c>
      <c r="B1930" s="8" t="s">
        <v>3505</v>
      </c>
      <c r="C1930" s="8" t="s">
        <v>3506</v>
      </c>
      <c r="D1930" s="9">
        <v>46110.0</v>
      </c>
      <c r="E1930" s="10">
        <v>266.26</v>
      </c>
      <c r="F1930" s="8" t="s">
        <v>102</v>
      </c>
      <c r="G1930" s="13">
        <v>35.7128</v>
      </c>
      <c r="H1930" s="13">
        <v>7.4556</v>
      </c>
      <c r="I1930" s="9">
        <v>46108.0</v>
      </c>
      <c r="J1930" s="10">
        <v>267.5</v>
      </c>
      <c r="K1930" s="8">
        <v>1817.0</v>
      </c>
      <c r="L1930" s="8" t="s">
        <v>2608</v>
      </c>
      <c r="M1930" s="11">
        <v>0.47</v>
      </c>
      <c r="N1930" s="8" t="s">
        <v>4476</v>
      </c>
      <c r="O1930" s="8">
        <v>1817.0</v>
      </c>
      <c r="P1930" s="11">
        <v>15.7506</v>
      </c>
      <c r="Q1930" s="8" t="s">
        <v>3508</v>
      </c>
      <c r="R1930" s="11">
        <v>4.9797</v>
      </c>
      <c r="S1930" s="12">
        <v>1343780.0</v>
      </c>
      <c r="T1930" s="12">
        <v>2.8115796666E10</v>
      </c>
      <c r="U1930" s="13">
        <v>12.1363</v>
      </c>
      <c r="V1930" s="13">
        <v>59.8816</v>
      </c>
      <c r="W1930" s="13">
        <v>4.9775</v>
      </c>
      <c r="X1930" s="13">
        <v>19.0011</v>
      </c>
      <c r="Y1930" s="13">
        <v>3.2656</v>
      </c>
      <c r="Z1930" s="13">
        <v>1.0134</v>
      </c>
      <c r="AA1930" s="8" t="s">
        <v>2620</v>
      </c>
      <c r="AB1930" s="14">
        <f>IFERROR(__xludf.DUMMYFUNCTION("IFERROR(GOOGLEFINANCE(B1930,""price""),"""")"),299.5)</f>
        <v>299.5</v>
      </c>
    </row>
    <row r="1931">
      <c r="A1931" s="15">
        <v>46104.669112351345</v>
      </c>
      <c r="B1931" s="16" t="s">
        <v>3944</v>
      </c>
      <c r="C1931" s="16" t="s">
        <v>3945</v>
      </c>
      <c r="D1931" s="17">
        <v>46110.0</v>
      </c>
      <c r="E1931" s="18">
        <v>127.34</v>
      </c>
      <c r="F1931" s="16" t="s">
        <v>917</v>
      </c>
      <c r="G1931" s="21">
        <v>20.1733</v>
      </c>
      <c r="H1931" s="21">
        <v>6.3123</v>
      </c>
      <c r="I1931" s="17">
        <v>46129.0</v>
      </c>
      <c r="J1931" s="18">
        <v>125.0</v>
      </c>
      <c r="K1931" s="16">
        <v>1758.0</v>
      </c>
      <c r="L1931" s="16" t="s">
        <v>2608</v>
      </c>
      <c r="M1931" s="19">
        <v>1.84</v>
      </c>
      <c r="N1931" s="16" t="s">
        <v>4477</v>
      </c>
      <c r="O1931" s="16">
        <v>1758.0</v>
      </c>
      <c r="P1931" s="19">
        <v>23.6561</v>
      </c>
      <c r="Q1931" s="16" t="s">
        <v>3947</v>
      </c>
      <c r="R1931" s="19">
        <v>0.4179</v>
      </c>
      <c r="S1931" s="20">
        <v>4320439.0</v>
      </c>
      <c r="T1931" s="20">
        <v>9.90286103E10</v>
      </c>
      <c r="U1931" s="21">
        <v>2.2303</v>
      </c>
      <c r="V1931" s="21">
        <v>9.7422</v>
      </c>
      <c r="W1931" s="21">
        <v>26.6061</v>
      </c>
      <c r="X1931" s="21">
        <v>6.193</v>
      </c>
      <c r="Y1931" s="21">
        <v>1.7574</v>
      </c>
      <c r="Z1931" s="21">
        <v>0.5518</v>
      </c>
      <c r="AA1931" s="16" t="s">
        <v>2611</v>
      </c>
      <c r="AB1931" s="22">
        <f>IFERROR(__xludf.DUMMYFUNCTION("IFERROR(GOOGLEFINANCE(B1931,""price""),"""")"),131.79)</f>
        <v>131.79</v>
      </c>
    </row>
    <row r="1932">
      <c r="A1932" s="7">
        <v>46104.669112351345</v>
      </c>
      <c r="B1932" s="8" t="s">
        <v>1766</v>
      </c>
      <c r="C1932" s="8" t="s">
        <v>1767</v>
      </c>
      <c r="D1932" s="9">
        <v>46110.0</v>
      </c>
      <c r="E1932" s="10">
        <v>93.46</v>
      </c>
      <c r="F1932" s="8" t="s">
        <v>917</v>
      </c>
      <c r="G1932" s="13">
        <v>34.0077</v>
      </c>
      <c r="H1932" s="13">
        <v>2.7482</v>
      </c>
      <c r="I1932" s="9">
        <v>46129.0</v>
      </c>
      <c r="J1932" s="10">
        <v>95.0</v>
      </c>
      <c r="K1932" s="8">
        <v>1327.0</v>
      </c>
      <c r="L1932" s="8" t="s">
        <v>2608</v>
      </c>
      <c r="M1932" s="11">
        <v>1.65</v>
      </c>
      <c r="N1932" s="8" t="s">
        <v>4478</v>
      </c>
      <c r="O1932" s="8">
        <v>1327.0</v>
      </c>
      <c r="P1932" s="11">
        <v>19.37</v>
      </c>
      <c r="Q1932" s="8" t="s">
        <v>1768</v>
      </c>
      <c r="R1932" s="11">
        <v>1.8971</v>
      </c>
      <c r="S1932" s="12">
        <v>2686131.0</v>
      </c>
      <c r="T1932" s="12">
        <v>6.1055934542E10</v>
      </c>
      <c r="U1932" s="13">
        <v>2.1447</v>
      </c>
      <c r="V1932" s="13">
        <v>5.8451</v>
      </c>
      <c r="W1932" s="13">
        <v>23.7349</v>
      </c>
      <c r="X1932" s="13">
        <v>5.8424</v>
      </c>
      <c r="Y1932" s="13">
        <v>1.1478</v>
      </c>
      <c r="Z1932" s="13">
        <v>1.5912</v>
      </c>
      <c r="AA1932" s="8" t="s">
        <v>2620</v>
      </c>
      <c r="AB1932" s="14">
        <f>IFERROR(__xludf.DUMMYFUNCTION("IFERROR(GOOGLEFINANCE(B1932,""price""),"""")"),98.82)</f>
        <v>98.82</v>
      </c>
    </row>
    <row r="1933">
      <c r="A1933" s="15">
        <v>46104.669112351345</v>
      </c>
      <c r="B1933" s="16" t="s">
        <v>3129</v>
      </c>
      <c r="C1933" s="16" t="s">
        <v>3130</v>
      </c>
      <c r="D1933" s="17">
        <v>46110.0</v>
      </c>
      <c r="E1933" s="18">
        <v>567.45</v>
      </c>
      <c r="F1933" s="16" t="s">
        <v>270</v>
      </c>
      <c r="G1933" s="21">
        <v>83.5222</v>
      </c>
      <c r="H1933" s="21">
        <v>6.794</v>
      </c>
      <c r="I1933" s="17">
        <v>46129.0</v>
      </c>
      <c r="J1933" s="18">
        <v>560.0</v>
      </c>
      <c r="K1933" s="16">
        <v>1108.0</v>
      </c>
      <c r="L1933" s="16" t="s">
        <v>2627</v>
      </c>
      <c r="M1933" s="19">
        <v>1.31</v>
      </c>
      <c r="N1933" s="16" t="s">
        <v>4479</v>
      </c>
      <c r="O1933" s="16">
        <v>1108.0</v>
      </c>
      <c r="P1933" s="19">
        <v>20.05</v>
      </c>
      <c r="Q1933" s="16" t="s">
        <v>3132</v>
      </c>
      <c r="R1933" s="19">
        <v>2.1714</v>
      </c>
      <c r="S1933" s="20">
        <v>1217128.0</v>
      </c>
      <c r="T1933" s="20">
        <v>8.4901539442E10</v>
      </c>
      <c r="U1933" s="21">
        <v>21.3101</v>
      </c>
      <c r="V1933" s="21">
        <v>12.6523</v>
      </c>
      <c r="W1933" s="21">
        <v>5.9024</v>
      </c>
      <c r="X1933" s="21">
        <v>20.3056</v>
      </c>
      <c r="Y1933" s="21">
        <v>0.7181</v>
      </c>
      <c r="Z1933" s="21">
        <v>1.1362</v>
      </c>
      <c r="AA1933" s="16" t="s">
        <v>2611</v>
      </c>
      <c r="AB1933" s="22">
        <f>IFERROR(__xludf.DUMMYFUNCTION("IFERROR(GOOGLEFINANCE(B1933,""price""),"""")"),585.36)</f>
        <v>585.36</v>
      </c>
    </row>
    <row r="1934">
      <c r="A1934" s="7">
        <v>46105.66941812933</v>
      </c>
      <c r="B1934" s="8" t="s">
        <v>2630</v>
      </c>
      <c r="C1934" s="8" t="s">
        <v>2631</v>
      </c>
      <c r="D1934" s="9">
        <v>46110.0</v>
      </c>
      <c r="E1934" s="10">
        <v>395.53</v>
      </c>
      <c r="F1934" s="8" t="s">
        <v>308</v>
      </c>
      <c r="G1934" s="13">
        <v>18.6735</v>
      </c>
      <c r="H1934" s="13">
        <v>21.1813</v>
      </c>
      <c r="I1934" s="9">
        <v>46108.0</v>
      </c>
      <c r="J1934" s="10">
        <v>400.0</v>
      </c>
      <c r="K1934" s="8">
        <v>17981.0</v>
      </c>
      <c r="L1934" s="8" t="s">
        <v>2627</v>
      </c>
      <c r="M1934" s="11">
        <v>1.13</v>
      </c>
      <c r="N1934" s="8" t="s">
        <v>4480</v>
      </c>
      <c r="O1934" s="8">
        <v>27755.0</v>
      </c>
      <c r="P1934" s="11">
        <v>18.6576</v>
      </c>
      <c r="Q1934" s="8" t="s">
        <v>2633</v>
      </c>
      <c r="R1934" s="11">
        <v>-2.1813</v>
      </c>
      <c r="S1934" s="12">
        <v>4.4386044E7</v>
      </c>
      <c r="T1934" s="12">
        <v>4.46052639229E11</v>
      </c>
      <c r="U1934" s="13">
        <v>26.2877</v>
      </c>
      <c r="V1934" s="13">
        <v>39.8226</v>
      </c>
      <c r="W1934" s="13">
        <v>48.6536</v>
      </c>
      <c r="X1934" s="13">
        <v>85.5474</v>
      </c>
      <c r="Y1934" s="13">
        <v>0.149</v>
      </c>
      <c r="Z1934" s="13">
        <v>2.8968</v>
      </c>
      <c r="AA1934" s="8" t="s">
        <v>2620</v>
      </c>
      <c r="AB1934" s="14">
        <f>IFERROR(__xludf.DUMMYFUNCTION("IFERROR(GOOGLEFINANCE(B1934,""price""),"""")"),420.59)</f>
        <v>420.59</v>
      </c>
    </row>
    <row r="1935">
      <c r="A1935" s="15">
        <v>46105.66941812933</v>
      </c>
      <c r="B1935" s="16" t="s">
        <v>2638</v>
      </c>
      <c r="C1935" s="16" t="s">
        <v>2639</v>
      </c>
      <c r="D1935" s="17">
        <v>46110.0</v>
      </c>
      <c r="E1935" s="18">
        <v>165.38</v>
      </c>
      <c r="F1935" s="16" t="s">
        <v>245</v>
      </c>
      <c r="G1935" s="21">
        <v>24.7028</v>
      </c>
      <c r="H1935" s="21">
        <v>6.6948</v>
      </c>
      <c r="I1935" s="17">
        <v>46108.0</v>
      </c>
      <c r="J1935" s="18">
        <v>165.0</v>
      </c>
      <c r="K1935" s="16">
        <v>6410.0</v>
      </c>
      <c r="L1935" s="16" t="s">
        <v>2608</v>
      </c>
      <c r="M1935" s="19">
        <v>0.23</v>
      </c>
      <c r="N1935" s="16" t="s">
        <v>4481</v>
      </c>
      <c r="O1935" s="16">
        <v>14220.0</v>
      </c>
      <c r="P1935" s="19">
        <v>34.2302</v>
      </c>
      <c r="Q1935" s="16" t="s">
        <v>2641</v>
      </c>
      <c r="R1935" s="19">
        <v>2.6376</v>
      </c>
      <c r="S1935" s="20">
        <v>2.6097558E7</v>
      </c>
      <c r="T1935" s="20">
        <v>6.89099396937E11</v>
      </c>
      <c r="U1935" s="21">
        <v>4.1774</v>
      </c>
      <c r="V1935" s="21">
        <v>11.0283</v>
      </c>
      <c r="W1935" s="21">
        <v>10.3419</v>
      </c>
      <c r="X1935" s="21">
        <v>-4.856</v>
      </c>
      <c r="Y1935" s="21">
        <v>0.1871</v>
      </c>
      <c r="Z1935" s="21">
        <v>1.1528</v>
      </c>
      <c r="AA1935" s="16" t="s">
        <v>2611</v>
      </c>
      <c r="AB1935" s="22">
        <f>IFERROR(__xludf.DUMMYFUNCTION("IFERROR(GOOGLEFINANCE(B1935,""price""),"""")"),152.51)</f>
        <v>152.51</v>
      </c>
    </row>
    <row r="1936">
      <c r="A1936" s="7">
        <v>46105.66941812933</v>
      </c>
      <c r="B1936" s="8" t="s">
        <v>2399</v>
      </c>
      <c r="C1936" s="8" t="s">
        <v>2400</v>
      </c>
      <c r="D1936" s="9">
        <v>46110.0</v>
      </c>
      <c r="E1936" s="10">
        <v>19.21</v>
      </c>
      <c r="F1936" s="8" t="s">
        <v>270</v>
      </c>
      <c r="G1936" s="13">
        <v>15.8997</v>
      </c>
      <c r="H1936" s="13">
        <v>1.2082</v>
      </c>
      <c r="I1936" s="9">
        <v>46108.0</v>
      </c>
      <c r="J1936" s="10">
        <v>19.0</v>
      </c>
      <c r="K1936" s="8">
        <v>7370.0</v>
      </c>
      <c r="L1936" s="8" t="s">
        <v>2608</v>
      </c>
      <c r="M1936" s="11">
        <v>1.09</v>
      </c>
      <c r="N1936" s="8" t="s">
        <v>4482</v>
      </c>
      <c r="O1936" s="8">
        <v>13926.0</v>
      </c>
      <c r="P1936" s="11">
        <v>21.326</v>
      </c>
      <c r="Q1936" s="8" t="s">
        <v>2401</v>
      </c>
      <c r="R1936" s="11">
        <v>0.787</v>
      </c>
      <c r="S1936" s="12">
        <v>1.1691742E7</v>
      </c>
      <c r="T1936" s="12">
        <v>6.6088438793E10</v>
      </c>
      <c r="U1936" s="13">
        <v>0.3422</v>
      </c>
      <c r="V1936" s="13">
        <v>12.7475</v>
      </c>
      <c r="W1936" s="13">
        <v>10.8866</v>
      </c>
      <c r="X1936" s="13">
        <v>3.4655</v>
      </c>
      <c r="Y1936" s="13">
        <v>2.0395</v>
      </c>
      <c r="Z1936" s="13">
        <v>1.2192</v>
      </c>
      <c r="AA1936" s="8" t="s">
        <v>2611</v>
      </c>
      <c r="AB1936" s="14">
        <f>IFERROR(__xludf.DUMMYFUNCTION("IFERROR(GOOGLEFINANCE(B1936,""price""),"""")"),19.19)</f>
        <v>19.19</v>
      </c>
    </row>
    <row r="1937">
      <c r="A1937" s="15">
        <v>46105.66941812933</v>
      </c>
      <c r="B1937" s="16" t="s">
        <v>2634</v>
      </c>
      <c r="C1937" s="16" t="s">
        <v>2635</v>
      </c>
      <c r="D1937" s="17">
        <v>46110.0</v>
      </c>
      <c r="E1937" s="18">
        <v>206.79</v>
      </c>
      <c r="F1937" s="16" t="s">
        <v>245</v>
      </c>
      <c r="G1937" s="21">
        <v>31.1056</v>
      </c>
      <c r="H1937" s="21">
        <v>6.648</v>
      </c>
      <c r="I1937" s="17">
        <v>46108.0</v>
      </c>
      <c r="J1937" s="18">
        <v>205.0</v>
      </c>
      <c r="K1937" s="16">
        <v>3789.0</v>
      </c>
      <c r="L1937" s="16" t="s">
        <v>2608</v>
      </c>
      <c r="M1937" s="19">
        <v>0.87</v>
      </c>
      <c r="N1937" s="16" t="s">
        <v>4483</v>
      </c>
      <c r="O1937" s="16">
        <v>9058.0</v>
      </c>
      <c r="P1937" s="19">
        <v>44.7538</v>
      </c>
      <c r="Q1937" s="16" t="s">
        <v>2637</v>
      </c>
      <c r="R1937" s="19">
        <v>0.7699</v>
      </c>
      <c r="S1937" s="20">
        <v>1.6590241E7</v>
      </c>
      <c r="T1937" s="20">
        <v>4.12625780641E11</v>
      </c>
      <c r="U1937" s="21">
        <v>4.1625</v>
      </c>
      <c r="V1937" s="21">
        <v>7.261</v>
      </c>
      <c r="W1937" s="21">
        <v>8.8802</v>
      </c>
      <c r="X1937" s="21">
        <v>-4.6193</v>
      </c>
      <c r="Y1937" s="21">
        <v>0.2507</v>
      </c>
      <c r="Z1937" s="21">
        <v>1.1547</v>
      </c>
      <c r="AA1937" s="16" t="s">
        <v>2611</v>
      </c>
      <c r="AB1937" s="22">
        <f>IFERROR(__xludf.DUMMYFUNCTION("IFERROR(GOOGLEFINANCE(B1937,""price""),"""")"),188.55)</f>
        <v>188.55</v>
      </c>
    </row>
    <row r="1938">
      <c r="A1938" s="7">
        <v>46105.66941812933</v>
      </c>
      <c r="B1938" s="8" t="s">
        <v>3802</v>
      </c>
      <c r="C1938" s="8" t="s">
        <v>3803</v>
      </c>
      <c r="D1938" s="9">
        <v>46110.0</v>
      </c>
      <c r="E1938" s="10">
        <v>54.51</v>
      </c>
      <c r="F1938" s="8" t="s">
        <v>270</v>
      </c>
      <c r="G1938" s="13"/>
      <c r="H1938" s="13"/>
      <c r="I1938" s="9">
        <v>46129.0</v>
      </c>
      <c r="J1938" s="10">
        <v>55.0</v>
      </c>
      <c r="K1938" s="8">
        <v>5708.0</v>
      </c>
      <c r="L1938" s="8" t="s">
        <v>2608</v>
      </c>
      <c r="M1938" s="11">
        <v>0.9</v>
      </c>
      <c r="N1938" s="8" t="s">
        <v>4484</v>
      </c>
      <c r="O1938" s="8">
        <v>5708.0</v>
      </c>
      <c r="P1938" s="11">
        <v>28.297</v>
      </c>
      <c r="Q1938" s="8" t="s">
        <v>3805</v>
      </c>
      <c r="R1938" s="11">
        <v>3.2386</v>
      </c>
      <c r="S1938" s="12">
        <v>4159396.0</v>
      </c>
      <c r="T1938" s="12">
        <v>5.702971012E9</v>
      </c>
      <c r="U1938" s="13">
        <v>1.838</v>
      </c>
      <c r="V1938" s="13">
        <v>3.4054</v>
      </c>
      <c r="W1938" s="13">
        <v>34.4448</v>
      </c>
      <c r="X1938" s="13">
        <v>51.1384</v>
      </c>
      <c r="Y1938" s="13">
        <v>1.4965</v>
      </c>
      <c r="Z1938" s="13">
        <v>2.5453</v>
      </c>
      <c r="AA1938" s="8" t="s">
        <v>2620</v>
      </c>
      <c r="AB1938" s="14">
        <f>IFERROR(__xludf.DUMMYFUNCTION("IFERROR(GOOGLEFINANCE(B1938,""price""),"""")"),53.28)</f>
        <v>53.28</v>
      </c>
    </row>
    <row r="1939">
      <c r="A1939" s="15">
        <v>46105.66941812933</v>
      </c>
      <c r="B1939" s="16" t="s">
        <v>2646</v>
      </c>
      <c r="C1939" s="16" t="s">
        <v>2647</v>
      </c>
      <c r="D1939" s="17">
        <v>46110.0</v>
      </c>
      <c r="E1939" s="18">
        <v>38.39</v>
      </c>
      <c r="F1939" s="16" t="s">
        <v>270</v>
      </c>
      <c r="G1939" s="21">
        <v>14.4966</v>
      </c>
      <c r="H1939" s="21">
        <v>2.6482</v>
      </c>
      <c r="I1939" s="17">
        <v>46108.0</v>
      </c>
      <c r="J1939" s="18">
        <v>38.5</v>
      </c>
      <c r="K1939" s="16">
        <v>3668.0</v>
      </c>
      <c r="L1939" s="16" t="s">
        <v>2608</v>
      </c>
      <c r="M1939" s="19">
        <v>0.29</v>
      </c>
      <c r="N1939" s="16" t="s">
        <v>4485</v>
      </c>
      <c r="O1939" s="16">
        <v>5453.0</v>
      </c>
      <c r="P1939" s="19">
        <v>38.1619</v>
      </c>
      <c r="Q1939" s="16" t="s">
        <v>2649</v>
      </c>
      <c r="R1939" s="19">
        <v>0.7347</v>
      </c>
      <c r="S1939" s="20">
        <v>2666017.0</v>
      </c>
      <c r="T1939" s="20">
        <v>8.2989996222E10</v>
      </c>
      <c r="U1939" s="21">
        <v>0.7174</v>
      </c>
      <c r="V1939" s="21">
        <v>19.6987</v>
      </c>
      <c r="W1939" s="21">
        <v>12.3812</v>
      </c>
      <c r="X1939" s="21">
        <v>-6.474</v>
      </c>
      <c r="Y1939" s="21">
        <v>1.1744</v>
      </c>
      <c r="Z1939" s="21">
        <v>1.0411</v>
      </c>
      <c r="AA1939" s="16" t="s">
        <v>2620</v>
      </c>
      <c r="AB1939" s="22">
        <f>IFERROR(__xludf.DUMMYFUNCTION("IFERROR(GOOGLEFINANCE(B1939,""price""),"""")"),37.35)</f>
        <v>37.35</v>
      </c>
    </row>
    <row r="1940">
      <c r="A1940" s="7">
        <v>46105.66941812933</v>
      </c>
      <c r="B1940" s="8" t="s">
        <v>2700</v>
      </c>
      <c r="C1940" s="8" t="s">
        <v>2701</v>
      </c>
      <c r="D1940" s="9">
        <v>46110.0</v>
      </c>
      <c r="E1940" s="10">
        <v>238.84</v>
      </c>
      <c r="F1940" s="8" t="s">
        <v>102</v>
      </c>
      <c r="G1940" s="13">
        <v>48.9496</v>
      </c>
      <c r="H1940" s="13">
        <v>4.8793</v>
      </c>
      <c r="I1940" s="9">
        <v>46108.0</v>
      </c>
      <c r="J1940" s="10">
        <v>237.5</v>
      </c>
      <c r="K1940" s="8">
        <v>1415.0</v>
      </c>
      <c r="L1940" s="8" t="s">
        <v>2608</v>
      </c>
      <c r="M1940" s="11">
        <v>0.56</v>
      </c>
      <c r="N1940" s="8" t="s">
        <v>4486</v>
      </c>
      <c r="O1940" s="8">
        <v>2662.0</v>
      </c>
      <c r="P1940" s="11">
        <v>15.9088</v>
      </c>
      <c r="Q1940" s="8" t="s">
        <v>2703</v>
      </c>
      <c r="R1940" s="11">
        <v>2.3702</v>
      </c>
      <c r="S1940" s="12">
        <v>7318762.0</v>
      </c>
      <c r="T1940" s="12">
        <v>2.98256461586E11</v>
      </c>
      <c r="U1940" s="13">
        <v>11.8501</v>
      </c>
      <c r="V1940" s="13">
        <v>65.5649</v>
      </c>
      <c r="W1940" s="13">
        <v>33.7646</v>
      </c>
      <c r="X1940" s="13">
        <v>26.8457</v>
      </c>
      <c r="Y1940" s="13">
        <v>0.4419</v>
      </c>
      <c r="Z1940" s="13">
        <v>2.2562</v>
      </c>
      <c r="AA1940" s="8" t="s">
        <v>2611</v>
      </c>
      <c r="AB1940" s="14">
        <f>IFERROR(__xludf.DUMMYFUNCTION("IFERROR(GOOGLEFINANCE(B1940,""price""),"""")"),263.66)</f>
        <v>263.66</v>
      </c>
    </row>
    <row r="1941">
      <c r="A1941" s="15">
        <v>46105.66941812933</v>
      </c>
      <c r="B1941" s="16" t="s">
        <v>4438</v>
      </c>
      <c r="C1941" s="16" t="s">
        <v>4439</v>
      </c>
      <c r="D1941" s="17">
        <v>46110.0</v>
      </c>
      <c r="E1941" s="18">
        <v>61.44</v>
      </c>
      <c r="F1941" s="16" t="s">
        <v>245</v>
      </c>
      <c r="G1941" s="21">
        <v>20.0771</v>
      </c>
      <c r="H1941" s="21">
        <v>3.0602</v>
      </c>
      <c r="I1941" s="17">
        <v>46129.0</v>
      </c>
      <c r="J1941" s="18">
        <v>62.5</v>
      </c>
      <c r="K1941" s="16">
        <v>2056.0</v>
      </c>
      <c r="L1941" s="16" t="s">
        <v>2608</v>
      </c>
      <c r="M1941" s="19">
        <v>1.73</v>
      </c>
      <c r="N1941" s="16" t="s">
        <v>4487</v>
      </c>
      <c r="O1941" s="16">
        <v>2056.0</v>
      </c>
      <c r="P1941" s="19">
        <v>19.076</v>
      </c>
      <c r="Q1941" s="16" t="s">
        <v>4441</v>
      </c>
      <c r="R1941" s="19">
        <v>3.6612</v>
      </c>
      <c r="S1941" s="20">
        <v>2793044.0</v>
      </c>
      <c r="T1941" s="20">
        <v>1.1075985086E10</v>
      </c>
      <c r="U1941" s="21">
        <v>2.5422</v>
      </c>
      <c r="V1941" s="21">
        <v>6.2073</v>
      </c>
      <c r="W1941" s="21">
        <v>3.4166</v>
      </c>
      <c r="X1941" s="21">
        <v>-6.0035</v>
      </c>
      <c r="Y1941" s="21">
        <v>0.3519</v>
      </c>
      <c r="Z1941" s="21">
        <v>1.9364</v>
      </c>
      <c r="AA1941" s="16" t="s">
        <v>2620</v>
      </c>
      <c r="AB1941" s="22">
        <f>IFERROR(__xludf.DUMMYFUNCTION("IFERROR(GOOGLEFINANCE(B1941,""price""),"""")"),57.51)</f>
        <v>57.51</v>
      </c>
    </row>
    <row r="1942">
      <c r="A1942" s="7">
        <v>46105.66941812933</v>
      </c>
      <c r="B1942" s="8" t="s">
        <v>1612</v>
      </c>
      <c r="C1942" s="8" t="s">
        <v>1613</v>
      </c>
      <c r="D1942" s="9">
        <v>46110.0</v>
      </c>
      <c r="E1942" s="10">
        <v>71.88</v>
      </c>
      <c r="F1942" s="8" t="s">
        <v>137</v>
      </c>
      <c r="G1942" s="13">
        <v>46.7756</v>
      </c>
      <c r="H1942" s="13">
        <v>1.5367</v>
      </c>
      <c r="I1942" s="9">
        <v>46108.0</v>
      </c>
      <c r="J1942" s="10">
        <v>72.0</v>
      </c>
      <c r="K1942" s="8">
        <v>1344.0</v>
      </c>
      <c r="L1942" s="8" t="s">
        <v>2627</v>
      </c>
      <c r="M1942" s="11">
        <v>0.17</v>
      </c>
      <c r="N1942" s="8" t="s">
        <v>4488</v>
      </c>
      <c r="O1942" s="8">
        <v>1344.0</v>
      </c>
      <c r="P1942" s="11">
        <v>29.3633</v>
      </c>
      <c r="Q1942" s="8" t="s">
        <v>1614</v>
      </c>
      <c r="R1942" s="11">
        <v>-1.1279</v>
      </c>
      <c r="S1942" s="12">
        <v>4098238.0</v>
      </c>
      <c r="T1942" s="12">
        <v>4.5489197301E10</v>
      </c>
      <c r="U1942" s="13">
        <v>1.9561</v>
      </c>
      <c r="V1942" s="13">
        <v>14.12</v>
      </c>
      <c r="W1942" s="13">
        <v>3.2288</v>
      </c>
      <c r="X1942" s="13">
        <v>0.3528</v>
      </c>
      <c r="Y1942" s="13">
        <v>4.1577</v>
      </c>
      <c r="Z1942" s="13">
        <v>0.802</v>
      </c>
      <c r="AA1942" s="8" t="s">
        <v>2620</v>
      </c>
      <c r="AB1942" s="14">
        <f>IFERROR(__xludf.DUMMYFUNCTION("IFERROR(GOOGLEFINANCE(B1942,""price""),"""")"),67.99)</f>
        <v>67.99</v>
      </c>
    </row>
    <row r="1943">
      <c r="A1943" s="15">
        <v>46105.66941812933</v>
      </c>
      <c r="B1943" s="16" t="s">
        <v>1766</v>
      </c>
      <c r="C1943" s="16" t="s">
        <v>1767</v>
      </c>
      <c r="D1943" s="17">
        <v>46110.0</v>
      </c>
      <c r="E1943" s="18">
        <v>95.0</v>
      </c>
      <c r="F1943" s="16" t="s">
        <v>917</v>
      </c>
      <c r="G1943" s="21">
        <v>34.5681</v>
      </c>
      <c r="H1943" s="21">
        <v>2.7482</v>
      </c>
      <c r="I1943" s="17">
        <v>46129.0</v>
      </c>
      <c r="J1943" s="18">
        <v>95.0</v>
      </c>
      <c r="K1943" s="16">
        <v>1256.0</v>
      </c>
      <c r="L1943" s="16" t="s">
        <v>2608</v>
      </c>
      <c r="M1943" s="19">
        <v>0.0</v>
      </c>
      <c r="N1943" s="16" t="s">
        <v>4489</v>
      </c>
      <c r="O1943" s="16">
        <v>1256.0</v>
      </c>
      <c r="P1943" s="19">
        <v>17.9997</v>
      </c>
      <c r="Q1943" s="16" t="s">
        <v>1768</v>
      </c>
      <c r="R1943" s="19">
        <v>1.6478</v>
      </c>
      <c r="S1943" s="20">
        <v>2702047.0</v>
      </c>
      <c r="T1943" s="20">
        <v>6.2061990664E10</v>
      </c>
      <c r="U1943" s="21">
        <v>2.2004</v>
      </c>
      <c r="V1943" s="21">
        <v>5.8451</v>
      </c>
      <c r="W1943" s="21">
        <v>23.7349</v>
      </c>
      <c r="X1943" s="21">
        <v>5.8424</v>
      </c>
      <c r="Y1943" s="21">
        <v>1.1478</v>
      </c>
      <c r="Z1943" s="21">
        <v>1.5912</v>
      </c>
      <c r="AA1943" s="16" t="s">
        <v>2611</v>
      </c>
      <c r="AB1943" s="22">
        <f>IFERROR(__xludf.DUMMYFUNCTION("IFERROR(GOOGLEFINANCE(B1943,""price""),"""")"),98.82)</f>
        <v>98.82</v>
      </c>
    </row>
    <row r="1944">
      <c r="A1944" s="7">
        <v>46105.66941812933</v>
      </c>
      <c r="B1944" s="8" t="s">
        <v>2684</v>
      </c>
      <c r="C1944" s="8" t="s">
        <v>2685</v>
      </c>
      <c r="D1944" s="9">
        <v>46110.0</v>
      </c>
      <c r="E1944" s="10">
        <v>373.99</v>
      </c>
      <c r="F1944" s="8" t="s">
        <v>102</v>
      </c>
      <c r="G1944" s="13">
        <v>38.3077</v>
      </c>
      <c r="H1944" s="13">
        <v>9.7628</v>
      </c>
      <c r="I1944" s="9">
        <v>46108.0</v>
      </c>
      <c r="J1944" s="10">
        <v>370.0</v>
      </c>
      <c r="K1944" s="8">
        <v>1142.0</v>
      </c>
      <c r="L1944" s="8" t="s">
        <v>2608</v>
      </c>
      <c r="M1944" s="11">
        <v>1.07</v>
      </c>
      <c r="N1944" s="8" t="s">
        <v>4490</v>
      </c>
      <c r="O1944" s="8">
        <v>1142.0</v>
      </c>
      <c r="P1944" s="11">
        <v>16.0713</v>
      </c>
      <c r="Q1944" s="8" t="s">
        <v>2687</v>
      </c>
      <c r="R1944" s="11">
        <v>3.3721</v>
      </c>
      <c r="S1944" s="12">
        <v>6323461.0</v>
      </c>
      <c r="T1944" s="12">
        <v>2.96802159779E11</v>
      </c>
      <c r="U1944" s="13">
        <v>16.0247</v>
      </c>
      <c r="V1944" s="13">
        <v>38.8627</v>
      </c>
      <c r="W1944" s="13">
        <v>29.7406</v>
      </c>
      <c r="X1944" s="13">
        <v>2.1543</v>
      </c>
      <c r="Y1944" s="13">
        <v>0.3311</v>
      </c>
      <c r="Z1944" s="13">
        <v>2.7149</v>
      </c>
      <c r="AA1944" s="8" t="s">
        <v>2611</v>
      </c>
      <c r="AB1944" s="14">
        <f>IFERROR(__xludf.DUMMYFUNCTION("IFERROR(GOOGLEFINANCE(B1944,""price""),"""")"),399.5)</f>
        <v>399.5</v>
      </c>
    </row>
    <row r="1945">
      <c r="A1945" s="15">
        <v>46105.66941812933</v>
      </c>
      <c r="B1945" s="16" t="s">
        <v>2804</v>
      </c>
      <c r="C1945" s="16" t="s">
        <v>2805</v>
      </c>
      <c r="D1945" s="17">
        <v>46110.0</v>
      </c>
      <c r="E1945" s="18">
        <v>142.01</v>
      </c>
      <c r="F1945" s="16" t="s">
        <v>308</v>
      </c>
      <c r="G1945" s="21">
        <v>77.2255</v>
      </c>
      <c r="H1945" s="21">
        <v>1.8389</v>
      </c>
      <c r="I1945" s="17">
        <v>46108.0</v>
      </c>
      <c r="J1945" s="18">
        <v>140.0</v>
      </c>
      <c r="K1945" s="16">
        <v>1141.0</v>
      </c>
      <c r="L1945" s="16" t="s">
        <v>2608</v>
      </c>
      <c r="M1945" s="19">
        <v>1.42</v>
      </c>
      <c r="N1945" s="16" t="s">
        <v>4491</v>
      </c>
      <c r="O1945" s="16">
        <v>1141.0</v>
      </c>
      <c r="P1945" s="19">
        <v>20.3477</v>
      </c>
      <c r="Q1945" s="16" t="s">
        <v>2807</v>
      </c>
      <c r="R1945" s="19">
        <v>8.4294</v>
      </c>
      <c r="S1945" s="20">
        <v>2.0943175E7</v>
      </c>
      <c r="T1945" s="20">
        <v>1.21837213673E11</v>
      </c>
      <c r="U1945" s="21">
        <v>8.9764</v>
      </c>
      <c r="V1945" s="21">
        <v>14.1911</v>
      </c>
      <c r="W1945" s="21">
        <v>15.3241</v>
      </c>
      <c r="X1945" s="21">
        <v>19.1416</v>
      </c>
      <c r="Y1945" s="21">
        <v>0.7942</v>
      </c>
      <c r="Z1945" s="21">
        <v>1.5878</v>
      </c>
      <c r="AA1945" s="16" t="s">
        <v>2611</v>
      </c>
      <c r="AB1945" s="22">
        <f>IFERROR(__xludf.DUMMYFUNCTION("IFERROR(GOOGLEFINANCE(B1945,""price""),"""")"),171.24)</f>
        <v>171.24</v>
      </c>
    </row>
    <row r="1946">
      <c r="A1946" s="7">
        <v>46106.66730840296</v>
      </c>
      <c r="B1946" s="8" t="s">
        <v>4359</v>
      </c>
      <c r="C1946" s="8" t="s">
        <v>4360</v>
      </c>
      <c r="D1946" s="9">
        <v>46110.0</v>
      </c>
      <c r="E1946" s="10">
        <v>98.45</v>
      </c>
      <c r="F1946" s="8" t="s">
        <v>308</v>
      </c>
      <c r="G1946" s="13">
        <v>31.8505</v>
      </c>
      <c r="H1946" s="13">
        <v>3.091</v>
      </c>
      <c r="I1946" s="9">
        <v>46108.0</v>
      </c>
      <c r="J1946" s="10">
        <v>100.0</v>
      </c>
      <c r="K1946" s="8">
        <v>20637.0</v>
      </c>
      <c r="L1946" s="8" t="s">
        <v>2608</v>
      </c>
      <c r="M1946" s="11">
        <v>1.57</v>
      </c>
      <c r="N1946" s="8" t="s">
        <v>4492</v>
      </c>
      <c r="O1946" s="8">
        <v>23519.0</v>
      </c>
      <c r="P1946" s="11">
        <v>15.4546</v>
      </c>
      <c r="Q1946" s="8" t="s">
        <v>4362</v>
      </c>
      <c r="R1946" s="11">
        <v>6.5938</v>
      </c>
      <c r="S1946" s="12">
        <v>2.247951E7</v>
      </c>
      <c r="T1946" s="12">
        <v>8.6074834367E10</v>
      </c>
      <c r="U1946" s="13">
        <v>4.5418</v>
      </c>
      <c r="V1946" s="13">
        <v>19.2541</v>
      </c>
      <c r="W1946" s="13">
        <v>16.3327</v>
      </c>
      <c r="X1946" s="13">
        <v>42.0873</v>
      </c>
      <c r="Y1946" s="13">
        <v>0.3519</v>
      </c>
      <c r="Z1946" s="13">
        <v>2.0061</v>
      </c>
      <c r="AA1946" s="8" t="s">
        <v>2620</v>
      </c>
      <c r="AB1946" s="14">
        <f>IFERROR(__xludf.DUMMYFUNCTION("IFERROR(GOOGLEFINANCE(B1946,""price""),"""")"),128.49)</f>
        <v>128.49</v>
      </c>
    </row>
    <row r="1947">
      <c r="A1947" s="15">
        <v>46106.66730840296</v>
      </c>
      <c r="B1947" s="16" t="s">
        <v>2638</v>
      </c>
      <c r="C1947" s="16" t="s">
        <v>2639</v>
      </c>
      <c r="D1947" s="17">
        <v>46110.0</v>
      </c>
      <c r="E1947" s="18">
        <v>163.26</v>
      </c>
      <c r="F1947" s="16" t="s">
        <v>245</v>
      </c>
      <c r="G1947" s="21">
        <v>24.3861</v>
      </c>
      <c r="H1947" s="21">
        <v>6.6948</v>
      </c>
      <c r="I1947" s="17">
        <v>46108.0</v>
      </c>
      <c r="J1947" s="18">
        <v>160.0</v>
      </c>
      <c r="K1947" s="16">
        <v>6267.0</v>
      </c>
      <c r="L1947" s="16" t="s">
        <v>2608</v>
      </c>
      <c r="M1947" s="19">
        <v>2.0</v>
      </c>
      <c r="N1947" s="16" t="s">
        <v>4493</v>
      </c>
      <c r="O1947" s="16">
        <v>21690.0</v>
      </c>
      <c r="P1947" s="19">
        <v>34.1032</v>
      </c>
      <c r="Q1947" s="16" t="s">
        <v>2641</v>
      </c>
      <c r="R1947" s="19">
        <v>-1.2819</v>
      </c>
      <c r="S1947" s="20">
        <v>1.7116954E7</v>
      </c>
      <c r="T1947" s="20">
        <v>6.80265857155E11</v>
      </c>
      <c r="U1947" s="21">
        <v>4.054</v>
      </c>
      <c r="V1947" s="21">
        <v>11.0283</v>
      </c>
      <c r="W1947" s="21">
        <v>10.3419</v>
      </c>
      <c r="X1947" s="21">
        <v>-4.856</v>
      </c>
      <c r="Y1947" s="21">
        <v>0.1871</v>
      </c>
      <c r="Z1947" s="21">
        <v>1.1528</v>
      </c>
      <c r="AA1947" s="16" t="s">
        <v>2611</v>
      </c>
      <c r="AB1947" s="22">
        <f>IFERROR(__xludf.DUMMYFUNCTION("IFERROR(GOOGLEFINANCE(B1947,""price""),"""")"),152.51)</f>
        <v>152.51</v>
      </c>
    </row>
    <row r="1948">
      <c r="A1948" s="7">
        <v>46106.66730840296</v>
      </c>
      <c r="B1948" s="8" t="s">
        <v>2399</v>
      </c>
      <c r="C1948" s="8" t="s">
        <v>2400</v>
      </c>
      <c r="D1948" s="9">
        <v>46110.0</v>
      </c>
      <c r="E1948" s="10">
        <v>19.14</v>
      </c>
      <c r="F1948" s="8" t="s">
        <v>270</v>
      </c>
      <c r="G1948" s="13">
        <v>15.8417</v>
      </c>
      <c r="H1948" s="13">
        <v>1.2082</v>
      </c>
      <c r="I1948" s="9">
        <v>46108.0</v>
      </c>
      <c r="J1948" s="10">
        <v>19.0</v>
      </c>
      <c r="K1948" s="8">
        <v>7271.0</v>
      </c>
      <c r="L1948" s="8" t="s">
        <v>2608</v>
      </c>
      <c r="M1948" s="11">
        <v>0.73</v>
      </c>
      <c r="N1948" s="8" t="s">
        <v>4494</v>
      </c>
      <c r="O1948" s="8">
        <v>16783.0</v>
      </c>
      <c r="P1948" s="11">
        <v>21.5482</v>
      </c>
      <c r="Q1948" s="8" t="s">
        <v>2401</v>
      </c>
      <c r="R1948" s="11">
        <v>-0.3644</v>
      </c>
      <c r="S1948" s="12">
        <v>1.1472603E7</v>
      </c>
      <c r="T1948" s="12">
        <v>6.5847615495E10</v>
      </c>
      <c r="U1948" s="13">
        <v>0.3356</v>
      </c>
      <c r="V1948" s="13">
        <v>12.7475</v>
      </c>
      <c r="W1948" s="13">
        <v>10.8866</v>
      </c>
      <c r="X1948" s="13">
        <v>3.4655</v>
      </c>
      <c r="Y1948" s="13">
        <v>2.0395</v>
      </c>
      <c r="Z1948" s="13">
        <v>1.2192</v>
      </c>
      <c r="AA1948" s="8" t="s">
        <v>2611</v>
      </c>
      <c r="AB1948" s="14">
        <f>IFERROR(__xludf.DUMMYFUNCTION("IFERROR(GOOGLEFINANCE(B1948,""price""),"""")"),19.19)</f>
        <v>19.19</v>
      </c>
    </row>
    <row r="1949">
      <c r="A1949" s="15">
        <v>46106.66730840296</v>
      </c>
      <c r="B1949" s="16" t="s">
        <v>2634</v>
      </c>
      <c r="C1949" s="16" t="s">
        <v>2635</v>
      </c>
      <c r="D1949" s="17">
        <v>46110.0</v>
      </c>
      <c r="E1949" s="18">
        <v>205.15</v>
      </c>
      <c r="F1949" s="16" t="s">
        <v>245</v>
      </c>
      <c r="G1949" s="21">
        <v>30.8589</v>
      </c>
      <c r="H1949" s="21">
        <v>6.648</v>
      </c>
      <c r="I1949" s="17">
        <v>46108.0</v>
      </c>
      <c r="J1949" s="18">
        <v>205.0</v>
      </c>
      <c r="K1949" s="16">
        <v>3588.0</v>
      </c>
      <c r="L1949" s="16" t="s">
        <v>2608</v>
      </c>
      <c r="M1949" s="19">
        <v>0.07</v>
      </c>
      <c r="N1949" s="16" t="s">
        <v>4495</v>
      </c>
      <c r="O1949" s="16">
        <v>9906.0</v>
      </c>
      <c r="P1949" s="19">
        <v>44.5542</v>
      </c>
      <c r="Q1949" s="16" t="s">
        <v>2637</v>
      </c>
      <c r="R1949" s="19">
        <v>-0.7931</v>
      </c>
      <c r="S1949" s="20">
        <v>8853021.0</v>
      </c>
      <c r="T1949" s="20">
        <v>4.09353321633E11</v>
      </c>
      <c r="U1949" s="21">
        <v>4.0523</v>
      </c>
      <c r="V1949" s="21">
        <v>7.261</v>
      </c>
      <c r="W1949" s="21">
        <v>8.8802</v>
      </c>
      <c r="X1949" s="21">
        <v>-4.6193</v>
      </c>
      <c r="Y1949" s="21">
        <v>0.2507</v>
      </c>
      <c r="Z1949" s="21">
        <v>1.1547</v>
      </c>
      <c r="AA1949" s="16" t="s">
        <v>2611</v>
      </c>
      <c r="AB1949" s="22">
        <f>IFERROR(__xludf.DUMMYFUNCTION("IFERROR(GOOGLEFINANCE(B1949,""price""),"""")"),188.55)</f>
        <v>188.55</v>
      </c>
    </row>
    <row r="1950">
      <c r="A1950" s="7">
        <v>46106.66730840296</v>
      </c>
      <c r="B1950" s="8" t="s">
        <v>4438</v>
      </c>
      <c r="C1950" s="8" t="s">
        <v>4439</v>
      </c>
      <c r="D1950" s="9">
        <v>46110.0</v>
      </c>
      <c r="E1950" s="10">
        <v>60.9</v>
      </c>
      <c r="F1950" s="8" t="s">
        <v>245</v>
      </c>
      <c r="G1950" s="13">
        <v>19.9007</v>
      </c>
      <c r="H1950" s="13">
        <v>3.0602</v>
      </c>
      <c r="I1950" s="9">
        <v>46129.0</v>
      </c>
      <c r="J1950" s="10">
        <v>60.0</v>
      </c>
      <c r="K1950" s="8">
        <v>3323.0</v>
      </c>
      <c r="L1950" s="8" t="s">
        <v>2608</v>
      </c>
      <c r="M1950" s="11">
        <v>1.48</v>
      </c>
      <c r="N1950" s="8" t="s">
        <v>4496</v>
      </c>
      <c r="O1950" s="8">
        <v>3323.0</v>
      </c>
      <c r="P1950" s="11">
        <v>19.0364</v>
      </c>
      <c r="Q1950" s="8" t="s">
        <v>4441</v>
      </c>
      <c r="R1950" s="11">
        <v>-0.8789</v>
      </c>
      <c r="S1950" s="12">
        <v>2634299.0</v>
      </c>
      <c r="T1950" s="12">
        <v>1.097863723E10</v>
      </c>
      <c r="U1950" s="13">
        <v>2.5071</v>
      </c>
      <c r="V1950" s="13">
        <v>6.2073</v>
      </c>
      <c r="W1950" s="13">
        <v>3.4166</v>
      </c>
      <c r="X1950" s="13">
        <v>-6.0035</v>
      </c>
      <c r="Y1950" s="13">
        <v>0.3519</v>
      </c>
      <c r="Z1950" s="13">
        <v>1.9364</v>
      </c>
      <c r="AA1950" s="8" t="s">
        <v>2611</v>
      </c>
      <c r="AB1950" s="14">
        <f>IFERROR(__xludf.DUMMYFUNCTION("IFERROR(GOOGLEFINANCE(B1950,""price""),"""")"),57.51)</f>
        <v>57.51</v>
      </c>
    </row>
    <row r="1951">
      <c r="A1951" s="15">
        <v>46106.66730840296</v>
      </c>
      <c r="B1951" s="16" t="s">
        <v>1077</v>
      </c>
      <c r="C1951" s="16" t="s">
        <v>1078</v>
      </c>
      <c r="D1951" s="17">
        <v>46110.0</v>
      </c>
      <c r="E1951" s="18">
        <v>9.87</v>
      </c>
      <c r="F1951" s="16" t="s">
        <v>335</v>
      </c>
      <c r="G1951" s="21"/>
      <c r="H1951" s="21">
        <v>-0.0349</v>
      </c>
      <c r="I1951" s="17">
        <v>46108.0</v>
      </c>
      <c r="J1951" s="18">
        <v>10.0</v>
      </c>
      <c r="K1951" s="16">
        <v>2489.0</v>
      </c>
      <c r="L1951" s="16" t="s">
        <v>2608</v>
      </c>
      <c r="M1951" s="19">
        <v>1.32</v>
      </c>
      <c r="N1951" s="16" t="s">
        <v>4497</v>
      </c>
      <c r="O1951" s="16">
        <v>2489.0</v>
      </c>
      <c r="P1951" s="19">
        <v>27.6383</v>
      </c>
      <c r="Q1951" s="16" t="s">
        <v>1102</v>
      </c>
      <c r="R1951" s="19">
        <v>6.3578</v>
      </c>
      <c r="S1951" s="20">
        <v>1.4541895E7</v>
      </c>
      <c r="T1951" s="20">
        <v>1.415080938E9</v>
      </c>
      <c r="U1951" s="21">
        <v>1.1086</v>
      </c>
      <c r="V1951" s="21">
        <v>-5.1187</v>
      </c>
      <c r="W1951" s="21">
        <v>-22.613</v>
      </c>
      <c r="X1951" s="21">
        <v>162.805</v>
      </c>
      <c r="Y1951" s="21">
        <v>0.0017</v>
      </c>
      <c r="Z1951" s="21">
        <v>5.3788</v>
      </c>
      <c r="AA1951" s="16" t="s">
        <v>2620</v>
      </c>
      <c r="AB1951" s="22">
        <f>IFERROR(__xludf.DUMMYFUNCTION("IFERROR(GOOGLEFINANCE(B1951,""price""),"""")"),8.36)</f>
        <v>8.36</v>
      </c>
    </row>
    <row r="1952">
      <c r="A1952" s="7">
        <v>46106.66730840296</v>
      </c>
      <c r="B1952" s="8" t="s">
        <v>4421</v>
      </c>
      <c r="C1952" s="8" t="s">
        <v>4422</v>
      </c>
      <c r="D1952" s="9">
        <v>46110.0</v>
      </c>
      <c r="E1952" s="10">
        <v>284.39</v>
      </c>
      <c r="F1952" s="8" t="s">
        <v>270</v>
      </c>
      <c r="G1952" s="13">
        <v>11.6886</v>
      </c>
      <c r="H1952" s="13">
        <v>24.3305</v>
      </c>
      <c r="I1952" s="9">
        <v>46108.0</v>
      </c>
      <c r="J1952" s="10">
        <v>280.0</v>
      </c>
      <c r="K1952" s="8">
        <v>1172.0</v>
      </c>
      <c r="L1952" s="8" t="s">
        <v>2627</v>
      </c>
      <c r="M1952" s="11">
        <v>1.54</v>
      </c>
      <c r="N1952" s="8" t="s">
        <v>4498</v>
      </c>
      <c r="O1952" s="8">
        <v>2219.0</v>
      </c>
      <c r="P1952" s="11">
        <v>55.3419</v>
      </c>
      <c r="Q1952" s="8" t="s">
        <v>4424</v>
      </c>
      <c r="R1952" s="11">
        <v>-3.4592</v>
      </c>
      <c r="S1952" s="12">
        <v>3780446.0</v>
      </c>
      <c r="T1952" s="12">
        <v>5.9779598902E10</v>
      </c>
      <c r="U1952" s="13">
        <v>10.5284</v>
      </c>
      <c r="V1952" s="13">
        <v>78.1695</v>
      </c>
      <c r="W1952" s="13">
        <v>27.0171</v>
      </c>
      <c r="X1952" s="13">
        <v>24.4422</v>
      </c>
      <c r="Y1952" s="13">
        <v>3.3413</v>
      </c>
      <c r="Z1952" s="13">
        <v>0.9428</v>
      </c>
      <c r="AA1952" s="8" t="s">
        <v>2611</v>
      </c>
      <c r="AB1952" s="14">
        <f>IFERROR(__xludf.DUMMYFUNCTION("IFERROR(GOOGLEFINANCE(B1952,""price""),"""")"),265.54)</f>
        <v>265.54</v>
      </c>
    </row>
    <row r="1953">
      <c r="A1953" s="15">
        <v>46106.66730840296</v>
      </c>
      <c r="B1953" s="16" t="s">
        <v>4218</v>
      </c>
      <c r="C1953" s="16" t="s">
        <v>4219</v>
      </c>
      <c r="D1953" s="17">
        <v>46110.0</v>
      </c>
      <c r="E1953" s="18">
        <v>128.11</v>
      </c>
      <c r="F1953" s="16" t="s">
        <v>107</v>
      </c>
      <c r="G1953" s="21">
        <v>14.2457</v>
      </c>
      <c r="H1953" s="21">
        <v>8.9929</v>
      </c>
      <c r="I1953" s="17">
        <v>46108.0</v>
      </c>
      <c r="J1953" s="18">
        <v>130.0</v>
      </c>
      <c r="K1953" s="16">
        <v>2218.0</v>
      </c>
      <c r="L1953" s="16" t="s">
        <v>2608</v>
      </c>
      <c r="M1953" s="19">
        <v>1.48</v>
      </c>
      <c r="N1953" s="16" t="s">
        <v>4499</v>
      </c>
      <c r="O1953" s="16">
        <v>2218.0</v>
      </c>
      <c r="P1953" s="19">
        <v>40.6188</v>
      </c>
      <c r="Q1953" s="16" t="s">
        <v>4221</v>
      </c>
      <c r="R1953" s="19">
        <v>0.9376</v>
      </c>
      <c r="S1953" s="20">
        <v>3708142.0</v>
      </c>
      <c r="T1953" s="20">
        <v>1.9686512662E10</v>
      </c>
      <c r="U1953" s="21">
        <v>6.8966</v>
      </c>
      <c r="V1953" s="21">
        <v>29.6244</v>
      </c>
      <c r="W1953" s="21">
        <v>37.1118</v>
      </c>
      <c r="X1953" s="21">
        <v>19.3396</v>
      </c>
      <c r="Y1953" s="21">
        <v>0.7516</v>
      </c>
      <c r="Z1953" s="21">
        <v>3.3653</v>
      </c>
      <c r="AA1953" s="16" t="s">
        <v>2620</v>
      </c>
      <c r="AB1953" s="22">
        <f>IFERROR(__xludf.DUMMYFUNCTION("IFERROR(GOOGLEFINANCE(B1953,""price""),"""")"),121.32)</f>
        <v>121.32</v>
      </c>
    </row>
    <row r="1954">
      <c r="A1954" s="7">
        <v>46106.66730840296</v>
      </c>
      <c r="B1954" s="8" t="s">
        <v>2646</v>
      </c>
      <c r="C1954" s="8" t="s">
        <v>2647</v>
      </c>
      <c r="D1954" s="9">
        <v>46110.0</v>
      </c>
      <c r="E1954" s="10">
        <v>39.0</v>
      </c>
      <c r="F1954" s="8" t="s">
        <v>270</v>
      </c>
      <c r="G1954" s="13">
        <v>14.727</v>
      </c>
      <c r="H1954" s="13">
        <v>2.6482</v>
      </c>
      <c r="I1954" s="9">
        <v>46108.0</v>
      </c>
      <c r="J1954" s="10">
        <v>38.5</v>
      </c>
      <c r="K1954" s="8">
        <v>2216.0</v>
      </c>
      <c r="L1954" s="8" t="s">
        <v>2608</v>
      </c>
      <c r="M1954" s="11">
        <v>1.28</v>
      </c>
      <c r="N1954" s="8" t="s">
        <v>4500</v>
      </c>
      <c r="O1954" s="8">
        <v>2216.0</v>
      </c>
      <c r="P1954" s="11">
        <v>38.9191</v>
      </c>
      <c r="Q1954" s="8" t="s">
        <v>2649</v>
      </c>
      <c r="R1954" s="11">
        <v>1.589</v>
      </c>
      <c r="S1954" s="12">
        <v>3768432.0</v>
      </c>
      <c r="T1954" s="12">
        <v>8.4308667605E10</v>
      </c>
      <c r="U1954" s="13">
        <v>0.7233</v>
      </c>
      <c r="V1954" s="13">
        <v>19.6987</v>
      </c>
      <c r="W1954" s="13">
        <v>12.3812</v>
      </c>
      <c r="X1954" s="13">
        <v>-6.474</v>
      </c>
      <c r="Y1954" s="13">
        <v>1.1744</v>
      </c>
      <c r="Z1954" s="13">
        <v>1.0411</v>
      </c>
      <c r="AA1954" s="8" t="s">
        <v>2611</v>
      </c>
      <c r="AB1954" s="14">
        <f>IFERROR(__xludf.DUMMYFUNCTION("IFERROR(GOOGLEFINANCE(B1954,""price""),"""")"),37.35)</f>
        <v>37.35</v>
      </c>
    </row>
    <row r="1955">
      <c r="A1955" s="15">
        <v>46106.66730840296</v>
      </c>
      <c r="B1955" s="16" t="s">
        <v>2804</v>
      </c>
      <c r="C1955" s="16" t="s">
        <v>2805</v>
      </c>
      <c r="D1955" s="17">
        <v>46110.0</v>
      </c>
      <c r="E1955" s="18">
        <v>146.35</v>
      </c>
      <c r="F1955" s="16" t="s">
        <v>308</v>
      </c>
      <c r="G1955" s="21">
        <v>79.5856</v>
      </c>
      <c r="H1955" s="21">
        <v>1.8389</v>
      </c>
      <c r="I1955" s="17">
        <v>46108.0</v>
      </c>
      <c r="J1955" s="18">
        <v>145.0</v>
      </c>
      <c r="K1955" s="16">
        <v>1744.0</v>
      </c>
      <c r="L1955" s="16" t="s">
        <v>2608</v>
      </c>
      <c r="M1955" s="19">
        <v>0.92</v>
      </c>
      <c r="N1955" s="16" t="s">
        <v>4501</v>
      </c>
      <c r="O1955" s="16">
        <v>1744.0</v>
      </c>
      <c r="P1955" s="19">
        <v>20.0823</v>
      </c>
      <c r="Q1955" s="16" t="s">
        <v>2807</v>
      </c>
      <c r="R1955" s="19">
        <v>3.0561</v>
      </c>
      <c r="S1955" s="20">
        <v>1.3198963E7</v>
      </c>
      <c r="T1955" s="20">
        <v>1.25560702522E11</v>
      </c>
      <c r="U1955" s="21">
        <v>8.9238</v>
      </c>
      <c r="V1955" s="21">
        <v>14.1911</v>
      </c>
      <c r="W1955" s="21">
        <v>15.3241</v>
      </c>
      <c r="X1955" s="21">
        <v>19.1416</v>
      </c>
      <c r="Y1955" s="21">
        <v>0.7942</v>
      </c>
      <c r="Z1955" s="21">
        <v>1.5878</v>
      </c>
      <c r="AA1955" s="16" t="s">
        <v>2611</v>
      </c>
      <c r="AB1955" s="22">
        <f>IFERROR(__xludf.DUMMYFUNCTION("IFERROR(GOOGLEFINANCE(B1955,""price""),"""")"),171.24)</f>
        <v>171.24</v>
      </c>
    </row>
    <row r="1956">
      <c r="A1956" s="7">
        <v>46106.66730840296</v>
      </c>
      <c r="B1956" s="8" t="s">
        <v>1766</v>
      </c>
      <c r="C1956" s="8" t="s">
        <v>1767</v>
      </c>
      <c r="D1956" s="9">
        <v>46110.0</v>
      </c>
      <c r="E1956" s="10">
        <v>95.32</v>
      </c>
      <c r="F1956" s="8" t="s">
        <v>917</v>
      </c>
      <c r="G1956" s="13">
        <v>34.6845</v>
      </c>
      <c r="H1956" s="13">
        <v>2.7482</v>
      </c>
      <c r="I1956" s="9">
        <v>46129.0</v>
      </c>
      <c r="J1956" s="10">
        <v>95.0</v>
      </c>
      <c r="K1956" s="8">
        <v>1245.0</v>
      </c>
      <c r="L1956" s="8" t="s">
        <v>2608</v>
      </c>
      <c r="M1956" s="11">
        <v>0.34</v>
      </c>
      <c r="N1956" s="8" t="s">
        <v>4502</v>
      </c>
      <c r="O1956" s="8">
        <v>1245.0</v>
      </c>
      <c r="P1956" s="11">
        <v>16.8709</v>
      </c>
      <c r="Q1956" s="8" t="s">
        <v>1768</v>
      </c>
      <c r="R1956" s="11">
        <v>0.3368</v>
      </c>
      <c r="S1956" s="12">
        <v>3128507.0</v>
      </c>
      <c r="T1956" s="12">
        <v>6.227104219E10</v>
      </c>
      <c r="U1956" s="13">
        <v>2.1511</v>
      </c>
      <c r="V1956" s="13">
        <v>5.8451</v>
      </c>
      <c r="W1956" s="13">
        <v>23.7349</v>
      </c>
      <c r="X1956" s="13">
        <v>5.8424</v>
      </c>
      <c r="Y1956" s="13">
        <v>1.1478</v>
      </c>
      <c r="Z1956" s="13">
        <v>1.5912</v>
      </c>
      <c r="AA1956" s="8" t="s">
        <v>2611</v>
      </c>
      <c r="AB1956" s="14">
        <f>IFERROR(__xludf.DUMMYFUNCTION("IFERROR(GOOGLEFINANCE(B1956,""price""),"""")"),98.82)</f>
        <v>98.82</v>
      </c>
    </row>
    <row r="1957">
      <c r="A1957" s="15">
        <v>46106.66730840296</v>
      </c>
      <c r="B1957" s="16" t="s">
        <v>2684</v>
      </c>
      <c r="C1957" s="16" t="s">
        <v>2685</v>
      </c>
      <c r="D1957" s="17">
        <v>46110.0</v>
      </c>
      <c r="E1957" s="18">
        <v>369.34</v>
      </c>
      <c r="F1957" s="16" t="s">
        <v>102</v>
      </c>
      <c r="G1957" s="21">
        <v>37.8314</v>
      </c>
      <c r="H1957" s="21">
        <v>9.7628</v>
      </c>
      <c r="I1957" s="17">
        <v>46108.0</v>
      </c>
      <c r="J1957" s="18">
        <v>370.0</v>
      </c>
      <c r="K1957" s="16">
        <v>1219.0</v>
      </c>
      <c r="L1957" s="16" t="s">
        <v>2608</v>
      </c>
      <c r="M1957" s="19">
        <v>0.18</v>
      </c>
      <c r="N1957" s="16" t="s">
        <v>4503</v>
      </c>
      <c r="O1957" s="16">
        <v>1219.0</v>
      </c>
      <c r="P1957" s="19">
        <v>15.8825</v>
      </c>
      <c r="Q1957" s="16" t="s">
        <v>2687</v>
      </c>
      <c r="R1957" s="19">
        <v>-1.2433</v>
      </c>
      <c r="S1957" s="20">
        <v>5044803.0</v>
      </c>
      <c r="T1957" s="20">
        <v>2.9311185925E11</v>
      </c>
      <c r="U1957" s="21">
        <v>15.9529</v>
      </c>
      <c r="V1957" s="21">
        <v>38.8627</v>
      </c>
      <c r="W1957" s="21">
        <v>29.7406</v>
      </c>
      <c r="X1957" s="21">
        <v>2.1543</v>
      </c>
      <c r="Y1957" s="21">
        <v>0.3311</v>
      </c>
      <c r="Z1957" s="21">
        <v>2.7149</v>
      </c>
      <c r="AA1957" s="16" t="s">
        <v>2620</v>
      </c>
      <c r="AB1957" s="22">
        <f>IFERROR(__xludf.DUMMYFUNCTION("IFERROR(GOOGLEFINANCE(B1957,""price""),"""")"),399.5)</f>
        <v>399.5</v>
      </c>
    </row>
    <row r="1958">
      <c r="A1958" s="7">
        <v>46106.66730840296</v>
      </c>
      <c r="B1958" s="8" t="s">
        <v>2650</v>
      </c>
      <c r="C1958" s="8" t="s">
        <v>2651</v>
      </c>
      <c r="D1958" s="9">
        <v>46110.0</v>
      </c>
      <c r="E1958" s="10">
        <v>272.04</v>
      </c>
      <c r="F1958" s="8" t="s">
        <v>308</v>
      </c>
      <c r="G1958" s="13">
        <v>269.2399</v>
      </c>
      <c r="H1958" s="13">
        <v>1.0104</v>
      </c>
      <c r="I1958" s="9">
        <v>46108.0</v>
      </c>
      <c r="J1958" s="10">
        <v>270.0</v>
      </c>
      <c r="K1958" s="8">
        <v>1114.0</v>
      </c>
      <c r="L1958" s="8" t="s">
        <v>2608</v>
      </c>
      <c r="M1958" s="11">
        <v>0.75</v>
      </c>
      <c r="N1958" s="8" t="s">
        <v>4504</v>
      </c>
      <c r="O1958" s="8">
        <v>1114.0</v>
      </c>
      <c r="P1958" s="11">
        <v>15.6955</v>
      </c>
      <c r="Q1958" s="8" t="s">
        <v>2653</v>
      </c>
      <c r="R1958" s="11">
        <v>-0.1065</v>
      </c>
      <c r="S1958" s="12">
        <v>5298069.0</v>
      </c>
      <c r="T1958" s="12">
        <v>5.1002561945E10</v>
      </c>
      <c r="U1958" s="13">
        <v>21.8906</v>
      </c>
      <c r="V1958" s="13">
        <v>3.6337</v>
      </c>
      <c r="W1958" s="13">
        <v>11.7943</v>
      </c>
      <c r="X1958" s="13">
        <v>18.6256</v>
      </c>
      <c r="Y1958" s="13">
        <v>0.4153</v>
      </c>
      <c r="Z1958" s="13">
        <v>2.2518</v>
      </c>
      <c r="AA1958" s="8" t="s">
        <v>2611</v>
      </c>
      <c r="AB1958" s="14">
        <f>IFERROR(__xludf.DUMMYFUNCTION("IFERROR(GOOGLEFINANCE(B1958,""price""),"""")"),307.5)</f>
        <v>307.5</v>
      </c>
    </row>
    <row r="1959">
      <c r="A1959" s="15">
        <v>46106.66730840296</v>
      </c>
      <c r="B1959" s="16" t="s">
        <v>1811</v>
      </c>
      <c r="C1959" s="16" t="s">
        <v>1812</v>
      </c>
      <c r="D1959" s="17">
        <v>46110.0</v>
      </c>
      <c r="E1959" s="18">
        <v>46.32</v>
      </c>
      <c r="F1959" s="16" t="s">
        <v>308</v>
      </c>
      <c r="G1959" s="21">
        <v>44.7536</v>
      </c>
      <c r="H1959" s="21">
        <v>1.035</v>
      </c>
      <c r="I1959" s="17">
        <v>46129.0</v>
      </c>
      <c r="J1959" s="18">
        <v>46.0</v>
      </c>
      <c r="K1959" s="16">
        <v>1112.0</v>
      </c>
      <c r="L1959" s="16" t="s">
        <v>2608</v>
      </c>
      <c r="M1959" s="19">
        <v>0.69</v>
      </c>
      <c r="N1959" s="16" t="s">
        <v>4505</v>
      </c>
      <c r="O1959" s="16">
        <v>1112.0</v>
      </c>
      <c r="P1959" s="19">
        <v>25.7613</v>
      </c>
      <c r="Q1959" s="16" t="s">
        <v>1813</v>
      </c>
      <c r="R1959" s="19">
        <v>5.1294</v>
      </c>
      <c r="S1959" s="20">
        <v>1121525.0</v>
      </c>
      <c r="T1959" s="20">
        <v>1.2313995969E10</v>
      </c>
      <c r="U1959" s="21">
        <v>1.8215</v>
      </c>
      <c r="V1959" s="21">
        <v>10.5164</v>
      </c>
      <c r="W1959" s="21">
        <v>9.5669</v>
      </c>
      <c r="X1959" s="21">
        <v>12.8015</v>
      </c>
      <c r="Y1959" s="21">
        <v>0.1722</v>
      </c>
      <c r="Z1959" s="21">
        <v>1.8895</v>
      </c>
      <c r="AA1959" s="16" t="s">
        <v>2611</v>
      </c>
      <c r="AB1959" s="22">
        <f>IFERROR(__xludf.DUMMYFUNCTION("IFERROR(GOOGLEFINANCE(B1959,""price""),"""")"),46.06)</f>
        <v>46.06</v>
      </c>
    </row>
    <row r="1960">
      <c r="A1960" s="7">
        <v>46106.66730840296</v>
      </c>
      <c r="B1960" s="8" t="s">
        <v>2188</v>
      </c>
      <c r="C1960" s="8" t="s">
        <v>2189</v>
      </c>
      <c r="D1960" s="9">
        <v>46110.0</v>
      </c>
      <c r="E1960" s="10">
        <v>492.34</v>
      </c>
      <c r="F1960" s="8" t="s">
        <v>107</v>
      </c>
      <c r="G1960" s="13">
        <v>33.7282</v>
      </c>
      <c r="H1960" s="13">
        <v>14.5973</v>
      </c>
      <c r="I1960" s="9">
        <v>46129.0</v>
      </c>
      <c r="J1960" s="10">
        <v>490.0</v>
      </c>
      <c r="K1960" s="8">
        <v>1096.0</v>
      </c>
      <c r="L1960" s="8" t="s">
        <v>2627</v>
      </c>
      <c r="M1960" s="11">
        <v>0.48</v>
      </c>
      <c r="N1960" s="8" t="s">
        <v>4506</v>
      </c>
      <c r="O1960" s="8">
        <v>1096.0</v>
      </c>
      <c r="P1960" s="11">
        <v>18.8518</v>
      </c>
      <c r="Q1960" s="8" t="s">
        <v>2190</v>
      </c>
      <c r="R1960" s="11">
        <v>2.605</v>
      </c>
      <c r="S1960" s="12">
        <v>1902213.0</v>
      </c>
      <c r="T1960" s="12">
        <v>2.28147481474E11</v>
      </c>
      <c r="U1960" s="13">
        <v>10.2535</v>
      </c>
      <c r="V1960" s="13">
        <v>18.0725</v>
      </c>
      <c r="W1960" s="13">
        <v>27.2289</v>
      </c>
      <c r="X1960" s="13">
        <v>2.9723</v>
      </c>
      <c r="Y1960" s="13">
        <v>0.7339</v>
      </c>
      <c r="Z1960" s="13">
        <v>0.8768</v>
      </c>
      <c r="AA1960" s="8" t="s">
        <v>2611</v>
      </c>
      <c r="AB1960" s="14">
        <f>IFERROR(__xludf.DUMMYFUNCTION("IFERROR(GOOGLEFINANCE(B1960,""price""),"""")"),503.15)</f>
        <v>503.15</v>
      </c>
    </row>
    <row r="1961">
      <c r="A1961" s="7">
        <v>46107.67001441324</v>
      </c>
      <c r="B1961" s="8" t="s">
        <v>2638</v>
      </c>
      <c r="C1961" s="8" t="s">
        <v>2639</v>
      </c>
      <c r="D1961" s="9">
        <v>46110.0</v>
      </c>
      <c r="E1961" s="10">
        <v>165.43</v>
      </c>
      <c r="F1961" s="8" t="s">
        <v>245</v>
      </c>
      <c r="G1961" s="13">
        <v>24.7102</v>
      </c>
      <c r="H1961" s="13">
        <v>6.6948</v>
      </c>
      <c r="I1961" s="9">
        <v>46108.0</v>
      </c>
      <c r="J1961" s="10">
        <v>165.0</v>
      </c>
      <c r="K1961" s="8">
        <v>6365.0</v>
      </c>
      <c r="L1961" s="8" t="s">
        <v>2608</v>
      </c>
      <c r="M1961" s="11">
        <v>0.26</v>
      </c>
      <c r="N1961" s="8" t="s">
        <v>4507</v>
      </c>
      <c r="O1961" s="8">
        <v>17784.0</v>
      </c>
      <c r="P1961" s="11">
        <v>33.7091</v>
      </c>
      <c r="Q1961" s="8" t="s">
        <v>2641</v>
      </c>
      <c r="R1961" s="11">
        <v>1.3292</v>
      </c>
      <c r="S1961" s="12">
        <v>1.8580244E7</v>
      </c>
      <c r="T1961" s="12">
        <v>6.89307691046E11</v>
      </c>
      <c r="U1961" s="13">
        <v>4.023</v>
      </c>
      <c r="V1961" s="13">
        <v>11.0283</v>
      </c>
      <c r="W1961" s="13">
        <v>10.3419</v>
      </c>
      <c r="X1961" s="13">
        <v>-4.856</v>
      </c>
      <c r="Y1961" s="13">
        <v>0.1871</v>
      </c>
      <c r="Z1961" s="13">
        <v>1.1528</v>
      </c>
      <c r="AA1961" s="8" t="s">
        <v>2611</v>
      </c>
      <c r="AB1961" s="14">
        <f>IFERROR(__xludf.DUMMYFUNCTION("IFERROR(GOOGLEFINANCE(B1961,""price""),"""")"),152.51)</f>
        <v>152.51</v>
      </c>
    </row>
    <row r="1962">
      <c r="A1962" s="15">
        <v>46107.67001441324</v>
      </c>
      <c r="B1962" s="16" t="s">
        <v>2634</v>
      </c>
      <c r="C1962" s="16" t="s">
        <v>2635</v>
      </c>
      <c r="D1962" s="17">
        <v>46110.0</v>
      </c>
      <c r="E1962" s="18">
        <v>207.79</v>
      </c>
      <c r="F1962" s="16" t="s">
        <v>245</v>
      </c>
      <c r="G1962" s="21">
        <v>31.256</v>
      </c>
      <c r="H1962" s="21">
        <v>6.648</v>
      </c>
      <c r="I1962" s="17">
        <v>46108.0</v>
      </c>
      <c r="J1962" s="18">
        <v>207.5</v>
      </c>
      <c r="K1962" s="16">
        <v>4365.0</v>
      </c>
      <c r="L1962" s="16" t="s">
        <v>2608</v>
      </c>
      <c r="M1962" s="19">
        <v>0.14</v>
      </c>
      <c r="N1962" s="16" t="s">
        <v>4508</v>
      </c>
      <c r="O1962" s="16">
        <v>13099.0</v>
      </c>
      <c r="P1962" s="19">
        <v>44.6502</v>
      </c>
      <c r="Q1962" s="16" t="s">
        <v>2637</v>
      </c>
      <c r="R1962" s="19">
        <v>1.2869</v>
      </c>
      <c r="S1962" s="20">
        <v>1.1008184E7</v>
      </c>
      <c r="T1962" s="20">
        <v>4.14621140303E11</v>
      </c>
      <c r="U1962" s="21">
        <v>4.0528</v>
      </c>
      <c r="V1962" s="21">
        <v>7.261</v>
      </c>
      <c r="W1962" s="21">
        <v>8.8802</v>
      </c>
      <c r="X1962" s="21">
        <v>-4.6193</v>
      </c>
      <c r="Y1962" s="21">
        <v>0.2507</v>
      </c>
      <c r="Z1962" s="21">
        <v>1.1547</v>
      </c>
      <c r="AA1962" s="16" t="s">
        <v>2611</v>
      </c>
      <c r="AB1962" s="22">
        <f>IFERROR(__xludf.DUMMYFUNCTION("IFERROR(GOOGLEFINANCE(B1962,""price""),"""")"),188.55)</f>
        <v>188.55</v>
      </c>
    </row>
    <row r="1963">
      <c r="A1963" s="7">
        <v>46107.67001441324</v>
      </c>
      <c r="B1963" s="8" t="s">
        <v>4359</v>
      </c>
      <c r="C1963" s="8" t="s">
        <v>4360</v>
      </c>
      <c r="D1963" s="9">
        <v>46110.0</v>
      </c>
      <c r="E1963" s="10">
        <v>97.68</v>
      </c>
      <c r="F1963" s="8" t="s">
        <v>308</v>
      </c>
      <c r="G1963" s="13">
        <v>31.6014</v>
      </c>
      <c r="H1963" s="13">
        <v>3.091</v>
      </c>
      <c r="I1963" s="9">
        <v>46108.0</v>
      </c>
      <c r="J1963" s="10">
        <v>99.0</v>
      </c>
      <c r="K1963" s="8">
        <v>4881.0</v>
      </c>
      <c r="L1963" s="8" t="s">
        <v>2608</v>
      </c>
      <c r="M1963" s="11">
        <v>1.35</v>
      </c>
      <c r="N1963" s="8" t="s">
        <v>4509</v>
      </c>
      <c r="O1963" s="8">
        <v>11347.0</v>
      </c>
      <c r="P1963" s="11">
        <v>16.6643</v>
      </c>
      <c r="Q1963" s="8" t="s">
        <v>4362</v>
      </c>
      <c r="R1963" s="11">
        <v>-0.7821</v>
      </c>
      <c r="S1963" s="12">
        <v>2.5954988E7</v>
      </c>
      <c r="T1963" s="12">
        <v>8.540162016E10</v>
      </c>
      <c r="U1963" s="13">
        <v>4.4623</v>
      </c>
      <c r="V1963" s="13">
        <v>19.2541</v>
      </c>
      <c r="W1963" s="13">
        <v>16.3327</v>
      </c>
      <c r="X1963" s="13">
        <v>42.0873</v>
      </c>
      <c r="Y1963" s="13">
        <v>0.3519</v>
      </c>
      <c r="Z1963" s="13">
        <v>2.0061</v>
      </c>
      <c r="AA1963" s="8" t="s">
        <v>2620</v>
      </c>
      <c r="AB1963" s="14">
        <f>IFERROR(__xludf.DUMMYFUNCTION("IFERROR(GOOGLEFINANCE(B1963,""price""),"""")"),128.49)</f>
        <v>128.49</v>
      </c>
    </row>
    <row r="1964">
      <c r="A1964" s="15">
        <v>46107.67001441324</v>
      </c>
      <c r="B1964" s="16" t="s">
        <v>2399</v>
      </c>
      <c r="C1964" s="16" t="s">
        <v>2400</v>
      </c>
      <c r="D1964" s="17">
        <v>46110.0</v>
      </c>
      <c r="E1964" s="18">
        <v>19.44</v>
      </c>
      <c r="F1964" s="16" t="s">
        <v>270</v>
      </c>
      <c r="G1964" s="21">
        <v>16.0901</v>
      </c>
      <c r="H1964" s="21">
        <v>1.2082</v>
      </c>
      <c r="I1964" s="17">
        <v>46108.0</v>
      </c>
      <c r="J1964" s="18">
        <v>19.5</v>
      </c>
      <c r="K1964" s="16">
        <v>6936.0</v>
      </c>
      <c r="L1964" s="16" t="s">
        <v>2608</v>
      </c>
      <c r="M1964" s="19">
        <v>0.31</v>
      </c>
      <c r="N1964" s="16" t="s">
        <v>4510</v>
      </c>
      <c r="O1964" s="16">
        <v>6936.0</v>
      </c>
      <c r="P1964" s="19">
        <v>22.1533</v>
      </c>
      <c r="Q1964" s="16" t="s">
        <v>2401</v>
      </c>
      <c r="R1964" s="19">
        <v>1.5674</v>
      </c>
      <c r="S1964" s="20">
        <v>1.0365299E7</v>
      </c>
      <c r="T1964" s="20">
        <v>6.6879710836E10</v>
      </c>
      <c r="U1964" s="21">
        <v>0.3338</v>
      </c>
      <c r="V1964" s="21">
        <v>12.7475</v>
      </c>
      <c r="W1964" s="21">
        <v>10.8866</v>
      </c>
      <c r="X1964" s="21">
        <v>3.4655</v>
      </c>
      <c r="Y1964" s="21">
        <v>2.0395</v>
      </c>
      <c r="Z1964" s="21">
        <v>1.2192</v>
      </c>
      <c r="AA1964" s="16" t="s">
        <v>2620</v>
      </c>
      <c r="AB1964" s="22">
        <f>IFERROR(__xludf.DUMMYFUNCTION("IFERROR(GOOGLEFINANCE(B1964,""price""),"""")"),19.19)</f>
        <v>19.19</v>
      </c>
    </row>
    <row r="1965">
      <c r="A1965" s="7">
        <v>46107.67001441324</v>
      </c>
      <c r="B1965" s="8" t="s">
        <v>3802</v>
      </c>
      <c r="C1965" s="8" t="s">
        <v>3803</v>
      </c>
      <c r="D1965" s="9">
        <v>46110.0</v>
      </c>
      <c r="E1965" s="10">
        <v>54.06</v>
      </c>
      <c r="F1965" s="8" t="s">
        <v>270</v>
      </c>
      <c r="G1965" s="13"/>
      <c r="H1965" s="13"/>
      <c r="I1965" s="9">
        <v>46129.0</v>
      </c>
      <c r="J1965" s="10">
        <v>55.0</v>
      </c>
      <c r="K1965" s="8">
        <v>5935.0</v>
      </c>
      <c r="L1965" s="8" t="s">
        <v>2608</v>
      </c>
      <c r="M1965" s="11">
        <v>1.74</v>
      </c>
      <c r="N1965" s="8" t="s">
        <v>4511</v>
      </c>
      <c r="O1965" s="8">
        <v>5935.0</v>
      </c>
      <c r="P1965" s="11">
        <v>30.5457</v>
      </c>
      <c r="Q1965" s="8" t="s">
        <v>3805</v>
      </c>
      <c r="R1965" s="11">
        <v>1.8271</v>
      </c>
      <c r="S1965" s="12">
        <v>3904648.0</v>
      </c>
      <c r="T1965" s="12">
        <v>5.655890997E9</v>
      </c>
      <c r="U1965" s="13">
        <v>1.9044</v>
      </c>
      <c r="V1965" s="13">
        <v>3.4054</v>
      </c>
      <c r="W1965" s="13">
        <v>34.4448</v>
      </c>
      <c r="X1965" s="13">
        <v>51.1384</v>
      </c>
      <c r="Y1965" s="13">
        <v>1.4965</v>
      </c>
      <c r="Z1965" s="13">
        <v>2.5453</v>
      </c>
      <c r="AA1965" s="8" t="s">
        <v>2620</v>
      </c>
      <c r="AB1965" s="14">
        <f>IFERROR(__xludf.DUMMYFUNCTION("IFERROR(GOOGLEFINANCE(B1965,""price""),"""")"),53.28)</f>
        <v>53.28</v>
      </c>
    </row>
    <row r="1966">
      <c r="A1966" s="15">
        <v>46107.67001441324</v>
      </c>
      <c r="B1966" s="16" t="s">
        <v>2700</v>
      </c>
      <c r="C1966" s="16" t="s">
        <v>2701</v>
      </c>
      <c r="D1966" s="17">
        <v>46110.0</v>
      </c>
      <c r="E1966" s="18">
        <v>211.62</v>
      </c>
      <c r="F1966" s="16" t="s">
        <v>102</v>
      </c>
      <c r="G1966" s="21">
        <v>43.371</v>
      </c>
      <c r="H1966" s="21">
        <v>4.8793</v>
      </c>
      <c r="I1966" s="17">
        <v>46108.0</v>
      </c>
      <c r="J1966" s="18">
        <v>215.0</v>
      </c>
      <c r="K1966" s="16">
        <v>2347.0</v>
      </c>
      <c r="L1966" s="16" t="s">
        <v>2627</v>
      </c>
      <c r="M1966" s="19">
        <v>1.6</v>
      </c>
      <c r="N1966" s="16" t="s">
        <v>4512</v>
      </c>
      <c r="O1966" s="16">
        <v>4574.0</v>
      </c>
      <c r="P1966" s="19">
        <v>15.4837</v>
      </c>
      <c r="Q1966" s="16" t="s">
        <v>2703</v>
      </c>
      <c r="R1966" s="19">
        <v>-9.351</v>
      </c>
      <c r="S1966" s="20">
        <v>1.3414658E7</v>
      </c>
      <c r="T1966" s="20">
        <v>2.64264914739E11</v>
      </c>
      <c r="U1966" s="21">
        <v>12.5555</v>
      </c>
      <c r="V1966" s="21">
        <v>65.5649</v>
      </c>
      <c r="W1966" s="21">
        <v>33.7646</v>
      </c>
      <c r="X1966" s="21">
        <v>26.8457</v>
      </c>
      <c r="Y1966" s="21">
        <v>0.4419</v>
      </c>
      <c r="Z1966" s="21">
        <v>2.2562</v>
      </c>
      <c r="AA1966" s="16" t="s">
        <v>2620</v>
      </c>
      <c r="AB1966" s="22">
        <f>IFERROR(__xludf.DUMMYFUNCTION("IFERROR(GOOGLEFINANCE(B1966,""price""),"""")"),263.66)</f>
        <v>263.66</v>
      </c>
    </row>
    <row r="1967">
      <c r="A1967" s="7">
        <v>46107.67001441324</v>
      </c>
      <c r="B1967" s="8" t="s">
        <v>4438</v>
      </c>
      <c r="C1967" s="8" t="s">
        <v>4439</v>
      </c>
      <c r="D1967" s="9">
        <v>46110.0</v>
      </c>
      <c r="E1967" s="10">
        <v>63.22</v>
      </c>
      <c r="F1967" s="8" t="s">
        <v>245</v>
      </c>
      <c r="G1967" s="13">
        <v>20.6588</v>
      </c>
      <c r="H1967" s="13">
        <v>3.0602</v>
      </c>
      <c r="I1967" s="9">
        <v>46129.0</v>
      </c>
      <c r="J1967" s="10">
        <v>62.5</v>
      </c>
      <c r="K1967" s="8">
        <v>2267.0</v>
      </c>
      <c r="L1967" s="8" t="s">
        <v>2608</v>
      </c>
      <c r="M1967" s="11">
        <v>1.14</v>
      </c>
      <c r="N1967" s="8" t="s">
        <v>4513</v>
      </c>
      <c r="O1967" s="8">
        <v>2267.0</v>
      </c>
      <c r="P1967" s="11">
        <v>19.4069</v>
      </c>
      <c r="Q1967" s="8" t="s">
        <v>4441</v>
      </c>
      <c r="R1967" s="11">
        <v>3.8095</v>
      </c>
      <c r="S1967" s="12">
        <v>1657129.0</v>
      </c>
      <c r="T1967" s="12">
        <v>1.139687157E10</v>
      </c>
      <c r="U1967" s="13">
        <v>2.523</v>
      </c>
      <c r="V1967" s="13">
        <v>6.2073</v>
      </c>
      <c r="W1967" s="13">
        <v>3.4166</v>
      </c>
      <c r="X1967" s="13">
        <v>-6.0035</v>
      </c>
      <c r="Y1967" s="13">
        <v>0.3519</v>
      </c>
      <c r="Z1967" s="13">
        <v>1.9364</v>
      </c>
      <c r="AA1967" s="8" t="s">
        <v>2611</v>
      </c>
      <c r="AB1967" s="14">
        <f>IFERROR(__xludf.DUMMYFUNCTION("IFERROR(GOOGLEFINANCE(B1967,""price""),"""")"),57.51)</f>
        <v>57.51</v>
      </c>
    </row>
    <row r="1968">
      <c r="A1968" s="15">
        <v>46107.67001441324</v>
      </c>
      <c r="B1968" s="16" t="s">
        <v>2646</v>
      </c>
      <c r="C1968" s="16" t="s">
        <v>2647</v>
      </c>
      <c r="D1968" s="17">
        <v>46110.0</v>
      </c>
      <c r="E1968" s="18">
        <v>39.1</v>
      </c>
      <c r="F1968" s="16" t="s">
        <v>270</v>
      </c>
      <c r="G1968" s="21">
        <v>14.7647</v>
      </c>
      <c r="H1968" s="21">
        <v>2.6482</v>
      </c>
      <c r="I1968" s="17">
        <v>46108.0</v>
      </c>
      <c r="J1968" s="18">
        <v>38.5</v>
      </c>
      <c r="K1968" s="16">
        <v>2229.0</v>
      </c>
      <c r="L1968" s="16" t="s">
        <v>2608</v>
      </c>
      <c r="M1968" s="19">
        <v>1.53</v>
      </c>
      <c r="N1968" s="16" t="s">
        <v>4514</v>
      </c>
      <c r="O1968" s="16">
        <v>2229.0</v>
      </c>
      <c r="P1968" s="19">
        <v>40.0699</v>
      </c>
      <c r="Q1968" s="16" t="s">
        <v>2649</v>
      </c>
      <c r="R1968" s="19">
        <v>0.2564</v>
      </c>
      <c r="S1968" s="20">
        <v>5471346.0</v>
      </c>
      <c r="T1968" s="20">
        <v>8.4524845019E10</v>
      </c>
      <c r="U1968" s="21">
        <v>0.7188</v>
      </c>
      <c r="V1968" s="21">
        <v>19.6987</v>
      </c>
      <c r="W1968" s="21">
        <v>12.3812</v>
      </c>
      <c r="X1968" s="21">
        <v>-6.474</v>
      </c>
      <c r="Y1968" s="21">
        <v>1.1744</v>
      </c>
      <c r="Z1968" s="21">
        <v>1.0411</v>
      </c>
      <c r="AA1968" s="16" t="s">
        <v>2611</v>
      </c>
      <c r="AB1968" s="22">
        <f>IFERROR(__xludf.DUMMYFUNCTION("IFERROR(GOOGLEFINANCE(B1968,""price""),"""")"),37.35)</f>
        <v>37.35</v>
      </c>
    </row>
    <row r="1969">
      <c r="A1969" s="7">
        <v>46107.67001441324</v>
      </c>
      <c r="B1969" s="8" t="s">
        <v>4218</v>
      </c>
      <c r="C1969" s="8" t="s">
        <v>4219</v>
      </c>
      <c r="D1969" s="9">
        <v>46110.0</v>
      </c>
      <c r="E1969" s="10">
        <v>132.56</v>
      </c>
      <c r="F1969" s="8" t="s">
        <v>107</v>
      </c>
      <c r="G1969" s="13">
        <v>14.7405</v>
      </c>
      <c r="H1969" s="13">
        <v>8.9929</v>
      </c>
      <c r="I1969" s="9">
        <v>46108.0</v>
      </c>
      <c r="J1969" s="10">
        <v>130.0</v>
      </c>
      <c r="K1969" s="8">
        <v>2228.0</v>
      </c>
      <c r="L1969" s="8" t="s">
        <v>2608</v>
      </c>
      <c r="M1969" s="11">
        <v>1.93</v>
      </c>
      <c r="N1969" s="8" t="s">
        <v>4515</v>
      </c>
      <c r="O1969" s="8">
        <v>2228.0</v>
      </c>
      <c r="P1969" s="11">
        <v>40.2284</v>
      </c>
      <c r="Q1969" s="8" t="s">
        <v>4221</v>
      </c>
      <c r="R1969" s="11">
        <v>3.4736</v>
      </c>
      <c r="S1969" s="12">
        <v>3844162.0</v>
      </c>
      <c r="T1969" s="12">
        <v>2.0370339306E10</v>
      </c>
      <c r="U1969" s="13">
        <v>6.7397</v>
      </c>
      <c r="V1969" s="13">
        <v>29.6244</v>
      </c>
      <c r="W1969" s="13">
        <v>37.1118</v>
      </c>
      <c r="X1969" s="13">
        <v>19.3396</v>
      </c>
      <c r="Y1969" s="13">
        <v>0.7516</v>
      </c>
      <c r="Z1969" s="13">
        <v>3.3653</v>
      </c>
      <c r="AA1969" s="8" t="s">
        <v>2611</v>
      </c>
      <c r="AB1969" s="14">
        <f>IFERROR(__xludf.DUMMYFUNCTION("IFERROR(GOOGLEFINANCE(B1969,""price""),"""")"),121.32)</f>
        <v>121.32</v>
      </c>
    </row>
    <row r="1970">
      <c r="A1970" s="15">
        <v>46107.67001441324</v>
      </c>
      <c r="B1970" s="16" t="s">
        <v>1612</v>
      </c>
      <c r="C1970" s="16" t="s">
        <v>1613</v>
      </c>
      <c r="D1970" s="17">
        <v>46110.0</v>
      </c>
      <c r="E1970" s="18">
        <v>71.79</v>
      </c>
      <c r="F1970" s="16" t="s">
        <v>137</v>
      </c>
      <c r="G1970" s="21">
        <v>46.717</v>
      </c>
      <c r="H1970" s="21">
        <v>1.5367</v>
      </c>
      <c r="I1970" s="17">
        <v>46108.0</v>
      </c>
      <c r="J1970" s="18">
        <v>72.0</v>
      </c>
      <c r="K1970" s="16">
        <v>1356.0</v>
      </c>
      <c r="L1970" s="16" t="s">
        <v>2627</v>
      </c>
      <c r="M1970" s="19">
        <v>0.29</v>
      </c>
      <c r="N1970" s="16" t="s">
        <v>4516</v>
      </c>
      <c r="O1970" s="16">
        <v>1356.0</v>
      </c>
      <c r="P1970" s="19">
        <v>26.0242</v>
      </c>
      <c r="Q1970" s="16" t="s">
        <v>1614</v>
      </c>
      <c r="R1970" s="19">
        <v>2.0324</v>
      </c>
      <c r="S1970" s="20">
        <v>4984515.0</v>
      </c>
      <c r="T1970" s="20">
        <v>4.5432243179E10</v>
      </c>
      <c r="U1970" s="21">
        <v>1.939</v>
      </c>
      <c r="V1970" s="21">
        <v>14.12</v>
      </c>
      <c r="W1970" s="21">
        <v>3.2288</v>
      </c>
      <c r="X1970" s="21">
        <v>0.3528</v>
      </c>
      <c r="Y1970" s="21">
        <v>4.1577</v>
      </c>
      <c r="Z1970" s="21">
        <v>0.802</v>
      </c>
      <c r="AA1970" s="16" t="s">
        <v>2620</v>
      </c>
      <c r="AB1970" s="22">
        <f>IFERROR(__xludf.DUMMYFUNCTION("IFERROR(GOOGLEFINANCE(B1970,""price""),"""")"),67.99)</f>
        <v>67.99</v>
      </c>
    </row>
    <row r="1971">
      <c r="A1971" s="7">
        <v>46107.67001441324</v>
      </c>
      <c r="B1971" s="8" t="s">
        <v>1766</v>
      </c>
      <c r="C1971" s="8" t="s">
        <v>1767</v>
      </c>
      <c r="D1971" s="9">
        <v>46110.0</v>
      </c>
      <c r="E1971" s="10">
        <v>95.54</v>
      </c>
      <c r="F1971" s="8" t="s">
        <v>917</v>
      </c>
      <c r="G1971" s="13">
        <v>34.7646</v>
      </c>
      <c r="H1971" s="13">
        <v>2.7482</v>
      </c>
      <c r="I1971" s="9">
        <v>46129.0</v>
      </c>
      <c r="J1971" s="10">
        <v>95.0</v>
      </c>
      <c r="K1971" s="8">
        <v>1245.0</v>
      </c>
      <c r="L1971" s="8" t="s">
        <v>2608</v>
      </c>
      <c r="M1971" s="11">
        <v>0.57</v>
      </c>
      <c r="N1971" s="8" t="s">
        <v>4502</v>
      </c>
      <c r="O1971" s="8">
        <v>1245.0</v>
      </c>
      <c r="P1971" s="11">
        <v>16.0051</v>
      </c>
      <c r="Q1971" s="8" t="s">
        <v>1768</v>
      </c>
      <c r="R1971" s="11">
        <v>0.2308</v>
      </c>
      <c r="S1971" s="12">
        <v>3197445.0</v>
      </c>
      <c r="T1971" s="12">
        <v>6.2414764497E10</v>
      </c>
      <c r="U1971" s="13">
        <v>2.1118</v>
      </c>
      <c r="V1971" s="13">
        <v>5.8451</v>
      </c>
      <c r="W1971" s="13">
        <v>23.7349</v>
      </c>
      <c r="X1971" s="13">
        <v>5.8424</v>
      </c>
      <c r="Y1971" s="13">
        <v>1.1478</v>
      </c>
      <c r="Z1971" s="13">
        <v>1.5912</v>
      </c>
      <c r="AA1971" s="8" t="s">
        <v>2611</v>
      </c>
      <c r="AB1971" s="14">
        <f>IFERROR(__xludf.DUMMYFUNCTION("IFERROR(GOOGLEFINANCE(B1971,""price""),"""")"),98.82)</f>
        <v>98.82</v>
      </c>
    </row>
    <row r="1972">
      <c r="A1972" s="15">
        <v>46107.67001441324</v>
      </c>
      <c r="B1972" s="16" t="s">
        <v>1811</v>
      </c>
      <c r="C1972" s="16" t="s">
        <v>1812</v>
      </c>
      <c r="D1972" s="17">
        <v>46110.0</v>
      </c>
      <c r="E1972" s="18">
        <v>46.53</v>
      </c>
      <c r="F1972" s="16" t="s">
        <v>308</v>
      </c>
      <c r="G1972" s="21">
        <v>44.9565</v>
      </c>
      <c r="H1972" s="21">
        <v>1.035</v>
      </c>
      <c r="I1972" s="17">
        <v>46129.0</v>
      </c>
      <c r="J1972" s="18">
        <v>46.0</v>
      </c>
      <c r="K1972" s="16">
        <v>1108.0</v>
      </c>
      <c r="L1972" s="16" t="s">
        <v>2608</v>
      </c>
      <c r="M1972" s="19">
        <v>1.14</v>
      </c>
      <c r="N1972" s="16" t="s">
        <v>4517</v>
      </c>
      <c r="O1972" s="16">
        <v>1108.0</v>
      </c>
      <c r="P1972" s="19">
        <v>25.7877</v>
      </c>
      <c r="Q1972" s="16" t="s">
        <v>1813</v>
      </c>
      <c r="R1972" s="19">
        <v>0.4534</v>
      </c>
      <c r="S1972" s="20">
        <v>1326409.0</v>
      </c>
      <c r="T1972" s="20">
        <v>1.2369823205E10</v>
      </c>
      <c r="U1972" s="21">
        <v>1.7878</v>
      </c>
      <c r="V1972" s="21">
        <v>10.5164</v>
      </c>
      <c r="W1972" s="21">
        <v>9.5669</v>
      </c>
      <c r="X1972" s="21">
        <v>12.8015</v>
      </c>
      <c r="Y1972" s="21">
        <v>0.1722</v>
      </c>
      <c r="Z1972" s="21">
        <v>1.8895</v>
      </c>
      <c r="AA1972" s="16" t="s">
        <v>2611</v>
      </c>
      <c r="AB1972" s="22">
        <f>IFERROR(__xludf.DUMMYFUNCTION("IFERROR(GOOGLEFINANCE(B1972,""price""),"""")"),46.06)</f>
        <v>46.06</v>
      </c>
    </row>
    <row r="1973">
      <c r="A1973" s="7">
        <v>46107.67001441324</v>
      </c>
      <c r="B1973" s="8" t="s">
        <v>2188</v>
      </c>
      <c r="C1973" s="8" t="s">
        <v>2189</v>
      </c>
      <c r="D1973" s="9">
        <v>46110.0</v>
      </c>
      <c r="E1973" s="10">
        <v>495.49</v>
      </c>
      <c r="F1973" s="8" t="s">
        <v>107</v>
      </c>
      <c r="G1973" s="13">
        <v>33.9439</v>
      </c>
      <c r="H1973" s="13">
        <v>14.5973</v>
      </c>
      <c r="I1973" s="9">
        <v>46129.0</v>
      </c>
      <c r="J1973" s="10">
        <v>490.0</v>
      </c>
      <c r="K1973" s="8">
        <v>1097.0</v>
      </c>
      <c r="L1973" s="8" t="s">
        <v>2627</v>
      </c>
      <c r="M1973" s="11">
        <v>1.11</v>
      </c>
      <c r="N1973" s="8" t="s">
        <v>4518</v>
      </c>
      <c r="O1973" s="8">
        <v>1097.0</v>
      </c>
      <c r="P1973" s="11">
        <v>18.113</v>
      </c>
      <c r="Q1973" s="8" t="s">
        <v>2190</v>
      </c>
      <c r="R1973" s="11">
        <v>0.6398</v>
      </c>
      <c r="S1973" s="12">
        <v>3048123.0</v>
      </c>
      <c r="T1973" s="12">
        <v>2.29607173127E11</v>
      </c>
      <c r="U1973" s="13">
        <v>10.1754</v>
      </c>
      <c r="V1973" s="13">
        <v>18.0725</v>
      </c>
      <c r="W1973" s="13">
        <v>27.2289</v>
      </c>
      <c r="X1973" s="13">
        <v>2.9723</v>
      </c>
      <c r="Y1973" s="13">
        <v>0.7339</v>
      </c>
      <c r="Z1973" s="13">
        <v>0.8768</v>
      </c>
      <c r="AA1973" s="8" t="s">
        <v>2611</v>
      </c>
      <c r="AB1973" s="14">
        <f>IFERROR(__xludf.DUMMYFUNCTION("IFERROR(GOOGLEFINANCE(B1973,""price""),"""")"),503.15)</f>
        <v>503.15</v>
      </c>
    </row>
    <row r="1974">
      <c r="A1974" s="15">
        <v>46107.67001441324</v>
      </c>
      <c r="B1974" s="16" t="s">
        <v>4519</v>
      </c>
      <c r="C1974" s="16" t="s">
        <v>4520</v>
      </c>
      <c r="D1974" s="17">
        <v>46110.0</v>
      </c>
      <c r="E1974" s="18">
        <v>174.68</v>
      </c>
      <c r="F1974" s="16" t="s">
        <v>308</v>
      </c>
      <c r="G1974" s="21">
        <v>90.0877</v>
      </c>
      <c r="H1974" s="21">
        <v>1.939</v>
      </c>
      <c r="I1974" s="17">
        <v>46129.0</v>
      </c>
      <c r="J1974" s="18">
        <v>175.0</v>
      </c>
      <c r="K1974" s="16">
        <v>1043.0</v>
      </c>
      <c r="L1974" s="16" t="s">
        <v>2608</v>
      </c>
      <c r="M1974" s="19">
        <v>0.18</v>
      </c>
      <c r="N1974" s="16" t="s">
        <v>4521</v>
      </c>
      <c r="O1974" s="16">
        <v>1043.0</v>
      </c>
      <c r="P1974" s="19">
        <v>29.952</v>
      </c>
      <c r="Q1974" s="16" t="s">
        <v>4522</v>
      </c>
      <c r="R1974" s="19">
        <v>-7.4494</v>
      </c>
      <c r="S1974" s="20">
        <v>5443375.0</v>
      </c>
      <c r="T1974" s="20">
        <v>1.9521647354E10</v>
      </c>
      <c r="U1974" s="21">
        <v>12.4317</v>
      </c>
      <c r="V1974" s="21">
        <v>7.9126</v>
      </c>
      <c r="W1974" s="21">
        <v>12.3984</v>
      </c>
      <c r="X1974" s="21">
        <v>9.0509</v>
      </c>
      <c r="Y1974" s="21">
        <v>0.0553</v>
      </c>
      <c r="Z1974" s="21">
        <v>6.4821</v>
      </c>
      <c r="AA1974" s="16" t="s">
        <v>2620</v>
      </c>
      <c r="AB1974" s="22">
        <f>IFERROR(__xludf.DUMMYFUNCTION("IFERROR(GOOGLEFINANCE(B1974,""price""),"""")"),203.59)</f>
        <v>203.59</v>
      </c>
    </row>
    <row r="1975">
      <c r="A1975" s="7">
        <v>46107.67001441324</v>
      </c>
      <c r="B1975" s="8" t="s">
        <v>4523</v>
      </c>
      <c r="C1975" s="8" t="s">
        <v>4524</v>
      </c>
      <c r="D1975" s="9">
        <v>46110.0</v>
      </c>
      <c r="E1975" s="10">
        <v>39.76</v>
      </c>
      <c r="F1975" s="8" t="s">
        <v>308</v>
      </c>
      <c r="G1975" s="13">
        <v>16.9849</v>
      </c>
      <c r="H1975" s="13">
        <v>2.3409</v>
      </c>
      <c r="I1975" s="9">
        <v>46129.0</v>
      </c>
      <c r="J1975" s="10">
        <v>40.0</v>
      </c>
      <c r="K1975" s="8">
        <v>1009.0</v>
      </c>
      <c r="L1975" s="8" t="s">
        <v>2608</v>
      </c>
      <c r="M1975" s="11">
        <v>0.6</v>
      </c>
      <c r="N1975" s="8" t="s">
        <v>4525</v>
      </c>
      <c r="O1975" s="8">
        <v>1009.0</v>
      </c>
      <c r="P1975" s="11">
        <v>22.0126</v>
      </c>
      <c r="Q1975" s="8" t="s">
        <v>4526</v>
      </c>
      <c r="R1975" s="11">
        <v>-8.0906</v>
      </c>
      <c r="S1975" s="12">
        <v>1413286.0</v>
      </c>
      <c r="T1975" s="12">
        <v>2.344503827E9</v>
      </c>
      <c r="U1975" s="13">
        <v>2.5406</v>
      </c>
      <c r="V1975" s="13">
        <v>11.6703</v>
      </c>
      <c r="W1975" s="13">
        <v>24.475</v>
      </c>
      <c r="X1975" s="13">
        <v>-0.0612</v>
      </c>
      <c r="Y1975" s="13">
        <v>0.0</v>
      </c>
      <c r="Z1975" s="13">
        <v>4.579</v>
      </c>
      <c r="AA1975" s="8" t="s">
        <v>2620</v>
      </c>
      <c r="AB1975" s="14">
        <f>IFERROR(__xludf.DUMMYFUNCTION("IFERROR(GOOGLEFINANCE(B1975,""price""),"""")"),44.9)</f>
        <v>44.9</v>
      </c>
    </row>
    <row r="1976">
      <c r="A1976" s="7">
        <v>46108.495948290605</v>
      </c>
      <c r="B1976" s="8" t="s">
        <v>4359</v>
      </c>
      <c r="C1976" s="8" t="s">
        <v>4360</v>
      </c>
      <c r="D1976" s="9">
        <v>46110.0</v>
      </c>
      <c r="E1976" s="10">
        <v>93.85</v>
      </c>
      <c r="F1976" s="8" t="s">
        <v>308</v>
      </c>
      <c r="G1976" s="13">
        <v>30.3623</v>
      </c>
      <c r="H1976" s="13">
        <v>3.091</v>
      </c>
      <c r="I1976" s="9">
        <v>46108.0</v>
      </c>
      <c r="J1976" s="10">
        <v>95.0</v>
      </c>
      <c r="K1976" s="8">
        <v>3680.0</v>
      </c>
      <c r="L1976" s="8" t="s">
        <v>2608</v>
      </c>
      <c r="M1976" s="11">
        <v>1.23</v>
      </c>
      <c r="N1976" s="8" t="s">
        <v>4527</v>
      </c>
      <c r="O1976" s="8">
        <v>15154.0</v>
      </c>
      <c r="P1976" s="11">
        <v>16.7226</v>
      </c>
      <c r="Q1976" s="8" t="s">
        <v>4362</v>
      </c>
      <c r="R1976" s="11">
        <v>-3.921</v>
      </c>
      <c r="S1976" s="12">
        <v>7836552.0</v>
      </c>
      <c r="T1976" s="12">
        <v>8.205305411E10</v>
      </c>
      <c r="U1976" s="13">
        <v>4.5614</v>
      </c>
      <c r="V1976" s="13">
        <v>19.2541</v>
      </c>
      <c r="W1976" s="13">
        <v>16.3327</v>
      </c>
      <c r="X1976" s="13">
        <v>42.0873</v>
      </c>
      <c r="Y1976" s="13">
        <v>0.3519</v>
      </c>
      <c r="Z1976" s="13">
        <v>2.0061</v>
      </c>
      <c r="AA1976" s="8" t="s">
        <v>2620</v>
      </c>
      <c r="AB1976" s="14">
        <f>IFERROR(__xludf.DUMMYFUNCTION("IFERROR(GOOGLEFINANCE(B1976,""price""),"""")"),128.49)</f>
        <v>128.49</v>
      </c>
    </row>
    <row r="1977">
      <c r="A1977" s="15">
        <v>46108.495948290605</v>
      </c>
      <c r="B1977" s="16" t="s">
        <v>2638</v>
      </c>
      <c r="C1977" s="16" t="s">
        <v>2639</v>
      </c>
      <c r="D1977" s="17">
        <v>46110.0</v>
      </c>
      <c r="E1977" s="18">
        <v>170.41</v>
      </c>
      <c r="F1977" s="16" t="s">
        <v>245</v>
      </c>
      <c r="G1977" s="21">
        <v>25.4541</v>
      </c>
      <c r="H1977" s="21">
        <v>6.6948</v>
      </c>
      <c r="I1977" s="17">
        <v>46108.0</v>
      </c>
      <c r="J1977" s="18">
        <v>167.5</v>
      </c>
      <c r="K1977" s="16">
        <v>7560.0</v>
      </c>
      <c r="L1977" s="16" t="s">
        <v>2608</v>
      </c>
      <c r="M1977" s="19">
        <v>1.71</v>
      </c>
      <c r="N1977" s="16" t="s">
        <v>4528</v>
      </c>
      <c r="O1977" s="16">
        <v>13442.0</v>
      </c>
      <c r="P1977" s="19">
        <v>34.1888</v>
      </c>
      <c r="Q1977" s="16" t="s">
        <v>2641</v>
      </c>
      <c r="R1977" s="19">
        <v>3.0103</v>
      </c>
      <c r="S1977" s="20">
        <v>1.4655076E7</v>
      </c>
      <c r="T1977" s="20">
        <v>7.10058165887E11</v>
      </c>
      <c r="U1977" s="21">
        <v>4.1914</v>
      </c>
      <c r="V1977" s="21">
        <v>11.0283</v>
      </c>
      <c r="W1977" s="21">
        <v>10.3419</v>
      </c>
      <c r="X1977" s="21">
        <v>-4.856</v>
      </c>
      <c r="Y1977" s="21">
        <v>0.1871</v>
      </c>
      <c r="Z1977" s="21">
        <v>1.1528</v>
      </c>
      <c r="AA1977" s="16" t="s">
        <v>2611</v>
      </c>
      <c r="AB1977" s="22">
        <f>IFERROR(__xludf.DUMMYFUNCTION("IFERROR(GOOGLEFINANCE(B1977,""price""),"""")"),152.51)</f>
        <v>152.51</v>
      </c>
    </row>
    <row r="1978">
      <c r="A1978" s="7">
        <v>46108.495948290605</v>
      </c>
      <c r="B1978" s="8" t="s">
        <v>2399</v>
      </c>
      <c r="C1978" s="8" t="s">
        <v>2400</v>
      </c>
      <c r="D1978" s="9">
        <v>46110.0</v>
      </c>
      <c r="E1978" s="10">
        <v>19.73</v>
      </c>
      <c r="F1978" s="8" t="s">
        <v>270</v>
      </c>
      <c r="G1978" s="13">
        <v>16.3301</v>
      </c>
      <c r="H1978" s="13">
        <v>1.2082</v>
      </c>
      <c r="I1978" s="9">
        <v>46108.0</v>
      </c>
      <c r="J1978" s="10">
        <v>19.5</v>
      </c>
      <c r="K1978" s="8">
        <v>8998.0</v>
      </c>
      <c r="L1978" s="8" t="s">
        <v>2608</v>
      </c>
      <c r="M1978" s="11">
        <v>1.17</v>
      </c>
      <c r="N1978" s="8" t="s">
        <v>4529</v>
      </c>
      <c r="O1978" s="8">
        <v>12013.0</v>
      </c>
      <c r="P1978" s="11">
        <v>23.5833</v>
      </c>
      <c r="Q1978" s="8" t="s">
        <v>2401</v>
      </c>
      <c r="R1978" s="11">
        <v>1.4918</v>
      </c>
      <c r="S1978" s="12">
        <v>8302513.0</v>
      </c>
      <c r="T1978" s="12">
        <v>6.7877406025E10</v>
      </c>
      <c r="U1978" s="13">
        <v>0.3385</v>
      </c>
      <c r="V1978" s="13">
        <v>12.7475</v>
      </c>
      <c r="W1978" s="13">
        <v>10.8866</v>
      </c>
      <c r="X1978" s="13">
        <v>3.4655</v>
      </c>
      <c r="Y1978" s="13">
        <v>2.0395</v>
      </c>
      <c r="Z1978" s="13">
        <v>1.2192</v>
      </c>
      <c r="AA1978" s="8" t="s">
        <v>2611</v>
      </c>
      <c r="AB1978" s="14">
        <f>IFERROR(__xludf.DUMMYFUNCTION("IFERROR(GOOGLEFINANCE(B1978,""price""),"""")"),19.19)</f>
        <v>19.19</v>
      </c>
    </row>
    <row r="1979">
      <c r="A1979" s="15">
        <v>46108.495948290605</v>
      </c>
      <c r="B1979" s="16" t="s">
        <v>2634</v>
      </c>
      <c r="C1979" s="16" t="s">
        <v>2635</v>
      </c>
      <c r="D1979" s="17">
        <v>46110.0</v>
      </c>
      <c r="E1979" s="18">
        <v>212.18</v>
      </c>
      <c r="F1979" s="16" t="s">
        <v>245</v>
      </c>
      <c r="G1979" s="21">
        <v>31.9164</v>
      </c>
      <c r="H1979" s="21">
        <v>6.648</v>
      </c>
      <c r="I1979" s="17">
        <v>46108.0</v>
      </c>
      <c r="J1979" s="18">
        <v>210.0</v>
      </c>
      <c r="K1979" s="16">
        <v>4876.0</v>
      </c>
      <c r="L1979" s="16" t="s">
        <v>2608</v>
      </c>
      <c r="M1979" s="19">
        <v>1.03</v>
      </c>
      <c r="N1979" s="16" t="s">
        <v>4530</v>
      </c>
      <c r="O1979" s="16">
        <v>11010.0</v>
      </c>
      <c r="P1979" s="19">
        <v>45.1545</v>
      </c>
      <c r="Q1979" s="16" t="s">
        <v>2637</v>
      </c>
      <c r="R1979" s="19">
        <v>2.1127</v>
      </c>
      <c r="S1979" s="20">
        <v>6241256.0</v>
      </c>
      <c r="T1979" s="20">
        <v>4.23380881295E11</v>
      </c>
      <c r="U1979" s="21">
        <v>4.2066</v>
      </c>
      <c r="V1979" s="21">
        <v>7.261</v>
      </c>
      <c r="W1979" s="21">
        <v>8.8802</v>
      </c>
      <c r="X1979" s="21">
        <v>-4.6193</v>
      </c>
      <c r="Y1979" s="21">
        <v>0.2507</v>
      </c>
      <c r="Z1979" s="21">
        <v>1.1547</v>
      </c>
      <c r="AA1979" s="16" t="s">
        <v>2611</v>
      </c>
      <c r="AB1979" s="22">
        <f>IFERROR(__xludf.DUMMYFUNCTION("IFERROR(GOOGLEFINANCE(B1979,""price""),"""")"),188.55)</f>
        <v>188.55</v>
      </c>
    </row>
    <row r="1980">
      <c r="A1980" s="7">
        <v>46108.495948290605</v>
      </c>
      <c r="B1980" s="8" t="s">
        <v>3802</v>
      </c>
      <c r="C1980" s="8" t="s">
        <v>3803</v>
      </c>
      <c r="D1980" s="9">
        <v>46110.0</v>
      </c>
      <c r="E1980" s="10">
        <v>54.51</v>
      </c>
      <c r="F1980" s="8" t="s">
        <v>270</v>
      </c>
      <c r="G1980" s="13"/>
      <c r="H1980" s="13"/>
      <c r="I1980" s="9">
        <v>46129.0</v>
      </c>
      <c r="J1980" s="10">
        <v>55.0</v>
      </c>
      <c r="K1980" s="8">
        <v>5732.0</v>
      </c>
      <c r="L1980" s="8" t="s">
        <v>2608</v>
      </c>
      <c r="M1980" s="11">
        <v>0.9</v>
      </c>
      <c r="N1980" s="8" t="s">
        <v>4531</v>
      </c>
      <c r="O1980" s="8">
        <v>5732.0</v>
      </c>
      <c r="P1980" s="11">
        <v>31.5368</v>
      </c>
      <c r="Q1980" s="8" t="s">
        <v>3805</v>
      </c>
      <c r="R1980" s="11">
        <v>0.8324</v>
      </c>
      <c r="S1980" s="12">
        <v>1001515.0</v>
      </c>
      <c r="T1980" s="12">
        <v>5.702971239E9</v>
      </c>
      <c r="U1980" s="13">
        <v>1.8666</v>
      </c>
      <c r="V1980" s="13">
        <v>3.4054</v>
      </c>
      <c r="W1980" s="13">
        <v>34.4448</v>
      </c>
      <c r="X1980" s="13">
        <v>51.1384</v>
      </c>
      <c r="Y1980" s="13">
        <v>1.4965</v>
      </c>
      <c r="Z1980" s="13">
        <v>2.5453</v>
      </c>
      <c r="AA1980" s="8" t="s">
        <v>2620</v>
      </c>
      <c r="AB1980" s="14">
        <f>IFERROR(__xludf.DUMMYFUNCTION("IFERROR(GOOGLEFINANCE(B1980,""price""),"""")"),53.28)</f>
        <v>53.28</v>
      </c>
    </row>
    <row r="1981">
      <c r="A1981" s="15">
        <v>46108.495948290605</v>
      </c>
      <c r="B1981" s="16" t="s">
        <v>4519</v>
      </c>
      <c r="C1981" s="16" t="s">
        <v>4520</v>
      </c>
      <c r="D1981" s="17">
        <v>46110.0</v>
      </c>
      <c r="E1981" s="18">
        <v>173.365</v>
      </c>
      <c r="F1981" s="16" t="s">
        <v>308</v>
      </c>
      <c r="G1981" s="21">
        <v>89.4095</v>
      </c>
      <c r="H1981" s="21">
        <v>1.939</v>
      </c>
      <c r="I1981" s="17">
        <v>46129.0</v>
      </c>
      <c r="J1981" s="18">
        <v>170.0</v>
      </c>
      <c r="K1981" s="16">
        <v>2554.0</v>
      </c>
      <c r="L1981" s="16" t="s">
        <v>2627</v>
      </c>
      <c r="M1981" s="19">
        <v>1.94</v>
      </c>
      <c r="N1981" s="16" t="s">
        <v>4532</v>
      </c>
      <c r="O1981" s="16">
        <v>3604.0</v>
      </c>
      <c r="P1981" s="19">
        <v>30.8659</v>
      </c>
      <c r="Q1981" s="16" t="s">
        <v>4522</v>
      </c>
      <c r="R1981" s="19">
        <v>-0.7528</v>
      </c>
      <c r="S1981" s="20">
        <v>2588036.0</v>
      </c>
      <c r="T1981" s="20">
        <v>1.9374686015E10</v>
      </c>
      <c r="U1981" s="21">
        <v>12.3459</v>
      </c>
      <c r="V1981" s="21">
        <v>7.9126</v>
      </c>
      <c r="W1981" s="21">
        <v>12.3984</v>
      </c>
      <c r="X1981" s="21">
        <v>9.0509</v>
      </c>
      <c r="Y1981" s="21">
        <v>0.0553</v>
      </c>
      <c r="Z1981" s="21">
        <v>6.4821</v>
      </c>
      <c r="AA1981" s="16" t="s">
        <v>2611</v>
      </c>
      <c r="AB1981" s="22">
        <f>IFERROR(__xludf.DUMMYFUNCTION("IFERROR(GOOGLEFINANCE(B1981,""price""),"""")"),203.59)</f>
        <v>203.59</v>
      </c>
    </row>
    <row r="1982">
      <c r="A1982" s="7">
        <v>46108.495948290605</v>
      </c>
      <c r="B1982" s="8" t="s">
        <v>3944</v>
      </c>
      <c r="C1982" s="8" t="s">
        <v>3945</v>
      </c>
      <c r="D1982" s="9">
        <v>46110.0</v>
      </c>
      <c r="E1982" s="10">
        <v>130.8</v>
      </c>
      <c r="F1982" s="8" t="s">
        <v>917</v>
      </c>
      <c r="G1982" s="13">
        <v>20.7214</v>
      </c>
      <c r="H1982" s="13">
        <v>6.3123</v>
      </c>
      <c r="I1982" s="9">
        <v>46129.0</v>
      </c>
      <c r="J1982" s="10">
        <v>130.0</v>
      </c>
      <c r="K1982" s="8">
        <v>2780.0</v>
      </c>
      <c r="L1982" s="8" t="s">
        <v>2608</v>
      </c>
      <c r="M1982" s="11">
        <v>0.61</v>
      </c>
      <c r="N1982" s="8" t="s">
        <v>4533</v>
      </c>
      <c r="O1982" s="8">
        <v>2780.0</v>
      </c>
      <c r="P1982" s="11">
        <v>19.4784</v>
      </c>
      <c r="Q1982" s="8" t="s">
        <v>3947</v>
      </c>
      <c r="R1982" s="11">
        <v>1.0975</v>
      </c>
      <c r="S1982" s="12">
        <v>1516059.0</v>
      </c>
      <c r="T1982" s="12">
        <v>1.01719357354E11</v>
      </c>
      <c r="U1982" s="13">
        <v>2.1861</v>
      </c>
      <c r="V1982" s="13">
        <v>9.7422</v>
      </c>
      <c r="W1982" s="13">
        <v>26.6061</v>
      </c>
      <c r="X1982" s="13">
        <v>6.193</v>
      </c>
      <c r="Y1982" s="13">
        <v>1.7574</v>
      </c>
      <c r="Z1982" s="13">
        <v>0.5518</v>
      </c>
      <c r="AA1982" s="8" t="s">
        <v>2611</v>
      </c>
      <c r="AB1982" s="14">
        <f>IFERROR(__xludf.DUMMYFUNCTION("IFERROR(GOOGLEFINANCE(B1982,""price""),"""")"),131.79)</f>
        <v>131.79</v>
      </c>
    </row>
    <row r="1983">
      <c r="A1983" s="15">
        <v>46108.495948290605</v>
      </c>
      <c r="B1983" s="16" t="s">
        <v>2344</v>
      </c>
      <c r="C1983" s="16" t="s">
        <v>2345</v>
      </c>
      <c r="D1983" s="17">
        <v>46110.0</v>
      </c>
      <c r="E1983" s="18">
        <v>74.64</v>
      </c>
      <c r="F1983" s="16" t="s">
        <v>270</v>
      </c>
      <c r="G1983" s="21">
        <v>34.9667</v>
      </c>
      <c r="H1983" s="21">
        <v>2.1346</v>
      </c>
      <c r="I1983" s="17">
        <v>46108.0</v>
      </c>
      <c r="J1983" s="18">
        <v>76.0</v>
      </c>
      <c r="K1983" s="16">
        <v>1437.0</v>
      </c>
      <c r="L1983" s="16" t="s">
        <v>2608</v>
      </c>
      <c r="M1983" s="19">
        <v>1.82</v>
      </c>
      <c r="N1983" s="16" t="s">
        <v>4534</v>
      </c>
      <c r="O1983" s="16">
        <v>1437.0</v>
      </c>
      <c r="P1983" s="19">
        <v>32.6659</v>
      </c>
      <c r="Q1983" s="16" t="s">
        <v>2346</v>
      </c>
      <c r="R1983" s="19">
        <v>0.7831</v>
      </c>
      <c r="S1983" s="20">
        <v>2181585.0</v>
      </c>
      <c r="T1983" s="20">
        <v>9.1177467551E10</v>
      </c>
      <c r="U1983" s="21">
        <v>1.627</v>
      </c>
      <c r="V1983" s="21">
        <v>20.7424</v>
      </c>
      <c r="W1983" s="21">
        <v>35.471</v>
      </c>
      <c r="X1983" s="21">
        <v>9.774</v>
      </c>
      <c r="Y1983" s="21">
        <v>2.3069</v>
      </c>
      <c r="Z1983" s="21">
        <v>0.5313</v>
      </c>
      <c r="AA1983" s="16" t="s">
        <v>2620</v>
      </c>
      <c r="AB1983" s="22">
        <f>IFERROR(__xludf.DUMMYFUNCTION("IFERROR(GOOGLEFINANCE(B1983,""price""),"""")"),72.74)</f>
        <v>72.74</v>
      </c>
    </row>
    <row r="1984">
      <c r="A1984" s="7">
        <v>46108.495948290605</v>
      </c>
      <c r="B1984" s="8" t="s">
        <v>4218</v>
      </c>
      <c r="C1984" s="8" t="s">
        <v>4219</v>
      </c>
      <c r="D1984" s="9">
        <v>46110.0</v>
      </c>
      <c r="E1984" s="10">
        <v>133.98</v>
      </c>
      <c r="F1984" s="8" t="s">
        <v>107</v>
      </c>
      <c r="G1984" s="13">
        <v>14.8984</v>
      </c>
      <c r="H1984" s="13">
        <v>8.9929</v>
      </c>
      <c r="I1984" s="9">
        <v>46108.0</v>
      </c>
      <c r="J1984" s="10">
        <v>136.0</v>
      </c>
      <c r="K1984" s="8">
        <v>1420.0</v>
      </c>
      <c r="L1984" s="8" t="s">
        <v>2608</v>
      </c>
      <c r="M1984" s="11">
        <v>1.51</v>
      </c>
      <c r="N1984" s="8" t="s">
        <v>4535</v>
      </c>
      <c r="O1984" s="8">
        <v>1420.0</v>
      </c>
      <c r="P1984" s="11">
        <v>40.0357</v>
      </c>
      <c r="Q1984" s="8" t="s">
        <v>4221</v>
      </c>
      <c r="R1984" s="11">
        <v>1.0712</v>
      </c>
      <c r="S1984" s="12">
        <v>1412904.0</v>
      </c>
      <c r="T1984" s="12">
        <v>2.0588548559E10</v>
      </c>
      <c r="U1984" s="13">
        <v>6.5097</v>
      </c>
      <c r="V1984" s="13">
        <v>29.6244</v>
      </c>
      <c r="W1984" s="13">
        <v>37.1118</v>
      </c>
      <c r="X1984" s="13">
        <v>19.3396</v>
      </c>
      <c r="Y1984" s="13">
        <v>0.7516</v>
      </c>
      <c r="Z1984" s="13">
        <v>3.3653</v>
      </c>
      <c r="AA1984" s="8" t="s">
        <v>2620</v>
      </c>
      <c r="AB1984" s="14">
        <f>IFERROR(__xludf.DUMMYFUNCTION("IFERROR(GOOGLEFINANCE(B1984,""price""),"""")"),121.32)</f>
        <v>121.32</v>
      </c>
    </row>
    <row r="1985">
      <c r="A1985" s="15">
        <v>46108.495948290605</v>
      </c>
      <c r="B1985" s="16" t="s">
        <v>1612</v>
      </c>
      <c r="C1985" s="16" t="s">
        <v>1613</v>
      </c>
      <c r="D1985" s="17">
        <v>46110.0</v>
      </c>
      <c r="E1985" s="18">
        <v>73.345</v>
      </c>
      <c r="F1985" s="16" t="s">
        <v>137</v>
      </c>
      <c r="G1985" s="21">
        <v>47.7289</v>
      </c>
      <c r="H1985" s="21">
        <v>1.5367</v>
      </c>
      <c r="I1985" s="17">
        <v>46108.0</v>
      </c>
      <c r="J1985" s="18">
        <v>72.0</v>
      </c>
      <c r="K1985" s="16">
        <v>1361.0</v>
      </c>
      <c r="L1985" s="16" t="s">
        <v>2627</v>
      </c>
      <c r="M1985" s="19">
        <v>1.83</v>
      </c>
      <c r="N1985" s="16" t="s">
        <v>4536</v>
      </c>
      <c r="O1985" s="16">
        <v>1361.0</v>
      </c>
      <c r="P1985" s="19">
        <v>25.2398</v>
      </c>
      <c r="Q1985" s="16" t="s">
        <v>1614</v>
      </c>
      <c r="R1985" s="19">
        <v>2.166</v>
      </c>
      <c r="S1985" s="20">
        <v>1601731.0</v>
      </c>
      <c r="T1985" s="20">
        <v>4.6416323855E10</v>
      </c>
      <c r="U1985" s="21">
        <v>1.9152</v>
      </c>
      <c r="V1985" s="21">
        <v>14.12</v>
      </c>
      <c r="W1985" s="21">
        <v>3.2288</v>
      </c>
      <c r="X1985" s="21">
        <v>0.3528</v>
      </c>
      <c r="Y1985" s="21">
        <v>4.1577</v>
      </c>
      <c r="Z1985" s="21">
        <v>0.802</v>
      </c>
      <c r="AA1985" s="16" t="s">
        <v>2611</v>
      </c>
      <c r="AB1985" s="22">
        <f>IFERROR(__xludf.DUMMYFUNCTION("IFERROR(GOOGLEFINANCE(B1985,""price""),"""")"),67.99)</f>
        <v>67.99</v>
      </c>
    </row>
    <row r="1986">
      <c r="A1986" s="7">
        <v>46108.495948290605</v>
      </c>
      <c r="B1986" s="8" t="s">
        <v>1766</v>
      </c>
      <c r="C1986" s="8" t="s">
        <v>1767</v>
      </c>
      <c r="D1986" s="9">
        <v>46110.0</v>
      </c>
      <c r="E1986" s="10">
        <v>96.41</v>
      </c>
      <c r="F1986" s="8" t="s">
        <v>917</v>
      </c>
      <c r="G1986" s="13">
        <v>35.0811</v>
      </c>
      <c r="H1986" s="13">
        <v>2.7482</v>
      </c>
      <c r="I1986" s="9">
        <v>46129.0</v>
      </c>
      <c r="J1986" s="10">
        <v>95.0</v>
      </c>
      <c r="K1986" s="8">
        <v>1251.0</v>
      </c>
      <c r="L1986" s="8" t="s">
        <v>2608</v>
      </c>
      <c r="M1986" s="11">
        <v>1.46</v>
      </c>
      <c r="N1986" s="8" t="s">
        <v>4537</v>
      </c>
      <c r="O1986" s="8">
        <v>1251.0</v>
      </c>
      <c r="P1986" s="11">
        <v>15.6304</v>
      </c>
      <c r="Q1986" s="8" t="s">
        <v>1768</v>
      </c>
      <c r="R1986" s="11">
        <v>0.9106</v>
      </c>
      <c r="S1986" s="12">
        <v>1045680.0</v>
      </c>
      <c r="T1986" s="12">
        <v>6.2983122483E10</v>
      </c>
      <c r="U1986" s="13">
        <v>2.1073</v>
      </c>
      <c r="V1986" s="13">
        <v>5.8451</v>
      </c>
      <c r="W1986" s="13">
        <v>23.7349</v>
      </c>
      <c r="X1986" s="13">
        <v>5.8424</v>
      </c>
      <c r="Y1986" s="13">
        <v>1.1478</v>
      </c>
      <c r="Z1986" s="13">
        <v>1.5912</v>
      </c>
      <c r="AA1986" s="8" t="s">
        <v>2611</v>
      </c>
      <c r="AB1986" s="14">
        <f>IFERROR(__xludf.DUMMYFUNCTION("IFERROR(GOOGLEFINANCE(B1986,""price""),"""")"),98.82)</f>
        <v>98.82</v>
      </c>
    </row>
    <row r="1987">
      <c r="A1987" s="15">
        <v>46108.495948290605</v>
      </c>
      <c r="B1987" s="16" t="s">
        <v>2768</v>
      </c>
      <c r="C1987" s="16" t="s">
        <v>2769</v>
      </c>
      <c r="D1987" s="17">
        <v>46110.0</v>
      </c>
      <c r="E1987" s="18">
        <v>275.81</v>
      </c>
      <c r="F1987" s="16" t="s">
        <v>308</v>
      </c>
      <c r="G1987" s="21">
        <v>27.6898</v>
      </c>
      <c r="H1987" s="21">
        <v>9.9607</v>
      </c>
      <c r="I1987" s="17">
        <v>46108.0</v>
      </c>
      <c r="J1987" s="18">
        <v>280.0</v>
      </c>
      <c r="K1987" s="16">
        <v>1194.0</v>
      </c>
      <c r="L1987" s="16" t="s">
        <v>2627</v>
      </c>
      <c r="M1987" s="19">
        <v>1.52</v>
      </c>
      <c r="N1987" s="16" t="s">
        <v>4538</v>
      </c>
      <c r="O1987" s="16">
        <v>1194.0</v>
      </c>
      <c r="P1987" s="19">
        <v>16.063</v>
      </c>
      <c r="Q1987" s="16" t="s">
        <v>2771</v>
      </c>
      <c r="R1987" s="19">
        <v>0.8999</v>
      </c>
      <c r="S1987" s="20">
        <v>3518351.0</v>
      </c>
      <c r="T1987" s="20">
        <v>9.3510054485E10</v>
      </c>
      <c r="U1987" s="21">
        <v>21.08</v>
      </c>
      <c r="V1987" s="21">
        <v>41.2731</v>
      </c>
      <c r="W1987" s="21">
        <v>27.8834</v>
      </c>
      <c r="X1987" s="21">
        <v>-31.1967</v>
      </c>
      <c r="Y1987" s="21">
        <v>0.7076</v>
      </c>
      <c r="Z1987" s="21">
        <v>1.455</v>
      </c>
      <c r="AA1987" s="16" t="s">
        <v>2620</v>
      </c>
      <c r="AB1987" s="22">
        <f>IFERROR(__xludf.DUMMYFUNCTION("IFERROR(GOOGLEFINANCE(B1987,""price""),"""")"),343.43)</f>
        <v>343.43</v>
      </c>
    </row>
    <row r="1988">
      <c r="A1988" s="7">
        <v>46108.495948290605</v>
      </c>
      <c r="B1988" s="8" t="s">
        <v>2684</v>
      </c>
      <c r="C1988" s="8" t="s">
        <v>2685</v>
      </c>
      <c r="D1988" s="9">
        <v>46110.0</v>
      </c>
      <c r="E1988" s="10">
        <v>339.9701</v>
      </c>
      <c r="F1988" s="8" t="s">
        <v>102</v>
      </c>
      <c r="G1988" s="13">
        <v>34.823</v>
      </c>
      <c r="H1988" s="13">
        <v>9.7628</v>
      </c>
      <c r="I1988" s="9">
        <v>46108.0</v>
      </c>
      <c r="J1988" s="10">
        <v>345.0</v>
      </c>
      <c r="K1988" s="8">
        <v>1015.0</v>
      </c>
      <c r="L1988" s="8" t="s">
        <v>2627</v>
      </c>
      <c r="M1988" s="11">
        <v>1.48</v>
      </c>
      <c r="N1988" s="8" t="s">
        <v>4539</v>
      </c>
      <c r="O1988" s="8">
        <v>1015.0</v>
      </c>
      <c r="P1988" s="11">
        <v>15.1677</v>
      </c>
      <c r="Q1988" s="8" t="s">
        <v>2687</v>
      </c>
      <c r="R1988" s="11">
        <v>0.4195</v>
      </c>
      <c r="S1988" s="12">
        <v>1887747.0</v>
      </c>
      <c r="T1988" s="12">
        <v>2.69803614852E11</v>
      </c>
      <c r="U1988" s="13">
        <v>16.5557</v>
      </c>
      <c r="V1988" s="13">
        <v>38.8627</v>
      </c>
      <c r="W1988" s="13">
        <v>29.7406</v>
      </c>
      <c r="X1988" s="13">
        <v>2.1543</v>
      </c>
      <c r="Y1988" s="13">
        <v>0.3311</v>
      </c>
      <c r="Z1988" s="13">
        <v>2.7149</v>
      </c>
      <c r="AA1988" s="8" t="s">
        <v>2620</v>
      </c>
      <c r="AB1988" s="14">
        <f>IFERROR(__xludf.DUMMYFUNCTION("IFERROR(GOOGLEFINANCE(B1988,""price""),"""")"),399.5)</f>
        <v>399.5</v>
      </c>
    </row>
    <row r="1989">
      <c r="A1989" s="7">
        <v>46108.6700015717</v>
      </c>
      <c r="B1989" s="8" t="s">
        <v>2634</v>
      </c>
      <c r="C1989" s="8" t="s">
        <v>2635</v>
      </c>
      <c r="D1989" s="9">
        <v>46110.0</v>
      </c>
      <c r="E1989" s="10">
        <v>211.15</v>
      </c>
      <c r="F1989" s="8" t="s">
        <v>245</v>
      </c>
      <c r="G1989" s="13">
        <v>31.7614</v>
      </c>
      <c r="H1989" s="13">
        <v>6.648</v>
      </c>
      <c r="I1989" s="9">
        <v>46108.0</v>
      </c>
      <c r="J1989" s="10">
        <v>210.0</v>
      </c>
      <c r="K1989" s="8">
        <v>4876.0</v>
      </c>
      <c r="L1989" s="8" t="s">
        <v>2608</v>
      </c>
      <c r="M1989" s="11">
        <v>0.54</v>
      </c>
      <c r="N1989" s="8" t="s">
        <v>4540</v>
      </c>
      <c r="O1989" s="8">
        <v>16787.0</v>
      </c>
      <c r="P1989" s="11">
        <v>45.1545</v>
      </c>
      <c r="Q1989" s="8" t="s">
        <v>2637</v>
      </c>
      <c r="R1989" s="11">
        <v>1.617</v>
      </c>
      <c r="S1989" s="12">
        <v>1.3885754E7</v>
      </c>
      <c r="T1989" s="12">
        <v>4.21325634299E11</v>
      </c>
      <c r="U1989" s="13">
        <v>4.2066</v>
      </c>
      <c r="V1989" s="13">
        <v>7.261</v>
      </c>
      <c r="W1989" s="13">
        <v>8.8802</v>
      </c>
      <c r="X1989" s="13">
        <v>-4.6193</v>
      </c>
      <c r="Y1989" s="13">
        <v>0.2507</v>
      </c>
      <c r="Z1989" s="13">
        <v>1.1547</v>
      </c>
      <c r="AA1989" s="8" t="s">
        <v>2611</v>
      </c>
      <c r="AB1989" s="14">
        <f>IFERROR(__xludf.DUMMYFUNCTION("IFERROR(GOOGLEFINANCE(B1989,""price""),"""")"),188.55)</f>
        <v>188.55</v>
      </c>
    </row>
    <row r="1990">
      <c r="A1990" s="15">
        <v>46108.6700015717</v>
      </c>
      <c r="B1990" s="16" t="s">
        <v>2399</v>
      </c>
      <c r="C1990" s="16" t="s">
        <v>2400</v>
      </c>
      <c r="D1990" s="17">
        <v>46110.0</v>
      </c>
      <c r="E1990" s="18">
        <v>19.67</v>
      </c>
      <c r="F1990" s="16" t="s">
        <v>270</v>
      </c>
      <c r="G1990" s="21">
        <v>16.2804</v>
      </c>
      <c r="H1990" s="21">
        <v>1.2082</v>
      </c>
      <c r="I1990" s="17">
        <v>46108.0</v>
      </c>
      <c r="J1990" s="18">
        <v>19.5</v>
      </c>
      <c r="K1990" s="16">
        <v>8998.0</v>
      </c>
      <c r="L1990" s="16" t="s">
        <v>2608</v>
      </c>
      <c r="M1990" s="19">
        <v>0.86</v>
      </c>
      <c r="N1990" s="16" t="s">
        <v>4529</v>
      </c>
      <c r="O1990" s="16">
        <v>12013.0</v>
      </c>
      <c r="P1990" s="19">
        <v>23.5833</v>
      </c>
      <c r="Q1990" s="16" t="s">
        <v>2401</v>
      </c>
      <c r="R1990" s="19">
        <v>1.1831</v>
      </c>
      <c r="S1990" s="20">
        <v>1.697499E7</v>
      </c>
      <c r="T1990" s="20">
        <v>6.7670987152E10</v>
      </c>
      <c r="U1990" s="21">
        <v>0.3385</v>
      </c>
      <c r="V1990" s="21">
        <v>12.7475</v>
      </c>
      <c r="W1990" s="21">
        <v>10.8866</v>
      </c>
      <c r="X1990" s="21">
        <v>3.4655</v>
      </c>
      <c r="Y1990" s="21">
        <v>2.0395</v>
      </c>
      <c r="Z1990" s="21">
        <v>1.2192</v>
      </c>
      <c r="AA1990" s="16" t="s">
        <v>2611</v>
      </c>
      <c r="AB1990" s="22">
        <f>IFERROR(__xludf.DUMMYFUNCTION("IFERROR(GOOGLEFINANCE(B1990,""price""),"""")"),19.19)</f>
        <v>19.19</v>
      </c>
    </row>
    <row r="1991">
      <c r="A1991" s="7">
        <v>46108.6700015717</v>
      </c>
      <c r="B1991" s="8" t="s">
        <v>4359</v>
      </c>
      <c r="C1991" s="8" t="s">
        <v>4360</v>
      </c>
      <c r="D1991" s="9">
        <v>46110.0</v>
      </c>
      <c r="E1991" s="10">
        <v>94.88</v>
      </c>
      <c r="F1991" s="8" t="s">
        <v>308</v>
      </c>
      <c r="G1991" s="13">
        <v>30.6956</v>
      </c>
      <c r="H1991" s="13">
        <v>3.091</v>
      </c>
      <c r="I1991" s="9">
        <v>46108.0</v>
      </c>
      <c r="J1991" s="10">
        <v>95.0</v>
      </c>
      <c r="K1991" s="8">
        <v>3680.0</v>
      </c>
      <c r="L1991" s="8" t="s">
        <v>2608</v>
      </c>
      <c r="M1991" s="11">
        <v>0.13</v>
      </c>
      <c r="N1991" s="8" t="s">
        <v>4541</v>
      </c>
      <c r="O1991" s="8">
        <v>11039.0</v>
      </c>
      <c r="P1991" s="11">
        <v>16.6196</v>
      </c>
      <c r="Q1991" s="8" t="s">
        <v>4362</v>
      </c>
      <c r="R1991" s="11">
        <v>-2.8665</v>
      </c>
      <c r="S1991" s="12">
        <v>1.6461321E7</v>
      </c>
      <c r="T1991" s="12">
        <v>8.2953583101E10</v>
      </c>
      <c r="U1991" s="13">
        <v>4.5886</v>
      </c>
      <c r="V1991" s="13">
        <v>19.2541</v>
      </c>
      <c r="W1991" s="13">
        <v>16.3327</v>
      </c>
      <c r="X1991" s="13">
        <v>42.0873</v>
      </c>
      <c r="Y1991" s="13">
        <v>0.3519</v>
      </c>
      <c r="Z1991" s="13">
        <v>2.0061</v>
      </c>
      <c r="AA1991" s="8" t="s">
        <v>2620</v>
      </c>
      <c r="AB1991" s="14">
        <f>IFERROR(__xludf.DUMMYFUNCTION("IFERROR(GOOGLEFINANCE(B1991,""price""),"""")"),128.49)</f>
        <v>128.49</v>
      </c>
    </row>
    <row r="1992">
      <c r="A1992" s="15">
        <v>46108.6700015717</v>
      </c>
      <c r="B1992" s="16" t="s">
        <v>2638</v>
      </c>
      <c r="C1992" s="16" t="s">
        <v>2639</v>
      </c>
      <c r="D1992" s="17">
        <v>46110.0</v>
      </c>
      <c r="E1992" s="18">
        <v>170.99</v>
      </c>
      <c r="F1992" s="16" t="s">
        <v>245</v>
      </c>
      <c r="G1992" s="21">
        <v>25.5407</v>
      </c>
      <c r="H1992" s="21">
        <v>6.6948</v>
      </c>
      <c r="I1992" s="17">
        <v>46108.0</v>
      </c>
      <c r="J1992" s="18">
        <v>170.0</v>
      </c>
      <c r="K1992" s="16">
        <v>3548.0</v>
      </c>
      <c r="L1992" s="16" t="s">
        <v>2608</v>
      </c>
      <c r="M1992" s="19">
        <v>0.58</v>
      </c>
      <c r="N1992" s="16" t="s">
        <v>4542</v>
      </c>
      <c r="O1992" s="16">
        <v>5882.0</v>
      </c>
      <c r="P1992" s="19">
        <v>34.1952</v>
      </c>
      <c r="Q1992" s="16" t="s">
        <v>2641</v>
      </c>
      <c r="R1992" s="19">
        <v>3.3609</v>
      </c>
      <c r="S1992" s="20">
        <v>3.0260567E7</v>
      </c>
      <c r="T1992" s="20">
        <v>7.1247488871E11</v>
      </c>
      <c r="U1992" s="21">
        <v>4.1949</v>
      </c>
      <c r="V1992" s="21">
        <v>11.0283</v>
      </c>
      <c r="W1992" s="21">
        <v>10.3419</v>
      </c>
      <c r="X1992" s="21">
        <v>-4.856</v>
      </c>
      <c r="Y1992" s="21">
        <v>0.1871</v>
      </c>
      <c r="Z1992" s="21">
        <v>1.1528</v>
      </c>
      <c r="AA1992" s="16" t="s">
        <v>2611</v>
      </c>
      <c r="AB1992" s="22">
        <f>IFERROR(__xludf.DUMMYFUNCTION("IFERROR(GOOGLEFINANCE(B1992,""price""),"""")"),152.51)</f>
        <v>152.51</v>
      </c>
    </row>
    <row r="1993">
      <c r="A1993" s="7">
        <v>46108.6700015717</v>
      </c>
      <c r="B1993" s="8" t="s">
        <v>3802</v>
      </c>
      <c r="C1993" s="8" t="s">
        <v>3803</v>
      </c>
      <c r="D1993" s="9">
        <v>46110.0</v>
      </c>
      <c r="E1993" s="10">
        <v>55.03</v>
      </c>
      <c r="F1993" s="8" t="s">
        <v>270</v>
      </c>
      <c r="G1993" s="13"/>
      <c r="H1993" s="13"/>
      <c r="I1993" s="9">
        <v>46129.0</v>
      </c>
      <c r="J1993" s="10">
        <v>55.0</v>
      </c>
      <c r="K1993" s="8">
        <v>5732.0</v>
      </c>
      <c r="L1993" s="8" t="s">
        <v>2608</v>
      </c>
      <c r="M1993" s="11">
        <v>0.05</v>
      </c>
      <c r="N1993" s="8" t="s">
        <v>4543</v>
      </c>
      <c r="O1993" s="8">
        <v>5732.0</v>
      </c>
      <c r="P1993" s="11">
        <v>31.5368</v>
      </c>
      <c r="Q1993" s="8" t="s">
        <v>3805</v>
      </c>
      <c r="R1993" s="11">
        <v>1.7943</v>
      </c>
      <c r="S1993" s="12">
        <v>2698439.0</v>
      </c>
      <c r="T1993" s="12">
        <v>5.757374927E9</v>
      </c>
      <c r="U1993" s="13">
        <v>1.8798</v>
      </c>
      <c r="V1993" s="13">
        <v>3.4054</v>
      </c>
      <c r="W1993" s="13">
        <v>34.4448</v>
      </c>
      <c r="X1993" s="13">
        <v>51.1384</v>
      </c>
      <c r="Y1993" s="13">
        <v>1.4965</v>
      </c>
      <c r="Z1993" s="13">
        <v>2.5453</v>
      </c>
      <c r="AA1993" s="8" t="s">
        <v>2611</v>
      </c>
      <c r="AB1993" s="14">
        <f>IFERROR(__xludf.DUMMYFUNCTION("IFERROR(GOOGLEFINANCE(B1993,""price""),"""")"),53.28)</f>
        <v>53.28</v>
      </c>
    </row>
    <row r="1994">
      <c r="A1994" s="15">
        <v>46108.6700015717</v>
      </c>
      <c r="B1994" s="16" t="s">
        <v>4438</v>
      </c>
      <c r="C1994" s="16" t="s">
        <v>4439</v>
      </c>
      <c r="D1994" s="17">
        <v>46110.0</v>
      </c>
      <c r="E1994" s="18">
        <v>63.74</v>
      </c>
      <c r="F1994" s="16" t="s">
        <v>245</v>
      </c>
      <c r="G1994" s="21">
        <v>20.8287</v>
      </c>
      <c r="H1994" s="21">
        <v>3.0602</v>
      </c>
      <c r="I1994" s="17">
        <v>46129.0</v>
      </c>
      <c r="J1994" s="18">
        <v>65.0</v>
      </c>
      <c r="K1994" s="16">
        <v>3241.0</v>
      </c>
      <c r="L1994" s="16" t="s">
        <v>2608</v>
      </c>
      <c r="M1994" s="19">
        <v>1.98</v>
      </c>
      <c r="N1994" s="16" t="s">
        <v>4544</v>
      </c>
      <c r="O1994" s="16">
        <v>4611.0</v>
      </c>
      <c r="P1994" s="19">
        <v>19.913</v>
      </c>
      <c r="Q1994" s="16" t="s">
        <v>4441</v>
      </c>
      <c r="R1994" s="19">
        <v>0.8225</v>
      </c>
      <c r="S1994" s="20">
        <v>2015987.0</v>
      </c>
      <c r="T1994" s="20">
        <v>1.1490613566E10</v>
      </c>
      <c r="U1994" s="21">
        <v>2.4563</v>
      </c>
      <c r="V1994" s="21">
        <v>6.2073</v>
      </c>
      <c r="W1994" s="21">
        <v>3.4166</v>
      </c>
      <c r="X1994" s="21">
        <v>-6.0035</v>
      </c>
      <c r="Y1994" s="21">
        <v>0.3519</v>
      </c>
      <c r="Z1994" s="21">
        <v>1.9364</v>
      </c>
      <c r="AA1994" s="16" t="s">
        <v>2620</v>
      </c>
      <c r="AB1994" s="22">
        <f>IFERROR(__xludf.DUMMYFUNCTION("IFERROR(GOOGLEFINANCE(B1994,""price""),"""")"),57.51)</f>
        <v>57.51</v>
      </c>
    </row>
    <row r="1995">
      <c r="A1995" s="7">
        <v>46108.6700015717</v>
      </c>
      <c r="B1995" s="8" t="s">
        <v>4519</v>
      </c>
      <c r="C1995" s="8" t="s">
        <v>4520</v>
      </c>
      <c r="D1995" s="9">
        <v>46110.0</v>
      </c>
      <c r="E1995" s="10">
        <v>171.92</v>
      </c>
      <c r="F1995" s="8" t="s">
        <v>308</v>
      </c>
      <c r="G1995" s="13">
        <v>88.6643</v>
      </c>
      <c r="H1995" s="13">
        <v>1.939</v>
      </c>
      <c r="I1995" s="9">
        <v>46129.0</v>
      </c>
      <c r="J1995" s="10">
        <v>170.0</v>
      </c>
      <c r="K1995" s="8">
        <v>2554.0</v>
      </c>
      <c r="L1995" s="8" t="s">
        <v>2627</v>
      </c>
      <c r="M1995" s="11">
        <v>1.12</v>
      </c>
      <c r="N1995" s="8" t="s">
        <v>4532</v>
      </c>
      <c r="O1995" s="8">
        <v>3604.0</v>
      </c>
      <c r="P1995" s="11">
        <v>30.8659</v>
      </c>
      <c r="Q1995" s="8" t="s">
        <v>4522</v>
      </c>
      <c r="R1995" s="11">
        <v>-1.58</v>
      </c>
      <c r="S1995" s="12">
        <v>4184493.0</v>
      </c>
      <c r="T1995" s="12">
        <v>1.9213197702E10</v>
      </c>
      <c r="U1995" s="13">
        <v>12.3459</v>
      </c>
      <c r="V1995" s="13">
        <v>7.9126</v>
      </c>
      <c r="W1995" s="13">
        <v>12.3984</v>
      </c>
      <c r="X1995" s="13">
        <v>9.0509</v>
      </c>
      <c r="Y1995" s="13">
        <v>0.0553</v>
      </c>
      <c r="Z1995" s="13">
        <v>6.4821</v>
      </c>
      <c r="AA1995" s="8" t="s">
        <v>2611</v>
      </c>
      <c r="AB1995" s="14">
        <f>IFERROR(__xludf.DUMMYFUNCTION("IFERROR(GOOGLEFINANCE(B1995,""price""),"""")"),203.59)</f>
        <v>203.59</v>
      </c>
    </row>
    <row r="1996">
      <c r="A1996" s="15">
        <v>46108.6700015717</v>
      </c>
      <c r="B1996" s="16" t="s">
        <v>4218</v>
      </c>
      <c r="C1996" s="16" t="s">
        <v>4219</v>
      </c>
      <c r="D1996" s="17">
        <v>46110.0</v>
      </c>
      <c r="E1996" s="18">
        <v>136.45</v>
      </c>
      <c r="F1996" s="16" t="s">
        <v>107</v>
      </c>
      <c r="G1996" s="21">
        <v>15.1731</v>
      </c>
      <c r="H1996" s="21">
        <v>8.9929</v>
      </c>
      <c r="I1996" s="17">
        <v>46108.0</v>
      </c>
      <c r="J1996" s="18">
        <v>139.0</v>
      </c>
      <c r="K1996" s="16">
        <v>1451.0</v>
      </c>
      <c r="L1996" s="16" t="s">
        <v>2608</v>
      </c>
      <c r="M1996" s="19">
        <v>1.87</v>
      </c>
      <c r="N1996" s="16" t="s">
        <v>4545</v>
      </c>
      <c r="O1996" s="16">
        <v>2871.0</v>
      </c>
      <c r="P1996" s="19">
        <v>40.1975</v>
      </c>
      <c r="Q1996" s="16" t="s">
        <v>4221</v>
      </c>
      <c r="R1996" s="19">
        <v>2.9345</v>
      </c>
      <c r="S1996" s="20">
        <v>3811832.0</v>
      </c>
      <c r="T1996" s="20">
        <v>2.0968110545E10</v>
      </c>
      <c r="U1996" s="21">
        <v>6.6461</v>
      </c>
      <c r="V1996" s="21">
        <v>29.6244</v>
      </c>
      <c r="W1996" s="21">
        <v>37.1118</v>
      </c>
      <c r="X1996" s="21">
        <v>19.3396</v>
      </c>
      <c r="Y1996" s="21">
        <v>0.7516</v>
      </c>
      <c r="Z1996" s="21">
        <v>3.3653</v>
      </c>
      <c r="AA1996" s="16" t="s">
        <v>2620</v>
      </c>
      <c r="AB1996" s="22">
        <f>IFERROR(__xludf.DUMMYFUNCTION("IFERROR(GOOGLEFINANCE(B1996,""price""),"""")"),121.32)</f>
        <v>121.32</v>
      </c>
    </row>
    <row r="1997">
      <c r="A1997" s="7">
        <v>46108.6700015717</v>
      </c>
      <c r="B1997" s="8" t="s">
        <v>2646</v>
      </c>
      <c r="C1997" s="8" t="s">
        <v>2647</v>
      </c>
      <c r="D1997" s="9">
        <v>46110.0</v>
      </c>
      <c r="E1997" s="10">
        <v>39.28</v>
      </c>
      <c r="F1997" s="8" t="s">
        <v>270</v>
      </c>
      <c r="G1997" s="13">
        <v>14.8327</v>
      </c>
      <c r="H1997" s="13">
        <v>2.6482</v>
      </c>
      <c r="I1997" s="9">
        <v>46108.0</v>
      </c>
      <c r="J1997" s="10">
        <v>38.5</v>
      </c>
      <c r="K1997" s="8">
        <v>2238.0</v>
      </c>
      <c r="L1997" s="8" t="s">
        <v>2608</v>
      </c>
      <c r="M1997" s="11">
        <v>1.99</v>
      </c>
      <c r="N1997" s="8" t="s">
        <v>4546</v>
      </c>
      <c r="O1997" s="8">
        <v>2238.0</v>
      </c>
      <c r="P1997" s="11">
        <v>41.2607</v>
      </c>
      <c r="Q1997" s="8" t="s">
        <v>2649</v>
      </c>
      <c r="R1997" s="11">
        <v>0.4604</v>
      </c>
      <c r="S1997" s="12">
        <v>4401381.0</v>
      </c>
      <c r="T1997" s="12">
        <v>8.4913958639E10</v>
      </c>
      <c r="U1997" s="13">
        <v>0.7128</v>
      </c>
      <c r="V1997" s="13">
        <v>19.6987</v>
      </c>
      <c r="W1997" s="13">
        <v>12.3812</v>
      </c>
      <c r="X1997" s="13">
        <v>-6.474</v>
      </c>
      <c r="Y1997" s="13">
        <v>1.1744</v>
      </c>
      <c r="Z1997" s="13">
        <v>1.0411</v>
      </c>
      <c r="AA1997" s="8" t="s">
        <v>2611</v>
      </c>
      <c r="AB1997" s="14">
        <f>IFERROR(__xludf.DUMMYFUNCTION("IFERROR(GOOGLEFINANCE(B1997,""price""),"""")"),37.35)</f>
        <v>37.35</v>
      </c>
    </row>
    <row r="1998">
      <c r="A1998" s="15">
        <v>46108.6700015717</v>
      </c>
      <c r="B1998" s="16" t="s">
        <v>2026</v>
      </c>
      <c r="C1998" s="16" t="s">
        <v>2027</v>
      </c>
      <c r="D1998" s="17">
        <v>46110.0</v>
      </c>
      <c r="E1998" s="18">
        <v>128.72</v>
      </c>
      <c r="F1998" s="16" t="s">
        <v>107</v>
      </c>
      <c r="G1998" s="21">
        <v>23.6892</v>
      </c>
      <c r="H1998" s="21">
        <v>5.4337</v>
      </c>
      <c r="I1998" s="17">
        <v>46129.0</v>
      </c>
      <c r="J1998" s="18">
        <v>130.0</v>
      </c>
      <c r="K1998" s="16">
        <v>1590.0</v>
      </c>
      <c r="L1998" s="16" t="s">
        <v>2608</v>
      </c>
      <c r="M1998" s="19">
        <v>0.99</v>
      </c>
      <c r="N1998" s="16" t="s">
        <v>4547</v>
      </c>
      <c r="O1998" s="16">
        <v>1590.0</v>
      </c>
      <c r="P1998" s="19">
        <v>22.9516</v>
      </c>
      <c r="Q1998" s="16" t="s">
        <v>2028</v>
      </c>
      <c r="R1998" s="19">
        <v>2.3537</v>
      </c>
      <c r="S1998" s="20">
        <v>2284075.0</v>
      </c>
      <c r="T1998" s="20">
        <v>2.490848907E10</v>
      </c>
      <c r="U1998" s="21">
        <v>4.3509</v>
      </c>
      <c r="V1998" s="21">
        <v>6.3447</v>
      </c>
      <c r="W1998" s="21">
        <v>1.5073</v>
      </c>
      <c r="X1998" s="21">
        <v>32.4089</v>
      </c>
      <c r="Y1998" s="21">
        <v>0.9969</v>
      </c>
      <c r="Z1998" s="21">
        <v>1.6124</v>
      </c>
      <c r="AA1998" s="16" t="s">
        <v>2620</v>
      </c>
      <c r="AB1998" s="22">
        <f>IFERROR(__xludf.DUMMYFUNCTION("IFERROR(GOOGLEFINANCE(B1998,""price""),"""")"),123.92)</f>
        <v>123.92</v>
      </c>
    </row>
    <row r="1999">
      <c r="A1999" s="7">
        <v>46108.6700015717</v>
      </c>
      <c r="B1999" s="8" t="s">
        <v>1612</v>
      </c>
      <c r="C1999" s="8" t="s">
        <v>1613</v>
      </c>
      <c r="D1999" s="9">
        <v>46110.0</v>
      </c>
      <c r="E1999" s="10">
        <v>73.22</v>
      </c>
      <c r="F1999" s="8" t="s">
        <v>137</v>
      </c>
      <c r="G1999" s="13">
        <v>47.6476</v>
      </c>
      <c r="H1999" s="13">
        <v>1.5367</v>
      </c>
      <c r="I1999" s="9">
        <v>46108.0</v>
      </c>
      <c r="J1999" s="10">
        <v>72.0</v>
      </c>
      <c r="K1999" s="8">
        <v>1361.0</v>
      </c>
      <c r="L1999" s="8" t="s">
        <v>2627</v>
      </c>
      <c r="M1999" s="11">
        <v>1.67</v>
      </c>
      <c r="N1999" s="8" t="s">
        <v>4536</v>
      </c>
      <c r="O1999" s="8">
        <v>1361.0</v>
      </c>
      <c r="P1999" s="11">
        <v>25.4571</v>
      </c>
      <c r="Q1999" s="8" t="s">
        <v>1614</v>
      </c>
      <c r="R1999" s="11">
        <v>1.9919</v>
      </c>
      <c r="S1999" s="12">
        <v>5920633.0</v>
      </c>
      <c r="T1999" s="12">
        <v>4.6337217706E10</v>
      </c>
      <c r="U1999" s="13">
        <v>1.9541</v>
      </c>
      <c r="V1999" s="13">
        <v>14.12</v>
      </c>
      <c r="W1999" s="13">
        <v>3.2288</v>
      </c>
      <c r="X1999" s="13">
        <v>0.3528</v>
      </c>
      <c r="Y1999" s="13">
        <v>4.1577</v>
      </c>
      <c r="Z1999" s="13">
        <v>0.802</v>
      </c>
      <c r="AA1999" s="8" t="s">
        <v>2611</v>
      </c>
      <c r="AB1999" s="14">
        <f>IFERROR(__xludf.DUMMYFUNCTION("IFERROR(GOOGLEFINANCE(B1999,""price""),"""")"),67.99)</f>
        <v>67.99</v>
      </c>
    </row>
    <row r="2000">
      <c r="A2000" s="15">
        <v>46108.6700015717</v>
      </c>
      <c r="B2000" s="16" t="s">
        <v>1766</v>
      </c>
      <c r="C2000" s="16" t="s">
        <v>1767</v>
      </c>
      <c r="D2000" s="17">
        <v>46110.0</v>
      </c>
      <c r="E2000" s="18">
        <v>95.88</v>
      </c>
      <c r="F2000" s="16" t="s">
        <v>917</v>
      </c>
      <c r="G2000" s="21">
        <v>34.8883</v>
      </c>
      <c r="H2000" s="21">
        <v>2.7482</v>
      </c>
      <c r="I2000" s="17">
        <v>46129.0</v>
      </c>
      <c r="J2000" s="18">
        <v>95.0</v>
      </c>
      <c r="K2000" s="16">
        <v>1251.0</v>
      </c>
      <c r="L2000" s="16" t="s">
        <v>2608</v>
      </c>
      <c r="M2000" s="19">
        <v>0.92</v>
      </c>
      <c r="N2000" s="16" t="s">
        <v>4537</v>
      </c>
      <c r="O2000" s="16">
        <v>1251.0</v>
      </c>
      <c r="P2000" s="19">
        <v>15.6304</v>
      </c>
      <c r="Q2000" s="16" t="s">
        <v>1768</v>
      </c>
      <c r="R2000" s="19">
        <v>0.3559</v>
      </c>
      <c r="S2000" s="20">
        <v>3075289.0</v>
      </c>
      <c r="T2000" s="20">
        <v>6.2636881896E10</v>
      </c>
      <c r="U2000" s="21">
        <v>2.1073</v>
      </c>
      <c r="V2000" s="21">
        <v>5.8451</v>
      </c>
      <c r="W2000" s="21">
        <v>23.7349</v>
      </c>
      <c r="X2000" s="21">
        <v>5.8424</v>
      </c>
      <c r="Y2000" s="21">
        <v>1.1478</v>
      </c>
      <c r="Z2000" s="21">
        <v>1.5912</v>
      </c>
      <c r="AA2000" s="16" t="s">
        <v>2611</v>
      </c>
      <c r="AB2000" s="22">
        <f>IFERROR(__xludf.DUMMYFUNCTION("IFERROR(GOOGLEFINANCE(B2000,""price""),"""")"),98.82)</f>
        <v>98.82</v>
      </c>
    </row>
    <row r="2001">
      <c r="A2001" s="7">
        <v>46108.6700015717</v>
      </c>
      <c r="B2001" s="8" t="s">
        <v>2768</v>
      </c>
      <c r="C2001" s="8" t="s">
        <v>2769</v>
      </c>
      <c r="D2001" s="9">
        <v>46110.0</v>
      </c>
      <c r="E2001" s="10">
        <v>275.34</v>
      </c>
      <c r="F2001" s="8" t="s">
        <v>308</v>
      </c>
      <c r="G2001" s="13">
        <v>27.6426</v>
      </c>
      <c r="H2001" s="13">
        <v>9.9607</v>
      </c>
      <c r="I2001" s="9">
        <v>46108.0</v>
      </c>
      <c r="J2001" s="10">
        <v>280.0</v>
      </c>
      <c r="K2001" s="8">
        <v>1194.0</v>
      </c>
      <c r="L2001" s="8" t="s">
        <v>2627</v>
      </c>
      <c r="M2001" s="11">
        <v>1.69</v>
      </c>
      <c r="N2001" s="8" t="s">
        <v>4538</v>
      </c>
      <c r="O2001" s="8">
        <v>1194.0</v>
      </c>
      <c r="P2001" s="11">
        <v>16.063</v>
      </c>
      <c r="Q2001" s="8" t="s">
        <v>2771</v>
      </c>
      <c r="R2001" s="11">
        <v>0.728</v>
      </c>
      <c r="S2001" s="12">
        <v>6942383.0</v>
      </c>
      <c r="T2001" s="12">
        <v>9.3350706652E10</v>
      </c>
      <c r="U2001" s="13">
        <v>21.08</v>
      </c>
      <c r="V2001" s="13">
        <v>41.2731</v>
      </c>
      <c r="W2001" s="13">
        <v>27.8834</v>
      </c>
      <c r="X2001" s="13">
        <v>-31.1967</v>
      </c>
      <c r="Y2001" s="13">
        <v>0.7076</v>
      </c>
      <c r="Z2001" s="13">
        <v>1.455</v>
      </c>
      <c r="AA2001" s="8" t="s">
        <v>2620</v>
      </c>
      <c r="AB2001" s="14">
        <f>IFERROR(__xludf.DUMMYFUNCTION("IFERROR(GOOGLEFINANCE(B2001,""price""),"""")"),343.43)</f>
        <v>343.43</v>
      </c>
    </row>
    <row r="2002">
      <c r="A2002" s="15">
        <v>46108.6700015717</v>
      </c>
      <c r="B2002" s="16" t="s">
        <v>2188</v>
      </c>
      <c r="C2002" s="16" t="s">
        <v>2189</v>
      </c>
      <c r="D2002" s="17">
        <v>46110.0</v>
      </c>
      <c r="E2002" s="18">
        <v>491.12</v>
      </c>
      <c r="F2002" s="16" t="s">
        <v>107</v>
      </c>
      <c r="G2002" s="21">
        <v>33.6446</v>
      </c>
      <c r="H2002" s="21">
        <v>14.5973</v>
      </c>
      <c r="I2002" s="17">
        <v>46129.0</v>
      </c>
      <c r="J2002" s="18">
        <v>490.0</v>
      </c>
      <c r="K2002" s="16">
        <v>1100.0</v>
      </c>
      <c r="L2002" s="16" t="s">
        <v>2627</v>
      </c>
      <c r="M2002" s="19">
        <v>0.23</v>
      </c>
      <c r="N2002" s="16" t="s">
        <v>4548</v>
      </c>
      <c r="O2002" s="16">
        <v>1100.0</v>
      </c>
      <c r="P2002" s="19">
        <v>16.8951</v>
      </c>
      <c r="Q2002" s="16" t="s">
        <v>2190</v>
      </c>
      <c r="R2002" s="19">
        <v>-0.882</v>
      </c>
      <c r="S2002" s="20">
        <v>2153479.0</v>
      </c>
      <c r="T2002" s="20">
        <v>2.27582137849E11</v>
      </c>
      <c r="U2002" s="21">
        <v>10.2939</v>
      </c>
      <c r="V2002" s="21">
        <v>18.0725</v>
      </c>
      <c r="W2002" s="21">
        <v>27.2289</v>
      </c>
      <c r="X2002" s="21">
        <v>2.9723</v>
      </c>
      <c r="Y2002" s="21">
        <v>0.7339</v>
      </c>
      <c r="Z2002" s="21">
        <v>0.8768</v>
      </c>
      <c r="AA2002" s="16" t="s">
        <v>2611</v>
      </c>
      <c r="AB2002" s="22">
        <f>IFERROR(__xludf.DUMMYFUNCTION("IFERROR(GOOGLEFINANCE(B2002,""price""),"""")"),503.15)</f>
        <v>503.15</v>
      </c>
    </row>
    <row r="2003">
      <c r="A2003" s="7">
        <v>46108.6700015717</v>
      </c>
      <c r="B2003" s="8" t="s">
        <v>2344</v>
      </c>
      <c r="C2003" s="8" t="s">
        <v>2345</v>
      </c>
      <c r="D2003" s="9">
        <v>46110.0</v>
      </c>
      <c r="E2003" s="10">
        <v>73.58</v>
      </c>
      <c r="F2003" s="8" t="s">
        <v>270</v>
      </c>
      <c r="G2003" s="13">
        <v>34.4702</v>
      </c>
      <c r="H2003" s="13">
        <v>2.1346</v>
      </c>
      <c r="I2003" s="9">
        <v>46108.0</v>
      </c>
      <c r="J2003" s="10">
        <v>73.0</v>
      </c>
      <c r="K2003" s="8">
        <v>1034.0</v>
      </c>
      <c r="L2003" s="8" t="s">
        <v>2627</v>
      </c>
      <c r="M2003" s="11">
        <v>0.79</v>
      </c>
      <c r="N2003" s="8" t="s">
        <v>4549</v>
      </c>
      <c r="O2003" s="8">
        <v>1034.0</v>
      </c>
      <c r="P2003" s="11">
        <v>32.6659</v>
      </c>
      <c r="Q2003" s="8" t="s">
        <v>2346</v>
      </c>
      <c r="R2003" s="11">
        <v>-0.6481</v>
      </c>
      <c r="S2003" s="12">
        <v>6492566.0</v>
      </c>
      <c r="T2003" s="12">
        <v>8.9882610696E10</v>
      </c>
      <c r="U2003" s="13">
        <v>1.6324</v>
      </c>
      <c r="V2003" s="13">
        <v>20.7424</v>
      </c>
      <c r="W2003" s="13">
        <v>35.471</v>
      </c>
      <c r="X2003" s="13">
        <v>9.774</v>
      </c>
      <c r="Y2003" s="13">
        <v>2.3069</v>
      </c>
      <c r="Z2003" s="13">
        <v>0.5313</v>
      </c>
      <c r="AA2003" s="8" t="s">
        <v>2611</v>
      </c>
      <c r="AB2003" s="14">
        <f>IFERROR(__xludf.DUMMYFUNCTION("IFERROR(GOOGLEFINANCE(B2003,""price""),"""")"),72.74)</f>
        <v>72.74</v>
      </c>
    </row>
    <row r="2004">
      <c r="A2004" s="7">
        <v>46111.66747488683</v>
      </c>
      <c r="B2004" s="8" t="s">
        <v>3697</v>
      </c>
      <c r="C2004" s="8" t="s">
        <v>3698</v>
      </c>
      <c r="D2004" s="9">
        <v>46117.0</v>
      </c>
      <c r="E2004" s="10">
        <v>49.11</v>
      </c>
      <c r="F2004" s="8" t="s">
        <v>917</v>
      </c>
      <c r="G2004" s="13">
        <v>17.9568</v>
      </c>
      <c r="H2004" s="13">
        <v>2.7349</v>
      </c>
      <c r="I2004" s="9">
        <v>46129.0</v>
      </c>
      <c r="J2004" s="10">
        <v>49.0</v>
      </c>
      <c r="K2004" s="8">
        <v>9436.0</v>
      </c>
      <c r="L2004" s="8" t="s">
        <v>2608</v>
      </c>
      <c r="M2004" s="11">
        <v>0.22</v>
      </c>
      <c r="N2004" s="8" t="s">
        <v>4550</v>
      </c>
      <c r="O2004" s="8">
        <v>9436.0</v>
      </c>
      <c r="P2004" s="11">
        <v>22.3302</v>
      </c>
      <c r="Q2004" s="8" t="s">
        <v>3700</v>
      </c>
      <c r="R2004" s="11">
        <v>1.6349</v>
      </c>
      <c r="S2004" s="12">
        <v>6468736.0</v>
      </c>
      <c r="T2004" s="12">
        <v>5.0234254195E10</v>
      </c>
      <c r="U2004" s="13">
        <v>0.9814</v>
      </c>
      <c r="V2004" s="13">
        <v>9.9356</v>
      </c>
      <c r="W2004" s="13">
        <v>21.2054</v>
      </c>
      <c r="X2004" s="13">
        <v>5.3367</v>
      </c>
      <c r="Y2004" s="13">
        <v>1.7554</v>
      </c>
      <c r="Z2004" s="13">
        <v>0.924</v>
      </c>
      <c r="AA2004" s="8" t="s">
        <v>2611</v>
      </c>
      <c r="AB2004" s="14">
        <f>IFERROR(__xludf.DUMMYFUNCTION("IFERROR(GOOGLEFINANCE(B2004,""price""),"""")"),48.57)</f>
        <v>48.57</v>
      </c>
    </row>
    <row r="2005">
      <c r="A2005" s="15">
        <v>46111.66747488683</v>
      </c>
      <c r="B2005" s="16" t="s">
        <v>2634</v>
      </c>
      <c r="C2005" s="16" t="s">
        <v>2635</v>
      </c>
      <c r="D2005" s="17">
        <v>46117.0</v>
      </c>
      <c r="E2005" s="18">
        <v>210.71</v>
      </c>
      <c r="F2005" s="16" t="s">
        <v>245</v>
      </c>
      <c r="G2005" s="21">
        <v>31.6952</v>
      </c>
      <c r="H2005" s="21">
        <v>6.648</v>
      </c>
      <c r="I2005" s="17">
        <v>46114.0</v>
      </c>
      <c r="J2005" s="18">
        <v>212.5</v>
      </c>
      <c r="K2005" s="16">
        <v>2686.0</v>
      </c>
      <c r="L2005" s="16" t="s">
        <v>2608</v>
      </c>
      <c r="M2005" s="19">
        <v>0.85</v>
      </c>
      <c r="N2005" s="16" t="s">
        <v>4551</v>
      </c>
      <c r="O2005" s="16">
        <v>6650.0</v>
      </c>
      <c r="P2005" s="19">
        <v>45.8794</v>
      </c>
      <c r="Q2005" s="16" t="s">
        <v>2637</v>
      </c>
      <c r="R2005" s="19">
        <v>-0.2084</v>
      </c>
      <c r="S2005" s="20">
        <v>1.0352971E7</v>
      </c>
      <c r="T2005" s="20">
        <v>4.2044766614E11</v>
      </c>
      <c r="U2005" s="21">
        <v>4.2218</v>
      </c>
      <c r="V2005" s="21">
        <v>7.261</v>
      </c>
      <c r="W2005" s="21">
        <v>8.8802</v>
      </c>
      <c r="X2005" s="21">
        <v>-4.6193</v>
      </c>
      <c r="Y2005" s="21">
        <v>0.2507</v>
      </c>
      <c r="Z2005" s="21">
        <v>1.1547</v>
      </c>
      <c r="AA2005" s="16" t="s">
        <v>2620</v>
      </c>
      <c r="AB2005" s="22">
        <f>IFERROR(__xludf.DUMMYFUNCTION("IFERROR(GOOGLEFINANCE(B2005,""price""),"""")"),188.55)</f>
        <v>188.55</v>
      </c>
    </row>
    <row r="2006">
      <c r="A2006" s="7">
        <v>46111.66747488683</v>
      </c>
      <c r="B2006" s="8" t="s">
        <v>2638</v>
      </c>
      <c r="C2006" s="8" t="s">
        <v>2639</v>
      </c>
      <c r="D2006" s="9">
        <v>46117.0</v>
      </c>
      <c r="E2006" s="10">
        <v>171.47</v>
      </c>
      <c r="F2006" s="8" t="s">
        <v>245</v>
      </c>
      <c r="G2006" s="13">
        <v>25.6124</v>
      </c>
      <c r="H2006" s="13">
        <v>6.6948</v>
      </c>
      <c r="I2006" s="9">
        <v>46114.0</v>
      </c>
      <c r="J2006" s="10">
        <v>170.0</v>
      </c>
      <c r="K2006" s="8">
        <v>2927.0</v>
      </c>
      <c r="L2006" s="8" t="s">
        <v>2608</v>
      </c>
      <c r="M2006" s="11">
        <v>0.86</v>
      </c>
      <c r="N2006" s="8" t="s">
        <v>4552</v>
      </c>
      <c r="O2006" s="8">
        <v>5598.0</v>
      </c>
      <c r="P2006" s="11">
        <v>35.2574</v>
      </c>
      <c r="Q2006" s="8" t="s">
        <v>2641</v>
      </c>
      <c r="R2006" s="11">
        <v>0.2807</v>
      </c>
      <c r="S2006" s="12">
        <v>2.9524895E7</v>
      </c>
      <c r="T2006" s="12">
        <v>7.1447498977E11</v>
      </c>
      <c r="U2006" s="13">
        <v>4.2824</v>
      </c>
      <c r="V2006" s="13">
        <v>11.0283</v>
      </c>
      <c r="W2006" s="13">
        <v>10.3419</v>
      </c>
      <c r="X2006" s="13">
        <v>-4.856</v>
      </c>
      <c r="Y2006" s="13">
        <v>0.1871</v>
      </c>
      <c r="Z2006" s="13">
        <v>1.1528</v>
      </c>
      <c r="AA2006" s="8" t="s">
        <v>2611</v>
      </c>
      <c r="AB2006" s="14">
        <f>IFERROR(__xludf.DUMMYFUNCTION("IFERROR(GOOGLEFINANCE(B2006,""price""),"""")"),152.51)</f>
        <v>152.51</v>
      </c>
    </row>
    <row r="2007">
      <c r="A2007" s="15">
        <v>46111.66747488683</v>
      </c>
      <c r="B2007" s="16" t="s">
        <v>3802</v>
      </c>
      <c r="C2007" s="16" t="s">
        <v>3803</v>
      </c>
      <c r="D2007" s="17">
        <v>46117.0</v>
      </c>
      <c r="E2007" s="18">
        <v>54.08</v>
      </c>
      <c r="F2007" s="16" t="s">
        <v>270</v>
      </c>
      <c r="G2007" s="21">
        <v>83.431</v>
      </c>
      <c r="H2007" s="21">
        <v>0.6482</v>
      </c>
      <c r="I2007" s="17">
        <v>46129.0</v>
      </c>
      <c r="J2007" s="18">
        <v>55.0</v>
      </c>
      <c r="K2007" s="16">
        <v>5527.0</v>
      </c>
      <c r="L2007" s="16" t="s">
        <v>2608</v>
      </c>
      <c r="M2007" s="19">
        <v>1.7</v>
      </c>
      <c r="N2007" s="16" t="s">
        <v>4553</v>
      </c>
      <c r="O2007" s="16">
        <v>5527.0</v>
      </c>
      <c r="P2007" s="19">
        <v>32.551</v>
      </c>
      <c r="Q2007" s="16" t="s">
        <v>3805</v>
      </c>
      <c r="R2007" s="19">
        <v>-1.7263</v>
      </c>
      <c r="S2007" s="20">
        <v>1871907.0</v>
      </c>
      <c r="T2007" s="20">
        <v>5.657983304E9</v>
      </c>
      <c r="U2007" s="21">
        <v>1.8526</v>
      </c>
      <c r="V2007" s="21">
        <v>3.4054</v>
      </c>
      <c r="W2007" s="21">
        <v>34.4448</v>
      </c>
      <c r="X2007" s="21">
        <v>51.1384</v>
      </c>
      <c r="Y2007" s="21">
        <v>1.5001</v>
      </c>
      <c r="Z2007" s="21">
        <v>2.5453</v>
      </c>
      <c r="AA2007" s="16" t="s">
        <v>2620</v>
      </c>
      <c r="AB2007" s="22">
        <f>IFERROR(__xludf.DUMMYFUNCTION("IFERROR(GOOGLEFINANCE(B2007,""price""),"""")"),53.28)</f>
        <v>53.28</v>
      </c>
    </row>
    <row r="2008">
      <c r="A2008" s="7">
        <v>46111.66747488683</v>
      </c>
      <c r="B2008" s="8" t="s">
        <v>1902</v>
      </c>
      <c r="C2008" s="8" t="s">
        <v>1903</v>
      </c>
      <c r="D2008" s="9">
        <v>46117.0</v>
      </c>
      <c r="E2008" s="10">
        <v>588.36</v>
      </c>
      <c r="F2008" s="8" t="s">
        <v>117</v>
      </c>
      <c r="G2008" s="13">
        <v>21.0881</v>
      </c>
      <c r="H2008" s="13">
        <v>27.9001</v>
      </c>
      <c r="I2008" s="9">
        <v>46129.0</v>
      </c>
      <c r="J2008" s="10">
        <v>600.0</v>
      </c>
      <c r="K2008" s="8">
        <v>4430.0</v>
      </c>
      <c r="L2008" s="8" t="s">
        <v>2608</v>
      </c>
      <c r="M2008" s="11">
        <v>1.98</v>
      </c>
      <c r="N2008" s="8" t="s">
        <v>4554</v>
      </c>
      <c r="O2008" s="8">
        <v>5464.0</v>
      </c>
      <c r="P2008" s="11">
        <v>33.8157</v>
      </c>
      <c r="Q2008" s="8" t="s">
        <v>1904</v>
      </c>
      <c r="R2008" s="11">
        <v>12.5337</v>
      </c>
      <c r="S2008" s="12">
        <v>1707606.0</v>
      </c>
      <c r="T2008" s="12">
        <v>2.578645836E10</v>
      </c>
      <c r="U2008" s="13">
        <v>21.0109</v>
      </c>
      <c r="V2008" s="13">
        <v>19.7146</v>
      </c>
      <c r="W2008" s="13">
        <v>47.6262</v>
      </c>
      <c r="X2008" s="13">
        <v>10.6103</v>
      </c>
      <c r="Y2008" s="13">
        <v>0.0</v>
      </c>
      <c r="Z2008" s="13">
        <v>6.6045</v>
      </c>
      <c r="AA2008" s="8" t="s">
        <v>2620</v>
      </c>
      <c r="AB2008" s="14">
        <f>IFERROR(__xludf.DUMMYFUNCTION("IFERROR(GOOGLEFINANCE(B2008,""price""),"""")"),571.73)</f>
        <v>571.73</v>
      </c>
    </row>
    <row r="2009">
      <c r="A2009" s="15">
        <v>46111.66747488683</v>
      </c>
      <c r="B2009" s="16" t="s">
        <v>2280</v>
      </c>
      <c r="C2009" s="16" t="s">
        <v>2281</v>
      </c>
      <c r="D2009" s="17">
        <v>46117.0</v>
      </c>
      <c r="E2009" s="18">
        <v>17.34</v>
      </c>
      <c r="F2009" s="16" t="s">
        <v>286</v>
      </c>
      <c r="G2009" s="21">
        <v>10.0914</v>
      </c>
      <c r="H2009" s="21">
        <v>1.7183</v>
      </c>
      <c r="I2009" s="17">
        <v>46129.0</v>
      </c>
      <c r="J2009" s="18">
        <v>17.5</v>
      </c>
      <c r="K2009" s="16">
        <v>5139.0</v>
      </c>
      <c r="L2009" s="16" t="s">
        <v>2608</v>
      </c>
      <c r="M2009" s="19">
        <v>0.92</v>
      </c>
      <c r="N2009" s="16" t="s">
        <v>4555</v>
      </c>
      <c r="O2009" s="16">
        <v>5139.0</v>
      </c>
      <c r="P2009" s="19">
        <v>26.396</v>
      </c>
      <c r="Q2009" s="16" t="s">
        <v>2282</v>
      </c>
      <c r="R2009" s="19">
        <v>1.8203</v>
      </c>
      <c r="S2009" s="20">
        <v>6951322.0</v>
      </c>
      <c r="T2009" s="20">
        <v>1.852794457E10</v>
      </c>
      <c r="U2009" s="21">
        <v>0.5578</v>
      </c>
      <c r="V2009" s="21">
        <v>31.0119</v>
      </c>
      <c r="W2009" s="21">
        <v>4.8766</v>
      </c>
      <c r="X2009" s="21"/>
      <c r="Y2009" s="21">
        <v>2.6263</v>
      </c>
      <c r="Z2009" s="21">
        <v>1.5975</v>
      </c>
      <c r="AA2009" s="16" t="s">
        <v>2620</v>
      </c>
      <c r="AB2009" s="22">
        <f>IFERROR(__xludf.DUMMYFUNCTION("IFERROR(GOOGLEFINANCE(B2009,""price""),"""")"),18.32)</f>
        <v>18.32</v>
      </c>
    </row>
    <row r="2010">
      <c r="A2010" s="7">
        <v>46111.66747488683</v>
      </c>
      <c r="B2010" s="8" t="s">
        <v>4359</v>
      </c>
      <c r="C2010" s="8" t="s">
        <v>4360</v>
      </c>
      <c r="D2010" s="9">
        <v>46117.0</v>
      </c>
      <c r="E2010" s="10">
        <v>87.81</v>
      </c>
      <c r="F2010" s="8" t="s">
        <v>308</v>
      </c>
      <c r="G2010" s="13">
        <v>28.4083</v>
      </c>
      <c r="H2010" s="13">
        <v>3.091</v>
      </c>
      <c r="I2010" s="9">
        <v>46114.0</v>
      </c>
      <c r="J2010" s="10">
        <v>88.0</v>
      </c>
      <c r="K2010" s="8">
        <v>2873.0</v>
      </c>
      <c r="L2010" s="8" t="s">
        <v>2627</v>
      </c>
      <c r="M2010" s="11">
        <v>0.22</v>
      </c>
      <c r="N2010" s="8" t="s">
        <v>4556</v>
      </c>
      <c r="O2010" s="8">
        <v>4647.0</v>
      </c>
      <c r="P2010" s="11">
        <v>15.8705</v>
      </c>
      <c r="Q2010" s="8" t="s">
        <v>4362</v>
      </c>
      <c r="R2010" s="11">
        <v>-7.4515</v>
      </c>
      <c r="S2010" s="12">
        <v>2.1394477E7</v>
      </c>
      <c r="T2010" s="12">
        <v>7.6772279705E10</v>
      </c>
      <c r="U2010" s="13">
        <v>4.9672</v>
      </c>
      <c r="V2010" s="13">
        <v>19.2541</v>
      </c>
      <c r="W2010" s="13">
        <v>16.3327</v>
      </c>
      <c r="X2010" s="13">
        <v>42.0873</v>
      </c>
      <c r="Y2010" s="13">
        <v>0.3519</v>
      </c>
      <c r="Z2010" s="13">
        <v>2.0061</v>
      </c>
      <c r="AA2010" s="8" t="s">
        <v>2620</v>
      </c>
      <c r="AB2010" s="14">
        <f>IFERROR(__xludf.DUMMYFUNCTION("IFERROR(GOOGLEFINANCE(B2010,""price""),"""")"),128.49)</f>
        <v>128.49</v>
      </c>
    </row>
    <row r="2011">
      <c r="A2011" s="15">
        <v>46111.66747488683</v>
      </c>
      <c r="B2011" s="16" t="s">
        <v>2139</v>
      </c>
      <c r="C2011" s="16" t="s">
        <v>2140</v>
      </c>
      <c r="D2011" s="17">
        <v>46117.0</v>
      </c>
      <c r="E2011" s="18">
        <v>60.68</v>
      </c>
      <c r="F2011" s="16" t="s">
        <v>270</v>
      </c>
      <c r="G2011" s="21">
        <v>23.2937</v>
      </c>
      <c r="H2011" s="21">
        <v>2.605</v>
      </c>
      <c r="I2011" s="17">
        <v>46129.0</v>
      </c>
      <c r="J2011" s="18">
        <v>60.0</v>
      </c>
      <c r="K2011" s="16">
        <v>3320.0</v>
      </c>
      <c r="L2011" s="16" t="s">
        <v>2608</v>
      </c>
      <c r="M2011" s="19">
        <v>1.12</v>
      </c>
      <c r="N2011" s="16" t="s">
        <v>4557</v>
      </c>
      <c r="O2011" s="16">
        <v>4608.0</v>
      </c>
      <c r="P2011" s="19">
        <v>24.2012</v>
      </c>
      <c r="Q2011" s="16" t="s">
        <v>2141</v>
      </c>
      <c r="R2011" s="19">
        <v>-4.0177</v>
      </c>
      <c r="S2011" s="20">
        <v>9672567.0</v>
      </c>
      <c r="T2011" s="20">
        <v>5.9966192659E10</v>
      </c>
      <c r="U2011" s="21">
        <v>2.1262</v>
      </c>
      <c r="V2011" s="21">
        <v>14.4868</v>
      </c>
      <c r="W2011" s="21">
        <v>12.8259</v>
      </c>
      <c r="X2011" s="21">
        <v>-0.345</v>
      </c>
      <c r="Y2011" s="21">
        <v>0.3558</v>
      </c>
      <c r="Z2011" s="21">
        <v>1.3568</v>
      </c>
      <c r="AA2011" s="16" t="s">
        <v>2611</v>
      </c>
      <c r="AB2011" s="22">
        <f>IFERROR(__xludf.DUMMYFUNCTION("IFERROR(GOOGLEFINANCE(B2011,""price""),"""")"),62.83)</f>
        <v>62.83</v>
      </c>
    </row>
    <row r="2012">
      <c r="A2012" s="7">
        <v>46111.66747488683</v>
      </c>
      <c r="B2012" s="8" t="s">
        <v>1612</v>
      </c>
      <c r="C2012" s="8" t="s">
        <v>1613</v>
      </c>
      <c r="D2012" s="9">
        <v>46117.0</v>
      </c>
      <c r="E2012" s="10">
        <v>73.72</v>
      </c>
      <c r="F2012" s="8" t="s">
        <v>137</v>
      </c>
      <c r="G2012" s="13">
        <v>47.9729</v>
      </c>
      <c r="H2012" s="13">
        <v>1.5367</v>
      </c>
      <c r="I2012" s="9">
        <v>46114.0</v>
      </c>
      <c r="J2012" s="10">
        <v>74.0</v>
      </c>
      <c r="K2012" s="8">
        <v>4529.0</v>
      </c>
      <c r="L2012" s="8" t="s">
        <v>2608</v>
      </c>
      <c r="M2012" s="11">
        <v>0.38</v>
      </c>
      <c r="N2012" s="8" t="s">
        <v>4558</v>
      </c>
      <c r="O2012" s="8">
        <v>4529.0</v>
      </c>
      <c r="P2012" s="11">
        <v>25.1341</v>
      </c>
      <c r="Q2012" s="8" t="s">
        <v>1614</v>
      </c>
      <c r="R2012" s="11">
        <v>0.6829</v>
      </c>
      <c r="S2012" s="12">
        <v>4311108.0</v>
      </c>
      <c r="T2012" s="12">
        <v>4.6653642484E10</v>
      </c>
      <c r="U2012" s="13">
        <v>1.9195</v>
      </c>
      <c r="V2012" s="13">
        <v>14.12</v>
      </c>
      <c r="W2012" s="13">
        <v>3.2288</v>
      </c>
      <c r="X2012" s="13">
        <v>0.3528</v>
      </c>
      <c r="Y2012" s="13">
        <v>4.1577</v>
      </c>
      <c r="Z2012" s="13">
        <v>0.802</v>
      </c>
      <c r="AA2012" s="8" t="s">
        <v>2620</v>
      </c>
      <c r="AB2012" s="14">
        <f>IFERROR(__xludf.DUMMYFUNCTION("IFERROR(GOOGLEFINANCE(B2012,""price""),"""")"),67.99)</f>
        <v>67.99</v>
      </c>
    </row>
    <row r="2013">
      <c r="A2013" s="15">
        <v>46111.66747488683</v>
      </c>
      <c r="B2013" s="16" t="s">
        <v>4519</v>
      </c>
      <c r="C2013" s="16" t="s">
        <v>4520</v>
      </c>
      <c r="D2013" s="17">
        <v>46117.0</v>
      </c>
      <c r="E2013" s="18">
        <v>158.58</v>
      </c>
      <c r="F2013" s="16" t="s">
        <v>308</v>
      </c>
      <c r="G2013" s="21">
        <v>81.7844</v>
      </c>
      <c r="H2013" s="21">
        <v>1.939</v>
      </c>
      <c r="I2013" s="17">
        <v>46129.0</v>
      </c>
      <c r="J2013" s="18">
        <v>160.0</v>
      </c>
      <c r="K2013" s="16">
        <v>2379.0</v>
      </c>
      <c r="L2013" s="16" t="s">
        <v>2627</v>
      </c>
      <c r="M2013" s="19">
        <v>0.9</v>
      </c>
      <c r="N2013" s="16" t="s">
        <v>4559</v>
      </c>
      <c r="O2013" s="16">
        <v>3755.0</v>
      </c>
      <c r="P2013" s="19">
        <v>30.0443</v>
      </c>
      <c r="Q2013" s="16" t="s">
        <v>4522</v>
      </c>
      <c r="R2013" s="19">
        <v>-7.7594</v>
      </c>
      <c r="S2013" s="20">
        <v>5162292.0</v>
      </c>
      <c r="T2013" s="20">
        <v>1.7722364978E10</v>
      </c>
      <c r="U2013" s="21">
        <v>12.9083</v>
      </c>
      <c r="V2013" s="21">
        <v>7.9126</v>
      </c>
      <c r="W2013" s="21">
        <v>12.3984</v>
      </c>
      <c r="X2013" s="21">
        <v>9.0509</v>
      </c>
      <c r="Y2013" s="21">
        <v>0.0553</v>
      </c>
      <c r="Z2013" s="21">
        <v>6.4821</v>
      </c>
      <c r="AA2013" s="16" t="s">
        <v>2620</v>
      </c>
      <c r="AB2013" s="22">
        <f>IFERROR(__xludf.DUMMYFUNCTION("IFERROR(GOOGLEFINANCE(B2013,""price""),"""")"),203.59)</f>
        <v>203.59</v>
      </c>
    </row>
    <row r="2014">
      <c r="A2014" s="7">
        <v>46111.66747488683</v>
      </c>
      <c r="B2014" s="8" t="s">
        <v>3944</v>
      </c>
      <c r="C2014" s="8" t="s">
        <v>3945</v>
      </c>
      <c r="D2014" s="9">
        <v>46117.0</v>
      </c>
      <c r="E2014" s="10">
        <v>131.71</v>
      </c>
      <c r="F2014" s="8" t="s">
        <v>917</v>
      </c>
      <c r="G2014" s="13">
        <v>20.8656</v>
      </c>
      <c r="H2014" s="13">
        <v>6.3123</v>
      </c>
      <c r="I2014" s="9">
        <v>46129.0</v>
      </c>
      <c r="J2014" s="10">
        <v>130.0</v>
      </c>
      <c r="K2014" s="8">
        <v>2875.0</v>
      </c>
      <c r="L2014" s="8" t="s">
        <v>2608</v>
      </c>
      <c r="M2014" s="11">
        <v>1.3</v>
      </c>
      <c r="N2014" s="8" t="s">
        <v>4560</v>
      </c>
      <c r="O2014" s="8">
        <v>2875.0</v>
      </c>
      <c r="P2014" s="11">
        <v>19.3089</v>
      </c>
      <c r="Q2014" s="8" t="s">
        <v>3947</v>
      </c>
      <c r="R2014" s="11">
        <v>1.3232</v>
      </c>
      <c r="S2014" s="12">
        <v>3963860.0</v>
      </c>
      <c r="T2014" s="12">
        <v>1.02427038362E11</v>
      </c>
      <c r="U2014" s="13">
        <v>2.2242</v>
      </c>
      <c r="V2014" s="13">
        <v>9.7422</v>
      </c>
      <c r="W2014" s="13">
        <v>26.6061</v>
      </c>
      <c r="X2014" s="13">
        <v>6.193</v>
      </c>
      <c r="Y2014" s="13">
        <v>1.7574</v>
      </c>
      <c r="Z2014" s="13">
        <v>0.5518</v>
      </c>
      <c r="AA2014" s="8" t="s">
        <v>2611</v>
      </c>
      <c r="AB2014" s="14">
        <f>IFERROR(__xludf.DUMMYFUNCTION("IFERROR(GOOGLEFINANCE(B2014,""price""),"""")"),131.79)</f>
        <v>131.79</v>
      </c>
    </row>
    <row r="2015">
      <c r="A2015" s="15">
        <v>46111.66747488683</v>
      </c>
      <c r="B2015" s="16" t="s">
        <v>2297</v>
      </c>
      <c r="C2015" s="16" t="s">
        <v>2298</v>
      </c>
      <c r="D2015" s="17">
        <v>46117.0</v>
      </c>
      <c r="E2015" s="18">
        <v>111.06</v>
      </c>
      <c r="F2015" s="16" t="s">
        <v>917</v>
      </c>
      <c r="G2015" s="21">
        <v>28.3867</v>
      </c>
      <c r="H2015" s="21">
        <v>3.9124</v>
      </c>
      <c r="I2015" s="17">
        <v>46129.0</v>
      </c>
      <c r="J2015" s="18">
        <v>110.0</v>
      </c>
      <c r="K2015" s="16">
        <v>2844.0</v>
      </c>
      <c r="L2015" s="16" t="s">
        <v>2608</v>
      </c>
      <c r="M2015" s="19">
        <v>0.95</v>
      </c>
      <c r="N2015" s="16" t="s">
        <v>4561</v>
      </c>
      <c r="O2015" s="16">
        <v>2844.0</v>
      </c>
      <c r="P2015" s="19">
        <v>24.432</v>
      </c>
      <c r="Q2015" s="16" t="s">
        <v>2299</v>
      </c>
      <c r="R2015" s="19">
        <v>1.0739</v>
      </c>
      <c r="S2015" s="20">
        <v>3559925.0</v>
      </c>
      <c r="T2015" s="20">
        <v>5.0309050111E10</v>
      </c>
      <c r="U2015" s="21">
        <v>2.6722</v>
      </c>
      <c r="V2015" s="21">
        <v>10.931</v>
      </c>
      <c r="W2015" s="21">
        <v>22.9697</v>
      </c>
      <c r="X2015" s="21">
        <v>8.3782</v>
      </c>
      <c r="Y2015" s="21">
        <v>1.8276</v>
      </c>
      <c r="Z2015" s="21">
        <v>0.7243</v>
      </c>
      <c r="AA2015" s="16" t="s">
        <v>2611</v>
      </c>
      <c r="AB2015" s="22">
        <f>IFERROR(__xludf.DUMMYFUNCTION("IFERROR(GOOGLEFINANCE(B2015,""price""),"""")"),116.47)</f>
        <v>116.47</v>
      </c>
    </row>
    <row r="2016">
      <c r="A2016" s="7">
        <v>46111.66747488683</v>
      </c>
      <c r="B2016" s="8" t="s">
        <v>2399</v>
      </c>
      <c r="C2016" s="8" t="s">
        <v>2400</v>
      </c>
      <c r="D2016" s="9">
        <v>46117.0</v>
      </c>
      <c r="E2016" s="10">
        <v>19.59</v>
      </c>
      <c r="F2016" s="8" t="s">
        <v>270</v>
      </c>
      <c r="G2016" s="13">
        <v>16.2142</v>
      </c>
      <c r="H2016" s="13">
        <v>1.2082</v>
      </c>
      <c r="I2016" s="9">
        <v>46114.0</v>
      </c>
      <c r="J2016" s="10">
        <v>19.5</v>
      </c>
      <c r="K2016" s="8">
        <v>2607.0</v>
      </c>
      <c r="L2016" s="8" t="s">
        <v>2608</v>
      </c>
      <c r="M2016" s="11">
        <v>0.46</v>
      </c>
      <c r="N2016" s="8" t="s">
        <v>4562</v>
      </c>
      <c r="O2016" s="8">
        <v>2607.0</v>
      </c>
      <c r="P2016" s="11">
        <v>24.9829</v>
      </c>
      <c r="Q2016" s="8" t="s">
        <v>2401</v>
      </c>
      <c r="R2016" s="11">
        <v>-0.4067</v>
      </c>
      <c r="S2016" s="12">
        <v>1.6113378E7</v>
      </c>
      <c r="T2016" s="12">
        <v>6.7395760398E10</v>
      </c>
      <c r="U2016" s="13">
        <v>0.3411</v>
      </c>
      <c r="V2016" s="13">
        <v>12.7475</v>
      </c>
      <c r="W2016" s="13">
        <v>10.8866</v>
      </c>
      <c r="X2016" s="13">
        <v>3.4655</v>
      </c>
      <c r="Y2016" s="13">
        <v>2.0395</v>
      </c>
      <c r="Z2016" s="13">
        <v>1.2192</v>
      </c>
      <c r="AA2016" s="8" t="s">
        <v>2611</v>
      </c>
      <c r="AB2016" s="14">
        <f>IFERROR(__xludf.DUMMYFUNCTION("IFERROR(GOOGLEFINANCE(B2016,""price""),"""")"),19.19)</f>
        <v>19.19</v>
      </c>
    </row>
    <row r="2017">
      <c r="A2017" s="15">
        <v>46111.66747488683</v>
      </c>
      <c r="B2017" s="16" t="s">
        <v>4438</v>
      </c>
      <c r="C2017" s="16" t="s">
        <v>4439</v>
      </c>
      <c r="D2017" s="17">
        <v>46117.0</v>
      </c>
      <c r="E2017" s="18">
        <v>63.05</v>
      </c>
      <c r="F2017" s="16" t="s">
        <v>245</v>
      </c>
      <c r="G2017" s="21">
        <v>20.6032</v>
      </c>
      <c r="H2017" s="21">
        <v>3.0602</v>
      </c>
      <c r="I2017" s="17">
        <v>46129.0</v>
      </c>
      <c r="J2017" s="18">
        <v>62.5</v>
      </c>
      <c r="K2017" s="16">
        <v>1770.0</v>
      </c>
      <c r="L2017" s="16" t="s">
        <v>2608</v>
      </c>
      <c r="M2017" s="19">
        <v>0.87</v>
      </c>
      <c r="N2017" s="16" t="s">
        <v>4563</v>
      </c>
      <c r="O2017" s="16">
        <v>1770.0</v>
      </c>
      <c r="P2017" s="19">
        <v>20.5438</v>
      </c>
      <c r="Q2017" s="16" t="s">
        <v>4441</v>
      </c>
      <c r="R2017" s="19">
        <v>-1.0825</v>
      </c>
      <c r="S2017" s="20">
        <v>1699479.0</v>
      </c>
      <c r="T2017" s="20">
        <v>1.136622514E10</v>
      </c>
      <c r="U2017" s="21">
        <v>2.4423</v>
      </c>
      <c r="V2017" s="21">
        <v>6.2073</v>
      </c>
      <c r="W2017" s="21">
        <v>3.4166</v>
      </c>
      <c r="X2017" s="21">
        <v>-6.0035</v>
      </c>
      <c r="Y2017" s="21">
        <v>0.3519</v>
      </c>
      <c r="Z2017" s="21">
        <v>1.9364</v>
      </c>
      <c r="AA2017" s="16" t="s">
        <v>2611</v>
      </c>
      <c r="AB2017" s="22">
        <f>IFERROR(__xludf.DUMMYFUNCTION("IFERROR(GOOGLEFINANCE(B2017,""price""),"""")"),57.51)</f>
        <v>57.51</v>
      </c>
    </row>
    <row r="2018">
      <c r="A2018" s="7">
        <v>46111.66747488683</v>
      </c>
      <c r="B2018" s="8" t="s">
        <v>2188</v>
      </c>
      <c r="C2018" s="8" t="s">
        <v>2189</v>
      </c>
      <c r="D2018" s="9">
        <v>46117.0</v>
      </c>
      <c r="E2018" s="10">
        <v>499.26</v>
      </c>
      <c r="F2018" s="8" t="s">
        <v>107</v>
      </c>
      <c r="G2018" s="13">
        <v>34.2022</v>
      </c>
      <c r="H2018" s="13">
        <v>14.5973</v>
      </c>
      <c r="I2018" s="9">
        <v>46129.0</v>
      </c>
      <c r="J2018" s="10">
        <v>490.0</v>
      </c>
      <c r="K2018" s="8">
        <v>1512.0</v>
      </c>
      <c r="L2018" s="8" t="s">
        <v>2627</v>
      </c>
      <c r="M2018" s="11">
        <v>1.85</v>
      </c>
      <c r="N2018" s="8" t="s">
        <v>4564</v>
      </c>
      <c r="O2018" s="8">
        <v>1512.0</v>
      </c>
      <c r="P2018" s="11">
        <v>16.3117</v>
      </c>
      <c r="Q2018" s="8" t="s">
        <v>2190</v>
      </c>
      <c r="R2018" s="11">
        <v>1.6574</v>
      </c>
      <c r="S2018" s="12">
        <v>2454086.0</v>
      </c>
      <c r="T2018" s="12">
        <v>2.31354168537E11</v>
      </c>
      <c r="U2018" s="13">
        <v>10.4522</v>
      </c>
      <c r="V2018" s="13">
        <v>18.0725</v>
      </c>
      <c r="W2018" s="13">
        <v>27.2289</v>
      </c>
      <c r="X2018" s="13">
        <v>2.9723</v>
      </c>
      <c r="Y2018" s="13">
        <v>0.7339</v>
      </c>
      <c r="Z2018" s="13">
        <v>0.8768</v>
      </c>
      <c r="AA2018" s="8" t="s">
        <v>2611</v>
      </c>
      <c r="AB2018" s="14">
        <f>IFERROR(__xludf.DUMMYFUNCTION("IFERROR(GOOGLEFINANCE(B2018,""price""),"""")"),503.15)</f>
        <v>503.15</v>
      </c>
    </row>
    <row r="2019">
      <c r="A2019" s="15">
        <v>46111.66747488683</v>
      </c>
      <c r="B2019" s="16" t="s">
        <v>3242</v>
      </c>
      <c r="C2019" s="16" t="s">
        <v>3243</v>
      </c>
      <c r="D2019" s="17">
        <v>46117.0</v>
      </c>
      <c r="E2019" s="18">
        <v>113.39</v>
      </c>
      <c r="F2019" s="16" t="s">
        <v>917</v>
      </c>
      <c r="G2019" s="21">
        <v>20.0591</v>
      </c>
      <c r="H2019" s="21">
        <v>5.6528</v>
      </c>
      <c r="I2019" s="17">
        <v>46129.0</v>
      </c>
      <c r="J2019" s="18">
        <v>115.0</v>
      </c>
      <c r="K2019" s="16">
        <v>1254.0</v>
      </c>
      <c r="L2019" s="16" t="s">
        <v>2608</v>
      </c>
      <c r="M2019" s="19">
        <v>1.42</v>
      </c>
      <c r="N2019" s="16" t="s">
        <v>4565</v>
      </c>
      <c r="O2019" s="16">
        <v>1254.0</v>
      </c>
      <c r="P2019" s="19">
        <v>16.217</v>
      </c>
      <c r="Q2019" s="16" t="s">
        <v>3245</v>
      </c>
      <c r="R2019" s="19">
        <v>1.5312</v>
      </c>
      <c r="S2019" s="20">
        <v>2268419.0</v>
      </c>
      <c r="T2019" s="20">
        <v>4.0968110242E10</v>
      </c>
      <c r="U2019" s="21">
        <v>2.1371</v>
      </c>
      <c r="V2019" s="21">
        <v>8.7624</v>
      </c>
      <c r="W2019" s="21">
        <v>17.3247</v>
      </c>
      <c r="X2019" s="21">
        <v>10.8577</v>
      </c>
      <c r="Y2019" s="21">
        <v>1.173</v>
      </c>
      <c r="Z2019" s="21">
        <v>1.0206</v>
      </c>
      <c r="AA2019" s="16" t="s">
        <v>2620</v>
      </c>
      <c r="AB2019" s="22">
        <f>IFERROR(__xludf.DUMMYFUNCTION("IFERROR(GOOGLEFINANCE(B2019,""price""),"""")"),113.56)</f>
        <v>113.56</v>
      </c>
    </row>
    <row r="2020">
      <c r="A2020" s="7">
        <v>46111.66747488683</v>
      </c>
      <c r="B2020" s="8" t="s">
        <v>1766</v>
      </c>
      <c r="C2020" s="8" t="s">
        <v>1767</v>
      </c>
      <c r="D2020" s="9">
        <v>46117.0</v>
      </c>
      <c r="E2020" s="10">
        <v>96.58</v>
      </c>
      <c r="F2020" s="8" t="s">
        <v>917</v>
      </c>
      <c r="G2020" s="13">
        <v>35.143</v>
      </c>
      <c r="H2020" s="13">
        <v>2.7482</v>
      </c>
      <c r="I2020" s="9">
        <v>46129.0</v>
      </c>
      <c r="J2020" s="10">
        <v>95.0</v>
      </c>
      <c r="K2020" s="8">
        <v>1252.0</v>
      </c>
      <c r="L2020" s="8" t="s">
        <v>2608</v>
      </c>
      <c r="M2020" s="11">
        <v>1.64</v>
      </c>
      <c r="N2020" s="8" t="s">
        <v>4566</v>
      </c>
      <c r="O2020" s="8">
        <v>1252.0</v>
      </c>
      <c r="P2020" s="11">
        <v>15.5603</v>
      </c>
      <c r="Q2020" s="8" t="s">
        <v>1768</v>
      </c>
      <c r="R2020" s="11">
        <v>0.7301</v>
      </c>
      <c r="S2020" s="12">
        <v>3302023.0</v>
      </c>
      <c r="T2020" s="12">
        <v>6.3094178372E10</v>
      </c>
      <c r="U2020" s="13">
        <v>2.0804</v>
      </c>
      <c r="V2020" s="13">
        <v>5.8451</v>
      </c>
      <c r="W2020" s="13">
        <v>23.7349</v>
      </c>
      <c r="X2020" s="13">
        <v>5.8424</v>
      </c>
      <c r="Y2020" s="13">
        <v>1.1478</v>
      </c>
      <c r="Z2020" s="13">
        <v>1.5912</v>
      </c>
      <c r="AA2020" s="8" t="s">
        <v>2611</v>
      </c>
      <c r="AB2020" s="14">
        <f>IFERROR(__xludf.DUMMYFUNCTION("IFERROR(GOOGLEFINANCE(B2020,""price""),"""")"),98.82)</f>
        <v>98.82</v>
      </c>
    </row>
    <row r="2021">
      <c r="A2021" s="15">
        <v>46111.66747488683</v>
      </c>
      <c r="B2021" s="16" t="s">
        <v>2646</v>
      </c>
      <c r="C2021" s="16" t="s">
        <v>2647</v>
      </c>
      <c r="D2021" s="17">
        <v>46117.0</v>
      </c>
      <c r="E2021" s="18">
        <v>39.08</v>
      </c>
      <c r="F2021" s="16" t="s">
        <v>270</v>
      </c>
      <c r="G2021" s="21">
        <v>14.7572</v>
      </c>
      <c r="H2021" s="21">
        <v>2.6482</v>
      </c>
      <c r="I2021" s="17">
        <v>46114.0</v>
      </c>
      <c r="J2021" s="18">
        <v>39.5</v>
      </c>
      <c r="K2021" s="16">
        <v>1024.0</v>
      </c>
      <c r="L2021" s="16" t="s">
        <v>2608</v>
      </c>
      <c r="M2021" s="19">
        <v>1.07</v>
      </c>
      <c r="N2021" s="16" t="s">
        <v>4567</v>
      </c>
      <c r="O2021" s="16">
        <v>1024.0</v>
      </c>
      <c r="P2021" s="19">
        <v>42.2292</v>
      </c>
      <c r="Q2021" s="16" t="s">
        <v>2649</v>
      </c>
      <c r="R2021" s="19">
        <v>-0.5092</v>
      </c>
      <c r="S2021" s="20">
        <v>4880789.0</v>
      </c>
      <c r="T2021" s="20">
        <v>8.4481607179E10</v>
      </c>
      <c r="U2021" s="21">
        <v>0.7076</v>
      </c>
      <c r="V2021" s="21">
        <v>19.6987</v>
      </c>
      <c r="W2021" s="21">
        <v>12.3812</v>
      </c>
      <c r="X2021" s="21">
        <v>-6.474</v>
      </c>
      <c r="Y2021" s="21">
        <v>1.1744</v>
      </c>
      <c r="Z2021" s="21">
        <v>1.0411</v>
      </c>
      <c r="AA2021" s="16" t="s">
        <v>2620</v>
      </c>
      <c r="AB2021" s="22">
        <f>IFERROR(__xludf.DUMMYFUNCTION("IFERROR(GOOGLEFINANCE(B2021,""price""),"""")"),37.35)</f>
        <v>37.35</v>
      </c>
    </row>
    <row r="2022">
      <c r="A2022" s="7">
        <v>46112.66759356754</v>
      </c>
      <c r="B2022" s="8" t="s">
        <v>2638</v>
      </c>
      <c r="C2022" s="8" t="s">
        <v>2639</v>
      </c>
      <c r="D2022" s="9">
        <v>46117.0</v>
      </c>
      <c r="E2022" s="10">
        <v>169.66</v>
      </c>
      <c r="F2022" s="8" t="s">
        <v>245</v>
      </c>
      <c r="G2022" s="13">
        <v>25.3421</v>
      </c>
      <c r="H2022" s="13">
        <v>6.6948</v>
      </c>
      <c r="I2022" s="9">
        <v>46114.0</v>
      </c>
      <c r="J2022" s="10">
        <v>170.0</v>
      </c>
      <c r="K2022" s="8">
        <v>2819.0</v>
      </c>
      <c r="L2022" s="8" t="s">
        <v>2608</v>
      </c>
      <c r="M2022" s="11">
        <v>0.2</v>
      </c>
      <c r="N2022" s="8" t="s">
        <v>4568</v>
      </c>
      <c r="O2022" s="8">
        <v>11762.0</v>
      </c>
      <c r="P2022" s="11">
        <v>34.8402</v>
      </c>
      <c r="Q2022" s="8" t="s">
        <v>2641</v>
      </c>
      <c r="R2022" s="11">
        <v>-1.0556</v>
      </c>
      <c r="S2022" s="12">
        <v>3.1897962E7</v>
      </c>
      <c r="T2022" s="12">
        <v>7.06933147281E11</v>
      </c>
      <c r="U2022" s="13">
        <v>4.5773</v>
      </c>
      <c r="V2022" s="13">
        <v>11.0283</v>
      </c>
      <c r="W2022" s="13">
        <v>10.3419</v>
      </c>
      <c r="X2022" s="13">
        <v>-4.856</v>
      </c>
      <c r="Y2022" s="13">
        <v>0.1871</v>
      </c>
      <c r="Z2022" s="13">
        <v>1.1528</v>
      </c>
      <c r="AA2022" s="8" t="s">
        <v>2620</v>
      </c>
      <c r="AB2022" s="14">
        <f>IFERROR(__xludf.DUMMYFUNCTION("IFERROR(GOOGLEFINANCE(B2022,""price""),"""")"),152.51)</f>
        <v>152.51</v>
      </c>
    </row>
    <row r="2023">
      <c r="A2023" s="15">
        <v>46112.66759356754</v>
      </c>
      <c r="B2023" s="16" t="s">
        <v>3697</v>
      </c>
      <c r="C2023" s="16" t="s">
        <v>3698</v>
      </c>
      <c r="D2023" s="17">
        <v>46117.0</v>
      </c>
      <c r="E2023" s="18">
        <v>49.02</v>
      </c>
      <c r="F2023" s="16" t="s">
        <v>917</v>
      </c>
      <c r="G2023" s="21">
        <v>17.9239</v>
      </c>
      <c r="H2023" s="21">
        <v>2.7349</v>
      </c>
      <c r="I2023" s="17">
        <v>46129.0</v>
      </c>
      <c r="J2023" s="18">
        <v>49.0</v>
      </c>
      <c r="K2023" s="16">
        <v>9423.0</v>
      </c>
      <c r="L2023" s="16" t="s">
        <v>2608</v>
      </c>
      <c r="M2023" s="19">
        <v>0.04</v>
      </c>
      <c r="N2023" s="16" t="s">
        <v>4569</v>
      </c>
      <c r="O2023" s="16">
        <v>9423.0</v>
      </c>
      <c r="P2023" s="19">
        <v>21.2454</v>
      </c>
      <c r="Q2023" s="16" t="s">
        <v>3700</v>
      </c>
      <c r="R2023" s="19">
        <v>-0.1833</v>
      </c>
      <c r="S2023" s="20">
        <v>9323253.0</v>
      </c>
      <c r="T2023" s="20">
        <v>5.0142193863E10</v>
      </c>
      <c r="U2023" s="21">
        <v>0.9731</v>
      </c>
      <c r="V2023" s="21">
        <v>9.9356</v>
      </c>
      <c r="W2023" s="21">
        <v>21.2054</v>
      </c>
      <c r="X2023" s="21">
        <v>5.3367</v>
      </c>
      <c r="Y2023" s="21">
        <v>1.7554</v>
      </c>
      <c r="Z2023" s="21">
        <v>0.924</v>
      </c>
      <c r="AA2023" s="16" t="s">
        <v>2611</v>
      </c>
      <c r="AB2023" s="22">
        <f>IFERROR(__xludf.DUMMYFUNCTION("IFERROR(GOOGLEFINANCE(B2023,""price""),"""")"),48.57)</f>
        <v>48.57</v>
      </c>
    </row>
    <row r="2024">
      <c r="A2024" s="7">
        <v>46112.66759356754</v>
      </c>
      <c r="B2024" s="8" t="s">
        <v>2634</v>
      </c>
      <c r="C2024" s="8" t="s">
        <v>2635</v>
      </c>
      <c r="D2024" s="9">
        <v>46117.0</v>
      </c>
      <c r="E2024" s="10">
        <v>206.9</v>
      </c>
      <c r="F2024" s="8" t="s">
        <v>245</v>
      </c>
      <c r="G2024" s="13">
        <v>31.1221</v>
      </c>
      <c r="H2024" s="13">
        <v>6.648</v>
      </c>
      <c r="I2024" s="9">
        <v>46114.0</v>
      </c>
      <c r="J2024" s="10">
        <v>210.0</v>
      </c>
      <c r="K2024" s="8">
        <v>2277.0</v>
      </c>
      <c r="L2024" s="8" t="s">
        <v>2608</v>
      </c>
      <c r="M2024" s="11">
        <v>1.5</v>
      </c>
      <c r="N2024" s="8" t="s">
        <v>4570</v>
      </c>
      <c r="O2024" s="8">
        <v>8415.0</v>
      </c>
      <c r="P2024" s="11">
        <v>44.0187</v>
      </c>
      <c r="Q2024" s="8" t="s">
        <v>2637</v>
      </c>
      <c r="R2024" s="11">
        <v>-1.8082</v>
      </c>
      <c r="S2024" s="12">
        <v>1.7269764E7</v>
      </c>
      <c r="T2024" s="12">
        <v>4.12845247612E11</v>
      </c>
      <c r="U2024" s="13">
        <v>4.716</v>
      </c>
      <c r="V2024" s="13">
        <v>7.261</v>
      </c>
      <c r="W2024" s="13">
        <v>8.8802</v>
      </c>
      <c r="X2024" s="13">
        <v>-4.6193</v>
      </c>
      <c r="Y2024" s="13">
        <v>0.2507</v>
      </c>
      <c r="Z2024" s="13">
        <v>1.1547</v>
      </c>
      <c r="AA2024" s="8" t="s">
        <v>2620</v>
      </c>
      <c r="AB2024" s="14">
        <f>IFERROR(__xludf.DUMMYFUNCTION("IFERROR(GOOGLEFINANCE(B2024,""price""),"""")"),188.55)</f>
        <v>188.55</v>
      </c>
    </row>
    <row r="2025">
      <c r="A2025" s="15">
        <v>46112.66759356754</v>
      </c>
      <c r="B2025" s="16" t="s">
        <v>1612</v>
      </c>
      <c r="C2025" s="16" t="s">
        <v>1613</v>
      </c>
      <c r="D2025" s="17">
        <v>46117.0</v>
      </c>
      <c r="E2025" s="18">
        <v>72.345</v>
      </c>
      <c r="F2025" s="16" t="s">
        <v>137</v>
      </c>
      <c r="G2025" s="21">
        <v>47.0782</v>
      </c>
      <c r="H2025" s="21">
        <v>1.5367</v>
      </c>
      <c r="I2025" s="17">
        <v>46114.0</v>
      </c>
      <c r="J2025" s="18">
        <v>72.0</v>
      </c>
      <c r="K2025" s="16">
        <v>5109.0</v>
      </c>
      <c r="L2025" s="16" t="s">
        <v>2608</v>
      </c>
      <c r="M2025" s="19">
        <v>0.48</v>
      </c>
      <c r="N2025" s="16" t="s">
        <v>4571</v>
      </c>
      <c r="O2025" s="16">
        <v>6342.0</v>
      </c>
      <c r="P2025" s="19">
        <v>24.0887</v>
      </c>
      <c r="Q2025" s="16" t="s">
        <v>1614</v>
      </c>
      <c r="R2025" s="19">
        <v>-1.8652</v>
      </c>
      <c r="S2025" s="20">
        <v>6691147.0</v>
      </c>
      <c r="T2025" s="20">
        <v>4.5783474844E10</v>
      </c>
      <c r="U2025" s="21">
        <v>1.9342</v>
      </c>
      <c r="V2025" s="21">
        <v>14.12</v>
      </c>
      <c r="W2025" s="21">
        <v>3.2288</v>
      </c>
      <c r="X2025" s="21">
        <v>0.3528</v>
      </c>
      <c r="Y2025" s="21">
        <v>4.1577</v>
      </c>
      <c r="Z2025" s="21">
        <v>0.802</v>
      </c>
      <c r="AA2025" s="16" t="s">
        <v>2611</v>
      </c>
      <c r="AB2025" s="22">
        <f>IFERROR(__xludf.DUMMYFUNCTION("IFERROR(GOOGLEFINANCE(B2025,""price""),"""")"),67.99)</f>
        <v>67.99</v>
      </c>
    </row>
    <row r="2026">
      <c r="A2026" s="7">
        <v>46112.66759356754</v>
      </c>
      <c r="B2026" s="8" t="s">
        <v>3802</v>
      </c>
      <c r="C2026" s="8" t="s">
        <v>3803</v>
      </c>
      <c r="D2026" s="9">
        <v>46117.0</v>
      </c>
      <c r="E2026" s="10">
        <v>54.11</v>
      </c>
      <c r="F2026" s="8" t="s">
        <v>270</v>
      </c>
      <c r="G2026" s="13">
        <v>83.4773</v>
      </c>
      <c r="H2026" s="13">
        <v>0.6482</v>
      </c>
      <c r="I2026" s="9">
        <v>46129.0</v>
      </c>
      <c r="J2026" s="10">
        <v>55.0</v>
      </c>
      <c r="K2026" s="8">
        <v>5499.0</v>
      </c>
      <c r="L2026" s="8" t="s">
        <v>2608</v>
      </c>
      <c r="M2026" s="11">
        <v>1.64</v>
      </c>
      <c r="N2026" s="8" t="s">
        <v>4572</v>
      </c>
      <c r="O2026" s="8">
        <v>5499.0</v>
      </c>
      <c r="P2026" s="11">
        <v>33.2368</v>
      </c>
      <c r="Q2026" s="8" t="s">
        <v>3805</v>
      </c>
      <c r="R2026" s="11">
        <v>0.0555</v>
      </c>
      <c r="S2026" s="12">
        <v>3495275.0</v>
      </c>
      <c r="T2026" s="12">
        <v>5.661121978E9</v>
      </c>
      <c r="U2026" s="13">
        <v>1.8701</v>
      </c>
      <c r="V2026" s="13">
        <v>3.4054</v>
      </c>
      <c r="W2026" s="13">
        <v>34.4448</v>
      </c>
      <c r="X2026" s="13">
        <v>51.1384</v>
      </c>
      <c r="Y2026" s="13">
        <v>1.5001</v>
      </c>
      <c r="Z2026" s="13">
        <v>2.5453</v>
      </c>
      <c r="AA2026" s="8" t="s">
        <v>2620</v>
      </c>
      <c r="AB2026" s="14">
        <f>IFERROR(__xludf.DUMMYFUNCTION("IFERROR(GOOGLEFINANCE(B2026,""price""),"""")"),53.28)</f>
        <v>53.28</v>
      </c>
    </row>
    <row r="2027">
      <c r="A2027" s="15">
        <v>46112.66759356754</v>
      </c>
      <c r="B2027" s="16" t="s">
        <v>2399</v>
      </c>
      <c r="C2027" s="16" t="s">
        <v>2400</v>
      </c>
      <c r="D2027" s="17">
        <v>46117.0</v>
      </c>
      <c r="E2027" s="18">
        <v>19.3</v>
      </c>
      <c r="F2027" s="16" t="s">
        <v>270</v>
      </c>
      <c r="G2027" s="21">
        <v>15.9742</v>
      </c>
      <c r="H2027" s="21">
        <v>1.2082</v>
      </c>
      <c r="I2027" s="17">
        <v>46114.0</v>
      </c>
      <c r="J2027" s="18">
        <v>19.5</v>
      </c>
      <c r="K2027" s="16">
        <v>2589.0</v>
      </c>
      <c r="L2027" s="16" t="s">
        <v>2608</v>
      </c>
      <c r="M2027" s="19">
        <v>1.04</v>
      </c>
      <c r="N2027" s="16" t="s">
        <v>4573</v>
      </c>
      <c r="O2027" s="16">
        <v>4812.0</v>
      </c>
      <c r="P2027" s="19">
        <v>24.228</v>
      </c>
      <c r="Q2027" s="16" t="s">
        <v>2401</v>
      </c>
      <c r="R2027" s="19">
        <v>-1.4803</v>
      </c>
      <c r="S2027" s="20">
        <v>1.9273024E7</v>
      </c>
      <c r="T2027" s="20">
        <v>6.6398069202E10</v>
      </c>
      <c r="U2027" s="21">
        <v>0.3675</v>
      </c>
      <c r="V2027" s="21">
        <v>12.7475</v>
      </c>
      <c r="W2027" s="21">
        <v>10.8866</v>
      </c>
      <c r="X2027" s="21">
        <v>3.4655</v>
      </c>
      <c r="Y2027" s="21">
        <v>2.0395</v>
      </c>
      <c r="Z2027" s="21">
        <v>1.2192</v>
      </c>
      <c r="AA2027" s="16" t="s">
        <v>2620</v>
      </c>
      <c r="AB2027" s="22">
        <f>IFERROR(__xludf.DUMMYFUNCTION("IFERROR(GOOGLEFINANCE(B2027,""price""),"""")"),19.19)</f>
        <v>19.19</v>
      </c>
    </row>
    <row r="2028">
      <c r="A2028" s="7">
        <v>46112.66759356754</v>
      </c>
      <c r="B2028" s="8" t="s">
        <v>2139</v>
      </c>
      <c r="C2028" s="8" t="s">
        <v>2140</v>
      </c>
      <c r="D2028" s="9">
        <v>46117.0</v>
      </c>
      <c r="E2028" s="10">
        <v>61.05</v>
      </c>
      <c r="F2028" s="8" t="s">
        <v>270</v>
      </c>
      <c r="G2028" s="13">
        <v>23.4357</v>
      </c>
      <c r="H2028" s="13">
        <v>2.605</v>
      </c>
      <c r="I2028" s="9">
        <v>46129.0</v>
      </c>
      <c r="J2028" s="10">
        <v>60.0</v>
      </c>
      <c r="K2028" s="8">
        <v>3317.0</v>
      </c>
      <c r="L2028" s="8" t="s">
        <v>2608</v>
      </c>
      <c r="M2028" s="11">
        <v>1.72</v>
      </c>
      <c r="N2028" s="8" t="s">
        <v>4574</v>
      </c>
      <c r="O2028" s="8">
        <v>4610.0</v>
      </c>
      <c r="P2028" s="11">
        <v>23.5109</v>
      </c>
      <c r="Q2028" s="8" t="s">
        <v>2141</v>
      </c>
      <c r="R2028" s="11">
        <v>0.6098</v>
      </c>
      <c r="S2028" s="12">
        <v>9878726.0</v>
      </c>
      <c r="T2028" s="12">
        <v>6.0331840175E10</v>
      </c>
      <c r="U2028" s="13">
        <v>2.1001</v>
      </c>
      <c r="V2028" s="13">
        <v>14.4868</v>
      </c>
      <c r="W2028" s="13">
        <v>12.8259</v>
      </c>
      <c r="X2028" s="13">
        <v>-0.345</v>
      </c>
      <c r="Y2028" s="13">
        <v>0.3558</v>
      </c>
      <c r="Z2028" s="13">
        <v>1.3568</v>
      </c>
      <c r="AA2028" s="8" t="s">
        <v>2611</v>
      </c>
      <c r="AB2028" s="14">
        <f>IFERROR(__xludf.DUMMYFUNCTION("IFERROR(GOOGLEFINANCE(B2028,""price""),"""")"),62.83)</f>
        <v>62.83</v>
      </c>
    </row>
    <row r="2029">
      <c r="A2029" s="15">
        <v>46112.66759356754</v>
      </c>
      <c r="B2029" s="16" t="s">
        <v>2658</v>
      </c>
      <c r="C2029" s="16" t="s">
        <v>2659</v>
      </c>
      <c r="D2029" s="17">
        <v>46117.0</v>
      </c>
      <c r="E2029" s="18">
        <v>92.88</v>
      </c>
      <c r="F2029" s="16" t="s">
        <v>917</v>
      </c>
      <c r="G2029" s="21">
        <v>28.1429</v>
      </c>
      <c r="H2029" s="21">
        <v>3.3003</v>
      </c>
      <c r="I2029" s="17">
        <v>46114.0</v>
      </c>
      <c r="J2029" s="18">
        <v>93.0</v>
      </c>
      <c r="K2029" s="16">
        <v>3914.0</v>
      </c>
      <c r="L2029" s="16" t="s">
        <v>2608</v>
      </c>
      <c r="M2029" s="19">
        <v>0.13</v>
      </c>
      <c r="N2029" s="16" t="s">
        <v>4575</v>
      </c>
      <c r="O2029" s="16">
        <v>3914.0</v>
      </c>
      <c r="P2029" s="19">
        <v>18.7508</v>
      </c>
      <c r="Q2029" s="16" t="s">
        <v>2661</v>
      </c>
      <c r="R2029" s="19">
        <v>0.9017</v>
      </c>
      <c r="S2029" s="20">
        <v>1.3709044E7</v>
      </c>
      <c r="T2029" s="20">
        <v>1.93517524051E11</v>
      </c>
      <c r="U2029" s="21">
        <v>2.0189</v>
      </c>
      <c r="V2029" s="21">
        <v>13.0533</v>
      </c>
      <c r="W2029" s="21">
        <v>26.8934</v>
      </c>
      <c r="X2029" s="21">
        <v>8.6905</v>
      </c>
      <c r="Y2029" s="21">
        <v>1.7594</v>
      </c>
      <c r="Z2029" s="21">
        <v>0.5953</v>
      </c>
      <c r="AA2029" s="16" t="s">
        <v>2620</v>
      </c>
      <c r="AB2029" s="22">
        <f>IFERROR(__xludf.DUMMYFUNCTION("IFERROR(GOOGLEFINANCE(B2029,""price""),"""")"),94.08)</f>
        <v>94.08</v>
      </c>
    </row>
    <row r="2030">
      <c r="A2030" s="7">
        <v>46112.66759356754</v>
      </c>
      <c r="B2030" s="8" t="s">
        <v>2692</v>
      </c>
      <c r="C2030" s="8" t="s">
        <v>2693</v>
      </c>
      <c r="D2030" s="9">
        <v>46117.0</v>
      </c>
      <c r="E2030" s="10">
        <v>244.44</v>
      </c>
      <c r="F2030" s="8" t="s">
        <v>117</v>
      </c>
      <c r="G2030" s="13">
        <v>22.1297</v>
      </c>
      <c r="H2030" s="13">
        <v>11.0458</v>
      </c>
      <c r="I2030" s="9">
        <v>46114.0</v>
      </c>
      <c r="J2030" s="10">
        <v>240.0</v>
      </c>
      <c r="K2030" s="8">
        <v>1768.0</v>
      </c>
      <c r="L2030" s="8" t="s">
        <v>2608</v>
      </c>
      <c r="M2030" s="11">
        <v>1.82</v>
      </c>
      <c r="N2030" s="8" t="s">
        <v>4576</v>
      </c>
      <c r="O2030" s="8">
        <v>2995.0</v>
      </c>
      <c r="P2030" s="11">
        <v>17.3106</v>
      </c>
      <c r="Q2030" s="8" t="s">
        <v>2695</v>
      </c>
      <c r="R2030" s="11">
        <v>0.8042</v>
      </c>
      <c r="S2030" s="12">
        <v>7547677.0</v>
      </c>
      <c r="T2030" s="12">
        <v>5.89075685942E11</v>
      </c>
      <c r="U2030" s="13">
        <v>4.0186</v>
      </c>
      <c r="V2030" s="13">
        <v>35.0301</v>
      </c>
      <c r="W2030" s="13">
        <v>27.2081</v>
      </c>
      <c r="X2030" s="13">
        <v>6.046</v>
      </c>
      <c r="Y2030" s="13">
        <v>0.605</v>
      </c>
      <c r="Z2030" s="13">
        <v>1.0277</v>
      </c>
      <c r="AA2030" s="8" t="s">
        <v>2611</v>
      </c>
      <c r="AB2030" s="14">
        <f>IFERROR(__xludf.DUMMYFUNCTION("IFERROR(GOOGLEFINANCE(B2030,""price""),"""")"),238.46)</f>
        <v>238.46</v>
      </c>
    </row>
    <row r="2031">
      <c r="A2031" s="15">
        <v>46112.66759356754</v>
      </c>
      <c r="B2031" s="16" t="s">
        <v>3944</v>
      </c>
      <c r="C2031" s="16" t="s">
        <v>3945</v>
      </c>
      <c r="D2031" s="17">
        <v>46117.0</v>
      </c>
      <c r="E2031" s="18">
        <v>130.94</v>
      </c>
      <c r="F2031" s="16" t="s">
        <v>917</v>
      </c>
      <c r="G2031" s="21">
        <v>20.7436</v>
      </c>
      <c r="H2031" s="21">
        <v>6.3123</v>
      </c>
      <c r="I2031" s="17">
        <v>46129.0</v>
      </c>
      <c r="J2031" s="18">
        <v>130.0</v>
      </c>
      <c r="K2031" s="16">
        <v>2954.0</v>
      </c>
      <c r="L2031" s="16" t="s">
        <v>2608</v>
      </c>
      <c r="M2031" s="19">
        <v>0.72</v>
      </c>
      <c r="N2031" s="16" t="s">
        <v>4577</v>
      </c>
      <c r="O2031" s="16">
        <v>2954.0</v>
      </c>
      <c r="P2031" s="19">
        <v>18.392</v>
      </c>
      <c r="Q2031" s="16" t="s">
        <v>3947</v>
      </c>
      <c r="R2031" s="19">
        <v>-0.5846</v>
      </c>
      <c r="S2031" s="20">
        <v>5373627.0</v>
      </c>
      <c r="T2031" s="20">
        <v>1.01828231745E11</v>
      </c>
      <c r="U2031" s="21">
        <v>2.2732</v>
      </c>
      <c r="V2031" s="21">
        <v>9.7422</v>
      </c>
      <c r="W2031" s="21">
        <v>26.6061</v>
      </c>
      <c r="X2031" s="21">
        <v>6.193</v>
      </c>
      <c r="Y2031" s="21">
        <v>1.7574</v>
      </c>
      <c r="Z2031" s="21">
        <v>0.5518</v>
      </c>
      <c r="AA2031" s="16" t="s">
        <v>2611</v>
      </c>
      <c r="AB2031" s="22">
        <f>IFERROR(__xludf.DUMMYFUNCTION("IFERROR(GOOGLEFINANCE(B2031,""price""),"""")"),131.79)</f>
        <v>131.79</v>
      </c>
    </row>
    <row r="2032">
      <c r="A2032" s="7">
        <v>46112.66759356754</v>
      </c>
      <c r="B2032" s="8" t="s">
        <v>2188</v>
      </c>
      <c r="C2032" s="8" t="s">
        <v>2189</v>
      </c>
      <c r="D2032" s="9">
        <v>46117.0</v>
      </c>
      <c r="E2032" s="10">
        <v>495.76</v>
      </c>
      <c r="F2032" s="8" t="s">
        <v>107</v>
      </c>
      <c r="G2032" s="13">
        <v>33.9624</v>
      </c>
      <c r="H2032" s="13">
        <v>14.5973</v>
      </c>
      <c r="I2032" s="9">
        <v>46129.0</v>
      </c>
      <c r="J2032" s="10">
        <v>490.0</v>
      </c>
      <c r="K2032" s="8">
        <v>1510.0</v>
      </c>
      <c r="L2032" s="8" t="s">
        <v>2627</v>
      </c>
      <c r="M2032" s="11">
        <v>1.16</v>
      </c>
      <c r="N2032" s="8" t="s">
        <v>4578</v>
      </c>
      <c r="O2032" s="8">
        <v>2637.0</v>
      </c>
      <c r="P2032" s="11">
        <v>15.4308</v>
      </c>
      <c r="Q2032" s="8" t="s">
        <v>2190</v>
      </c>
      <c r="R2032" s="11">
        <v>-0.701</v>
      </c>
      <c r="S2032" s="12">
        <v>2760429.0</v>
      </c>
      <c r="T2032" s="12">
        <v>2.29732288975E11</v>
      </c>
      <c r="U2032" s="13">
        <v>10.3035</v>
      </c>
      <c r="V2032" s="13">
        <v>18.0725</v>
      </c>
      <c r="W2032" s="13">
        <v>27.2289</v>
      </c>
      <c r="X2032" s="13">
        <v>2.9723</v>
      </c>
      <c r="Y2032" s="13">
        <v>0.7339</v>
      </c>
      <c r="Z2032" s="13">
        <v>0.8768</v>
      </c>
      <c r="AA2032" s="8" t="s">
        <v>2611</v>
      </c>
      <c r="AB2032" s="14">
        <f>IFERROR(__xludf.DUMMYFUNCTION("IFERROR(GOOGLEFINANCE(B2032,""price""),"""")"),503.15)</f>
        <v>503.15</v>
      </c>
    </row>
    <row r="2033">
      <c r="A2033" s="15">
        <v>46112.66759356754</v>
      </c>
      <c r="B2033" s="16" t="s">
        <v>3505</v>
      </c>
      <c r="C2033" s="16" t="s">
        <v>3506</v>
      </c>
      <c r="D2033" s="17">
        <v>46117.0</v>
      </c>
      <c r="E2033" s="18">
        <v>265.63</v>
      </c>
      <c r="F2033" s="16" t="s">
        <v>102</v>
      </c>
      <c r="G2033" s="21">
        <v>35.6283</v>
      </c>
      <c r="H2033" s="21">
        <v>7.4556</v>
      </c>
      <c r="I2033" s="17">
        <v>46114.0</v>
      </c>
      <c r="J2033" s="18">
        <v>270.0</v>
      </c>
      <c r="K2033" s="16">
        <v>1910.0</v>
      </c>
      <c r="L2033" s="16" t="s">
        <v>2608</v>
      </c>
      <c r="M2033" s="19">
        <v>1.65</v>
      </c>
      <c r="N2033" s="16" t="s">
        <v>4579</v>
      </c>
      <c r="O2033" s="16">
        <v>1910.0</v>
      </c>
      <c r="P2033" s="19">
        <v>15.4429</v>
      </c>
      <c r="Q2033" s="16" t="s">
        <v>3508</v>
      </c>
      <c r="R2033" s="19">
        <v>7.3339</v>
      </c>
      <c r="S2033" s="20">
        <v>1127840.0</v>
      </c>
      <c r="T2033" s="20">
        <v>2.804927176E10</v>
      </c>
      <c r="U2033" s="21">
        <v>13.5479</v>
      </c>
      <c r="V2033" s="21">
        <v>59.8816</v>
      </c>
      <c r="W2033" s="21">
        <v>4.9775</v>
      </c>
      <c r="X2033" s="21">
        <v>19.0011</v>
      </c>
      <c r="Y2033" s="21">
        <v>3.2656</v>
      </c>
      <c r="Z2033" s="21">
        <v>1.0134</v>
      </c>
      <c r="AA2033" s="16" t="s">
        <v>2620</v>
      </c>
      <c r="AB2033" s="22">
        <f>IFERROR(__xludf.DUMMYFUNCTION("IFERROR(GOOGLEFINANCE(B2033,""price""),"""")"),299.5)</f>
        <v>299.5</v>
      </c>
    </row>
    <row r="2034">
      <c r="A2034" s="7">
        <v>46112.66759356754</v>
      </c>
      <c r="B2034" s="8" t="s">
        <v>2710</v>
      </c>
      <c r="C2034" s="8" t="s">
        <v>2711</v>
      </c>
      <c r="D2034" s="9">
        <v>46117.0</v>
      </c>
      <c r="E2034" s="10">
        <v>131.08</v>
      </c>
      <c r="F2034" s="8" t="s">
        <v>917</v>
      </c>
      <c r="G2034" s="13">
        <v>19.682</v>
      </c>
      <c r="H2034" s="13">
        <v>6.6599</v>
      </c>
      <c r="I2034" s="9">
        <v>46129.0</v>
      </c>
      <c r="J2034" s="10">
        <v>130.0</v>
      </c>
      <c r="K2034" s="8">
        <v>1794.0</v>
      </c>
      <c r="L2034" s="8" t="s">
        <v>2608</v>
      </c>
      <c r="M2034" s="11">
        <v>0.82</v>
      </c>
      <c r="N2034" s="8" t="s">
        <v>4580</v>
      </c>
      <c r="O2034" s="8">
        <v>1794.0</v>
      </c>
      <c r="P2034" s="11">
        <v>24.6816</v>
      </c>
      <c r="Q2034" s="8" t="s">
        <v>2713</v>
      </c>
      <c r="R2034" s="11">
        <v>-0.0305</v>
      </c>
      <c r="S2034" s="12">
        <v>3114620.0</v>
      </c>
      <c r="T2034" s="12">
        <v>7.0896130218E10</v>
      </c>
      <c r="U2034" s="13">
        <v>2.5145</v>
      </c>
      <c r="V2034" s="13">
        <v>12.3274</v>
      </c>
      <c r="W2034" s="13">
        <v>25.0742</v>
      </c>
      <c r="X2034" s="13">
        <v>10.4587</v>
      </c>
      <c r="Y2034" s="13">
        <v>1.5949</v>
      </c>
      <c r="Z2034" s="13">
        <v>0.4546</v>
      </c>
      <c r="AA2034" s="8" t="s">
        <v>2611</v>
      </c>
      <c r="AB2034" s="14">
        <f>IFERROR(__xludf.DUMMYFUNCTION("IFERROR(GOOGLEFINANCE(B2034,""price""),"""")"),136.3)</f>
        <v>136.3</v>
      </c>
    </row>
    <row r="2035">
      <c r="A2035" s="15">
        <v>46112.66759356754</v>
      </c>
      <c r="B2035" s="16" t="s">
        <v>4438</v>
      </c>
      <c r="C2035" s="16" t="s">
        <v>4439</v>
      </c>
      <c r="D2035" s="17">
        <v>46117.0</v>
      </c>
      <c r="E2035" s="18">
        <v>62.39</v>
      </c>
      <c r="F2035" s="16" t="s">
        <v>245</v>
      </c>
      <c r="G2035" s="21">
        <v>20.3876</v>
      </c>
      <c r="H2035" s="21">
        <v>3.0602</v>
      </c>
      <c r="I2035" s="17">
        <v>46129.0</v>
      </c>
      <c r="J2035" s="18">
        <v>62.5</v>
      </c>
      <c r="K2035" s="16">
        <v>1770.0</v>
      </c>
      <c r="L2035" s="16" t="s">
        <v>2608</v>
      </c>
      <c r="M2035" s="19">
        <v>0.18</v>
      </c>
      <c r="N2035" s="16" t="s">
        <v>4581</v>
      </c>
      <c r="O2035" s="16">
        <v>1770.0</v>
      </c>
      <c r="P2035" s="19">
        <v>20.4114</v>
      </c>
      <c r="Q2035" s="16" t="s">
        <v>4441</v>
      </c>
      <c r="R2035" s="19">
        <v>-1.0468</v>
      </c>
      <c r="S2035" s="20">
        <v>2032418.0</v>
      </c>
      <c r="T2035" s="20">
        <v>1.124724483E10</v>
      </c>
      <c r="U2035" s="21">
        <v>2.4879</v>
      </c>
      <c r="V2035" s="21">
        <v>6.2073</v>
      </c>
      <c r="W2035" s="21">
        <v>3.4166</v>
      </c>
      <c r="X2035" s="21">
        <v>-6.0035</v>
      </c>
      <c r="Y2035" s="21">
        <v>0.3519</v>
      </c>
      <c r="Z2035" s="21">
        <v>1.9364</v>
      </c>
      <c r="AA2035" s="16" t="s">
        <v>2620</v>
      </c>
      <c r="AB2035" s="22">
        <f>IFERROR(__xludf.DUMMYFUNCTION("IFERROR(GOOGLEFINANCE(B2035,""price""),"""")"),57.51)</f>
        <v>57.51</v>
      </c>
    </row>
    <row r="2036">
      <c r="A2036" s="7">
        <v>46112.66759356754</v>
      </c>
      <c r="B2036" s="8" t="s">
        <v>4519</v>
      </c>
      <c r="C2036" s="8" t="s">
        <v>4520</v>
      </c>
      <c r="D2036" s="9">
        <v>46117.0</v>
      </c>
      <c r="E2036" s="10">
        <v>175.48</v>
      </c>
      <c r="F2036" s="8" t="s">
        <v>308</v>
      </c>
      <c r="G2036" s="13">
        <v>90.5003</v>
      </c>
      <c r="H2036" s="13">
        <v>1.939</v>
      </c>
      <c r="I2036" s="9">
        <v>46129.0</v>
      </c>
      <c r="J2036" s="10">
        <v>175.0</v>
      </c>
      <c r="K2036" s="8">
        <v>1513.0</v>
      </c>
      <c r="L2036" s="8" t="s">
        <v>2608</v>
      </c>
      <c r="M2036" s="11">
        <v>0.27</v>
      </c>
      <c r="N2036" s="8" t="s">
        <v>4582</v>
      </c>
      <c r="O2036" s="8">
        <v>1513.0</v>
      </c>
      <c r="P2036" s="11">
        <v>29.4217</v>
      </c>
      <c r="Q2036" s="8" t="s">
        <v>4522</v>
      </c>
      <c r="R2036" s="11">
        <v>10.6571</v>
      </c>
      <c r="S2036" s="12">
        <v>3389993.0</v>
      </c>
      <c r="T2036" s="12">
        <v>1.9611051875E10</v>
      </c>
      <c r="U2036" s="13">
        <v>13.2013</v>
      </c>
      <c r="V2036" s="13">
        <v>7.9126</v>
      </c>
      <c r="W2036" s="13">
        <v>12.3984</v>
      </c>
      <c r="X2036" s="13">
        <v>9.0509</v>
      </c>
      <c r="Y2036" s="13">
        <v>0.0553</v>
      </c>
      <c r="Z2036" s="13">
        <v>6.4821</v>
      </c>
      <c r="AA2036" s="8" t="s">
        <v>2611</v>
      </c>
      <c r="AB2036" s="14">
        <f>IFERROR(__xludf.DUMMYFUNCTION("IFERROR(GOOGLEFINANCE(B2036,""price""),"""")"),203.59)</f>
        <v>203.59</v>
      </c>
    </row>
    <row r="2037">
      <c r="A2037" s="15">
        <v>46112.66759356754</v>
      </c>
      <c r="B2037" s="16" t="s">
        <v>3242</v>
      </c>
      <c r="C2037" s="16" t="s">
        <v>3243</v>
      </c>
      <c r="D2037" s="17">
        <v>46117.0</v>
      </c>
      <c r="E2037" s="18">
        <v>113.18</v>
      </c>
      <c r="F2037" s="16" t="s">
        <v>917</v>
      </c>
      <c r="G2037" s="21">
        <v>20.0219</v>
      </c>
      <c r="H2037" s="21">
        <v>5.6528</v>
      </c>
      <c r="I2037" s="17">
        <v>46129.0</v>
      </c>
      <c r="J2037" s="18">
        <v>115.0</v>
      </c>
      <c r="K2037" s="16">
        <v>1266.0</v>
      </c>
      <c r="L2037" s="16" t="s">
        <v>2608</v>
      </c>
      <c r="M2037" s="19">
        <v>1.61</v>
      </c>
      <c r="N2037" s="16" t="s">
        <v>4583</v>
      </c>
      <c r="O2037" s="16">
        <v>1266.0</v>
      </c>
      <c r="P2037" s="19">
        <v>15.5412</v>
      </c>
      <c r="Q2037" s="16" t="s">
        <v>3245</v>
      </c>
      <c r="R2037" s="19">
        <v>-0.1852</v>
      </c>
      <c r="S2037" s="20">
        <v>4176301.0</v>
      </c>
      <c r="T2037" s="20">
        <v>4.089223668E10</v>
      </c>
      <c r="U2037" s="21">
        <v>2.1745</v>
      </c>
      <c r="V2037" s="21">
        <v>8.7624</v>
      </c>
      <c r="W2037" s="21">
        <v>17.3247</v>
      </c>
      <c r="X2037" s="21">
        <v>10.8577</v>
      </c>
      <c r="Y2037" s="21">
        <v>1.173</v>
      </c>
      <c r="Z2037" s="21">
        <v>1.0206</v>
      </c>
      <c r="AA2037" s="16" t="s">
        <v>2620</v>
      </c>
      <c r="AB2037" s="22">
        <f>IFERROR(__xludf.DUMMYFUNCTION("IFERROR(GOOGLEFINANCE(B2037,""price""),"""")"),113.56)</f>
        <v>113.56</v>
      </c>
    </row>
    <row r="2038">
      <c r="A2038" s="7">
        <v>46112.66759356754</v>
      </c>
      <c r="B2038" s="8" t="s">
        <v>2304</v>
      </c>
      <c r="C2038" s="8" t="s">
        <v>2305</v>
      </c>
      <c r="D2038" s="9">
        <v>46117.0</v>
      </c>
      <c r="E2038" s="10">
        <v>100.75</v>
      </c>
      <c r="F2038" s="8" t="s">
        <v>917</v>
      </c>
      <c r="G2038" s="13">
        <v>19.9292</v>
      </c>
      <c r="H2038" s="13">
        <v>5.0554</v>
      </c>
      <c r="I2038" s="9">
        <v>46129.0</v>
      </c>
      <c r="J2038" s="10">
        <v>100.0</v>
      </c>
      <c r="K2038" s="8">
        <v>1197.0</v>
      </c>
      <c r="L2038" s="8" t="s">
        <v>2608</v>
      </c>
      <c r="M2038" s="11">
        <v>0.74</v>
      </c>
      <c r="N2038" s="8" t="s">
        <v>4584</v>
      </c>
      <c r="O2038" s="8">
        <v>1197.0</v>
      </c>
      <c r="P2038" s="11">
        <v>20.9048</v>
      </c>
      <c r="Q2038" s="8" t="s">
        <v>2306</v>
      </c>
      <c r="R2038" s="11">
        <v>0.1989</v>
      </c>
      <c r="S2038" s="12">
        <v>1091060.0</v>
      </c>
      <c r="T2038" s="12">
        <v>1.2181218127E10</v>
      </c>
      <c r="U2038" s="13">
        <v>1.9546</v>
      </c>
      <c r="V2038" s="13">
        <v>8.9347</v>
      </c>
      <c r="W2038" s="13">
        <v>18.0962</v>
      </c>
      <c r="X2038" s="13">
        <v>4.1957</v>
      </c>
      <c r="Y2038" s="13">
        <v>2.0293</v>
      </c>
      <c r="Z2038" s="13">
        <v>0.4918</v>
      </c>
      <c r="AA2038" s="8" t="s">
        <v>2611</v>
      </c>
      <c r="AB2038" s="14">
        <f>IFERROR(__xludf.DUMMYFUNCTION("IFERROR(GOOGLEFINANCE(B2038,""price""),"""")"),103.59)</f>
        <v>103.59</v>
      </c>
    </row>
    <row r="2039">
      <c r="A2039" s="15">
        <v>46112.66759356754</v>
      </c>
      <c r="B2039" s="16" t="s">
        <v>3100</v>
      </c>
      <c r="C2039" s="16" t="s">
        <v>3101</v>
      </c>
      <c r="D2039" s="17">
        <v>46117.0</v>
      </c>
      <c r="E2039" s="18">
        <v>388.23</v>
      </c>
      <c r="F2039" s="16" t="s">
        <v>308</v>
      </c>
      <c r="G2039" s="21">
        <v>246.5422</v>
      </c>
      <c r="H2039" s="21">
        <v>1.5747</v>
      </c>
      <c r="I2039" s="17">
        <v>46114.0</v>
      </c>
      <c r="J2039" s="18">
        <v>385.0</v>
      </c>
      <c r="K2039" s="16">
        <v>1028.0</v>
      </c>
      <c r="L2039" s="16" t="s">
        <v>2608</v>
      </c>
      <c r="M2039" s="19">
        <v>0.83</v>
      </c>
      <c r="N2039" s="16" t="s">
        <v>4585</v>
      </c>
      <c r="O2039" s="16">
        <v>1028.0</v>
      </c>
      <c r="P2039" s="19">
        <v>21.5115</v>
      </c>
      <c r="Q2039" s="16" t="s">
        <v>3103</v>
      </c>
      <c r="R2039" s="19">
        <v>6.3644</v>
      </c>
      <c r="S2039" s="20">
        <v>3001228.0</v>
      </c>
      <c r="T2039" s="20">
        <v>5.4895107464E10</v>
      </c>
      <c r="U2039" s="21">
        <v>30.1943</v>
      </c>
      <c r="V2039" s="21">
        <v>8.2012</v>
      </c>
      <c r="W2039" s="21">
        <v>8.1924</v>
      </c>
      <c r="X2039" s="21">
        <v>26.5411</v>
      </c>
      <c r="Y2039" s="21">
        <v>0.5689</v>
      </c>
      <c r="Z2039" s="21">
        <v>2.8139</v>
      </c>
      <c r="AA2039" s="16" t="s">
        <v>2611</v>
      </c>
      <c r="AB2039" s="22">
        <f>IFERROR(__xludf.DUMMYFUNCTION("IFERROR(GOOGLEFINANCE(B2039,""price""),"""")"),496.02)</f>
        <v>496.02</v>
      </c>
    </row>
    <row r="2040">
      <c r="A2040" s="7">
        <v>46112.66759356754</v>
      </c>
      <c r="B2040" s="8" t="s">
        <v>1443</v>
      </c>
      <c r="C2040" s="8" t="s">
        <v>1444</v>
      </c>
      <c r="D2040" s="9">
        <v>46117.0</v>
      </c>
      <c r="E2040" s="10">
        <v>203.87</v>
      </c>
      <c r="F2040" s="8" t="s">
        <v>88</v>
      </c>
      <c r="G2040" s="13">
        <v>76.5421</v>
      </c>
      <c r="H2040" s="13">
        <v>2.6635</v>
      </c>
      <c r="I2040" s="9">
        <v>46114.0</v>
      </c>
      <c r="J2040" s="10">
        <v>200.0</v>
      </c>
      <c r="K2040" s="8">
        <v>1016.0</v>
      </c>
      <c r="L2040" s="8" t="s">
        <v>2627</v>
      </c>
      <c r="M2040" s="11">
        <v>1.9</v>
      </c>
      <c r="N2040" s="8" t="s">
        <v>4586</v>
      </c>
      <c r="O2040" s="8">
        <v>1016.0</v>
      </c>
      <c r="P2040" s="11">
        <v>17.284</v>
      </c>
      <c r="Q2040" s="8" t="s">
        <v>1445</v>
      </c>
      <c r="R2040" s="11">
        <v>0.6418</v>
      </c>
      <c r="S2040" s="12">
        <v>3477264.0</v>
      </c>
      <c r="T2040" s="12">
        <v>5.101922515E10</v>
      </c>
      <c r="U2040" s="13">
        <v>1.1778</v>
      </c>
      <c r="V2040" s="13">
        <v>10.0265</v>
      </c>
      <c r="W2040" s="13">
        <v>14.2154</v>
      </c>
      <c r="X2040" s="13">
        <v>-0.3134</v>
      </c>
      <c r="Y2040" s="13">
        <v>0.317</v>
      </c>
      <c r="Z2040" s="13">
        <v>0.9261</v>
      </c>
      <c r="AA2040" s="8" t="s">
        <v>2611</v>
      </c>
      <c r="AB2040" s="14">
        <f>IFERROR(__xludf.DUMMYFUNCTION("IFERROR(GOOGLEFINANCE(B2040,""price""),"""")"),202.74)</f>
        <v>202.74</v>
      </c>
    </row>
    <row r="2041">
      <c r="A2041" s="15">
        <v>46112.66759356754</v>
      </c>
      <c r="B2041" s="16" t="s">
        <v>4523</v>
      </c>
      <c r="C2041" s="16" t="s">
        <v>4524</v>
      </c>
      <c r="D2041" s="17">
        <v>46117.0</v>
      </c>
      <c r="E2041" s="18">
        <v>40.41</v>
      </c>
      <c r="F2041" s="16" t="s">
        <v>308</v>
      </c>
      <c r="G2041" s="21">
        <v>17.2626</v>
      </c>
      <c r="H2041" s="21">
        <v>2.3409</v>
      </c>
      <c r="I2041" s="17">
        <v>46129.0</v>
      </c>
      <c r="J2041" s="18">
        <v>40.0</v>
      </c>
      <c r="K2041" s="16">
        <v>1003.0</v>
      </c>
      <c r="L2041" s="16" t="s">
        <v>2608</v>
      </c>
      <c r="M2041" s="19">
        <v>1.01</v>
      </c>
      <c r="N2041" s="16" t="s">
        <v>4587</v>
      </c>
      <c r="O2041" s="16">
        <v>1003.0</v>
      </c>
      <c r="P2041" s="19">
        <v>20.1211</v>
      </c>
      <c r="Q2041" s="16" t="s">
        <v>4526</v>
      </c>
      <c r="R2041" s="19">
        <v>9.2753</v>
      </c>
      <c r="S2041" s="20">
        <v>1038833.0</v>
      </c>
      <c r="T2041" s="20">
        <v>2.382831984E9</v>
      </c>
      <c r="U2041" s="21">
        <v>2.6074</v>
      </c>
      <c r="V2041" s="21">
        <v>11.6703</v>
      </c>
      <c r="W2041" s="21">
        <v>24.475</v>
      </c>
      <c r="X2041" s="21">
        <v>-0.0612</v>
      </c>
      <c r="Y2041" s="21">
        <v>0.0</v>
      </c>
      <c r="Z2041" s="21">
        <v>4.579</v>
      </c>
      <c r="AA2041" s="16" t="s">
        <v>2611</v>
      </c>
      <c r="AB2041" s="22">
        <f>IFERROR(__xludf.DUMMYFUNCTION("IFERROR(GOOGLEFINANCE(B2041,""price""),"""")"),44.9)</f>
        <v>44.9</v>
      </c>
    </row>
    <row r="2042">
      <c r="A2042" s="7">
        <v>46113.66743268692</v>
      </c>
      <c r="B2042" s="8" t="s">
        <v>3697</v>
      </c>
      <c r="C2042" s="8" t="s">
        <v>3698</v>
      </c>
      <c r="D2042" s="9">
        <v>46117.0</v>
      </c>
      <c r="E2042" s="10">
        <v>48.88</v>
      </c>
      <c r="F2042" s="8" t="s">
        <v>917</v>
      </c>
      <c r="G2042" s="13">
        <v>17.8727</v>
      </c>
      <c r="H2042" s="13">
        <v>2.7349</v>
      </c>
      <c r="I2042" s="9">
        <v>46129.0</v>
      </c>
      <c r="J2042" s="10">
        <v>49.0</v>
      </c>
      <c r="K2042" s="8">
        <v>9499.0</v>
      </c>
      <c r="L2042" s="8" t="s">
        <v>2608</v>
      </c>
      <c r="M2042" s="11">
        <v>0.25</v>
      </c>
      <c r="N2042" s="8" t="s">
        <v>4588</v>
      </c>
      <c r="O2042" s="8">
        <v>10661.0</v>
      </c>
      <c r="P2042" s="11">
        <v>20.1657</v>
      </c>
      <c r="Q2042" s="8" t="s">
        <v>3700</v>
      </c>
      <c r="R2042" s="11">
        <v>-0.2856</v>
      </c>
      <c r="S2042" s="12">
        <v>6653414.0</v>
      </c>
      <c r="T2042" s="12">
        <v>4.99988632E10</v>
      </c>
      <c r="U2042" s="13">
        <v>0.9618</v>
      </c>
      <c r="V2042" s="13">
        <v>9.9356</v>
      </c>
      <c r="W2042" s="13">
        <v>21.2054</v>
      </c>
      <c r="X2042" s="13">
        <v>5.3367</v>
      </c>
      <c r="Y2042" s="13">
        <v>1.7554</v>
      </c>
      <c r="Z2042" s="13">
        <v>0.924</v>
      </c>
      <c r="AA2042" s="8" t="s">
        <v>2620</v>
      </c>
      <c r="AB2042" s="14">
        <f>IFERROR(__xludf.DUMMYFUNCTION("IFERROR(GOOGLEFINANCE(B2042,""price""),"""")"),48.57)</f>
        <v>48.57</v>
      </c>
    </row>
    <row r="2043">
      <c r="A2043" s="15">
        <v>46113.66743268692</v>
      </c>
      <c r="B2043" s="16" t="s">
        <v>2634</v>
      </c>
      <c r="C2043" s="16" t="s">
        <v>2635</v>
      </c>
      <c r="D2043" s="17">
        <v>46117.0</v>
      </c>
      <c r="E2043" s="18">
        <v>197.41</v>
      </c>
      <c r="F2043" s="16" t="s">
        <v>245</v>
      </c>
      <c r="G2043" s="21">
        <v>29.6946</v>
      </c>
      <c r="H2043" s="21">
        <v>6.648</v>
      </c>
      <c r="I2043" s="17">
        <v>46114.0</v>
      </c>
      <c r="J2043" s="18">
        <v>195.0</v>
      </c>
      <c r="K2043" s="16">
        <v>1967.0</v>
      </c>
      <c r="L2043" s="16" t="s">
        <v>2627</v>
      </c>
      <c r="M2043" s="19">
        <v>1.22</v>
      </c>
      <c r="N2043" s="16" t="s">
        <v>4589</v>
      </c>
      <c r="O2043" s="16">
        <v>6478.0</v>
      </c>
      <c r="P2043" s="19">
        <v>40.933</v>
      </c>
      <c r="Q2043" s="16" t="s">
        <v>2637</v>
      </c>
      <c r="R2043" s="19">
        <v>-4.5868</v>
      </c>
      <c r="S2043" s="20">
        <v>2.2857345E7</v>
      </c>
      <c r="T2043" s="20">
        <v>3.939099399E11</v>
      </c>
      <c r="U2043" s="21">
        <v>5.2355</v>
      </c>
      <c r="V2043" s="21">
        <v>7.261</v>
      </c>
      <c r="W2043" s="21">
        <v>8.8802</v>
      </c>
      <c r="X2043" s="21">
        <v>-4.6193</v>
      </c>
      <c r="Y2043" s="21">
        <v>0.2507</v>
      </c>
      <c r="Z2043" s="21">
        <v>1.1547</v>
      </c>
      <c r="AA2043" s="16" t="s">
        <v>2611</v>
      </c>
      <c r="AB2043" s="22">
        <f>IFERROR(__xludf.DUMMYFUNCTION("IFERROR(GOOGLEFINANCE(B2043,""price""),"""")"),188.55)</f>
        <v>188.55</v>
      </c>
    </row>
    <row r="2044">
      <c r="A2044" s="7">
        <v>46113.66743268692</v>
      </c>
      <c r="B2044" s="8" t="s">
        <v>3463</v>
      </c>
      <c r="C2044" s="8" t="s">
        <v>3464</v>
      </c>
      <c r="D2044" s="9">
        <v>46117.0</v>
      </c>
      <c r="E2044" s="10">
        <v>61.09</v>
      </c>
      <c r="F2044" s="8" t="s">
        <v>245</v>
      </c>
      <c r="G2044" s="13">
        <v>18.4356</v>
      </c>
      <c r="H2044" s="13">
        <v>3.3137</v>
      </c>
      <c r="I2044" s="9">
        <v>46114.0</v>
      </c>
      <c r="J2044" s="10">
        <v>60.0</v>
      </c>
      <c r="K2044" s="8">
        <v>5826.0</v>
      </c>
      <c r="L2044" s="8" t="s">
        <v>2627</v>
      </c>
      <c r="M2044" s="11">
        <v>1.78</v>
      </c>
      <c r="N2044" s="8" t="s">
        <v>4590</v>
      </c>
      <c r="O2044" s="8">
        <v>5826.0</v>
      </c>
      <c r="P2044" s="11">
        <v>24.709</v>
      </c>
      <c r="Q2044" s="8" t="s">
        <v>3466</v>
      </c>
      <c r="R2044" s="11">
        <v>-4.0069</v>
      </c>
      <c r="S2044" s="12">
        <v>1.1632249E7</v>
      </c>
      <c r="T2044" s="12">
        <v>3.813689866E10</v>
      </c>
      <c r="U2044" s="13">
        <v>2.3258</v>
      </c>
      <c r="V2044" s="13">
        <v>9.1961</v>
      </c>
      <c r="W2044" s="13">
        <v>35.6577</v>
      </c>
      <c r="X2044" s="13">
        <v>59.9561</v>
      </c>
      <c r="Y2044" s="13">
        <v>0.3357</v>
      </c>
      <c r="Z2044" s="13">
        <v>0.7627</v>
      </c>
      <c r="AA2044" s="8" t="s">
        <v>2611</v>
      </c>
      <c r="AB2044" s="14">
        <f>IFERROR(__xludf.DUMMYFUNCTION("IFERROR(GOOGLEFINANCE(B2044,""price""),"""")"),58.68)</f>
        <v>58.68</v>
      </c>
    </row>
    <row r="2045">
      <c r="A2045" s="15">
        <v>46113.66743268692</v>
      </c>
      <c r="B2045" s="16" t="s">
        <v>2139</v>
      </c>
      <c r="C2045" s="16" t="s">
        <v>2140</v>
      </c>
      <c r="D2045" s="17">
        <v>46117.0</v>
      </c>
      <c r="E2045" s="18">
        <v>60.34</v>
      </c>
      <c r="F2045" s="16" t="s">
        <v>270</v>
      </c>
      <c r="G2045" s="21">
        <v>23.1631</v>
      </c>
      <c r="H2045" s="21">
        <v>2.605</v>
      </c>
      <c r="I2045" s="17">
        <v>46129.0</v>
      </c>
      <c r="J2045" s="18">
        <v>60.0</v>
      </c>
      <c r="K2045" s="16">
        <v>3352.0</v>
      </c>
      <c r="L2045" s="16" t="s">
        <v>2608</v>
      </c>
      <c r="M2045" s="19">
        <v>0.56</v>
      </c>
      <c r="N2045" s="16" t="s">
        <v>4591</v>
      </c>
      <c r="O2045" s="16">
        <v>4686.0</v>
      </c>
      <c r="P2045" s="19">
        <v>22.198</v>
      </c>
      <c r="Q2045" s="16" t="s">
        <v>2141</v>
      </c>
      <c r="R2045" s="19">
        <v>-1.163</v>
      </c>
      <c r="S2045" s="20">
        <v>8842191.0</v>
      </c>
      <c r="T2045" s="20">
        <v>5.963016024E10</v>
      </c>
      <c r="U2045" s="21">
        <v>2.0837</v>
      </c>
      <c r="V2045" s="21">
        <v>14.4868</v>
      </c>
      <c r="W2045" s="21">
        <v>12.8259</v>
      </c>
      <c r="X2045" s="21">
        <v>-0.345</v>
      </c>
      <c r="Y2045" s="21">
        <v>0.3558</v>
      </c>
      <c r="Z2045" s="21">
        <v>1.3568</v>
      </c>
      <c r="AA2045" s="16" t="s">
        <v>2611</v>
      </c>
      <c r="AB2045" s="22">
        <f>IFERROR(__xludf.DUMMYFUNCTION("IFERROR(GOOGLEFINANCE(B2045,""price""),"""")"),62.83)</f>
        <v>62.83</v>
      </c>
    </row>
    <row r="2046">
      <c r="A2046" s="7">
        <v>46113.66743268692</v>
      </c>
      <c r="B2046" s="8" t="s">
        <v>2638</v>
      </c>
      <c r="C2046" s="8" t="s">
        <v>2639</v>
      </c>
      <c r="D2046" s="9">
        <v>46117.0</v>
      </c>
      <c r="E2046" s="10">
        <v>160.78</v>
      </c>
      <c r="F2046" s="8" t="s">
        <v>245</v>
      </c>
      <c r="G2046" s="13">
        <v>24.0157</v>
      </c>
      <c r="H2046" s="13">
        <v>6.6948</v>
      </c>
      <c r="I2046" s="9">
        <v>46114.0</v>
      </c>
      <c r="J2046" s="10">
        <v>160.0</v>
      </c>
      <c r="K2046" s="8">
        <v>2205.0</v>
      </c>
      <c r="L2046" s="8" t="s">
        <v>2627</v>
      </c>
      <c r="M2046" s="11">
        <v>0.49</v>
      </c>
      <c r="N2046" s="8" t="s">
        <v>4592</v>
      </c>
      <c r="O2046" s="8">
        <v>4545.0</v>
      </c>
      <c r="P2046" s="11">
        <v>33.0431</v>
      </c>
      <c r="Q2046" s="8" t="s">
        <v>2641</v>
      </c>
      <c r="R2046" s="11">
        <v>-5.234</v>
      </c>
      <c r="S2046" s="12">
        <v>3.7812542E7</v>
      </c>
      <c r="T2046" s="12">
        <v>6.699316728E11</v>
      </c>
      <c r="U2046" s="13">
        <v>4.9739</v>
      </c>
      <c r="V2046" s="13">
        <v>11.0283</v>
      </c>
      <c r="W2046" s="13">
        <v>10.3419</v>
      </c>
      <c r="X2046" s="13">
        <v>-4.856</v>
      </c>
      <c r="Y2046" s="13">
        <v>0.1871</v>
      </c>
      <c r="Z2046" s="13">
        <v>1.1528</v>
      </c>
      <c r="AA2046" s="8" t="s">
        <v>2611</v>
      </c>
      <c r="AB2046" s="14">
        <f>IFERROR(__xludf.DUMMYFUNCTION("IFERROR(GOOGLEFINANCE(B2046,""price""),"""")"),152.51)</f>
        <v>152.51</v>
      </c>
    </row>
    <row r="2047">
      <c r="A2047" s="15">
        <v>46113.66743268692</v>
      </c>
      <c r="B2047" s="16" t="s">
        <v>2399</v>
      </c>
      <c r="C2047" s="16" t="s">
        <v>2400</v>
      </c>
      <c r="D2047" s="17">
        <v>46117.0</v>
      </c>
      <c r="E2047" s="18">
        <v>19.02</v>
      </c>
      <c r="F2047" s="16" t="s">
        <v>270</v>
      </c>
      <c r="G2047" s="21">
        <v>15.7424</v>
      </c>
      <c r="H2047" s="21">
        <v>1.2082</v>
      </c>
      <c r="I2047" s="17">
        <v>46114.0</v>
      </c>
      <c r="J2047" s="18">
        <v>19.0</v>
      </c>
      <c r="K2047" s="16">
        <v>3955.0</v>
      </c>
      <c r="L2047" s="16" t="s">
        <v>2608</v>
      </c>
      <c r="M2047" s="19">
        <v>0.11</v>
      </c>
      <c r="N2047" s="16" t="s">
        <v>4593</v>
      </c>
      <c r="O2047" s="16">
        <v>3955.0</v>
      </c>
      <c r="P2047" s="19">
        <v>22.5647</v>
      </c>
      <c r="Q2047" s="16" t="s">
        <v>2401</v>
      </c>
      <c r="R2047" s="19">
        <v>-1.4508</v>
      </c>
      <c r="S2047" s="20">
        <v>2.1586768E7</v>
      </c>
      <c r="T2047" s="20">
        <v>6.54346962E10</v>
      </c>
      <c r="U2047" s="21">
        <v>0.3826</v>
      </c>
      <c r="V2047" s="21">
        <v>12.7475</v>
      </c>
      <c r="W2047" s="21">
        <v>10.8866</v>
      </c>
      <c r="X2047" s="21">
        <v>3.4655</v>
      </c>
      <c r="Y2047" s="21">
        <v>2.0395</v>
      </c>
      <c r="Z2047" s="21">
        <v>1.2192</v>
      </c>
      <c r="AA2047" s="16" t="s">
        <v>2611</v>
      </c>
      <c r="AB2047" s="22">
        <f>IFERROR(__xludf.DUMMYFUNCTION("IFERROR(GOOGLEFINANCE(B2047,""price""),"""")"),19.19)</f>
        <v>19.19</v>
      </c>
    </row>
    <row r="2048">
      <c r="A2048" s="7">
        <v>46113.66743268692</v>
      </c>
      <c r="B2048" s="8" t="s">
        <v>4438</v>
      </c>
      <c r="C2048" s="8" t="s">
        <v>4439</v>
      </c>
      <c r="D2048" s="9">
        <v>46117.0</v>
      </c>
      <c r="E2048" s="10">
        <v>60.92</v>
      </c>
      <c r="F2048" s="8" t="s">
        <v>245</v>
      </c>
      <c r="G2048" s="13">
        <v>19.9072</v>
      </c>
      <c r="H2048" s="13">
        <v>3.0602</v>
      </c>
      <c r="I2048" s="9">
        <v>46129.0</v>
      </c>
      <c r="J2048" s="10">
        <v>60.0</v>
      </c>
      <c r="K2048" s="8">
        <v>3269.0</v>
      </c>
      <c r="L2048" s="8" t="s">
        <v>2608</v>
      </c>
      <c r="M2048" s="11">
        <v>1.51</v>
      </c>
      <c r="N2048" s="8" t="s">
        <v>4594</v>
      </c>
      <c r="O2048" s="8">
        <v>3269.0</v>
      </c>
      <c r="P2048" s="11">
        <v>19.5998</v>
      </c>
      <c r="Q2048" s="8" t="s">
        <v>4441</v>
      </c>
      <c r="R2048" s="11">
        <v>-2.3561</v>
      </c>
      <c r="S2048" s="12">
        <v>1727753.0</v>
      </c>
      <c r="T2048" s="12">
        <v>1.098223116E10</v>
      </c>
      <c r="U2048" s="13">
        <v>2.5059</v>
      </c>
      <c r="V2048" s="13">
        <v>6.2073</v>
      </c>
      <c r="W2048" s="13">
        <v>3.4166</v>
      </c>
      <c r="X2048" s="13">
        <v>-6.0035</v>
      </c>
      <c r="Y2048" s="13">
        <v>0.3519</v>
      </c>
      <c r="Z2048" s="13">
        <v>1.9364</v>
      </c>
      <c r="AA2048" s="8" t="s">
        <v>2611</v>
      </c>
      <c r="AB2048" s="14">
        <f>IFERROR(__xludf.DUMMYFUNCTION("IFERROR(GOOGLEFINANCE(B2048,""price""),"""")"),57.51)</f>
        <v>57.51</v>
      </c>
    </row>
    <row r="2049">
      <c r="A2049" s="15">
        <v>46113.66743268692</v>
      </c>
      <c r="B2049" s="16" t="s">
        <v>3944</v>
      </c>
      <c r="C2049" s="16" t="s">
        <v>3945</v>
      </c>
      <c r="D2049" s="17">
        <v>46117.0</v>
      </c>
      <c r="E2049" s="18">
        <v>130.9</v>
      </c>
      <c r="F2049" s="16" t="s">
        <v>917</v>
      </c>
      <c r="G2049" s="21">
        <v>20.7373</v>
      </c>
      <c r="H2049" s="21">
        <v>6.3123</v>
      </c>
      <c r="I2049" s="17">
        <v>46129.0</v>
      </c>
      <c r="J2049" s="18">
        <v>130.0</v>
      </c>
      <c r="K2049" s="16">
        <v>2891.0</v>
      </c>
      <c r="L2049" s="16" t="s">
        <v>2608</v>
      </c>
      <c r="M2049" s="19">
        <v>0.69</v>
      </c>
      <c r="N2049" s="16" t="s">
        <v>4595</v>
      </c>
      <c r="O2049" s="16">
        <v>2891.0</v>
      </c>
      <c r="P2049" s="19">
        <v>17.5406</v>
      </c>
      <c r="Q2049" s="16" t="s">
        <v>3947</v>
      </c>
      <c r="R2049" s="19">
        <v>-0.0305</v>
      </c>
      <c r="S2049" s="20">
        <v>4314425.0</v>
      </c>
      <c r="T2049" s="20">
        <v>1.017971339E11</v>
      </c>
      <c r="U2049" s="21">
        <v>2.2544</v>
      </c>
      <c r="V2049" s="21">
        <v>9.7422</v>
      </c>
      <c r="W2049" s="21">
        <v>26.6061</v>
      </c>
      <c r="X2049" s="21">
        <v>6.193</v>
      </c>
      <c r="Y2049" s="21">
        <v>1.7574</v>
      </c>
      <c r="Z2049" s="21">
        <v>0.5518</v>
      </c>
      <c r="AA2049" s="16" t="s">
        <v>2611</v>
      </c>
      <c r="AB2049" s="22">
        <f>IFERROR(__xludf.DUMMYFUNCTION("IFERROR(GOOGLEFINANCE(B2049,""price""),"""")"),131.79)</f>
        <v>131.79</v>
      </c>
    </row>
    <row r="2050">
      <c r="A2050" s="7">
        <v>46113.66743268692</v>
      </c>
      <c r="B2050" s="8" t="s">
        <v>2692</v>
      </c>
      <c r="C2050" s="8" t="s">
        <v>2693</v>
      </c>
      <c r="D2050" s="9">
        <v>46117.0</v>
      </c>
      <c r="E2050" s="10">
        <v>244.12</v>
      </c>
      <c r="F2050" s="8" t="s">
        <v>117</v>
      </c>
      <c r="G2050" s="13">
        <v>22.1007</v>
      </c>
      <c r="H2050" s="13">
        <v>11.0458</v>
      </c>
      <c r="I2050" s="9">
        <v>46114.0</v>
      </c>
      <c r="J2050" s="10">
        <v>240.0</v>
      </c>
      <c r="K2050" s="8">
        <v>1762.0</v>
      </c>
      <c r="L2050" s="8" t="s">
        <v>2608</v>
      </c>
      <c r="M2050" s="11">
        <v>1.69</v>
      </c>
      <c r="N2050" s="8" t="s">
        <v>4596</v>
      </c>
      <c r="O2050" s="8">
        <v>2883.0</v>
      </c>
      <c r="P2050" s="11">
        <v>17.3815</v>
      </c>
      <c r="Q2050" s="8" t="s">
        <v>2695</v>
      </c>
      <c r="R2050" s="11">
        <v>-0.1309</v>
      </c>
      <c r="S2050" s="12">
        <v>6312031.0</v>
      </c>
      <c r="T2050" s="12">
        <v>5.88304788E11</v>
      </c>
      <c r="U2050" s="13">
        <v>3.9787</v>
      </c>
      <c r="V2050" s="13">
        <v>35.0301</v>
      </c>
      <c r="W2050" s="13">
        <v>27.2081</v>
      </c>
      <c r="X2050" s="13">
        <v>6.046</v>
      </c>
      <c r="Y2050" s="13">
        <v>0.605</v>
      </c>
      <c r="Z2050" s="13">
        <v>1.0277</v>
      </c>
      <c r="AA2050" s="8" t="s">
        <v>2611</v>
      </c>
      <c r="AB2050" s="14">
        <f>IFERROR(__xludf.DUMMYFUNCTION("IFERROR(GOOGLEFINANCE(B2050,""price""),"""")"),238.46)</f>
        <v>238.46</v>
      </c>
    </row>
    <row r="2051">
      <c r="A2051" s="15">
        <v>46113.66743268692</v>
      </c>
      <c r="B2051" s="16" t="s">
        <v>4359</v>
      </c>
      <c r="C2051" s="16" t="s">
        <v>4360</v>
      </c>
      <c r="D2051" s="17">
        <v>46117.0</v>
      </c>
      <c r="E2051" s="18">
        <v>106.71</v>
      </c>
      <c r="F2051" s="16" t="s">
        <v>308</v>
      </c>
      <c r="G2051" s="21">
        <v>34.5228</v>
      </c>
      <c r="H2051" s="21">
        <v>3.091</v>
      </c>
      <c r="I2051" s="17">
        <v>46114.0</v>
      </c>
      <c r="J2051" s="18">
        <v>105.0</v>
      </c>
      <c r="K2051" s="16">
        <v>2620.0</v>
      </c>
      <c r="L2051" s="16" t="s">
        <v>2608</v>
      </c>
      <c r="M2051" s="19">
        <v>1.6</v>
      </c>
      <c r="N2051" s="16" t="s">
        <v>4597</v>
      </c>
      <c r="O2051" s="16">
        <v>2620.0</v>
      </c>
      <c r="P2051" s="19">
        <v>15.4556</v>
      </c>
      <c r="Q2051" s="16" t="s">
        <v>4362</v>
      </c>
      <c r="R2051" s="19">
        <v>7.7335</v>
      </c>
      <c r="S2051" s="20">
        <v>4.3978148E7</v>
      </c>
      <c r="T2051" s="20">
        <v>9.3296553E10</v>
      </c>
      <c r="U2051" s="21">
        <v>5.6902</v>
      </c>
      <c r="V2051" s="21">
        <v>19.2541</v>
      </c>
      <c r="W2051" s="21">
        <v>16.3327</v>
      </c>
      <c r="X2051" s="21">
        <v>42.0873</v>
      </c>
      <c r="Y2051" s="21">
        <v>0.3519</v>
      </c>
      <c r="Z2051" s="21">
        <v>2.0061</v>
      </c>
      <c r="AA2051" s="16" t="s">
        <v>2611</v>
      </c>
      <c r="AB2051" s="22">
        <f>IFERROR(__xludf.DUMMYFUNCTION("IFERROR(GOOGLEFINANCE(B2051,""price""),"""")"),128.49)</f>
        <v>128.49</v>
      </c>
    </row>
    <row r="2052">
      <c r="A2052" s="7">
        <v>46113.66743268692</v>
      </c>
      <c r="B2052" s="8" t="s">
        <v>2658</v>
      </c>
      <c r="C2052" s="8" t="s">
        <v>2659</v>
      </c>
      <c r="D2052" s="9">
        <v>46117.0</v>
      </c>
      <c r="E2052" s="10">
        <v>92.85</v>
      </c>
      <c r="F2052" s="8" t="s">
        <v>917</v>
      </c>
      <c r="G2052" s="13">
        <v>28.1338</v>
      </c>
      <c r="H2052" s="13">
        <v>3.3003</v>
      </c>
      <c r="I2052" s="9">
        <v>46114.0</v>
      </c>
      <c r="J2052" s="10">
        <v>93.0</v>
      </c>
      <c r="K2052" s="8">
        <v>2157.0</v>
      </c>
      <c r="L2052" s="8" t="s">
        <v>2608</v>
      </c>
      <c r="M2052" s="11">
        <v>0.16</v>
      </c>
      <c r="N2052" s="8" t="s">
        <v>4598</v>
      </c>
      <c r="O2052" s="8">
        <v>2157.0</v>
      </c>
      <c r="P2052" s="11">
        <v>19.4665</v>
      </c>
      <c r="Q2052" s="8" t="s">
        <v>2661</v>
      </c>
      <c r="R2052" s="11">
        <v>-0.0323</v>
      </c>
      <c r="S2052" s="12">
        <v>7732351.0</v>
      </c>
      <c r="T2052" s="12">
        <v>1.93454832E11</v>
      </c>
      <c r="U2052" s="13">
        <v>1.9908</v>
      </c>
      <c r="V2052" s="13">
        <v>13.0533</v>
      </c>
      <c r="W2052" s="13">
        <v>26.8934</v>
      </c>
      <c r="X2052" s="13">
        <v>8.6905</v>
      </c>
      <c r="Y2052" s="13">
        <v>1.7594</v>
      </c>
      <c r="Z2052" s="13">
        <v>0.5953</v>
      </c>
      <c r="AA2052" s="8" t="s">
        <v>2620</v>
      </c>
      <c r="AB2052" s="14">
        <f>IFERROR(__xludf.DUMMYFUNCTION("IFERROR(GOOGLEFINANCE(B2052,""price""),"""")"),94.08)</f>
        <v>94.08</v>
      </c>
    </row>
    <row r="2053">
      <c r="A2053" s="15">
        <v>46113.66743268692</v>
      </c>
      <c r="B2053" s="16" t="s">
        <v>2804</v>
      </c>
      <c r="C2053" s="16" t="s">
        <v>2805</v>
      </c>
      <c r="D2053" s="17">
        <v>46117.0</v>
      </c>
      <c r="E2053" s="18">
        <v>142.38</v>
      </c>
      <c r="F2053" s="16" t="s">
        <v>308</v>
      </c>
      <c r="G2053" s="21">
        <v>77.4267</v>
      </c>
      <c r="H2053" s="21">
        <v>1.8389</v>
      </c>
      <c r="I2053" s="17">
        <v>46114.0</v>
      </c>
      <c r="J2053" s="18">
        <v>145.0</v>
      </c>
      <c r="K2053" s="16">
        <v>1091.0</v>
      </c>
      <c r="L2053" s="16" t="s">
        <v>2608</v>
      </c>
      <c r="M2053" s="19">
        <v>1.84</v>
      </c>
      <c r="N2053" s="16" t="s">
        <v>4599</v>
      </c>
      <c r="O2053" s="16">
        <v>2137.0</v>
      </c>
      <c r="P2053" s="19">
        <v>15.6139</v>
      </c>
      <c r="Q2053" s="16" t="s">
        <v>2807</v>
      </c>
      <c r="R2053" s="19">
        <v>4.7143</v>
      </c>
      <c r="S2053" s="20">
        <v>1.2298402E7</v>
      </c>
      <c r="T2053" s="20">
        <v>1.2215463624E11</v>
      </c>
      <c r="U2053" s="21">
        <v>9.2003</v>
      </c>
      <c r="V2053" s="21">
        <v>14.1911</v>
      </c>
      <c r="W2053" s="21">
        <v>15.3241</v>
      </c>
      <c r="X2053" s="21">
        <v>19.1416</v>
      </c>
      <c r="Y2053" s="21">
        <v>0.7942</v>
      </c>
      <c r="Z2053" s="21">
        <v>1.5878</v>
      </c>
      <c r="AA2053" s="16" t="s">
        <v>2620</v>
      </c>
      <c r="AB2053" s="22">
        <f>IFERROR(__xludf.DUMMYFUNCTION("IFERROR(GOOGLEFINANCE(B2053,""price""),"""")"),171.24)</f>
        <v>171.24</v>
      </c>
    </row>
    <row r="2054">
      <c r="A2054" s="7">
        <v>46113.66743268692</v>
      </c>
      <c r="B2054" s="8" t="s">
        <v>2710</v>
      </c>
      <c r="C2054" s="8" t="s">
        <v>2711</v>
      </c>
      <c r="D2054" s="9">
        <v>46117.0</v>
      </c>
      <c r="E2054" s="10">
        <v>131.67</v>
      </c>
      <c r="F2054" s="8" t="s">
        <v>917</v>
      </c>
      <c r="G2054" s="13">
        <v>19.7706</v>
      </c>
      <c r="H2054" s="13">
        <v>6.6599</v>
      </c>
      <c r="I2054" s="9">
        <v>46129.0</v>
      </c>
      <c r="J2054" s="10">
        <v>130.0</v>
      </c>
      <c r="K2054" s="8">
        <v>1788.0</v>
      </c>
      <c r="L2054" s="8" t="s">
        <v>2608</v>
      </c>
      <c r="M2054" s="11">
        <v>1.27</v>
      </c>
      <c r="N2054" s="8" t="s">
        <v>4600</v>
      </c>
      <c r="O2054" s="8">
        <v>1788.0</v>
      </c>
      <c r="P2054" s="11">
        <v>23.1299</v>
      </c>
      <c r="Q2054" s="8" t="s">
        <v>2713</v>
      </c>
      <c r="R2054" s="11">
        <v>0.4501</v>
      </c>
      <c r="S2054" s="12">
        <v>2580724.0</v>
      </c>
      <c r="T2054" s="12">
        <v>7.121516787E10</v>
      </c>
      <c r="U2054" s="13">
        <v>2.4527</v>
      </c>
      <c r="V2054" s="13">
        <v>12.3274</v>
      </c>
      <c r="W2054" s="13">
        <v>25.0742</v>
      </c>
      <c r="X2054" s="13">
        <v>10.4587</v>
      </c>
      <c r="Y2054" s="13">
        <v>1.5949</v>
      </c>
      <c r="Z2054" s="13">
        <v>0.4546</v>
      </c>
      <c r="AA2054" s="8" t="s">
        <v>2611</v>
      </c>
      <c r="AB2054" s="14">
        <f>IFERROR(__xludf.DUMMYFUNCTION("IFERROR(GOOGLEFINANCE(B2054,""price""),"""")"),136.3)</f>
        <v>136.3</v>
      </c>
    </row>
    <row r="2055">
      <c r="A2055" s="15">
        <v>46113.66743268692</v>
      </c>
      <c r="B2055" s="16" t="s">
        <v>2654</v>
      </c>
      <c r="C2055" s="16" t="s">
        <v>2655</v>
      </c>
      <c r="D2055" s="17">
        <v>46117.0</v>
      </c>
      <c r="E2055" s="18">
        <v>43.25</v>
      </c>
      <c r="F2055" s="16" t="s">
        <v>917</v>
      </c>
      <c r="G2055" s="21">
        <v>26.8917</v>
      </c>
      <c r="H2055" s="21">
        <v>1.6083</v>
      </c>
      <c r="I2055" s="17">
        <v>46129.0</v>
      </c>
      <c r="J2055" s="18">
        <v>44.0</v>
      </c>
      <c r="K2055" s="16">
        <v>1514.0</v>
      </c>
      <c r="L2055" s="16" t="s">
        <v>2608</v>
      </c>
      <c r="M2055" s="19">
        <v>1.73</v>
      </c>
      <c r="N2055" s="16" t="s">
        <v>4601</v>
      </c>
      <c r="O2055" s="16">
        <v>1514.0</v>
      </c>
      <c r="P2055" s="19">
        <v>19.0528</v>
      </c>
      <c r="Q2055" s="16" t="s">
        <v>2657</v>
      </c>
      <c r="R2055" s="19">
        <v>0.2085</v>
      </c>
      <c r="S2055" s="20">
        <v>3453724.0</v>
      </c>
      <c r="T2055" s="20">
        <v>2.8236714E10</v>
      </c>
      <c r="U2055" s="21">
        <v>0.7565</v>
      </c>
      <c r="V2055" s="21">
        <v>9.643</v>
      </c>
      <c r="W2055" s="21">
        <v>22.55</v>
      </c>
      <c r="X2055" s="21">
        <v>8.261</v>
      </c>
      <c r="Y2055" s="21">
        <v>2.1166</v>
      </c>
      <c r="Z2055" s="21">
        <v>0.9107</v>
      </c>
      <c r="AA2055" s="16" t="s">
        <v>2620</v>
      </c>
      <c r="AB2055" s="22">
        <f>IFERROR(__xludf.DUMMYFUNCTION("IFERROR(GOOGLEFINANCE(B2055,""price""),"""")"),43.39)</f>
        <v>43.39</v>
      </c>
    </row>
    <row r="2056">
      <c r="A2056" s="7">
        <v>46113.66743268692</v>
      </c>
      <c r="B2056" s="8" t="s">
        <v>2026</v>
      </c>
      <c r="C2056" s="8" t="s">
        <v>2027</v>
      </c>
      <c r="D2056" s="9">
        <v>46117.0</v>
      </c>
      <c r="E2056" s="10">
        <v>128.32</v>
      </c>
      <c r="F2056" s="8" t="s">
        <v>107</v>
      </c>
      <c r="G2056" s="13">
        <v>23.6156</v>
      </c>
      <c r="H2056" s="13">
        <v>5.4337</v>
      </c>
      <c r="I2056" s="9">
        <v>46129.0</v>
      </c>
      <c r="J2056" s="10">
        <v>130.0</v>
      </c>
      <c r="K2056" s="8">
        <v>1494.0</v>
      </c>
      <c r="L2056" s="8" t="s">
        <v>2608</v>
      </c>
      <c r="M2056" s="11">
        <v>1.31</v>
      </c>
      <c r="N2056" s="8" t="s">
        <v>4602</v>
      </c>
      <c r="O2056" s="8">
        <v>1494.0</v>
      </c>
      <c r="P2056" s="11">
        <v>22.6442</v>
      </c>
      <c r="Q2056" s="8" t="s">
        <v>2028</v>
      </c>
      <c r="R2056" s="11">
        <v>0.8805</v>
      </c>
      <c r="S2056" s="12">
        <v>2055433.0</v>
      </c>
      <c r="T2056" s="12">
        <v>2.483107488E10</v>
      </c>
      <c r="U2056" s="13">
        <v>4.4023</v>
      </c>
      <c r="V2056" s="13">
        <v>6.3447</v>
      </c>
      <c r="W2056" s="13">
        <v>1.5073</v>
      </c>
      <c r="X2056" s="13">
        <v>32.4089</v>
      </c>
      <c r="Y2056" s="13">
        <v>0.9969</v>
      </c>
      <c r="Z2056" s="13">
        <v>1.6124</v>
      </c>
      <c r="AA2056" s="8" t="s">
        <v>2620</v>
      </c>
      <c r="AB2056" s="14">
        <f>IFERROR(__xludf.DUMMYFUNCTION("IFERROR(GOOGLEFINANCE(B2056,""price""),"""")"),123.92)</f>
        <v>123.92</v>
      </c>
    </row>
    <row r="2057">
      <c r="A2057" s="15">
        <v>46113.66743268692</v>
      </c>
      <c r="B2057" s="16" t="s">
        <v>2304</v>
      </c>
      <c r="C2057" s="16" t="s">
        <v>2305</v>
      </c>
      <c r="D2057" s="17">
        <v>46117.0</v>
      </c>
      <c r="E2057" s="18">
        <v>101.53</v>
      </c>
      <c r="F2057" s="16" t="s">
        <v>917</v>
      </c>
      <c r="G2057" s="21">
        <v>20.0835</v>
      </c>
      <c r="H2057" s="21">
        <v>5.0554</v>
      </c>
      <c r="I2057" s="17">
        <v>46129.0</v>
      </c>
      <c r="J2057" s="18">
        <v>100.0</v>
      </c>
      <c r="K2057" s="16">
        <v>1202.0</v>
      </c>
      <c r="L2057" s="16" t="s">
        <v>2608</v>
      </c>
      <c r="M2057" s="19">
        <v>1.51</v>
      </c>
      <c r="N2057" s="16" t="s">
        <v>4603</v>
      </c>
      <c r="O2057" s="16">
        <v>1202.0</v>
      </c>
      <c r="P2057" s="19">
        <v>19.7011</v>
      </c>
      <c r="Q2057" s="16" t="s">
        <v>2306</v>
      </c>
      <c r="R2057" s="19">
        <v>0.7742</v>
      </c>
      <c r="S2057" s="20">
        <v>1056054.0</v>
      </c>
      <c r="T2057" s="20">
        <v>1.227548465E10</v>
      </c>
      <c r="U2057" s="21">
        <v>1.94</v>
      </c>
      <c r="V2057" s="21">
        <v>8.9347</v>
      </c>
      <c r="W2057" s="21">
        <v>18.0962</v>
      </c>
      <c r="X2057" s="21">
        <v>4.1957</v>
      </c>
      <c r="Y2057" s="21">
        <v>2.0293</v>
      </c>
      <c r="Z2057" s="21">
        <v>0.4918</v>
      </c>
      <c r="AA2057" s="16" t="s">
        <v>2611</v>
      </c>
      <c r="AB2057" s="22">
        <f>IFERROR(__xludf.DUMMYFUNCTION("IFERROR(GOOGLEFINANCE(B2057,""price""),"""")"),103.59)</f>
        <v>103.59</v>
      </c>
    </row>
    <row r="2058">
      <c r="A2058" s="7">
        <v>46113.66743268692</v>
      </c>
      <c r="B2058" s="8" t="s">
        <v>1811</v>
      </c>
      <c r="C2058" s="8" t="s">
        <v>1812</v>
      </c>
      <c r="D2058" s="9">
        <v>46117.0</v>
      </c>
      <c r="E2058" s="10">
        <v>45.86</v>
      </c>
      <c r="F2058" s="8" t="s">
        <v>308</v>
      </c>
      <c r="G2058" s="13">
        <v>44.3092</v>
      </c>
      <c r="H2058" s="13">
        <v>1.035</v>
      </c>
      <c r="I2058" s="9">
        <v>46129.0</v>
      </c>
      <c r="J2058" s="10">
        <v>46.0</v>
      </c>
      <c r="K2058" s="8">
        <v>1105.0</v>
      </c>
      <c r="L2058" s="8" t="s">
        <v>2608</v>
      </c>
      <c r="M2058" s="11">
        <v>0.31</v>
      </c>
      <c r="N2058" s="8" t="s">
        <v>4604</v>
      </c>
      <c r="O2058" s="8">
        <v>1105.0</v>
      </c>
      <c r="P2058" s="11">
        <v>21.1593</v>
      </c>
      <c r="Q2058" s="8" t="s">
        <v>1813</v>
      </c>
      <c r="R2058" s="11">
        <v>3.0099</v>
      </c>
      <c r="S2058" s="12">
        <v>1009198.0</v>
      </c>
      <c r="T2058" s="12">
        <v>1.219169756E10</v>
      </c>
      <c r="U2058" s="13">
        <v>1.869</v>
      </c>
      <c r="V2058" s="13">
        <v>10.5164</v>
      </c>
      <c r="W2058" s="13">
        <v>9.5669</v>
      </c>
      <c r="X2058" s="13">
        <v>12.8015</v>
      </c>
      <c r="Y2058" s="13">
        <v>0.1722</v>
      </c>
      <c r="Z2058" s="13">
        <v>1.8895</v>
      </c>
      <c r="AA2058" s="8" t="s">
        <v>2620</v>
      </c>
      <c r="AB2058" s="14">
        <f>IFERROR(__xludf.DUMMYFUNCTION("IFERROR(GOOGLEFINANCE(B2058,""price""),"""")"),46.06)</f>
        <v>46.06</v>
      </c>
    </row>
    <row r="2059">
      <c r="A2059" s="15">
        <v>46113.66743268692</v>
      </c>
      <c r="B2059" s="16" t="s">
        <v>1443</v>
      </c>
      <c r="C2059" s="16" t="s">
        <v>1444</v>
      </c>
      <c r="D2059" s="17">
        <v>46117.0</v>
      </c>
      <c r="E2059" s="18">
        <v>203.58</v>
      </c>
      <c r="F2059" s="16" t="s">
        <v>88</v>
      </c>
      <c r="G2059" s="21">
        <v>76.4333</v>
      </c>
      <c r="H2059" s="21">
        <v>2.6635</v>
      </c>
      <c r="I2059" s="17">
        <v>46114.0</v>
      </c>
      <c r="J2059" s="18">
        <v>200.0</v>
      </c>
      <c r="K2059" s="16">
        <v>1016.0</v>
      </c>
      <c r="L2059" s="16" t="s">
        <v>2627</v>
      </c>
      <c r="M2059" s="19">
        <v>1.76</v>
      </c>
      <c r="N2059" s="16" t="s">
        <v>4586</v>
      </c>
      <c r="O2059" s="16">
        <v>1016.0</v>
      </c>
      <c r="P2059" s="19">
        <v>18.7164</v>
      </c>
      <c r="Q2059" s="16" t="s">
        <v>1445</v>
      </c>
      <c r="R2059" s="19">
        <v>-0.1422</v>
      </c>
      <c r="S2059" s="20">
        <v>2179426.0</v>
      </c>
      <c r="T2059" s="20">
        <v>5.094670932E10</v>
      </c>
      <c r="U2059" s="21">
        <v>1.1855</v>
      </c>
      <c r="V2059" s="21">
        <v>10.0265</v>
      </c>
      <c r="W2059" s="21">
        <v>14.2154</v>
      </c>
      <c r="X2059" s="21">
        <v>-0.3134</v>
      </c>
      <c r="Y2059" s="21">
        <v>0.317</v>
      </c>
      <c r="Z2059" s="21">
        <v>0.9261</v>
      </c>
      <c r="AA2059" s="16" t="s">
        <v>2611</v>
      </c>
      <c r="AB2059" s="22">
        <f>IFERROR(__xludf.DUMMYFUNCTION("IFERROR(GOOGLEFINANCE(B2059,""price""),"""")"),202.74)</f>
        <v>202.74</v>
      </c>
    </row>
    <row r="2060">
      <c r="A2060" s="7">
        <v>46114.668352472676</v>
      </c>
      <c r="B2060" s="8" t="s">
        <v>3697</v>
      </c>
      <c r="C2060" s="8" t="s">
        <v>3698</v>
      </c>
      <c r="D2060" s="9">
        <v>46117.0</v>
      </c>
      <c r="E2060" s="10">
        <v>49.33</v>
      </c>
      <c r="F2060" s="8" t="s">
        <v>917</v>
      </c>
      <c r="G2060" s="13">
        <v>18.0372</v>
      </c>
      <c r="H2060" s="13">
        <v>2.7349</v>
      </c>
      <c r="I2060" s="9">
        <v>46129.0</v>
      </c>
      <c r="J2060" s="10">
        <v>49.0</v>
      </c>
      <c r="K2060" s="8">
        <v>9496.0</v>
      </c>
      <c r="L2060" s="8" t="s">
        <v>2608</v>
      </c>
      <c r="M2060" s="11">
        <v>0.67</v>
      </c>
      <c r="N2060" s="8" t="s">
        <v>4605</v>
      </c>
      <c r="O2060" s="8">
        <v>13413.0</v>
      </c>
      <c r="P2060" s="11">
        <v>19.5387</v>
      </c>
      <c r="Q2060" s="8" t="s">
        <v>3700</v>
      </c>
      <c r="R2060" s="11">
        <v>0.9206</v>
      </c>
      <c r="S2060" s="12">
        <v>5839198.0</v>
      </c>
      <c r="T2060" s="12">
        <v>5.04591637E10</v>
      </c>
      <c r="U2060" s="13">
        <v>0.9349</v>
      </c>
      <c r="V2060" s="13">
        <v>9.9356</v>
      </c>
      <c r="W2060" s="13">
        <v>21.2054</v>
      </c>
      <c r="X2060" s="13">
        <v>5.3367</v>
      </c>
      <c r="Y2060" s="13">
        <v>1.7554</v>
      </c>
      <c r="Z2060" s="13">
        <v>0.924</v>
      </c>
      <c r="AA2060" s="8" t="s">
        <v>2611</v>
      </c>
      <c r="AB2060" s="14">
        <f>IFERROR(__xludf.DUMMYFUNCTION("IFERROR(GOOGLEFINANCE(B2060,""price""),"""")"),48.57)</f>
        <v>48.57</v>
      </c>
    </row>
    <row r="2061">
      <c r="A2061" s="15">
        <v>46114.668352472676</v>
      </c>
      <c r="B2061" s="16" t="s">
        <v>2638</v>
      </c>
      <c r="C2061" s="16" t="s">
        <v>2639</v>
      </c>
      <c r="D2061" s="17">
        <v>46117.0</v>
      </c>
      <c r="E2061" s="18">
        <v>160.69</v>
      </c>
      <c r="F2061" s="16" t="s">
        <v>245</v>
      </c>
      <c r="G2061" s="21">
        <v>24.0022</v>
      </c>
      <c r="H2061" s="21">
        <v>6.6948</v>
      </c>
      <c r="I2061" s="17">
        <v>46114.0</v>
      </c>
      <c r="J2061" s="18">
        <v>160.0</v>
      </c>
      <c r="K2061" s="16">
        <v>4073.0</v>
      </c>
      <c r="L2061" s="16" t="s">
        <v>2627</v>
      </c>
      <c r="M2061" s="19">
        <v>0.43</v>
      </c>
      <c r="N2061" s="16" t="s">
        <v>4606</v>
      </c>
      <c r="O2061" s="16">
        <v>10501.0</v>
      </c>
      <c r="P2061" s="19">
        <v>31.3743</v>
      </c>
      <c r="Q2061" s="16" t="s">
        <v>2641</v>
      </c>
      <c r="R2061" s="19">
        <v>-0.056</v>
      </c>
      <c r="S2061" s="20">
        <v>2.5253893E7</v>
      </c>
      <c r="T2061" s="20">
        <v>6.695566644E11</v>
      </c>
      <c r="U2061" s="21">
        <v>5.1408</v>
      </c>
      <c r="V2061" s="21">
        <v>11.0283</v>
      </c>
      <c r="W2061" s="21">
        <v>10.3419</v>
      </c>
      <c r="X2061" s="21">
        <v>-4.856</v>
      </c>
      <c r="Y2061" s="21">
        <v>0.1871</v>
      </c>
      <c r="Z2061" s="21">
        <v>1.1528</v>
      </c>
      <c r="AA2061" s="16" t="s">
        <v>2611</v>
      </c>
      <c r="AB2061" s="22">
        <f>IFERROR(__xludf.DUMMYFUNCTION("IFERROR(GOOGLEFINANCE(B2061,""price""),"""")"),152.51)</f>
        <v>152.51</v>
      </c>
    </row>
    <row r="2062">
      <c r="A2062" s="7">
        <v>46114.668352472676</v>
      </c>
      <c r="B2062" s="8" t="s">
        <v>2634</v>
      </c>
      <c r="C2062" s="8" t="s">
        <v>2635</v>
      </c>
      <c r="D2062" s="9">
        <v>46117.0</v>
      </c>
      <c r="E2062" s="10">
        <v>198.97</v>
      </c>
      <c r="F2062" s="8" t="s">
        <v>245</v>
      </c>
      <c r="G2062" s="13">
        <v>29.9293</v>
      </c>
      <c r="H2062" s="13">
        <v>6.648</v>
      </c>
      <c r="I2062" s="9">
        <v>46114.0</v>
      </c>
      <c r="J2062" s="10">
        <v>195.0</v>
      </c>
      <c r="K2062" s="8">
        <v>2442.0</v>
      </c>
      <c r="L2062" s="8" t="s">
        <v>2627</v>
      </c>
      <c r="M2062" s="11">
        <v>2.0</v>
      </c>
      <c r="N2062" s="8" t="s">
        <v>4607</v>
      </c>
      <c r="O2062" s="8">
        <v>8912.0</v>
      </c>
      <c r="P2062" s="11">
        <v>38.081</v>
      </c>
      <c r="Q2062" s="8" t="s">
        <v>2637</v>
      </c>
      <c r="R2062" s="11">
        <v>0.7902</v>
      </c>
      <c r="S2062" s="12">
        <v>1.1432434E7</v>
      </c>
      <c r="T2062" s="12">
        <v>3.970227483E11</v>
      </c>
      <c r="U2062" s="13">
        <v>5.438</v>
      </c>
      <c r="V2062" s="13">
        <v>7.261</v>
      </c>
      <c r="W2062" s="13">
        <v>8.8802</v>
      </c>
      <c r="X2062" s="13">
        <v>-4.6193</v>
      </c>
      <c r="Y2062" s="13">
        <v>0.2507</v>
      </c>
      <c r="Z2062" s="13">
        <v>1.1547</v>
      </c>
      <c r="AA2062" s="8" t="s">
        <v>2611</v>
      </c>
      <c r="AB2062" s="14">
        <f>IFERROR(__xludf.DUMMYFUNCTION("IFERROR(GOOGLEFINANCE(B2062,""price""),"""")"),188.55)</f>
        <v>188.55</v>
      </c>
    </row>
    <row r="2063">
      <c r="A2063" s="15">
        <v>46114.668352472676</v>
      </c>
      <c r="B2063" s="16" t="s">
        <v>4359</v>
      </c>
      <c r="C2063" s="16" t="s">
        <v>4360</v>
      </c>
      <c r="D2063" s="17">
        <v>46117.0</v>
      </c>
      <c r="E2063" s="18">
        <v>107.11</v>
      </c>
      <c r="F2063" s="16" t="s">
        <v>308</v>
      </c>
      <c r="G2063" s="21">
        <v>34.6522</v>
      </c>
      <c r="H2063" s="21">
        <v>3.091</v>
      </c>
      <c r="I2063" s="17">
        <v>46114.0</v>
      </c>
      <c r="J2063" s="18">
        <v>105.0</v>
      </c>
      <c r="K2063" s="16">
        <v>4169.0</v>
      </c>
      <c r="L2063" s="16" t="s">
        <v>2608</v>
      </c>
      <c r="M2063" s="19">
        <v>1.97</v>
      </c>
      <c r="N2063" s="16" t="s">
        <v>4608</v>
      </c>
      <c r="O2063" s="16">
        <v>8753.0</v>
      </c>
      <c r="P2063" s="19">
        <v>15.9324</v>
      </c>
      <c r="Q2063" s="16" t="s">
        <v>4362</v>
      </c>
      <c r="R2063" s="19">
        <v>0.3748</v>
      </c>
      <c r="S2063" s="20">
        <v>2.3595912E7</v>
      </c>
      <c r="T2063" s="20">
        <v>9.3646273E10</v>
      </c>
      <c r="U2063" s="21">
        <v>5.7216</v>
      </c>
      <c r="V2063" s="21">
        <v>19.2541</v>
      </c>
      <c r="W2063" s="21">
        <v>16.3327</v>
      </c>
      <c r="X2063" s="21">
        <v>42.0873</v>
      </c>
      <c r="Y2063" s="21">
        <v>0.3519</v>
      </c>
      <c r="Z2063" s="21">
        <v>2.0061</v>
      </c>
      <c r="AA2063" s="16" t="s">
        <v>2611</v>
      </c>
      <c r="AB2063" s="22">
        <f>IFERROR(__xludf.DUMMYFUNCTION("IFERROR(GOOGLEFINANCE(B2063,""price""),"""")"),128.49)</f>
        <v>128.49</v>
      </c>
    </row>
    <row r="2064">
      <c r="A2064" s="7">
        <v>46114.668352472676</v>
      </c>
      <c r="B2064" s="8" t="s">
        <v>1612</v>
      </c>
      <c r="C2064" s="8" t="s">
        <v>1613</v>
      </c>
      <c r="D2064" s="9">
        <v>46117.0</v>
      </c>
      <c r="E2064" s="10">
        <v>72.35</v>
      </c>
      <c r="F2064" s="8" t="s">
        <v>137</v>
      </c>
      <c r="G2064" s="13">
        <v>47.0814</v>
      </c>
      <c r="H2064" s="13">
        <v>1.5367</v>
      </c>
      <c r="I2064" s="9">
        <v>46114.0</v>
      </c>
      <c r="J2064" s="10">
        <v>72.0</v>
      </c>
      <c r="K2064" s="8">
        <v>5068.0</v>
      </c>
      <c r="L2064" s="8" t="s">
        <v>2608</v>
      </c>
      <c r="M2064" s="11">
        <v>0.48</v>
      </c>
      <c r="N2064" s="8" t="s">
        <v>4609</v>
      </c>
      <c r="O2064" s="8">
        <v>6303.0</v>
      </c>
      <c r="P2064" s="11">
        <v>21.0539</v>
      </c>
      <c r="Q2064" s="8" t="s">
        <v>1614</v>
      </c>
      <c r="R2064" s="11">
        <v>2.5659</v>
      </c>
      <c r="S2064" s="12">
        <v>4047538.0</v>
      </c>
      <c r="T2064" s="12">
        <v>4.578662515E10</v>
      </c>
      <c r="U2064" s="13">
        <v>1.9928</v>
      </c>
      <c r="V2064" s="13">
        <v>14.12</v>
      </c>
      <c r="W2064" s="13">
        <v>3.2288</v>
      </c>
      <c r="X2064" s="13">
        <v>0.3528</v>
      </c>
      <c r="Y2064" s="13">
        <v>4.1577</v>
      </c>
      <c r="Z2064" s="13">
        <v>0.802</v>
      </c>
      <c r="AA2064" s="8" t="s">
        <v>2611</v>
      </c>
      <c r="AB2064" s="14">
        <f>IFERROR(__xludf.DUMMYFUNCTION("IFERROR(GOOGLEFINANCE(B2064,""price""),"""")"),67.99)</f>
        <v>67.99</v>
      </c>
    </row>
    <row r="2065">
      <c r="A2065" s="15">
        <v>46114.668352472676</v>
      </c>
      <c r="B2065" s="16" t="s">
        <v>2280</v>
      </c>
      <c r="C2065" s="16" t="s">
        <v>2281</v>
      </c>
      <c r="D2065" s="17">
        <v>46117.0</v>
      </c>
      <c r="E2065" s="18">
        <v>17.75</v>
      </c>
      <c r="F2065" s="16" t="s">
        <v>286</v>
      </c>
      <c r="G2065" s="21">
        <v>10.33</v>
      </c>
      <c r="H2065" s="21">
        <v>1.7183</v>
      </c>
      <c r="I2065" s="17">
        <v>46129.0</v>
      </c>
      <c r="J2065" s="18">
        <v>17.5</v>
      </c>
      <c r="K2065" s="16">
        <v>6078.0</v>
      </c>
      <c r="L2065" s="16" t="s">
        <v>2608</v>
      </c>
      <c r="M2065" s="19">
        <v>1.41</v>
      </c>
      <c r="N2065" s="16" t="s">
        <v>4610</v>
      </c>
      <c r="O2065" s="16">
        <v>6078.0</v>
      </c>
      <c r="P2065" s="19">
        <v>29.7784</v>
      </c>
      <c r="Q2065" s="16" t="s">
        <v>2282</v>
      </c>
      <c r="R2065" s="19">
        <v>-2.0419</v>
      </c>
      <c r="S2065" s="20">
        <v>3884085.0</v>
      </c>
      <c r="T2065" s="20">
        <v>1.373258925E10</v>
      </c>
      <c r="U2065" s="21">
        <v>0.5521</v>
      </c>
      <c r="V2065" s="21">
        <v>31.0119</v>
      </c>
      <c r="W2065" s="21">
        <v>4.8766</v>
      </c>
      <c r="X2065" s="21"/>
      <c r="Y2065" s="21">
        <v>2.6263</v>
      </c>
      <c r="Z2065" s="21">
        <v>1.5975</v>
      </c>
      <c r="AA2065" s="16" t="s">
        <v>2611</v>
      </c>
      <c r="AB2065" s="22">
        <f>IFERROR(__xludf.DUMMYFUNCTION("IFERROR(GOOGLEFINANCE(B2065,""price""),"""")"),18.32)</f>
        <v>18.32</v>
      </c>
    </row>
    <row r="2066">
      <c r="A2066" s="7">
        <v>46114.668352472676</v>
      </c>
      <c r="B2066" s="8" t="s">
        <v>3802</v>
      </c>
      <c r="C2066" s="8" t="s">
        <v>3803</v>
      </c>
      <c r="D2066" s="9">
        <v>46117.0</v>
      </c>
      <c r="E2066" s="10">
        <v>55.29</v>
      </c>
      <c r="F2066" s="8" t="s">
        <v>270</v>
      </c>
      <c r="G2066" s="13">
        <v>85.2977</v>
      </c>
      <c r="H2066" s="13">
        <v>0.6482</v>
      </c>
      <c r="I2066" s="9">
        <v>46129.0</v>
      </c>
      <c r="J2066" s="10">
        <v>55.0</v>
      </c>
      <c r="K2066" s="8">
        <v>5572.0</v>
      </c>
      <c r="L2066" s="8" t="s">
        <v>2608</v>
      </c>
      <c r="M2066" s="11">
        <v>0.52</v>
      </c>
      <c r="N2066" s="8" t="s">
        <v>4611</v>
      </c>
      <c r="O2066" s="8">
        <v>5572.0</v>
      </c>
      <c r="P2066" s="11">
        <v>33.9139</v>
      </c>
      <c r="Q2066" s="8" t="s">
        <v>3805</v>
      </c>
      <c r="R2066" s="11">
        <v>3.0568</v>
      </c>
      <c r="S2066" s="12">
        <v>1980280.0</v>
      </c>
      <c r="T2066" s="12">
        <v>5.78455038E9</v>
      </c>
      <c r="U2066" s="13">
        <v>1.8895</v>
      </c>
      <c r="V2066" s="13">
        <v>3.4054</v>
      </c>
      <c r="W2066" s="13">
        <v>34.4448</v>
      </c>
      <c r="X2066" s="13">
        <v>51.1384</v>
      </c>
      <c r="Y2066" s="13">
        <v>1.5001</v>
      </c>
      <c r="Z2066" s="13">
        <v>2.5453</v>
      </c>
      <c r="AA2066" s="8" t="s">
        <v>2611</v>
      </c>
      <c r="AB2066" s="14">
        <f>IFERROR(__xludf.DUMMYFUNCTION("IFERROR(GOOGLEFINANCE(B2066,""price""),"""")"),53.28)</f>
        <v>53.28</v>
      </c>
    </row>
    <row r="2067">
      <c r="A2067" s="15">
        <v>46114.668352472676</v>
      </c>
      <c r="B2067" s="16" t="s">
        <v>2139</v>
      </c>
      <c r="C2067" s="16" t="s">
        <v>2140</v>
      </c>
      <c r="D2067" s="17">
        <v>46117.0</v>
      </c>
      <c r="E2067" s="18">
        <v>60.38</v>
      </c>
      <c r="F2067" s="16" t="s">
        <v>270</v>
      </c>
      <c r="G2067" s="21">
        <v>23.1785</v>
      </c>
      <c r="H2067" s="21">
        <v>2.605</v>
      </c>
      <c r="I2067" s="17">
        <v>46129.0</v>
      </c>
      <c r="J2067" s="18">
        <v>60.0</v>
      </c>
      <c r="K2067" s="16">
        <v>3389.0</v>
      </c>
      <c r="L2067" s="16" t="s">
        <v>2608</v>
      </c>
      <c r="M2067" s="19">
        <v>0.63</v>
      </c>
      <c r="N2067" s="16" t="s">
        <v>4612</v>
      </c>
      <c r="O2067" s="16">
        <v>5035.0</v>
      </c>
      <c r="P2067" s="19">
        <v>21.0213</v>
      </c>
      <c r="Q2067" s="16" t="s">
        <v>2141</v>
      </c>
      <c r="R2067" s="19">
        <v>0.0663</v>
      </c>
      <c r="S2067" s="20">
        <v>7003963.0</v>
      </c>
      <c r="T2067" s="20">
        <v>5.966968968E10</v>
      </c>
      <c r="U2067" s="21">
        <v>2.0234</v>
      </c>
      <c r="V2067" s="21">
        <v>14.4868</v>
      </c>
      <c r="W2067" s="21">
        <v>12.8259</v>
      </c>
      <c r="X2067" s="21">
        <v>-0.345</v>
      </c>
      <c r="Y2067" s="21">
        <v>0.3558</v>
      </c>
      <c r="Z2067" s="21">
        <v>1.3568</v>
      </c>
      <c r="AA2067" s="16" t="s">
        <v>2611</v>
      </c>
      <c r="AB2067" s="22">
        <f>IFERROR(__xludf.DUMMYFUNCTION("IFERROR(GOOGLEFINANCE(B2067,""price""),"""")"),62.83)</f>
        <v>62.83</v>
      </c>
    </row>
    <row r="2068">
      <c r="A2068" s="7">
        <v>46114.668352472676</v>
      </c>
      <c r="B2068" s="8" t="s">
        <v>2399</v>
      </c>
      <c r="C2068" s="8" t="s">
        <v>2400</v>
      </c>
      <c r="D2068" s="9">
        <v>46117.0</v>
      </c>
      <c r="E2068" s="10">
        <v>18.93</v>
      </c>
      <c r="F2068" s="8" t="s">
        <v>270</v>
      </c>
      <c r="G2068" s="13">
        <v>15.6679</v>
      </c>
      <c r="H2068" s="13">
        <v>1.2082</v>
      </c>
      <c r="I2068" s="9">
        <v>46114.0</v>
      </c>
      <c r="J2068" s="10">
        <v>19.0</v>
      </c>
      <c r="K2068" s="8">
        <v>4428.0</v>
      </c>
      <c r="L2068" s="8" t="s">
        <v>2608</v>
      </c>
      <c r="M2068" s="11">
        <v>0.37</v>
      </c>
      <c r="N2068" s="8" t="s">
        <v>4613</v>
      </c>
      <c r="O2068" s="8">
        <v>4428.0</v>
      </c>
      <c r="P2068" s="11">
        <v>21.4558</v>
      </c>
      <c r="Q2068" s="8" t="s">
        <v>2401</v>
      </c>
      <c r="R2068" s="11">
        <v>-0.4732</v>
      </c>
      <c r="S2068" s="12">
        <v>1.4105199E7</v>
      </c>
      <c r="T2068" s="12">
        <v>6.51250683E10</v>
      </c>
      <c r="U2068" s="13">
        <v>0.3839</v>
      </c>
      <c r="V2068" s="13">
        <v>12.7475</v>
      </c>
      <c r="W2068" s="13">
        <v>10.8866</v>
      </c>
      <c r="X2068" s="13">
        <v>3.4655</v>
      </c>
      <c r="Y2068" s="13">
        <v>2.0395</v>
      </c>
      <c r="Z2068" s="13">
        <v>1.2192</v>
      </c>
      <c r="AA2068" s="8" t="s">
        <v>2620</v>
      </c>
      <c r="AB2068" s="14">
        <f>IFERROR(__xludf.DUMMYFUNCTION("IFERROR(GOOGLEFINANCE(B2068,""price""),"""")"),19.19)</f>
        <v>19.19</v>
      </c>
    </row>
    <row r="2069">
      <c r="A2069" s="15">
        <v>46114.668352472676</v>
      </c>
      <c r="B2069" s="16" t="s">
        <v>1080</v>
      </c>
      <c r="C2069" s="16" t="s">
        <v>1081</v>
      </c>
      <c r="D2069" s="17">
        <v>46117.0</v>
      </c>
      <c r="E2069" s="18">
        <v>44.32</v>
      </c>
      <c r="F2069" s="16" t="s">
        <v>308</v>
      </c>
      <c r="G2069" s="21"/>
      <c r="H2069" s="21">
        <v>-0.2955</v>
      </c>
      <c r="I2069" s="17">
        <v>46129.0</v>
      </c>
      <c r="J2069" s="18">
        <v>45.0</v>
      </c>
      <c r="K2069" s="16">
        <v>4186.0</v>
      </c>
      <c r="L2069" s="16" t="s">
        <v>2608</v>
      </c>
      <c r="M2069" s="19">
        <v>1.53</v>
      </c>
      <c r="N2069" s="16" t="s">
        <v>4614</v>
      </c>
      <c r="O2069" s="16">
        <v>4186.0</v>
      </c>
      <c r="P2069" s="19">
        <v>16.1704</v>
      </c>
      <c r="Q2069" s="16" t="s">
        <v>1082</v>
      </c>
      <c r="R2069" s="19">
        <v>11.9192</v>
      </c>
      <c r="S2069" s="20">
        <v>3579966.0</v>
      </c>
      <c r="T2069" s="20">
        <v>1.357401936E9</v>
      </c>
      <c r="U2069" s="21">
        <v>4.6135</v>
      </c>
      <c r="V2069" s="21">
        <v>-6.9744</v>
      </c>
      <c r="W2069" s="21">
        <v>-22.8493</v>
      </c>
      <c r="X2069" s="21">
        <v>4.9552</v>
      </c>
      <c r="Y2069" s="21">
        <v>0.0777</v>
      </c>
      <c r="Z2069" s="21">
        <v>10.6188</v>
      </c>
      <c r="AA2069" s="16" t="s">
        <v>2620</v>
      </c>
      <c r="AB2069" s="22">
        <f>IFERROR(__xludf.DUMMYFUNCTION("IFERROR(GOOGLEFINANCE(B2069,""price""),"""")"),70.43)</f>
        <v>70.43</v>
      </c>
    </row>
    <row r="2070">
      <c r="A2070" s="7">
        <v>46114.668352472676</v>
      </c>
      <c r="B2070" s="8" t="s">
        <v>3944</v>
      </c>
      <c r="C2070" s="8" t="s">
        <v>3945</v>
      </c>
      <c r="D2070" s="9">
        <v>46117.0</v>
      </c>
      <c r="E2070" s="10">
        <v>132.22</v>
      </c>
      <c r="F2070" s="8" t="s">
        <v>917</v>
      </c>
      <c r="G2070" s="13">
        <v>20.9464</v>
      </c>
      <c r="H2070" s="13">
        <v>6.3123</v>
      </c>
      <c r="I2070" s="9">
        <v>46129.0</v>
      </c>
      <c r="J2070" s="10">
        <v>130.0</v>
      </c>
      <c r="K2070" s="8">
        <v>2882.0</v>
      </c>
      <c r="L2070" s="8" t="s">
        <v>2608</v>
      </c>
      <c r="M2070" s="11">
        <v>1.68</v>
      </c>
      <c r="N2070" s="8" t="s">
        <v>4615</v>
      </c>
      <c r="O2070" s="8">
        <v>3936.0</v>
      </c>
      <c r="P2070" s="11">
        <v>17.3178</v>
      </c>
      <c r="Q2070" s="8" t="s">
        <v>3947</v>
      </c>
      <c r="R2070" s="11">
        <v>1.0084</v>
      </c>
      <c r="S2070" s="12">
        <v>3642901.0</v>
      </c>
      <c r="T2070" s="12">
        <v>1.0282365962E11</v>
      </c>
      <c r="U2070" s="13">
        <v>2.2455</v>
      </c>
      <c r="V2070" s="13">
        <v>9.7422</v>
      </c>
      <c r="W2070" s="13">
        <v>26.6061</v>
      </c>
      <c r="X2070" s="13">
        <v>6.193</v>
      </c>
      <c r="Y2070" s="13">
        <v>1.7574</v>
      </c>
      <c r="Z2070" s="13">
        <v>0.5518</v>
      </c>
      <c r="AA2070" s="8" t="s">
        <v>2611</v>
      </c>
      <c r="AB2070" s="14">
        <f>IFERROR(__xludf.DUMMYFUNCTION("IFERROR(GOOGLEFINANCE(B2070,""price""),"""")"),131.79)</f>
        <v>131.79</v>
      </c>
    </row>
    <row r="2071">
      <c r="A2071" s="15">
        <v>46114.668352472676</v>
      </c>
      <c r="B2071" s="16" t="s">
        <v>4438</v>
      </c>
      <c r="C2071" s="16" t="s">
        <v>4439</v>
      </c>
      <c r="D2071" s="17">
        <v>46117.0</v>
      </c>
      <c r="E2071" s="18">
        <v>60.72</v>
      </c>
      <c r="F2071" s="16" t="s">
        <v>245</v>
      </c>
      <c r="G2071" s="21">
        <v>19.8418</v>
      </c>
      <c r="H2071" s="21">
        <v>3.0602</v>
      </c>
      <c r="I2071" s="17">
        <v>46129.0</v>
      </c>
      <c r="J2071" s="18">
        <v>60.0</v>
      </c>
      <c r="K2071" s="16">
        <v>3269.0</v>
      </c>
      <c r="L2071" s="16" t="s">
        <v>2608</v>
      </c>
      <c r="M2071" s="19">
        <v>1.19</v>
      </c>
      <c r="N2071" s="16" t="s">
        <v>4594</v>
      </c>
      <c r="O2071" s="16">
        <v>3269.0</v>
      </c>
      <c r="P2071" s="19">
        <v>19.1708</v>
      </c>
      <c r="Q2071" s="16" t="s">
        <v>4441</v>
      </c>
      <c r="R2071" s="19">
        <v>-0.3283</v>
      </c>
      <c r="S2071" s="20">
        <v>2062200.0</v>
      </c>
      <c r="T2071" s="20">
        <v>1.094617656E10</v>
      </c>
      <c r="U2071" s="21">
        <v>2.5494</v>
      </c>
      <c r="V2071" s="21">
        <v>6.2073</v>
      </c>
      <c r="W2071" s="21">
        <v>3.4166</v>
      </c>
      <c r="X2071" s="21">
        <v>-6.0035</v>
      </c>
      <c r="Y2071" s="21">
        <v>0.3519</v>
      </c>
      <c r="Z2071" s="21">
        <v>1.9364</v>
      </c>
      <c r="AA2071" s="16" t="s">
        <v>2611</v>
      </c>
      <c r="AB2071" s="22">
        <f>IFERROR(__xludf.DUMMYFUNCTION("IFERROR(GOOGLEFINANCE(B2071,""price""),"""")"),57.51)</f>
        <v>57.51</v>
      </c>
    </row>
    <row r="2072">
      <c r="A2072" s="7">
        <v>46114.668352472676</v>
      </c>
      <c r="B2072" s="8" t="s">
        <v>2692</v>
      </c>
      <c r="C2072" s="8" t="s">
        <v>2693</v>
      </c>
      <c r="D2072" s="9">
        <v>46117.0</v>
      </c>
      <c r="E2072" s="10">
        <v>243.04</v>
      </c>
      <c r="F2072" s="8" t="s">
        <v>117</v>
      </c>
      <c r="G2072" s="13">
        <v>22.0029</v>
      </c>
      <c r="H2072" s="13">
        <v>11.0458</v>
      </c>
      <c r="I2072" s="9">
        <v>46114.0</v>
      </c>
      <c r="J2072" s="10">
        <v>240.0</v>
      </c>
      <c r="K2072" s="8">
        <v>1714.0</v>
      </c>
      <c r="L2072" s="8" t="s">
        <v>2608</v>
      </c>
      <c r="M2072" s="11">
        <v>1.25</v>
      </c>
      <c r="N2072" s="8" t="s">
        <v>4616</v>
      </c>
      <c r="O2072" s="8">
        <v>2826.0</v>
      </c>
      <c r="P2072" s="11">
        <v>16.7949</v>
      </c>
      <c r="Q2072" s="8" t="s">
        <v>2695</v>
      </c>
      <c r="R2072" s="11">
        <v>-0.4424</v>
      </c>
      <c r="S2072" s="12">
        <v>6864311.0</v>
      </c>
      <c r="T2072" s="12">
        <v>5.85702096E11</v>
      </c>
      <c r="U2072" s="13">
        <v>4.076</v>
      </c>
      <c r="V2072" s="13">
        <v>35.0301</v>
      </c>
      <c r="W2072" s="13">
        <v>27.2081</v>
      </c>
      <c r="X2072" s="13">
        <v>6.046</v>
      </c>
      <c r="Y2072" s="13">
        <v>0.605</v>
      </c>
      <c r="Z2072" s="13">
        <v>1.0277</v>
      </c>
      <c r="AA2072" s="8" t="s">
        <v>2611</v>
      </c>
      <c r="AB2072" s="14">
        <f>IFERROR(__xludf.DUMMYFUNCTION("IFERROR(GOOGLEFINANCE(B2072,""price""),"""")"),238.46)</f>
        <v>238.46</v>
      </c>
    </row>
    <row r="2073">
      <c r="A2073" s="15">
        <v>46114.668352472676</v>
      </c>
      <c r="B2073" s="16" t="s">
        <v>2710</v>
      </c>
      <c r="C2073" s="16" t="s">
        <v>2711</v>
      </c>
      <c r="D2073" s="17">
        <v>46117.0</v>
      </c>
      <c r="E2073" s="18">
        <v>132.68</v>
      </c>
      <c r="F2073" s="16" t="s">
        <v>917</v>
      </c>
      <c r="G2073" s="21">
        <v>19.9222</v>
      </c>
      <c r="H2073" s="21">
        <v>6.6599</v>
      </c>
      <c r="I2073" s="17">
        <v>46129.0</v>
      </c>
      <c r="J2073" s="18">
        <v>135.0</v>
      </c>
      <c r="K2073" s="16">
        <v>2574.0</v>
      </c>
      <c r="L2073" s="16" t="s">
        <v>2608</v>
      </c>
      <c r="M2073" s="19">
        <v>1.75</v>
      </c>
      <c r="N2073" s="16" t="s">
        <v>4617</v>
      </c>
      <c r="O2073" s="16">
        <v>2574.0</v>
      </c>
      <c r="P2073" s="19">
        <v>22.2731</v>
      </c>
      <c r="Q2073" s="16" t="s">
        <v>2713</v>
      </c>
      <c r="R2073" s="19">
        <v>0.7671</v>
      </c>
      <c r="S2073" s="20">
        <v>1997592.0</v>
      </c>
      <c r="T2073" s="20">
        <v>7.176143748E10</v>
      </c>
      <c r="U2073" s="21">
        <v>2.4782</v>
      </c>
      <c r="V2073" s="21">
        <v>12.3274</v>
      </c>
      <c r="W2073" s="21">
        <v>25.0742</v>
      </c>
      <c r="X2073" s="21">
        <v>10.4587</v>
      </c>
      <c r="Y2073" s="21">
        <v>1.5949</v>
      </c>
      <c r="Z2073" s="21">
        <v>0.4546</v>
      </c>
      <c r="AA2073" s="16" t="s">
        <v>2620</v>
      </c>
      <c r="AB2073" s="22">
        <f>IFERROR(__xludf.DUMMYFUNCTION("IFERROR(GOOGLEFINANCE(B2073,""price""),"""")"),136.3)</f>
        <v>136.3</v>
      </c>
    </row>
    <row r="2074">
      <c r="A2074" s="7">
        <v>46114.668352472676</v>
      </c>
      <c r="B2074" s="8" t="s">
        <v>2804</v>
      </c>
      <c r="C2074" s="8" t="s">
        <v>2805</v>
      </c>
      <c r="D2074" s="9">
        <v>46117.0</v>
      </c>
      <c r="E2074" s="10">
        <v>147.92</v>
      </c>
      <c r="F2074" s="8" t="s">
        <v>308</v>
      </c>
      <c r="G2074" s="13">
        <v>80.4394</v>
      </c>
      <c r="H2074" s="13">
        <v>1.8389</v>
      </c>
      <c r="I2074" s="9">
        <v>46114.0</v>
      </c>
      <c r="J2074" s="10">
        <v>150.0</v>
      </c>
      <c r="K2074" s="8">
        <v>1200.0</v>
      </c>
      <c r="L2074" s="8" t="s">
        <v>2627</v>
      </c>
      <c r="M2074" s="11">
        <v>1.41</v>
      </c>
      <c r="N2074" s="8" t="s">
        <v>4618</v>
      </c>
      <c r="O2074" s="8">
        <v>2306.0</v>
      </c>
      <c r="P2074" s="11">
        <v>15.1619</v>
      </c>
      <c r="Q2074" s="8" t="s">
        <v>2807</v>
      </c>
      <c r="R2074" s="11">
        <v>3.891</v>
      </c>
      <c r="S2074" s="12">
        <v>1.1391867E7</v>
      </c>
      <c r="T2074" s="12">
        <v>1.2690766816E11</v>
      </c>
      <c r="U2074" s="13">
        <v>9.3885</v>
      </c>
      <c r="V2074" s="13">
        <v>14.1911</v>
      </c>
      <c r="W2074" s="13">
        <v>15.3241</v>
      </c>
      <c r="X2074" s="13">
        <v>19.1416</v>
      </c>
      <c r="Y2074" s="13">
        <v>0.7942</v>
      </c>
      <c r="Z2074" s="13">
        <v>1.5878</v>
      </c>
      <c r="AA2074" s="8" t="s">
        <v>2620</v>
      </c>
      <c r="AB2074" s="14">
        <f>IFERROR(__xludf.DUMMYFUNCTION("IFERROR(GOOGLEFINANCE(B2074,""price""),"""")"),171.24)</f>
        <v>171.24</v>
      </c>
    </row>
    <row r="2075">
      <c r="A2075" s="15">
        <v>46114.668352472676</v>
      </c>
      <c r="B2075" s="16" t="s">
        <v>2658</v>
      </c>
      <c r="C2075" s="16" t="s">
        <v>2659</v>
      </c>
      <c r="D2075" s="17">
        <v>46117.0</v>
      </c>
      <c r="E2075" s="18">
        <v>93.15</v>
      </c>
      <c r="F2075" s="16" t="s">
        <v>917</v>
      </c>
      <c r="G2075" s="21">
        <v>28.2247</v>
      </c>
      <c r="H2075" s="21">
        <v>3.3003</v>
      </c>
      <c r="I2075" s="17">
        <v>46114.0</v>
      </c>
      <c r="J2075" s="18">
        <v>93.0</v>
      </c>
      <c r="K2075" s="16">
        <v>1715.0</v>
      </c>
      <c r="L2075" s="16" t="s">
        <v>2608</v>
      </c>
      <c r="M2075" s="19">
        <v>0.16</v>
      </c>
      <c r="N2075" s="16" t="s">
        <v>4619</v>
      </c>
      <c r="O2075" s="16">
        <v>1715.0</v>
      </c>
      <c r="P2075" s="19">
        <v>20.3663</v>
      </c>
      <c r="Q2075" s="16" t="s">
        <v>2661</v>
      </c>
      <c r="R2075" s="19">
        <v>0.3231</v>
      </c>
      <c r="S2075" s="20">
        <v>1.0414767E7</v>
      </c>
      <c r="T2075" s="20">
        <v>1.94079888E11</v>
      </c>
      <c r="U2075" s="21">
        <v>1.9582</v>
      </c>
      <c r="V2075" s="21">
        <v>13.0533</v>
      </c>
      <c r="W2075" s="21">
        <v>26.8934</v>
      </c>
      <c r="X2075" s="21">
        <v>8.6905</v>
      </c>
      <c r="Y2075" s="21">
        <v>1.7594</v>
      </c>
      <c r="Z2075" s="21">
        <v>0.5953</v>
      </c>
      <c r="AA2075" s="16" t="s">
        <v>2611</v>
      </c>
      <c r="AB2075" s="22">
        <f>IFERROR(__xludf.DUMMYFUNCTION("IFERROR(GOOGLEFINANCE(B2075,""price""),"""")"),94.08)</f>
        <v>94.08</v>
      </c>
    </row>
    <row r="2076">
      <c r="A2076" s="7">
        <v>46114.668352472676</v>
      </c>
      <c r="B2076" s="8" t="s">
        <v>2654</v>
      </c>
      <c r="C2076" s="8" t="s">
        <v>2655</v>
      </c>
      <c r="D2076" s="9">
        <v>46117.0</v>
      </c>
      <c r="E2076" s="10">
        <v>43.71</v>
      </c>
      <c r="F2076" s="8" t="s">
        <v>917</v>
      </c>
      <c r="G2076" s="13">
        <v>27.1778</v>
      </c>
      <c r="H2076" s="13">
        <v>1.6083</v>
      </c>
      <c r="I2076" s="9">
        <v>46129.0</v>
      </c>
      <c r="J2076" s="10">
        <v>44.0</v>
      </c>
      <c r="K2076" s="8">
        <v>1513.0</v>
      </c>
      <c r="L2076" s="8" t="s">
        <v>2608</v>
      </c>
      <c r="M2076" s="11">
        <v>0.66</v>
      </c>
      <c r="N2076" s="8" t="s">
        <v>4620</v>
      </c>
      <c r="O2076" s="8">
        <v>1513.0</v>
      </c>
      <c r="P2076" s="11">
        <v>18.4527</v>
      </c>
      <c r="Q2076" s="8" t="s">
        <v>2657</v>
      </c>
      <c r="R2076" s="11">
        <v>1.0636</v>
      </c>
      <c r="S2076" s="12">
        <v>3055232.0</v>
      </c>
      <c r="T2076" s="12">
        <v>2.853703512E10</v>
      </c>
      <c r="U2076" s="13">
        <v>0.7432</v>
      </c>
      <c r="V2076" s="13">
        <v>9.643</v>
      </c>
      <c r="W2076" s="13">
        <v>22.55</v>
      </c>
      <c r="X2076" s="13">
        <v>8.261</v>
      </c>
      <c r="Y2076" s="13">
        <v>2.1166</v>
      </c>
      <c r="Z2076" s="13">
        <v>0.9107</v>
      </c>
      <c r="AA2076" s="8" t="s">
        <v>2620</v>
      </c>
      <c r="AB2076" s="14">
        <f>IFERROR(__xludf.DUMMYFUNCTION("IFERROR(GOOGLEFINANCE(B2076,""price""),"""")"),43.39)</f>
        <v>43.39</v>
      </c>
    </row>
    <row r="2077">
      <c r="A2077" s="15">
        <v>46114.668352472676</v>
      </c>
      <c r="B2077" s="16" t="s">
        <v>4519</v>
      </c>
      <c r="C2077" s="16" t="s">
        <v>4520</v>
      </c>
      <c r="D2077" s="17">
        <v>46117.0</v>
      </c>
      <c r="E2077" s="18">
        <v>197.8</v>
      </c>
      <c r="F2077" s="16" t="s">
        <v>308</v>
      </c>
      <c r="G2077" s="21">
        <v>102.0113</v>
      </c>
      <c r="H2077" s="21">
        <v>1.939</v>
      </c>
      <c r="I2077" s="17">
        <v>46129.0</v>
      </c>
      <c r="J2077" s="18">
        <v>200.0</v>
      </c>
      <c r="K2077" s="16">
        <v>1498.0</v>
      </c>
      <c r="L2077" s="16" t="s">
        <v>2608</v>
      </c>
      <c r="M2077" s="19">
        <v>1.11</v>
      </c>
      <c r="N2077" s="16" t="s">
        <v>4621</v>
      </c>
      <c r="O2077" s="16">
        <v>1498.0</v>
      </c>
      <c r="P2077" s="19">
        <v>30.3024</v>
      </c>
      <c r="Q2077" s="16" t="s">
        <v>4522</v>
      </c>
      <c r="R2077" s="19">
        <v>5.7358</v>
      </c>
      <c r="S2077" s="20">
        <v>3424752.0</v>
      </c>
      <c r="T2077" s="20">
        <v>2.2105459436E10</v>
      </c>
      <c r="U2077" s="21">
        <v>13.8504</v>
      </c>
      <c r="V2077" s="21">
        <v>7.9126</v>
      </c>
      <c r="W2077" s="21">
        <v>12.3984</v>
      </c>
      <c r="X2077" s="21">
        <v>9.0509</v>
      </c>
      <c r="Y2077" s="21">
        <v>0.0553</v>
      </c>
      <c r="Z2077" s="21">
        <v>6.4821</v>
      </c>
      <c r="AA2077" s="16" t="s">
        <v>2620</v>
      </c>
      <c r="AB2077" s="22">
        <f>IFERROR(__xludf.DUMMYFUNCTION("IFERROR(GOOGLEFINANCE(B2077,""price""),"""")"),203.59)</f>
        <v>203.59</v>
      </c>
    </row>
    <row r="2078">
      <c r="A2078" s="7">
        <v>46114.668352472676</v>
      </c>
      <c r="B2078" s="8" t="s">
        <v>2026</v>
      </c>
      <c r="C2078" s="8" t="s">
        <v>2027</v>
      </c>
      <c r="D2078" s="9">
        <v>46117.0</v>
      </c>
      <c r="E2078" s="10">
        <v>129.42</v>
      </c>
      <c r="F2078" s="8" t="s">
        <v>107</v>
      </c>
      <c r="G2078" s="13">
        <v>23.818</v>
      </c>
      <c r="H2078" s="13">
        <v>5.4337</v>
      </c>
      <c r="I2078" s="9">
        <v>46129.0</v>
      </c>
      <c r="J2078" s="10">
        <v>130.0</v>
      </c>
      <c r="K2078" s="8">
        <v>1477.0</v>
      </c>
      <c r="L2078" s="8" t="s">
        <v>2608</v>
      </c>
      <c r="M2078" s="11">
        <v>0.45</v>
      </c>
      <c r="N2078" s="8" t="s">
        <v>4622</v>
      </c>
      <c r="O2078" s="8">
        <v>1477.0</v>
      </c>
      <c r="P2078" s="11">
        <v>22.504</v>
      </c>
      <c r="Q2078" s="8" t="s">
        <v>2028</v>
      </c>
      <c r="R2078" s="11">
        <v>0.8572</v>
      </c>
      <c r="S2078" s="12">
        <v>1272578.0</v>
      </c>
      <c r="T2078" s="12">
        <v>2.504393478E10</v>
      </c>
      <c r="U2078" s="13">
        <v>4.2598</v>
      </c>
      <c r="V2078" s="13">
        <v>6.3447</v>
      </c>
      <c r="W2078" s="13">
        <v>1.5073</v>
      </c>
      <c r="X2078" s="13">
        <v>32.4089</v>
      </c>
      <c r="Y2078" s="13">
        <v>0.9969</v>
      </c>
      <c r="Z2078" s="13">
        <v>1.6124</v>
      </c>
      <c r="AA2078" s="8" t="s">
        <v>2620</v>
      </c>
      <c r="AB2078" s="14">
        <f>IFERROR(__xludf.DUMMYFUNCTION("IFERROR(GOOGLEFINANCE(B2078,""price""),"""")"),123.92)</f>
        <v>123.92</v>
      </c>
    </row>
    <row r="2079">
      <c r="A2079" s="15">
        <v>46114.668352472676</v>
      </c>
      <c r="B2079" s="16" t="s">
        <v>1766</v>
      </c>
      <c r="C2079" s="16" t="s">
        <v>1767</v>
      </c>
      <c r="D2079" s="17">
        <v>46117.0</v>
      </c>
      <c r="E2079" s="18">
        <v>99.2</v>
      </c>
      <c r="F2079" s="16" t="s">
        <v>917</v>
      </c>
      <c r="G2079" s="21">
        <v>36.0964</v>
      </c>
      <c r="H2079" s="21">
        <v>2.7482</v>
      </c>
      <c r="I2079" s="17">
        <v>46129.0</v>
      </c>
      <c r="J2079" s="18">
        <v>100.0</v>
      </c>
      <c r="K2079" s="16">
        <v>1342.0</v>
      </c>
      <c r="L2079" s="16" t="s">
        <v>2608</v>
      </c>
      <c r="M2079" s="19">
        <v>0.81</v>
      </c>
      <c r="N2079" s="16" t="s">
        <v>4623</v>
      </c>
      <c r="O2079" s="16">
        <v>1342.0</v>
      </c>
      <c r="P2079" s="19">
        <v>16.811</v>
      </c>
      <c r="Q2079" s="16" t="s">
        <v>1768</v>
      </c>
      <c r="R2079" s="19">
        <v>1.8376</v>
      </c>
      <c r="S2079" s="20">
        <v>3474732.0</v>
      </c>
      <c r="T2079" s="20">
        <v>6.48057728E10</v>
      </c>
      <c r="U2079" s="21">
        <v>2.0182</v>
      </c>
      <c r="V2079" s="21">
        <v>5.8451</v>
      </c>
      <c r="W2079" s="21">
        <v>23.7349</v>
      </c>
      <c r="X2079" s="21">
        <v>5.8424</v>
      </c>
      <c r="Y2079" s="21">
        <v>1.1478</v>
      </c>
      <c r="Z2079" s="21">
        <v>1.5912</v>
      </c>
      <c r="AA2079" s="16" t="s">
        <v>2620</v>
      </c>
      <c r="AB2079" s="22">
        <f>IFERROR(__xludf.DUMMYFUNCTION("IFERROR(GOOGLEFINANCE(B2079,""price""),"""")"),98.82)</f>
        <v>98.82</v>
      </c>
    </row>
    <row r="2080">
      <c r="A2080" s="7">
        <v>46114.668352472676</v>
      </c>
      <c r="B2080" s="8" t="s">
        <v>4061</v>
      </c>
      <c r="C2080" s="8" t="s">
        <v>4062</v>
      </c>
      <c r="D2080" s="9">
        <v>46117.0</v>
      </c>
      <c r="E2080" s="10">
        <v>1014.96</v>
      </c>
      <c r="F2080" s="8" t="s">
        <v>137</v>
      </c>
      <c r="G2080" s="13">
        <v>52.7847</v>
      </c>
      <c r="H2080" s="13">
        <v>19.2283</v>
      </c>
      <c r="I2080" s="9">
        <v>46114.0</v>
      </c>
      <c r="J2080" s="10">
        <v>1030.0</v>
      </c>
      <c r="K2080" s="8">
        <v>1330.0</v>
      </c>
      <c r="L2080" s="8" t="s">
        <v>2608</v>
      </c>
      <c r="M2080" s="11">
        <v>1.48</v>
      </c>
      <c r="N2080" s="8" t="s">
        <v>4624</v>
      </c>
      <c r="O2080" s="8">
        <v>1330.0</v>
      </c>
      <c r="P2080" s="11">
        <v>16.6088</v>
      </c>
      <c r="Q2080" s="8" t="s">
        <v>4064</v>
      </c>
      <c r="R2080" s="11">
        <v>1.8464</v>
      </c>
      <c r="S2080" s="12">
        <v>1823958.0</v>
      </c>
      <c r="T2080" s="12">
        <v>4.5029004888E11</v>
      </c>
      <c r="U2080" s="13">
        <v>17.6904</v>
      </c>
      <c r="V2080" s="13">
        <v>29.6511</v>
      </c>
      <c r="W2080" s="13">
        <v>3.8216</v>
      </c>
      <c r="X2080" s="13">
        <v>8.3984</v>
      </c>
      <c r="Y2080" s="13">
        <v>0.2567</v>
      </c>
      <c r="Z2080" s="13">
        <v>1.0581</v>
      </c>
      <c r="AA2080" s="8" t="s">
        <v>2620</v>
      </c>
      <c r="AB2080" s="14">
        <f>IFERROR(__xludf.DUMMYFUNCTION("IFERROR(GOOGLEFINANCE(B2080,""price""),"""")"),998.47)</f>
        <v>998.47</v>
      </c>
    </row>
    <row r="2081">
      <c r="A2081" s="15">
        <v>46114.668352472676</v>
      </c>
      <c r="B2081" s="16" t="s">
        <v>3242</v>
      </c>
      <c r="C2081" s="16" t="s">
        <v>3243</v>
      </c>
      <c r="D2081" s="17">
        <v>46117.0</v>
      </c>
      <c r="E2081" s="18">
        <v>115.43</v>
      </c>
      <c r="F2081" s="16" t="s">
        <v>917</v>
      </c>
      <c r="G2081" s="21">
        <v>20.42</v>
      </c>
      <c r="H2081" s="21">
        <v>5.6528</v>
      </c>
      <c r="I2081" s="17">
        <v>46129.0</v>
      </c>
      <c r="J2081" s="18">
        <v>115.0</v>
      </c>
      <c r="K2081" s="16">
        <v>1254.0</v>
      </c>
      <c r="L2081" s="16" t="s">
        <v>2608</v>
      </c>
      <c r="M2081" s="19">
        <v>0.37</v>
      </c>
      <c r="N2081" s="16" t="s">
        <v>4625</v>
      </c>
      <c r="O2081" s="16">
        <v>1254.0</v>
      </c>
      <c r="P2081" s="19">
        <v>15.3422</v>
      </c>
      <c r="Q2081" s="16" t="s">
        <v>3245</v>
      </c>
      <c r="R2081" s="19">
        <v>1.3344</v>
      </c>
      <c r="S2081" s="20">
        <v>1614278.0</v>
      </c>
      <c r="T2081" s="20">
        <v>4.170520529E10</v>
      </c>
      <c r="U2081" s="21">
        <v>2.1372</v>
      </c>
      <c r="V2081" s="21">
        <v>8.7624</v>
      </c>
      <c r="W2081" s="21">
        <v>17.3247</v>
      </c>
      <c r="X2081" s="21">
        <v>10.8577</v>
      </c>
      <c r="Y2081" s="21">
        <v>1.173</v>
      </c>
      <c r="Z2081" s="21">
        <v>1.0206</v>
      </c>
      <c r="AA2081" s="16" t="s">
        <v>2611</v>
      </c>
      <c r="AB2081" s="22">
        <f>IFERROR(__xludf.DUMMYFUNCTION("IFERROR(GOOGLEFINANCE(B2081,""price""),"""")"),113.56)</f>
        <v>113.56</v>
      </c>
    </row>
    <row r="2082">
      <c r="A2082" s="7">
        <v>46114.668352472676</v>
      </c>
      <c r="B2082" s="8" t="s">
        <v>2646</v>
      </c>
      <c r="C2082" s="8" t="s">
        <v>2647</v>
      </c>
      <c r="D2082" s="9">
        <v>46117.0</v>
      </c>
      <c r="E2082" s="10">
        <v>37.57</v>
      </c>
      <c r="F2082" s="8" t="s">
        <v>270</v>
      </c>
      <c r="G2082" s="13">
        <v>14.187</v>
      </c>
      <c r="H2082" s="13">
        <v>2.6482</v>
      </c>
      <c r="I2082" s="9">
        <v>46114.0</v>
      </c>
      <c r="J2082" s="10">
        <v>38.0</v>
      </c>
      <c r="K2082" s="8">
        <v>1130.0</v>
      </c>
      <c r="L2082" s="8" t="s">
        <v>2608</v>
      </c>
      <c r="M2082" s="11">
        <v>1.14</v>
      </c>
      <c r="N2082" s="8" t="s">
        <v>4626</v>
      </c>
      <c r="O2082" s="8">
        <v>1130.0</v>
      </c>
      <c r="P2082" s="11">
        <v>34.8439</v>
      </c>
      <c r="Q2082" s="8" t="s">
        <v>2649</v>
      </c>
      <c r="R2082" s="11">
        <v>0.374</v>
      </c>
      <c r="S2082" s="12">
        <v>3260135.0</v>
      </c>
      <c r="T2082" s="12">
        <v>8.12173232E10</v>
      </c>
      <c r="U2082" s="13">
        <v>0.7674</v>
      </c>
      <c r="V2082" s="13">
        <v>19.6987</v>
      </c>
      <c r="W2082" s="13">
        <v>12.3812</v>
      </c>
      <c r="X2082" s="13">
        <v>-6.474</v>
      </c>
      <c r="Y2082" s="13">
        <v>1.1744</v>
      </c>
      <c r="Z2082" s="13">
        <v>1.0411</v>
      </c>
      <c r="AA2082" s="8" t="s">
        <v>2620</v>
      </c>
      <c r="AB2082" s="14">
        <f>IFERROR(__xludf.DUMMYFUNCTION("IFERROR(GOOGLEFINANCE(B2082,""price""),"""")"),37.35)</f>
        <v>37.35</v>
      </c>
    </row>
    <row r="2083">
      <c r="A2083" s="7">
        <v>46115.66795792587</v>
      </c>
      <c r="B2083" s="8" t="s">
        <v>3697</v>
      </c>
      <c r="C2083" s="8" t="s">
        <v>3698</v>
      </c>
      <c r="D2083" s="9">
        <v>46117.0</v>
      </c>
      <c r="E2083" s="10">
        <v>49.33</v>
      </c>
      <c r="F2083" s="8" t="s">
        <v>917</v>
      </c>
      <c r="G2083" s="13">
        <v>18.0372</v>
      </c>
      <c r="H2083" s="13">
        <v>2.7349</v>
      </c>
      <c r="I2083" s="9">
        <v>46129.0</v>
      </c>
      <c r="J2083" s="10">
        <v>49.0</v>
      </c>
      <c r="K2083" s="8">
        <v>9496.0</v>
      </c>
      <c r="L2083" s="8" t="s">
        <v>2608</v>
      </c>
      <c r="M2083" s="11">
        <v>0.67</v>
      </c>
      <c r="N2083" s="8" t="s">
        <v>4605</v>
      </c>
      <c r="O2083" s="8">
        <v>13413.0</v>
      </c>
      <c r="P2083" s="11">
        <v>19.5387</v>
      </c>
      <c r="Q2083" s="8" t="s">
        <v>3700</v>
      </c>
      <c r="R2083" s="11">
        <v>0.9206</v>
      </c>
      <c r="S2083" s="12">
        <v>5839663.0</v>
      </c>
      <c r="T2083" s="12">
        <v>5.04591637E10</v>
      </c>
      <c r="U2083" s="13">
        <v>0.9349</v>
      </c>
      <c r="V2083" s="13">
        <v>9.9356</v>
      </c>
      <c r="W2083" s="13">
        <v>21.2054</v>
      </c>
      <c r="X2083" s="13">
        <v>5.3367</v>
      </c>
      <c r="Y2083" s="13">
        <v>1.7554</v>
      </c>
      <c r="Z2083" s="13">
        <v>0.924</v>
      </c>
      <c r="AA2083" s="8" t="s">
        <v>2611</v>
      </c>
      <c r="AB2083" s="14">
        <f>IFERROR(__xludf.DUMMYFUNCTION("IFERROR(GOOGLEFINANCE(B2083,""price""),"""")"),48.57)</f>
        <v>48.57</v>
      </c>
    </row>
    <row r="2084">
      <c r="A2084" s="15">
        <v>46115.66795792587</v>
      </c>
      <c r="B2084" s="16" t="s">
        <v>2638</v>
      </c>
      <c r="C2084" s="16" t="s">
        <v>2639</v>
      </c>
      <c r="D2084" s="17">
        <v>46117.0</v>
      </c>
      <c r="E2084" s="18">
        <v>160.69</v>
      </c>
      <c r="F2084" s="16" t="s">
        <v>245</v>
      </c>
      <c r="G2084" s="21">
        <v>24.0022</v>
      </c>
      <c r="H2084" s="21">
        <v>6.6948</v>
      </c>
      <c r="I2084" s="17">
        <v>46122.0</v>
      </c>
      <c r="J2084" s="18">
        <v>162.5</v>
      </c>
      <c r="K2084" s="16">
        <v>2994.0</v>
      </c>
      <c r="L2084" s="16" t="s">
        <v>2608</v>
      </c>
      <c r="M2084" s="19">
        <v>1.13</v>
      </c>
      <c r="N2084" s="16" t="s">
        <v>4627</v>
      </c>
      <c r="O2084" s="16">
        <v>7167.0</v>
      </c>
      <c r="P2084" s="19">
        <v>31.3743</v>
      </c>
      <c r="Q2084" s="16" t="s">
        <v>2641</v>
      </c>
      <c r="R2084" s="19">
        <v>-0.056</v>
      </c>
      <c r="S2084" s="20">
        <v>2.5377657E7</v>
      </c>
      <c r="T2084" s="20">
        <v>6.695566644E11</v>
      </c>
      <c r="U2084" s="21">
        <v>5.1408</v>
      </c>
      <c r="V2084" s="21">
        <v>11.0283</v>
      </c>
      <c r="W2084" s="21">
        <v>10.3419</v>
      </c>
      <c r="X2084" s="21">
        <v>-4.856</v>
      </c>
      <c r="Y2084" s="21">
        <v>0.1871</v>
      </c>
      <c r="Z2084" s="21">
        <v>1.1528</v>
      </c>
      <c r="AA2084" s="16" t="s">
        <v>2620</v>
      </c>
      <c r="AB2084" s="22">
        <f>IFERROR(__xludf.DUMMYFUNCTION("IFERROR(GOOGLEFINANCE(B2084,""price""),"""")"),152.51)</f>
        <v>152.51</v>
      </c>
    </row>
    <row r="2085">
      <c r="A2085" s="7">
        <v>46115.66795792587</v>
      </c>
      <c r="B2085" s="8" t="s">
        <v>2280</v>
      </c>
      <c r="C2085" s="8" t="s">
        <v>2281</v>
      </c>
      <c r="D2085" s="9">
        <v>46117.0</v>
      </c>
      <c r="E2085" s="10">
        <v>17.75</v>
      </c>
      <c r="F2085" s="8" t="s">
        <v>286</v>
      </c>
      <c r="G2085" s="13">
        <v>10.33</v>
      </c>
      <c r="H2085" s="13">
        <v>1.7183</v>
      </c>
      <c r="I2085" s="9">
        <v>46129.0</v>
      </c>
      <c r="J2085" s="10">
        <v>17.5</v>
      </c>
      <c r="K2085" s="8">
        <v>6078.0</v>
      </c>
      <c r="L2085" s="8" t="s">
        <v>2608</v>
      </c>
      <c r="M2085" s="11">
        <v>1.41</v>
      </c>
      <c r="N2085" s="8" t="s">
        <v>4610</v>
      </c>
      <c r="O2085" s="8">
        <v>6078.0</v>
      </c>
      <c r="P2085" s="11">
        <v>29.7784</v>
      </c>
      <c r="Q2085" s="8" t="s">
        <v>2282</v>
      </c>
      <c r="R2085" s="11">
        <v>-2.0419</v>
      </c>
      <c r="S2085" s="12">
        <v>3910324.0</v>
      </c>
      <c r="T2085" s="12">
        <v>1.373258925E10</v>
      </c>
      <c r="U2085" s="13">
        <v>0.5521</v>
      </c>
      <c r="V2085" s="13">
        <v>31.0119</v>
      </c>
      <c r="W2085" s="13">
        <v>4.8766</v>
      </c>
      <c r="X2085" s="13"/>
      <c r="Y2085" s="13">
        <v>2.6263</v>
      </c>
      <c r="Z2085" s="13">
        <v>1.5975</v>
      </c>
      <c r="AA2085" s="8" t="s">
        <v>2611</v>
      </c>
      <c r="AB2085" s="14">
        <f>IFERROR(__xludf.DUMMYFUNCTION("IFERROR(GOOGLEFINANCE(B2085,""price""),"""")"),18.32)</f>
        <v>18.32</v>
      </c>
    </row>
    <row r="2086">
      <c r="A2086" s="15">
        <v>46115.66795792587</v>
      </c>
      <c r="B2086" s="16" t="s">
        <v>3802</v>
      </c>
      <c r="C2086" s="16" t="s">
        <v>3803</v>
      </c>
      <c r="D2086" s="17">
        <v>46117.0</v>
      </c>
      <c r="E2086" s="18">
        <v>55.29</v>
      </c>
      <c r="F2086" s="16" t="s">
        <v>270</v>
      </c>
      <c r="G2086" s="21">
        <v>85.2977</v>
      </c>
      <c r="H2086" s="21">
        <v>0.6482</v>
      </c>
      <c r="I2086" s="17">
        <v>46129.0</v>
      </c>
      <c r="J2086" s="18">
        <v>55.0</v>
      </c>
      <c r="K2086" s="16">
        <v>5572.0</v>
      </c>
      <c r="L2086" s="16" t="s">
        <v>2608</v>
      </c>
      <c r="M2086" s="19">
        <v>0.52</v>
      </c>
      <c r="N2086" s="16" t="s">
        <v>4611</v>
      </c>
      <c r="O2086" s="16">
        <v>5572.0</v>
      </c>
      <c r="P2086" s="19">
        <v>33.9139</v>
      </c>
      <c r="Q2086" s="16" t="s">
        <v>3805</v>
      </c>
      <c r="R2086" s="19">
        <v>3.0568</v>
      </c>
      <c r="S2086" s="20">
        <v>1980704.0</v>
      </c>
      <c r="T2086" s="20">
        <v>5.78455038E9</v>
      </c>
      <c r="U2086" s="21">
        <v>1.8895</v>
      </c>
      <c r="V2086" s="21">
        <v>3.4054</v>
      </c>
      <c r="W2086" s="21">
        <v>34.4448</v>
      </c>
      <c r="X2086" s="21">
        <v>51.1384</v>
      </c>
      <c r="Y2086" s="21">
        <v>1.5001</v>
      </c>
      <c r="Z2086" s="21">
        <v>2.5453</v>
      </c>
      <c r="AA2086" s="16" t="s">
        <v>2611</v>
      </c>
      <c r="AB2086" s="22">
        <f>IFERROR(__xludf.DUMMYFUNCTION("IFERROR(GOOGLEFINANCE(B2086,""price""),"""")"),53.28)</f>
        <v>53.28</v>
      </c>
    </row>
    <row r="2087">
      <c r="A2087" s="7">
        <v>46115.66795792587</v>
      </c>
      <c r="B2087" s="8" t="s">
        <v>2139</v>
      </c>
      <c r="C2087" s="8" t="s">
        <v>2140</v>
      </c>
      <c r="D2087" s="9">
        <v>46117.0</v>
      </c>
      <c r="E2087" s="10">
        <v>60.38</v>
      </c>
      <c r="F2087" s="8" t="s">
        <v>270</v>
      </c>
      <c r="G2087" s="13">
        <v>23.1785</v>
      </c>
      <c r="H2087" s="13">
        <v>2.605</v>
      </c>
      <c r="I2087" s="9">
        <v>46129.0</v>
      </c>
      <c r="J2087" s="10">
        <v>60.0</v>
      </c>
      <c r="K2087" s="8">
        <v>3389.0</v>
      </c>
      <c r="L2087" s="8" t="s">
        <v>2608</v>
      </c>
      <c r="M2087" s="11">
        <v>0.63</v>
      </c>
      <c r="N2087" s="8" t="s">
        <v>4612</v>
      </c>
      <c r="O2087" s="8">
        <v>5035.0</v>
      </c>
      <c r="P2087" s="11">
        <v>21.0213</v>
      </c>
      <c r="Q2087" s="8" t="s">
        <v>2141</v>
      </c>
      <c r="R2087" s="11">
        <v>0.0663</v>
      </c>
      <c r="S2087" s="12">
        <v>7006044.0</v>
      </c>
      <c r="T2087" s="12">
        <v>5.966968968E10</v>
      </c>
      <c r="U2087" s="13">
        <v>2.0234</v>
      </c>
      <c r="V2087" s="13">
        <v>14.4868</v>
      </c>
      <c r="W2087" s="13">
        <v>12.8259</v>
      </c>
      <c r="X2087" s="13">
        <v>-0.345</v>
      </c>
      <c r="Y2087" s="13">
        <v>0.3558</v>
      </c>
      <c r="Z2087" s="13">
        <v>1.3568</v>
      </c>
      <c r="AA2087" s="8" t="s">
        <v>2611</v>
      </c>
      <c r="AB2087" s="14">
        <f>IFERROR(__xludf.DUMMYFUNCTION("IFERROR(GOOGLEFINANCE(B2087,""price""),"""")"),62.83)</f>
        <v>62.83</v>
      </c>
    </row>
    <row r="2088">
      <c r="A2088" s="15">
        <v>46115.66795792587</v>
      </c>
      <c r="B2088" s="16" t="s">
        <v>1080</v>
      </c>
      <c r="C2088" s="16" t="s">
        <v>1081</v>
      </c>
      <c r="D2088" s="17">
        <v>46117.0</v>
      </c>
      <c r="E2088" s="18">
        <v>44.32</v>
      </c>
      <c r="F2088" s="16" t="s">
        <v>308</v>
      </c>
      <c r="G2088" s="21"/>
      <c r="H2088" s="21">
        <v>-0.2955</v>
      </c>
      <c r="I2088" s="17">
        <v>46129.0</v>
      </c>
      <c r="J2088" s="18">
        <v>45.0</v>
      </c>
      <c r="K2088" s="16">
        <v>4186.0</v>
      </c>
      <c r="L2088" s="16" t="s">
        <v>2608</v>
      </c>
      <c r="M2088" s="19">
        <v>1.53</v>
      </c>
      <c r="N2088" s="16" t="s">
        <v>4614</v>
      </c>
      <c r="O2088" s="16">
        <v>4186.0</v>
      </c>
      <c r="P2088" s="19">
        <v>16.1704</v>
      </c>
      <c r="Q2088" s="16" t="s">
        <v>1082</v>
      </c>
      <c r="R2088" s="19">
        <v>11.9192</v>
      </c>
      <c r="S2088" s="20">
        <v>3642102.0</v>
      </c>
      <c r="T2088" s="20">
        <v>1.357401936E9</v>
      </c>
      <c r="U2088" s="21">
        <v>4.6135</v>
      </c>
      <c r="V2088" s="21">
        <v>-6.9744</v>
      </c>
      <c r="W2088" s="21">
        <v>-22.8493</v>
      </c>
      <c r="X2088" s="21">
        <v>4.9552</v>
      </c>
      <c r="Y2088" s="21">
        <v>0.0777</v>
      </c>
      <c r="Z2088" s="21">
        <v>10.6188</v>
      </c>
      <c r="AA2088" s="16" t="s">
        <v>2620</v>
      </c>
      <c r="AB2088" s="22">
        <f>IFERROR(__xludf.DUMMYFUNCTION("IFERROR(GOOGLEFINANCE(B2088,""price""),"""")"),70.43)</f>
        <v>70.43</v>
      </c>
    </row>
    <row r="2089">
      <c r="A2089" s="7">
        <v>46115.66795792587</v>
      </c>
      <c r="B2089" s="8" t="s">
        <v>3944</v>
      </c>
      <c r="C2089" s="8" t="s">
        <v>3945</v>
      </c>
      <c r="D2089" s="9">
        <v>46117.0</v>
      </c>
      <c r="E2089" s="10">
        <v>132.22</v>
      </c>
      <c r="F2089" s="8" t="s">
        <v>917</v>
      </c>
      <c r="G2089" s="13">
        <v>20.9464</v>
      </c>
      <c r="H2089" s="13">
        <v>6.3123</v>
      </c>
      <c r="I2089" s="9">
        <v>46129.0</v>
      </c>
      <c r="J2089" s="10">
        <v>130.0</v>
      </c>
      <c r="K2089" s="8">
        <v>2882.0</v>
      </c>
      <c r="L2089" s="8" t="s">
        <v>2608</v>
      </c>
      <c r="M2089" s="11">
        <v>1.68</v>
      </c>
      <c r="N2089" s="8" t="s">
        <v>4615</v>
      </c>
      <c r="O2089" s="8">
        <v>3936.0</v>
      </c>
      <c r="P2089" s="11">
        <v>17.3178</v>
      </c>
      <c r="Q2089" s="8" t="s">
        <v>3947</v>
      </c>
      <c r="R2089" s="11">
        <v>1.0084</v>
      </c>
      <c r="S2089" s="12">
        <v>3720737.0</v>
      </c>
      <c r="T2089" s="12">
        <v>1.0282365962E11</v>
      </c>
      <c r="U2089" s="13">
        <v>2.2455</v>
      </c>
      <c r="V2089" s="13">
        <v>9.7422</v>
      </c>
      <c r="W2089" s="13">
        <v>26.6061</v>
      </c>
      <c r="X2089" s="13">
        <v>6.193</v>
      </c>
      <c r="Y2089" s="13">
        <v>1.7574</v>
      </c>
      <c r="Z2089" s="13">
        <v>0.5518</v>
      </c>
      <c r="AA2089" s="8" t="s">
        <v>2611</v>
      </c>
      <c r="AB2089" s="14">
        <f>IFERROR(__xludf.DUMMYFUNCTION("IFERROR(GOOGLEFINANCE(B2089,""price""),"""")"),131.79)</f>
        <v>131.79</v>
      </c>
    </row>
    <row r="2090">
      <c r="A2090" s="15">
        <v>46115.66795792587</v>
      </c>
      <c r="B2090" s="16" t="s">
        <v>4359</v>
      </c>
      <c r="C2090" s="16" t="s">
        <v>4360</v>
      </c>
      <c r="D2090" s="17">
        <v>46117.0</v>
      </c>
      <c r="E2090" s="18">
        <v>107.11</v>
      </c>
      <c r="F2090" s="16" t="s">
        <v>308</v>
      </c>
      <c r="G2090" s="21">
        <v>34.6522</v>
      </c>
      <c r="H2090" s="21">
        <v>3.091</v>
      </c>
      <c r="I2090" s="17">
        <v>46122.0</v>
      </c>
      <c r="J2090" s="18">
        <v>107.0</v>
      </c>
      <c r="K2090" s="16">
        <v>2131.0</v>
      </c>
      <c r="L2090" s="16" t="s">
        <v>2608</v>
      </c>
      <c r="M2090" s="19">
        <v>0.1</v>
      </c>
      <c r="N2090" s="16" t="s">
        <v>4628</v>
      </c>
      <c r="O2090" s="16">
        <v>3659.0</v>
      </c>
      <c r="P2090" s="19">
        <v>15.9324</v>
      </c>
      <c r="Q2090" s="16" t="s">
        <v>4362</v>
      </c>
      <c r="R2090" s="19">
        <v>0.3748</v>
      </c>
      <c r="S2090" s="20">
        <v>2.3666935E7</v>
      </c>
      <c r="T2090" s="20">
        <v>9.3646273E10</v>
      </c>
      <c r="U2090" s="21">
        <v>5.7216</v>
      </c>
      <c r="V2090" s="21">
        <v>19.2541</v>
      </c>
      <c r="W2090" s="21">
        <v>16.3327</v>
      </c>
      <c r="X2090" s="21">
        <v>42.0873</v>
      </c>
      <c r="Y2090" s="21">
        <v>0.3519</v>
      </c>
      <c r="Z2090" s="21">
        <v>2.0061</v>
      </c>
      <c r="AA2090" s="16" t="s">
        <v>2611</v>
      </c>
      <c r="AB2090" s="22">
        <f>IFERROR(__xludf.DUMMYFUNCTION("IFERROR(GOOGLEFINANCE(B2090,""price""),"""")"),128.49)</f>
        <v>128.49</v>
      </c>
    </row>
    <row r="2091">
      <c r="A2091" s="7">
        <v>46115.66795792587</v>
      </c>
      <c r="B2091" s="8" t="s">
        <v>2692</v>
      </c>
      <c r="C2091" s="8" t="s">
        <v>2693</v>
      </c>
      <c r="D2091" s="9">
        <v>46117.0</v>
      </c>
      <c r="E2091" s="10">
        <v>243.04</v>
      </c>
      <c r="F2091" s="8" t="s">
        <v>117</v>
      </c>
      <c r="G2091" s="13">
        <v>22.0029</v>
      </c>
      <c r="H2091" s="13">
        <v>11.0458</v>
      </c>
      <c r="I2091" s="9">
        <v>46122.0</v>
      </c>
      <c r="J2091" s="10">
        <v>247.5</v>
      </c>
      <c r="K2091" s="8">
        <v>1799.0</v>
      </c>
      <c r="L2091" s="8" t="s">
        <v>2608</v>
      </c>
      <c r="M2091" s="11">
        <v>1.84</v>
      </c>
      <c r="N2091" s="8" t="s">
        <v>4629</v>
      </c>
      <c r="O2091" s="8">
        <v>3437.0</v>
      </c>
      <c r="P2091" s="11">
        <v>16.7949</v>
      </c>
      <c r="Q2091" s="8" t="s">
        <v>2695</v>
      </c>
      <c r="R2091" s="11">
        <v>-0.4424</v>
      </c>
      <c r="S2091" s="12">
        <v>6878610.0</v>
      </c>
      <c r="T2091" s="12">
        <v>5.85702096E11</v>
      </c>
      <c r="U2091" s="13">
        <v>4.076</v>
      </c>
      <c r="V2091" s="13">
        <v>35.0301</v>
      </c>
      <c r="W2091" s="13">
        <v>27.2081</v>
      </c>
      <c r="X2091" s="13">
        <v>6.046</v>
      </c>
      <c r="Y2091" s="13">
        <v>0.605</v>
      </c>
      <c r="Z2091" s="13">
        <v>1.0277</v>
      </c>
      <c r="AA2091" s="8" t="s">
        <v>2620</v>
      </c>
      <c r="AB2091" s="14">
        <f>IFERROR(__xludf.DUMMYFUNCTION("IFERROR(GOOGLEFINANCE(B2091,""price""),"""")"),238.46)</f>
        <v>238.46</v>
      </c>
    </row>
    <row r="2092">
      <c r="A2092" s="15">
        <v>46115.66795792587</v>
      </c>
      <c r="B2092" s="16" t="s">
        <v>4438</v>
      </c>
      <c r="C2092" s="16" t="s">
        <v>4439</v>
      </c>
      <c r="D2092" s="17">
        <v>46117.0</v>
      </c>
      <c r="E2092" s="18">
        <v>60.72</v>
      </c>
      <c r="F2092" s="16" t="s">
        <v>245</v>
      </c>
      <c r="G2092" s="21">
        <v>19.8418</v>
      </c>
      <c r="H2092" s="21">
        <v>3.0602</v>
      </c>
      <c r="I2092" s="17">
        <v>46129.0</v>
      </c>
      <c r="J2092" s="18">
        <v>60.0</v>
      </c>
      <c r="K2092" s="16">
        <v>3269.0</v>
      </c>
      <c r="L2092" s="16" t="s">
        <v>2608</v>
      </c>
      <c r="M2092" s="19">
        <v>1.19</v>
      </c>
      <c r="N2092" s="16" t="s">
        <v>4594</v>
      </c>
      <c r="O2092" s="16">
        <v>3269.0</v>
      </c>
      <c r="P2092" s="19">
        <v>19.1708</v>
      </c>
      <c r="Q2092" s="16" t="s">
        <v>4441</v>
      </c>
      <c r="R2092" s="19">
        <v>-0.3283</v>
      </c>
      <c r="S2092" s="20">
        <v>2062715.0</v>
      </c>
      <c r="T2092" s="20">
        <v>1.094617656E10</v>
      </c>
      <c r="U2092" s="21">
        <v>2.5494</v>
      </c>
      <c r="V2092" s="21">
        <v>6.2073</v>
      </c>
      <c r="W2092" s="21">
        <v>3.4166</v>
      </c>
      <c r="X2092" s="21">
        <v>-6.0035</v>
      </c>
      <c r="Y2092" s="21">
        <v>0.3519</v>
      </c>
      <c r="Z2092" s="21">
        <v>1.9364</v>
      </c>
      <c r="AA2092" s="16" t="s">
        <v>2611</v>
      </c>
      <c r="AB2092" s="22">
        <f>IFERROR(__xludf.DUMMYFUNCTION("IFERROR(GOOGLEFINANCE(B2092,""price""),"""")"),57.51)</f>
        <v>57.51</v>
      </c>
    </row>
    <row r="2093">
      <c r="A2093" s="7">
        <v>46115.66795792587</v>
      </c>
      <c r="B2093" s="8" t="s">
        <v>2399</v>
      </c>
      <c r="C2093" s="8" t="s">
        <v>2400</v>
      </c>
      <c r="D2093" s="9">
        <v>46117.0</v>
      </c>
      <c r="E2093" s="10">
        <v>18.93</v>
      </c>
      <c r="F2093" s="8" t="s">
        <v>270</v>
      </c>
      <c r="G2093" s="13">
        <v>15.6679</v>
      </c>
      <c r="H2093" s="13">
        <v>1.2082</v>
      </c>
      <c r="I2093" s="9">
        <v>46122.0</v>
      </c>
      <c r="J2093" s="10">
        <v>19.0</v>
      </c>
      <c r="K2093" s="8">
        <v>1702.0</v>
      </c>
      <c r="L2093" s="8" t="s">
        <v>2627</v>
      </c>
      <c r="M2093" s="11">
        <v>0.37</v>
      </c>
      <c r="N2093" s="8" t="s">
        <v>4630</v>
      </c>
      <c r="O2093" s="8">
        <v>2827.0</v>
      </c>
      <c r="P2093" s="11">
        <v>21.4558</v>
      </c>
      <c r="Q2093" s="8" t="s">
        <v>2401</v>
      </c>
      <c r="R2093" s="11">
        <v>-0.4732</v>
      </c>
      <c r="S2093" s="12">
        <v>1.4136206E7</v>
      </c>
      <c r="T2093" s="12">
        <v>6.51250683E10</v>
      </c>
      <c r="U2093" s="13">
        <v>0.3839</v>
      </c>
      <c r="V2093" s="13">
        <v>12.7475</v>
      </c>
      <c r="W2093" s="13">
        <v>10.8866</v>
      </c>
      <c r="X2093" s="13">
        <v>3.4655</v>
      </c>
      <c r="Y2093" s="13">
        <v>2.0395</v>
      </c>
      <c r="Z2093" s="13">
        <v>1.2192</v>
      </c>
      <c r="AA2093" s="8" t="s">
        <v>2620</v>
      </c>
      <c r="AB2093" s="14">
        <f>IFERROR(__xludf.DUMMYFUNCTION("IFERROR(GOOGLEFINANCE(B2093,""price""),"""")"),19.19)</f>
        <v>19.19</v>
      </c>
    </row>
    <row r="2094">
      <c r="A2094" s="15">
        <v>46115.66795792587</v>
      </c>
      <c r="B2094" s="16" t="s">
        <v>2710</v>
      </c>
      <c r="C2094" s="16" t="s">
        <v>2711</v>
      </c>
      <c r="D2094" s="17">
        <v>46117.0</v>
      </c>
      <c r="E2094" s="18">
        <v>132.68</v>
      </c>
      <c r="F2094" s="16" t="s">
        <v>917</v>
      </c>
      <c r="G2094" s="21">
        <v>19.9222</v>
      </c>
      <c r="H2094" s="21">
        <v>6.6599</v>
      </c>
      <c r="I2094" s="17">
        <v>46129.0</v>
      </c>
      <c r="J2094" s="18">
        <v>135.0</v>
      </c>
      <c r="K2094" s="16">
        <v>2574.0</v>
      </c>
      <c r="L2094" s="16" t="s">
        <v>2608</v>
      </c>
      <c r="M2094" s="19">
        <v>1.75</v>
      </c>
      <c r="N2094" s="16" t="s">
        <v>4617</v>
      </c>
      <c r="O2094" s="16">
        <v>2574.0</v>
      </c>
      <c r="P2094" s="19">
        <v>22.2731</v>
      </c>
      <c r="Q2094" s="16" t="s">
        <v>2713</v>
      </c>
      <c r="R2094" s="19">
        <v>0.7671</v>
      </c>
      <c r="S2094" s="20">
        <v>1998537.0</v>
      </c>
      <c r="T2094" s="20">
        <v>7.176143748E10</v>
      </c>
      <c r="U2094" s="21">
        <v>2.4782</v>
      </c>
      <c r="V2094" s="21">
        <v>12.3274</v>
      </c>
      <c r="W2094" s="21">
        <v>25.0742</v>
      </c>
      <c r="X2094" s="21">
        <v>10.4587</v>
      </c>
      <c r="Y2094" s="21">
        <v>1.5949</v>
      </c>
      <c r="Z2094" s="21">
        <v>0.4546</v>
      </c>
      <c r="AA2094" s="16" t="s">
        <v>2620</v>
      </c>
      <c r="AB2094" s="22">
        <f>IFERROR(__xludf.DUMMYFUNCTION("IFERROR(GOOGLEFINANCE(B2094,""price""),"""")"),136.3)</f>
        <v>136.3</v>
      </c>
    </row>
    <row r="2095">
      <c r="A2095" s="7">
        <v>46115.66795792587</v>
      </c>
      <c r="B2095" s="8" t="s">
        <v>2654</v>
      </c>
      <c r="C2095" s="8" t="s">
        <v>2655</v>
      </c>
      <c r="D2095" s="9">
        <v>46117.0</v>
      </c>
      <c r="E2095" s="10">
        <v>43.71</v>
      </c>
      <c r="F2095" s="8" t="s">
        <v>917</v>
      </c>
      <c r="G2095" s="13">
        <v>27.1778</v>
      </c>
      <c r="H2095" s="13">
        <v>1.6083</v>
      </c>
      <c r="I2095" s="9">
        <v>46129.0</v>
      </c>
      <c r="J2095" s="10">
        <v>44.0</v>
      </c>
      <c r="K2095" s="8">
        <v>1513.0</v>
      </c>
      <c r="L2095" s="8" t="s">
        <v>2608</v>
      </c>
      <c r="M2095" s="11">
        <v>0.66</v>
      </c>
      <c r="N2095" s="8" t="s">
        <v>4620</v>
      </c>
      <c r="O2095" s="8">
        <v>1513.0</v>
      </c>
      <c r="P2095" s="11">
        <v>18.4527</v>
      </c>
      <c r="Q2095" s="8" t="s">
        <v>2657</v>
      </c>
      <c r="R2095" s="11">
        <v>1.0636</v>
      </c>
      <c r="S2095" s="12">
        <v>3055553.0</v>
      </c>
      <c r="T2095" s="12">
        <v>2.853703512E10</v>
      </c>
      <c r="U2095" s="13">
        <v>0.7432</v>
      </c>
      <c r="V2095" s="13">
        <v>9.643</v>
      </c>
      <c r="W2095" s="13">
        <v>22.55</v>
      </c>
      <c r="X2095" s="13">
        <v>8.261</v>
      </c>
      <c r="Y2095" s="13">
        <v>2.1166</v>
      </c>
      <c r="Z2095" s="13">
        <v>0.9107</v>
      </c>
      <c r="AA2095" s="8" t="s">
        <v>2620</v>
      </c>
      <c r="AB2095" s="14">
        <f>IFERROR(__xludf.DUMMYFUNCTION("IFERROR(GOOGLEFINANCE(B2095,""price""),"""")"),43.39)</f>
        <v>43.39</v>
      </c>
    </row>
    <row r="2096">
      <c r="A2096" s="15">
        <v>46115.66795792587</v>
      </c>
      <c r="B2096" s="16" t="s">
        <v>4519</v>
      </c>
      <c r="C2096" s="16" t="s">
        <v>4520</v>
      </c>
      <c r="D2096" s="17">
        <v>46117.0</v>
      </c>
      <c r="E2096" s="18">
        <v>197.8</v>
      </c>
      <c r="F2096" s="16" t="s">
        <v>308</v>
      </c>
      <c r="G2096" s="21">
        <v>102.0113</v>
      </c>
      <c r="H2096" s="21">
        <v>1.939</v>
      </c>
      <c r="I2096" s="17">
        <v>46129.0</v>
      </c>
      <c r="J2096" s="18">
        <v>200.0</v>
      </c>
      <c r="K2096" s="16">
        <v>1498.0</v>
      </c>
      <c r="L2096" s="16" t="s">
        <v>2608</v>
      </c>
      <c r="M2096" s="19">
        <v>1.11</v>
      </c>
      <c r="N2096" s="16" t="s">
        <v>4621</v>
      </c>
      <c r="O2096" s="16">
        <v>1498.0</v>
      </c>
      <c r="P2096" s="19">
        <v>30.3024</v>
      </c>
      <c r="Q2096" s="16" t="s">
        <v>4522</v>
      </c>
      <c r="R2096" s="19">
        <v>5.7358</v>
      </c>
      <c r="S2096" s="20">
        <v>3455880.0</v>
      </c>
      <c r="T2096" s="20">
        <v>2.2105459436E10</v>
      </c>
      <c r="U2096" s="21">
        <v>13.8504</v>
      </c>
      <c r="V2096" s="21">
        <v>7.9126</v>
      </c>
      <c r="W2096" s="21">
        <v>12.3984</v>
      </c>
      <c r="X2096" s="21">
        <v>9.0509</v>
      </c>
      <c r="Y2096" s="21">
        <v>0.0553</v>
      </c>
      <c r="Z2096" s="21">
        <v>6.4821</v>
      </c>
      <c r="AA2096" s="16" t="s">
        <v>2620</v>
      </c>
      <c r="AB2096" s="22">
        <f>IFERROR(__xludf.DUMMYFUNCTION("IFERROR(GOOGLEFINANCE(B2096,""price""),"""")"),203.59)</f>
        <v>203.59</v>
      </c>
    </row>
    <row r="2097">
      <c r="A2097" s="7">
        <v>46115.66795792587</v>
      </c>
      <c r="B2097" s="8" t="s">
        <v>2026</v>
      </c>
      <c r="C2097" s="8" t="s">
        <v>2027</v>
      </c>
      <c r="D2097" s="9">
        <v>46117.0</v>
      </c>
      <c r="E2097" s="10">
        <v>129.42</v>
      </c>
      <c r="F2097" s="8" t="s">
        <v>107</v>
      </c>
      <c r="G2097" s="13">
        <v>23.818</v>
      </c>
      <c r="H2097" s="13">
        <v>5.4337</v>
      </c>
      <c r="I2097" s="9">
        <v>46129.0</v>
      </c>
      <c r="J2097" s="10">
        <v>130.0</v>
      </c>
      <c r="K2097" s="8">
        <v>1477.0</v>
      </c>
      <c r="L2097" s="8" t="s">
        <v>2608</v>
      </c>
      <c r="M2097" s="11">
        <v>0.45</v>
      </c>
      <c r="N2097" s="8" t="s">
        <v>4622</v>
      </c>
      <c r="O2097" s="8">
        <v>1477.0</v>
      </c>
      <c r="P2097" s="11">
        <v>22.504</v>
      </c>
      <c r="Q2097" s="8" t="s">
        <v>2028</v>
      </c>
      <c r="R2097" s="11">
        <v>0.8572</v>
      </c>
      <c r="S2097" s="12">
        <v>1272830.0</v>
      </c>
      <c r="T2097" s="12">
        <v>2.504393478E10</v>
      </c>
      <c r="U2097" s="13">
        <v>4.2598</v>
      </c>
      <c r="V2097" s="13">
        <v>6.3447</v>
      </c>
      <c r="W2097" s="13">
        <v>1.5073</v>
      </c>
      <c r="X2097" s="13">
        <v>32.4089</v>
      </c>
      <c r="Y2097" s="13">
        <v>0.9969</v>
      </c>
      <c r="Z2097" s="13">
        <v>1.6124</v>
      </c>
      <c r="AA2097" s="8" t="s">
        <v>2620</v>
      </c>
      <c r="AB2097" s="14">
        <f>IFERROR(__xludf.DUMMYFUNCTION("IFERROR(GOOGLEFINANCE(B2097,""price""),"""")"),123.92)</f>
        <v>123.92</v>
      </c>
    </row>
    <row r="2098">
      <c r="A2098" s="15">
        <v>46115.66795792587</v>
      </c>
      <c r="B2098" s="16" t="s">
        <v>1766</v>
      </c>
      <c r="C2098" s="16" t="s">
        <v>1767</v>
      </c>
      <c r="D2098" s="17">
        <v>46117.0</v>
      </c>
      <c r="E2098" s="18">
        <v>99.2</v>
      </c>
      <c r="F2098" s="16" t="s">
        <v>917</v>
      </c>
      <c r="G2098" s="21">
        <v>36.0964</v>
      </c>
      <c r="H2098" s="21">
        <v>2.7482</v>
      </c>
      <c r="I2098" s="17">
        <v>46129.0</v>
      </c>
      <c r="J2098" s="18">
        <v>100.0</v>
      </c>
      <c r="K2098" s="16">
        <v>1342.0</v>
      </c>
      <c r="L2098" s="16" t="s">
        <v>2608</v>
      </c>
      <c r="M2098" s="19">
        <v>0.81</v>
      </c>
      <c r="N2098" s="16" t="s">
        <v>4623</v>
      </c>
      <c r="O2098" s="16">
        <v>1342.0</v>
      </c>
      <c r="P2098" s="19">
        <v>16.811</v>
      </c>
      <c r="Q2098" s="16" t="s">
        <v>1768</v>
      </c>
      <c r="R2098" s="19">
        <v>1.8376</v>
      </c>
      <c r="S2098" s="20">
        <v>3555759.0</v>
      </c>
      <c r="T2098" s="20">
        <v>6.48057728E10</v>
      </c>
      <c r="U2098" s="21">
        <v>2.0182</v>
      </c>
      <c r="V2098" s="21">
        <v>5.8451</v>
      </c>
      <c r="W2098" s="21">
        <v>23.7349</v>
      </c>
      <c r="X2098" s="21">
        <v>5.8424</v>
      </c>
      <c r="Y2098" s="21">
        <v>1.1478</v>
      </c>
      <c r="Z2098" s="21">
        <v>1.5912</v>
      </c>
      <c r="AA2098" s="16" t="s">
        <v>2620</v>
      </c>
      <c r="AB2098" s="22">
        <f>IFERROR(__xludf.DUMMYFUNCTION("IFERROR(GOOGLEFINANCE(B2098,""price""),"""")"),98.82)</f>
        <v>98.82</v>
      </c>
    </row>
    <row r="2099">
      <c r="A2099" s="7">
        <v>46115.66795792587</v>
      </c>
      <c r="B2099" s="8" t="s">
        <v>3242</v>
      </c>
      <c r="C2099" s="8" t="s">
        <v>3243</v>
      </c>
      <c r="D2099" s="9">
        <v>46117.0</v>
      </c>
      <c r="E2099" s="10">
        <v>115.43</v>
      </c>
      <c r="F2099" s="8" t="s">
        <v>917</v>
      </c>
      <c r="G2099" s="13">
        <v>20.42</v>
      </c>
      <c r="H2099" s="13">
        <v>5.6528</v>
      </c>
      <c r="I2099" s="9">
        <v>46129.0</v>
      </c>
      <c r="J2099" s="10">
        <v>115.0</v>
      </c>
      <c r="K2099" s="8">
        <v>1254.0</v>
      </c>
      <c r="L2099" s="8" t="s">
        <v>2608</v>
      </c>
      <c r="M2099" s="11">
        <v>0.37</v>
      </c>
      <c r="N2099" s="8" t="s">
        <v>4625</v>
      </c>
      <c r="O2099" s="8">
        <v>1254.0</v>
      </c>
      <c r="P2099" s="11">
        <v>15.3422</v>
      </c>
      <c r="Q2099" s="8" t="s">
        <v>3245</v>
      </c>
      <c r="R2099" s="11">
        <v>1.3344</v>
      </c>
      <c r="S2099" s="12">
        <v>1614446.0</v>
      </c>
      <c r="T2099" s="12">
        <v>4.170520529E10</v>
      </c>
      <c r="U2099" s="13">
        <v>2.1372</v>
      </c>
      <c r="V2099" s="13">
        <v>8.7624</v>
      </c>
      <c r="W2099" s="13">
        <v>17.3247</v>
      </c>
      <c r="X2099" s="13">
        <v>10.8577</v>
      </c>
      <c r="Y2099" s="13">
        <v>1.173</v>
      </c>
      <c r="Z2099" s="13">
        <v>1.0206</v>
      </c>
      <c r="AA2099" s="8" t="s">
        <v>2611</v>
      </c>
      <c r="AB2099" s="14">
        <f>IFERROR(__xludf.DUMMYFUNCTION("IFERROR(GOOGLEFINANCE(B2099,""price""),"""")"),113.56)</f>
        <v>113.56</v>
      </c>
    </row>
    <row r="2100">
      <c r="A2100" s="15">
        <v>46115.66795792587</v>
      </c>
      <c r="B2100" s="16" t="s">
        <v>2634</v>
      </c>
      <c r="C2100" s="16" t="s">
        <v>2635</v>
      </c>
      <c r="D2100" s="17">
        <v>46117.0</v>
      </c>
      <c r="E2100" s="18">
        <v>198.97</v>
      </c>
      <c r="F2100" s="16" t="s">
        <v>245</v>
      </c>
      <c r="G2100" s="21">
        <v>29.9293</v>
      </c>
      <c r="H2100" s="21">
        <v>6.648</v>
      </c>
      <c r="I2100" s="17">
        <v>46122.0</v>
      </c>
      <c r="J2100" s="18">
        <v>202.5</v>
      </c>
      <c r="K2100" s="16">
        <v>1227.0</v>
      </c>
      <c r="L2100" s="16" t="s">
        <v>2608</v>
      </c>
      <c r="M2100" s="19">
        <v>1.77</v>
      </c>
      <c r="N2100" s="16" t="s">
        <v>4631</v>
      </c>
      <c r="O2100" s="16">
        <v>1227.0</v>
      </c>
      <c r="P2100" s="19">
        <v>38.081</v>
      </c>
      <c r="Q2100" s="16" t="s">
        <v>2637</v>
      </c>
      <c r="R2100" s="19">
        <v>0.7902</v>
      </c>
      <c r="S2100" s="20">
        <v>1.1528048E7</v>
      </c>
      <c r="T2100" s="20">
        <v>3.970227483E11</v>
      </c>
      <c r="U2100" s="21">
        <v>5.438</v>
      </c>
      <c r="V2100" s="21">
        <v>7.261</v>
      </c>
      <c r="W2100" s="21">
        <v>8.8802</v>
      </c>
      <c r="X2100" s="21">
        <v>-4.6193</v>
      </c>
      <c r="Y2100" s="21">
        <v>0.2507</v>
      </c>
      <c r="Z2100" s="21">
        <v>1.1547</v>
      </c>
      <c r="AA2100" s="16" t="s">
        <v>2620</v>
      </c>
      <c r="AB2100" s="22">
        <f>IFERROR(__xludf.DUMMYFUNCTION("IFERROR(GOOGLEFINANCE(B2100,""price""),"""")"),188.55)</f>
        <v>188.55</v>
      </c>
    </row>
    <row r="2101">
      <c r="A2101" s="7">
        <v>46115.66795792587</v>
      </c>
      <c r="B2101" s="8" t="s">
        <v>2768</v>
      </c>
      <c r="C2101" s="8" t="s">
        <v>2769</v>
      </c>
      <c r="D2101" s="9">
        <v>46117.0</v>
      </c>
      <c r="E2101" s="10">
        <v>294.97</v>
      </c>
      <c r="F2101" s="8" t="s">
        <v>308</v>
      </c>
      <c r="G2101" s="13">
        <v>29.6134</v>
      </c>
      <c r="H2101" s="13">
        <v>9.9607</v>
      </c>
      <c r="I2101" s="9">
        <v>46122.0</v>
      </c>
      <c r="J2101" s="10">
        <v>290.0</v>
      </c>
      <c r="K2101" s="8">
        <v>1123.0</v>
      </c>
      <c r="L2101" s="8" t="s">
        <v>2608</v>
      </c>
      <c r="M2101" s="11">
        <v>1.68</v>
      </c>
      <c r="N2101" s="8" t="s">
        <v>4632</v>
      </c>
      <c r="O2101" s="8">
        <v>1123.0</v>
      </c>
      <c r="P2101" s="11">
        <v>15.381</v>
      </c>
      <c r="Q2101" s="8" t="s">
        <v>2771</v>
      </c>
      <c r="R2101" s="11">
        <v>-0.927</v>
      </c>
      <c r="S2101" s="12">
        <v>7860440.0</v>
      </c>
      <c r="T2101" s="12">
        <v>1.0000603886E11</v>
      </c>
      <c r="U2101" s="13">
        <v>22.7558</v>
      </c>
      <c r="V2101" s="13">
        <v>41.2731</v>
      </c>
      <c r="W2101" s="13">
        <v>27.8834</v>
      </c>
      <c r="X2101" s="13">
        <v>-31.1967</v>
      </c>
      <c r="Y2101" s="13">
        <v>0.7076</v>
      </c>
      <c r="Z2101" s="13">
        <v>1.455</v>
      </c>
      <c r="AA2101" s="8" t="s">
        <v>2611</v>
      </c>
      <c r="AB2101" s="14">
        <f>IFERROR(__xludf.DUMMYFUNCTION("IFERROR(GOOGLEFINANCE(B2101,""price""),"""")"),343.43)</f>
        <v>343.43</v>
      </c>
    </row>
    <row r="2102">
      <c r="A2102" s="15">
        <v>46115.66795792587</v>
      </c>
      <c r="B2102" s="16" t="s">
        <v>2646</v>
      </c>
      <c r="C2102" s="16" t="s">
        <v>2647</v>
      </c>
      <c r="D2102" s="17">
        <v>46117.0</v>
      </c>
      <c r="E2102" s="18">
        <v>37.57</v>
      </c>
      <c r="F2102" s="16" t="s">
        <v>270</v>
      </c>
      <c r="G2102" s="21">
        <v>14.187</v>
      </c>
      <c r="H2102" s="21">
        <v>2.6482</v>
      </c>
      <c r="I2102" s="17">
        <v>46122.0</v>
      </c>
      <c r="J2102" s="18">
        <v>38.0</v>
      </c>
      <c r="K2102" s="16">
        <v>1050.0</v>
      </c>
      <c r="L2102" s="16" t="s">
        <v>2608</v>
      </c>
      <c r="M2102" s="19">
        <v>1.14</v>
      </c>
      <c r="N2102" s="16" t="s">
        <v>4633</v>
      </c>
      <c r="O2102" s="16">
        <v>1050.0</v>
      </c>
      <c r="P2102" s="19">
        <v>34.8439</v>
      </c>
      <c r="Q2102" s="16" t="s">
        <v>2649</v>
      </c>
      <c r="R2102" s="19">
        <v>0.374</v>
      </c>
      <c r="S2102" s="20">
        <v>3264346.0</v>
      </c>
      <c r="T2102" s="20">
        <v>8.12173232E10</v>
      </c>
      <c r="U2102" s="21">
        <v>0.7674</v>
      </c>
      <c r="V2102" s="21">
        <v>19.6987</v>
      </c>
      <c r="W2102" s="21">
        <v>12.3812</v>
      </c>
      <c r="X2102" s="21">
        <v>-6.474</v>
      </c>
      <c r="Y2102" s="21">
        <v>1.1744</v>
      </c>
      <c r="Z2102" s="21">
        <v>1.0411</v>
      </c>
      <c r="AA2102" s="16" t="s">
        <v>2620</v>
      </c>
      <c r="AB2102" s="22">
        <f>IFERROR(__xludf.DUMMYFUNCTION("IFERROR(GOOGLEFINANCE(B2102,""price""),"""")"),37.35)</f>
        <v>37.35</v>
      </c>
    </row>
    <row r="2103">
      <c r="A2103" s="7">
        <v>46118.670644586746</v>
      </c>
      <c r="B2103" s="8" t="s">
        <v>3697</v>
      </c>
      <c r="C2103" s="8" t="s">
        <v>3698</v>
      </c>
      <c r="D2103" s="9">
        <v>46124.0</v>
      </c>
      <c r="E2103" s="10">
        <v>48.94</v>
      </c>
      <c r="F2103" s="8" t="s">
        <v>917</v>
      </c>
      <c r="G2103" s="13">
        <v>17.8946</v>
      </c>
      <c r="H2103" s="13">
        <v>2.7349</v>
      </c>
      <c r="I2103" s="9">
        <v>46129.0</v>
      </c>
      <c r="J2103" s="10">
        <v>49.0</v>
      </c>
      <c r="K2103" s="8">
        <v>9496.0</v>
      </c>
      <c r="L2103" s="8" t="s">
        <v>2608</v>
      </c>
      <c r="M2103" s="11">
        <v>0.12</v>
      </c>
      <c r="N2103" s="8" t="s">
        <v>4634</v>
      </c>
      <c r="O2103" s="8">
        <v>10657.0</v>
      </c>
      <c r="P2103" s="11">
        <v>18.8529</v>
      </c>
      <c r="Q2103" s="8" t="s">
        <v>3700</v>
      </c>
      <c r="R2103" s="11">
        <v>-0.7906</v>
      </c>
      <c r="S2103" s="12">
        <v>5508564.0</v>
      </c>
      <c r="T2103" s="12">
        <v>5.00602366E10</v>
      </c>
      <c r="U2103" s="13">
        <v>0.9081</v>
      </c>
      <c r="V2103" s="13">
        <v>9.9356</v>
      </c>
      <c r="W2103" s="13">
        <v>21.2054</v>
      </c>
      <c r="X2103" s="13">
        <v>5.3367</v>
      </c>
      <c r="Y2103" s="13">
        <v>1.7554</v>
      </c>
      <c r="Z2103" s="13">
        <v>0.924</v>
      </c>
      <c r="AA2103" s="8" t="s">
        <v>2620</v>
      </c>
      <c r="AB2103" s="14">
        <f>IFERROR(__xludf.DUMMYFUNCTION("IFERROR(GOOGLEFINANCE(B2103,""price""),"""")"),48.57)</f>
        <v>48.57</v>
      </c>
    </row>
    <row r="2104">
      <c r="A2104" s="15">
        <v>46118.670644586746</v>
      </c>
      <c r="B2104" s="16" t="s">
        <v>2638</v>
      </c>
      <c r="C2104" s="16" t="s">
        <v>2639</v>
      </c>
      <c r="D2104" s="17">
        <v>46124.0</v>
      </c>
      <c r="E2104" s="18">
        <v>163.37</v>
      </c>
      <c r="F2104" s="16" t="s">
        <v>245</v>
      </c>
      <c r="G2104" s="21">
        <v>24.4025</v>
      </c>
      <c r="H2104" s="21">
        <v>6.6948</v>
      </c>
      <c r="I2104" s="17">
        <v>46122.0</v>
      </c>
      <c r="J2104" s="18">
        <v>165.0</v>
      </c>
      <c r="K2104" s="16">
        <v>3929.0</v>
      </c>
      <c r="L2104" s="16" t="s">
        <v>2608</v>
      </c>
      <c r="M2104" s="19">
        <v>1.0</v>
      </c>
      <c r="N2104" s="16" t="s">
        <v>4635</v>
      </c>
      <c r="O2104" s="16">
        <v>9644.0</v>
      </c>
      <c r="P2104" s="19">
        <v>29.8118</v>
      </c>
      <c r="Q2104" s="16" t="s">
        <v>2641</v>
      </c>
      <c r="R2104" s="19">
        <v>1.6678</v>
      </c>
      <c r="S2104" s="20">
        <v>1.5505463E7</v>
      </c>
      <c r="T2104" s="20">
        <v>6.807235812E11</v>
      </c>
      <c r="U2104" s="21">
        <v>5.075</v>
      </c>
      <c r="V2104" s="21">
        <v>11.0283</v>
      </c>
      <c r="W2104" s="21">
        <v>10.3419</v>
      </c>
      <c r="X2104" s="21">
        <v>-4.856</v>
      </c>
      <c r="Y2104" s="21">
        <v>0.1871</v>
      </c>
      <c r="Z2104" s="21">
        <v>1.1528</v>
      </c>
      <c r="AA2104" s="16" t="s">
        <v>2620</v>
      </c>
      <c r="AB2104" s="22">
        <f>IFERROR(__xludf.DUMMYFUNCTION("IFERROR(GOOGLEFINANCE(B2104,""price""),"""")"),152.51)</f>
        <v>152.51</v>
      </c>
    </row>
    <row r="2105">
      <c r="A2105" s="7">
        <v>46118.670644586746</v>
      </c>
      <c r="B2105" s="8" t="s">
        <v>1612</v>
      </c>
      <c r="C2105" s="8" t="s">
        <v>1613</v>
      </c>
      <c r="D2105" s="9">
        <v>46124.0</v>
      </c>
      <c r="E2105" s="10">
        <v>73.03</v>
      </c>
      <c r="F2105" s="8" t="s">
        <v>137</v>
      </c>
      <c r="G2105" s="13">
        <v>47.5239</v>
      </c>
      <c r="H2105" s="13">
        <v>1.5367</v>
      </c>
      <c r="I2105" s="9">
        <v>46122.0</v>
      </c>
      <c r="J2105" s="10">
        <v>73.0</v>
      </c>
      <c r="K2105" s="8">
        <v>5058.0</v>
      </c>
      <c r="L2105" s="8" t="s">
        <v>2608</v>
      </c>
      <c r="M2105" s="11">
        <v>0.04</v>
      </c>
      <c r="N2105" s="8" t="s">
        <v>4636</v>
      </c>
      <c r="O2105" s="8">
        <v>9619.0</v>
      </c>
      <c r="P2105" s="11">
        <v>20.1817</v>
      </c>
      <c r="Q2105" s="8" t="s">
        <v>1614</v>
      </c>
      <c r="R2105" s="11">
        <v>0.9399</v>
      </c>
      <c r="S2105" s="12">
        <v>3507792.0</v>
      </c>
      <c r="T2105" s="12">
        <v>4.621696247E10</v>
      </c>
      <c r="U2105" s="13">
        <v>1.9604</v>
      </c>
      <c r="V2105" s="13">
        <v>14.12</v>
      </c>
      <c r="W2105" s="13">
        <v>3.2288</v>
      </c>
      <c r="X2105" s="13">
        <v>0.3528</v>
      </c>
      <c r="Y2105" s="13">
        <v>4.1577</v>
      </c>
      <c r="Z2105" s="13">
        <v>0.802</v>
      </c>
      <c r="AA2105" s="8" t="s">
        <v>2611</v>
      </c>
      <c r="AB2105" s="14">
        <f>IFERROR(__xludf.DUMMYFUNCTION("IFERROR(GOOGLEFINANCE(B2105,""price""),"""")"),67.99)</f>
        <v>67.99</v>
      </c>
    </row>
    <row r="2106">
      <c r="A2106" s="15">
        <v>46118.670644586746</v>
      </c>
      <c r="B2106" s="16" t="s">
        <v>3802</v>
      </c>
      <c r="C2106" s="16" t="s">
        <v>3803</v>
      </c>
      <c r="D2106" s="17">
        <v>46124.0</v>
      </c>
      <c r="E2106" s="18">
        <v>55.75</v>
      </c>
      <c r="F2106" s="16" t="s">
        <v>270</v>
      </c>
      <c r="G2106" s="21">
        <v>86.0074</v>
      </c>
      <c r="H2106" s="21">
        <v>0.6482</v>
      </c>
      <c r="I2106" s="17">
        <v>46129.0</v>
      </c>
      <c r="J2106" s="18">
        <v>55.0</v>
      </c>
      <c r="K2106" s="16">
        <v>5551.0</v>
      </c>
      <c r="L2106" s="16" t="s">
        <v>2608</v>
      </c>
      <c r="M2106" s="19">
        <v>1.35</v>
      </c>
      <c r="N2106" s="16" t="s">
        <v>4637</v>
      </c>
      <c r="O2106" s="16">
        <v>5551.0</v>
      </c>
      <c r="P2106" s="19">
        <v>34.5876</v>
      </c>
      <c r="Q2106" s="16" t="s">
        <v>3805</v>
      </c>
      <c r="R2106" s="19">
        <v>0.832</v>
      </c>
      <c r="S2106" s="20">
        <v>1231029.0</v>
      </c>
      <c r="T2106" s="20">
        <v>5.8326765E9</v>
      </c>
      <c r="U2106" s="21">
        <v>1.8691</v>
      </c>
      <c r="V2106" s="21">
        <v>3.4054</v>
      </c>
      <c r="W2106" s="21">
        <v>34.4448</v>
      </c>
      <c r="X2106" s="21">
        <v>51.1384</v>
      </c>
      <c r="Y2106" s="21">
        <v>1.5001</v>
      </c>
      <c r="Z2106" s="21">
        <v>2.5453</v>
      </c>
      <c r="AA2106" s="16" t="s">
        <v>2611</v>
      </c>
      <c r="AB2106" s="22">
        <f>IFERROR(__xludf.DUMMYFUNCTION("IFERROR(GOOGLEFINANCE(B2106,""price""),"""")"),53.28)</f>
        <v>53.28</v>
      </c>
    </row>
    <row r="2107">
      <c r="A2107" s="7">
        <v>46118.670644586746</v>
      </c>
      <c r="B2107" s="8" t="s">
        <v>2139</v>
      </c>
      <c r="C2107" s="8" t="s">
        <v>2140</v>
      </c>
      <c r="D2107" s="9">
        <v>46124.0</v>
      </c>
      <c r="E2107" s="10">
        <v>60.7</v>
      </c>
      <c r="F2107" s="8" t="s">
        <v>270</v>
      </c>
      <c r="G2107" s="13">
        <v>23.3013</v>
      </c>
      <c r="H2107" s="13">
        <v>2.605</v>
      </c>
      <c r="I2107" s="9">
        <v>46129.0</v>
      </c>
      <c r="J2107" s="10">
        <v>60.0</v>
      </c>
      <c r="K2107" s="8">
        <v>3382.0</v>
      </c>
      <c r="L2107" s="8" t="s">
        <v>2608</v>
      </c>
      <c r="M2107" s="11">
        <v>1.15</v>
      </c>
      <c r="N2107" s="8" t="s">
        <v>4638</v>
      </c>
      <c r="O2107" s="8">
        <v>5033.0</v>
      </c>
      <c r="P2107" s="11">
        <v>19.9287</v>
      </c>
      <c r="Q2107" s="8" t="s">
        <v>2141</v>
      </c>
      <c r="R2107" s="11">
        <v>0.53</v>
      </c>
      <c r="S2107" s="12">
        <v>4944647.0</v>
      </c>
      <c r="T2107" s="12">
        <v>5.99859252E10</v>
      </c>
      <c r="U2107" s="13">
        <v>1.9378</v>
      </c>
      <c r="V2107" s="13">
        <v>14.4868</v>
      </c>
      <c r="W2107" s="13">
        <v>12.8259</v>
      </c>
      <c r="X2107" s="13">
        <v>-0.345</v>
      </c>
      <c r="Y2107" s="13">
        <v>0.3558</v>
      </c>
      <c r="Z2107" s="13">
        <v>1.3568</v>
      </c>
      <c r="AA2107" s="8" t="s">
        <v>2611</v>
      </c>
      <c r="AB2107" s="14">
        <f>IFERROR(__xludf.DUMMYFUNCTION("IFERROR(GOOGLEFINANCE(B2107,""price""),"""")"),62.83)</f>
        <v>62.83</v>
      </c>
    </row>
    <row r="2108">
      <c r="A2108" s="15">
        <v>46118.670644586746</v>
      </c>
      <c r="B2108" s="16" t="s">
        <v>2710</v>
      </c>
      <c r="C2108" s="16" t="s">
        <v>2711</v>
      </c>
      <c r="D2108" s="17">
        <v>46124.0</v>
      </c>
      <c r="E2108" s="18">
        <v>132.36</v>
      </c>
      <c r="F2108" s="16" t="s">
        <v>917</v>
      </c>
      <c r="G2108" s="21">
        <v>19.8742</v>
      </c>
      <c r="H2108" s="21">
        <v>6.6599</v>
      </c>
      <c r="I2108" s="17">
        <v>46129.0</v>
      </c>
      <c r="J2108" s="18">
        <v>135.0</v>
      </c>
      <c r="K2108" s="16">
        <v>2580.0</v>
      </c>
      <c r="L2108" s="16" t="s">
        <v>2608</v>
      </c>
      <c r="M2108" s="19">
        <v>1.99</v>
      </c>
      <c r="N2108" s="16" t="s">
        <v>4639</v>
      </c>
      <c r="O2108" s="16">
        <v>4339.0</v>
      </c>
      <c r="P2108" s="19">
        <v>21.4775</v>
      </c>
      <c r="Q2108" s="16" t="s">
        <v>2713</v>
      </c>
      <c r="R2108" s="19">
        <v>-0.2412</v>
      </c>
      <c r="S2108" s="20">
        <v>1852204.0</v>
      </c>
      <c r="T2108" s="20">
        <v>7.158836196E10</v>
      </c>
      <c r="U2108" s="21">
        <v>2.4027</v>
      </c>
      <c r="V2108" s="21">
        <v>12.3274</v>
      </c>
      <c r="W2108" s="21">
        <v>25.0742</v>
      </c>
      <c r="X2108" s="21">
        <v>10.4587</v>
      </c>
      <c r="Y2108" s="21">
        <v>1.5949</v>
      </c>
      <c r="Z2108" s="21">
        <v>0.4546</v>
      </c>
      <c r="AA2108" s="16" t="s">
        <v>2620</v>
      </c>
      <c r="AB2108" s="22">
        <f>IFERROR(__xludf.DUMMYFUNCTION("IFERROR(GOOGLEFINANCE(B2108,""price""),"""")"),136.3)</f>
        <v>136.3</v>
      </c>
    </row>
    <row r="2109">
      <c r="A2109" s="7">
        <v>46118.670644586746</v>
      </c>
      <c r="B2109" s="8" t="s">
        <v>4640</v>
      </c>
      <c r="C2109" s="8" t="s">
        <v>4641</v>
      </c>
      <c r="D2109" s="9">
        <v>46124.0</v>
      </c>
      <c r="E2109" s="10">
        <v>71.01</v>
      </c>
      <c r="F2109" s="8" t="s">
        <v>335</v>
      </c>
      <c r="G2109" s="13">
        <v>15.8303</v>
      </c>
      <c r="H2109" s="13">
        <v>4.4857</v>
      </c>
      <c r="I2109" s="9">
        <v>46122.0</v>
      </c>
      <c r="J2109" s="10">
        <v>70.0</v>
      </c>
      <c r="K2109" s="8">
        <v>2381.0</v>
      </c>
      <c r="L2109" s="8" t="s">
        <v>2608</v>
      </c>
      <c r="M2109" s="11">
        <v>1.42</v>
      </c>
      <c r="N2109" s="8" t="s">
        <v>4642</v>
      </c>
      <c r="O2109" s="8">
        <v>4279.0</v>
      </c>
      <c r="P2109" s="11">
        <v>18.5248</v>
      </c>
      <c r="Q2109" s="8" t="s">
        <v>4643</v>
      </c>
      <c r="R2109" s="11">
        <v>-0.727</v>
      </c>
      <c r="S2109" s="12">
        <v>4132337.0</v>
      </c>
      <c r="T2109" s="12">
        <v>1.87352784E10</v>
      </c>
      <c r="U2109" s="13">
        <v>3.8587</v>
      </c>
      <c r="V2109" s="13">
        <v>20.7539</v>
      </c>
      <c r="W2109" s="13">
        <v>12.283</v>
      </c>
      <c r="X2109" s="13">
        <v>7.3149</v>
      </c>
      <c r="Y2109" s="13">
        <v>0.449</v>
      </c>
      <c r="Z2109" s="13">
        <v>1.4388</v>
      </c>
      <c r="AA2109" s="8" t="s">
        <v>2611</v>
      </c>
      <c r="AB2109" s="14">
        <f>IFERROR(__xludf.DUMMYFUNCTION("IFERROR(GOOGLEFINANCE(B2109,""price""),"""")"),73.03)</f>
        <v>73.03</v>
      </c>
    </row>
    <row r="2110">
      <c r="A2110" s="15">
        <v>46118.670644586746</v>
      </c>
      <c r="B2110" s="16" t="s">
        <v>3944</v>
      </c>
      <c r="C2110" s="16" t="s">
        <v>3945</v>
      </c>
      <c r="D2110" s="17">
        <v>46124.0</v>
      </c>
      <c r="E2110" s="18">
        <v>131.41</v>
      </c>
      <c r="F2110" s="16" t="s">
        <v>917</v>
      </c>
      <c r="G2110" s="21">
        <v>20.8181</v>
      </c>
      <c r="H2110" s="21">
        <v>6.3123</v>
      </c>
      <c r="I2110" s="17">
        <v>46129.0</v>
      </c>
      <c r="J2110" s="18">
        <v>130.0</v>
      </c>
      <c r="K2110" s="16">
        <v>2878.0</v>
      </c>
      <c r="L2110" s="16" t="s">
        <v>2608</v>
      </c>
      <c r="M2110" s="19">
        <v>1.07</v>
      </c>
      <c r="N2110" s="16" t="s">
        <v>4644</v>
      </c>
      <c r="O2110" s="16">
        <v>4129.0</v>
      </c>
      <c r="P2110" s="19">
        <v>17.1109</v>
      </c>
      <c r="Q2110" s="16" t="s">
        <v>3947</v>
      </c>
      <c r="R2110" s="19">
        <v>-0.6126</v>
      </c>
      <c r="S2110" s="20">
        <v>2818550.0</v>
      </c>
      <c r="T2110" s="20">
        <v>1.0219374611E11</v>
      </c>
      <c r="U2110" s="21">
        <v>2.2065</v>
      </c>
      <c r="V2110" s="21">
        <v>9.7422</v>
      </c>
      <c r="W2110" s="21">
        <v>26.6061</v>
      </c>
      <c r="X2110" s="21">
        <v>6.193</v>
      </c>
      <c r="Y2110" s="21">
        <v>1.7574</v>
      </c>
      <c r="Z2110" s="21">
        <v>0.5518</v>
      </c>
      <c r="AA2110" s="16" t="s">
        <v>2611</v>
      </c>
      <c r="AB2110" s="22">
        <f>IFERROR(__xludf.DUMMYFUNCTION("IFERROR(GOOGLEFINANCE(B2110,""price""),"""")"),131.79)</f>
        <v>131.79</v>
      </c>
    </row>
    <row r="2111">
      <c r="A2111" s="7">
        <v>46118.670644586746</v>
      </c>
      <c r="B2111" s="8" t="s">
        <v>2399</v>
      </c>
      <c r="C2111" s="8" t="s">
        <v>2400</v>
      </c>
      <c r="D2111" s="9">
        <v>46124.0</v>
      </c>
      <c r="E2111" s="10">
        <v>18.96</v>
      </c>
      <c r="F2111" s="8" t="s">
        <v>270</v>
      </c>
      <c r="G2111" s="13">
        <v>15.6928</v>
      </c>
      <c r="H2111" s="13">
        <v>1.2082</v>
      </c>
      <c r="I2111" s="9">
        <v>46122.0</v>
      </c>
      <c r="J2111" s="10">
        <v>19.0</v>
      </c>
      <c r="K2111" s="8">
        <v>1853.0</v>
      </c>
      <c r="L2111" s="8" t="s">
        <v>2608</v>
      </c>
      <c r="M2111" s="11">
        <v>0.21</v>
      </c>
      <c r="N2111" s="8" t="s">
        <v>4645</v>
      </c>
      <c r="O2111" s="8">
        <v>3660.0</v>
      </c>
      <c r="P2111" s="11">
        <v>20.3591</v>
      </c>
      <c r="Q2111" s="8" t="s">
        <v>2401</v>
      </c>
      <c r="R2111" s="11">
        <v>0.1585</v>
      </c>
      <c r="S2111" s="12">
        <v>2.2009027E7</v>
      </c>
      <c r="T2111" s="12">
        <v>6.52282776E10</v>
      </c>
      <c r="U2111" s="13">
        <v>0.3757</v>
      </c>
      <c r="V2111" s="13">
        <v>12.7475</v>
      </c>
      <c r="W2111" s="13">
        <v>10.8866</v>
      </c>
      <c r="X2111" s="13">
        <v>3.4655</v>
      </c>
      <c r="Y2111" s="13">
        <v>2.0395</v>
      </c>
      <c r="Z2111" s="13">
        <v>1.2192</v>
      </c>
      <c r="AA2111" s="8" t="s">
        <v>2620</v>
      </c>
      <c r="AB2111" s="14">
        <f>IFERROR(__xludf.DUMMYFUNCTION("IFERROR(GOOGLEFINANCE(B2111,""price""),"""")"),19.19)</f>
        <v>19.19</v>
      </c>
    </row>
    <row r="2112">
      <c r="A2112" s="15">
        <v>46118.670644586746</v>
      </c>
      <c r="B2112" s="16" t="s">
        <v>4646</v>
      </c>
      <c r="C2112" s="16" t="s">
        <v>4647</v>
      </c>
      <c r="D2112" s="17">
        <v>46124.0</v>
      </c>
      <c r="E2112" s="18">
        <v>64.94</v>
      </c>
      <c r="F2112" s="16" t="s">
        <v>117</v>
      </c>
      <c r="G2112" s="21"/>
      <c r="H2112" s="21">
        <v>-6.5335</v>
      </c>
      <c r="I2112" s="17">
        <v>46129.0</v>
      </c>
      <c r="J2112" s="18">
        <v>65.0</v>
      </c>
      <c r="K2112" s="16">
        <v>3379.0</v>
      </c>
      <c r="L2112" s="16" t="s">
        <v>2608</v>
      </c>
      <c r="M2112" s="19">
        <v>0.09</v>
      </c>
      <c r="N2112" s="16" t="s">
        <v>4648</v>
      </c>
      <c r="O2112" s="16">
        <v>3379.0</v>
      </c>
      <c r="P2112" s="19">
        <v>16.0653</v>
      </c>
      <c r="Q2112" s="16" t="s">
        <v>4649</v>
      </c>
      <c r="R2112" s="19">
        <v>-2.6825</v>
      </c>
      <c r="S2112" s="20">
        <v>1313390.0</v>
      </c>
      <c r="T2112" s="20">
        <v>7.99820522E9</v>
      </c>
      <c r="U2112" s="21">
        <v>2.6698</v>
      </c>
      <c r="V2112" s="21"/>
      <c r="W2112" s="21">
        <v>-695.4395</v>
      </c>
      <c r="X2112" s="21">
        <v>376.5562</v>
      </c>
      <c r="Y2112" s="21"/>
      <c r="Z2112" s="21">
        <v>4.5293</v>
      </c>
      <c r="AA2112" s="16" t="s">
        <v>2620</v>
      </c>
      <c r="AB2112" s="22">
        <f>IFERROR(__xludf.DUMMYFUNCTION("IFERROR(GOOGLEFINANCE(B2112,""price""),"""")"),65.01)</f>
        <v>65.01</v>
      </c>
    </row>
    <row r="2113">
      <c r="A2113" s="7">
        <v>46118.670644586746</v>
      </c>
      <c r="B2113" s="8" t="s">
        <v>4438</v>
      </c>
      <c r="C2113" s="8" t="s">
        <v>4439</v>
      </c>
      <c r="D2113" s="9">
        <v>46124.0</v>
      </c>
      <c r="E2113" s="10">
        <v>61.18</v>
      </c>
      <c r="F2113" s="8" t="s">
        <v>245</v>
      </c>
      <c r="G2113" s="13">
        <v>19.9922</v>
      </c>
      <c r="H2113" s="13">
        <v>3.0602</v>
      </c>
      <c r="I2113" s="9">
        <v>46129.0</v>
      </c>
      <c r="J2113" s="10">
        <v>60.0</v>
      </c>
      <c r="K2113" s="8">
        <v>3047.0</v>
      </c>
      <c r="L2113" s="8" t="s">
        <v>2608</v>
      </c>
      <c r="M2113" s="11">
        <v>1.93</v>
      </c>
      <c r="N2113" s="8" t="s">
        <v>4650</v>
      </c>
      <c r="O2113" s="8">
        <v>3047.0</v>
      </c>
      <c r="P2113" s="11">
        <v>18.4906</v>
      </c>
      <c r="Q2113" s="8" t="s">
        <v>4441</v>
      </c>
      <c r="R2113" s="11">
        <v>0.7576</v>
      </c>
      <c r="S2113" s="12">
        <v>1658254.0</v>
      </c>
      <c r="T2113" s="12">
        <v>1.102910214E10</v>
      </c>
      <c r="U2113" s="13">
        <v>2.5044</v>
      </c>
      <c r="V2113" s="13">
        <v>6.2073</v>
      </c>
      <c r="W2113" s="13">
        <v>3.4166</v>
      </c>
      <c r="X2113" s="13">
        <v>-6.0035</v>
      </c>
      <c r="Y2113" s="13">
        <v>0.3519</v>
      </c>
      <c r="Z2113" s="13">
        <v>1.9364</v>
      </c>
      <c r="AA2113" s="8" t="s">
        <v>2611</v>
      </c>
      <c r="AB2113" s="14">
        <f>IFERROR(__xludf.DUMMYFUNCTION("IFERROR(GOOGLEFINANCE(B2113,""price""),"""")"),57.51)</f>
        <v>57.51</v>
      </c>
    </row>
    <row r="2114">
      <c r="A2114" s="15">
        <v>46118.670644586746</v>
      </c>
      <c r="B2114" s="16" t="s">
        <v>4359</v>
      </c>
      <c r="C2114" s="16" t="s">
        <v>4360</v>
      </c>
      <c r="D2114" s="17">
        <v>46124.0</v>
      </c>
      <c r="E2114" s="18">
        <v>109.51</v>
      </c>
      <c r="F2114" s="16" t="s">
        <v>308</v>
      </c>
      <c r="G2114" s="21">
        <v>35.4287</v>
      </c>
      <c r="H2114" s="21">
        <v>3.091</v>
      </c>
      <c r="I2114" s="17">
        <v>46122.0</v>
      </c>
      <c r="J2114" s="18">
        <v>110.0</v>
      </c>
      <c r="K2114" s="16">
        <v>2848.0</v>
      </c>
      <c r="L2114" s="16" t="s">
        <v>2608</v>
      </c>
      <c r="M2114" s="19">
        <v>0.45</v>
      </c>
      <c r="N2114" s="16" t="s">
        <v>4651</v>
      </c>
      <c r="O2114" s="16">
        <v>2848.0</v>
      </c>
      <c r="P2114" s="19">
        <v>17.0085</v>
      </c>
      <c r="Q2114" s="16" t="s">
        <v>4362</v>
      </c>
      <c r="R2114" s="19">
        <v>2.2407</v>
      </c>
      <c r="S2114" s="20">
        <v>2.2443366E7</v>
      </c>
      <c r="T2114" s="20">
        <v>9.5744593E10</v>
      </c>
      <c r="U2114" s="21">
        <v>5.7335</v>
      </c>
      <c r="V2114" s="21">
        <v>19.2541</v>
      </c>
      <c r="W2114" s="21">
        <v>16.3327</v>
      </c>
      <c r="X2114" s="21">
        <v>42.0873</v>
      </c>
      <c r="Y2114" s="21">
        <v>0.3519</v>
      </c>
      <c r="Z2114" s="21">
        <v>2.0061</v>
      </c>
      <c r="AA2114" s="16" t="s">
        <v>2620</v>
      </c>
      <c r="AB2114" s="22">
        <f>IFERROR(__xludf.DUMMYFUNCTION("IFERROR(GOOGLEFINANCE(B2114,""price""),"""")"),128.49)</f>
        <v>128.49</v>
      </c>
    </row>
    <row r="2115">
      <c r="A2115" s="7">
        <v>46118.670644586746</v>
      </c>
      <c r="B2115" s="8" t="s">
        <v>2634</v>
      </c>
      <c r="C2115" s="8" t="s">
        <v>2635</v>
      </c>
      <c r="D2115" s="9">
        <v>46124.0</v>
      </c>
      <c r="E2115" s="10">
        <v>198.86</v>
      </c>
      <c r="F2115" s="8" t="s">
        <v>245</v>
      </c>
      <c r="G2115" s="13">
        <v>29.9128</v>
      </c>
      <c r="H2115" s="13">
        <v>6.648</v>
      </c>
      <c r="I2115" s="9">
        <v>46122.0</v>
      </c>
      <c r="J2115" s="10">
        <v>202.5</v>
      </c>
      <c r="K2115" s="8">
        <v>1527.0</v>
      </c>
      <c r="L2115" s="8" t="s">
        <v>2608</v>
      </c>
      <c r="M2115" s="11">
        <v>1.83</v>
      </c>
      <c r="N2115" s="8" t="s">
        <v>4652</v>
      </c>
      <c r="O2115" s="8">
        <v>2531.0</v>
      </c>
      <c r="P2115" s="11">
        <v>35.6131</v>
      </c>
      <c r="Q2115" s="8" t="s">
        <v>2637</v>
      </c>
      <c r="R2115" s="11">
        <v>-0.0553</v>
      </c>
      <c r="S2115" s="12">
        <v>8233906.0</v>
      </c>
      <c r="T2115" s="12">
        <v>3.968032554E11</v>
      </c>
      <c r="U2115" s="13">
        <v>5.2938</v>
      </c>
      <c r="V2115" s="13">
        <v>7.261</v>
      </c>
      <c r="W2115" s="13">
        <v>8.8802</v>
      </c>
      <c r="X2115" s="13">
        <v>-4.6193</v>
      </c>
      <c r="Y2115" s="13">
        <v>0.2507</v>
      </c>
      <c r="Z2115" s="13">
        <v>1.1547</v>
      </c>
      <c r="AA2115" s="8" t="s">
        <v>2620</v>
      </c>
      <c r="AB2115" s="14">
        <f>IFERROR(__xludf.DUMMYFUNCTION("IFERROR(GOOGLEFINANCE(B2115,""price""),"""")"),188.55)</f>
        <v>188.55</v>
      </c>
    </row>
    <row r="2116">
      <c r="A2116" s="15">
        <v>46118.670644586746</v>
      </c>
      <c r="B2116" s="16" t="s">
        <v>3248</v>
      </c>
      <c r="C2116" s="16" t="s">
        <v>3249</v>
      </c>
      <c r="D2116" s="17">
        <v>46124.0</v>
      </c>
      <c r="E2116" s="18">
        <v>123.63</v>
      </c>
      <c r="F2116" s="16" t="s">
        <v>93</v>
      </c>
      <c r="G2116" s="21">
        <v>16.6761</v>
      </c>
      <c r="H2116" s="21">
        <v>7.4136</v>
      </c>
      <c r="I2116" s="17">
        <v>46129.0</v>
      </c>
      <c r="J2116" s="18">
        <v>125.0</v>
      </c>
      <c r="K2116" s="16">
        <v>2118.0</v>
      </c>
      <c r="L2116" s="16" t="s">
        <v>2608</v>
      </c>
      <c r="M2116" s="19">
        <v>1.11</v>
      </c>
      <c r="N2116" s="16" t="s">
        <v>4653</v>
      </c>
      <c r="O2116" s="16">
        <v>2118.0</v>
      </c>
      <c r="P2116" s="19">
        <v>17.2979</v>
      </c>
      <c r="Q2116" s="16" t="s">
        <v>3251</v>
      </c>
      <c r="R2116" s="19">
        <v>1.2282</v>
      </c>
      <c r="S2116" s="20">
        <v>3298049.0</v>
      </c>
      <c r="T2116" s="20">
        <v>8.492231241E10</v>
      </c>
      <c r="U2116" s="21">
        <v>2.923</v>
      </c>
      <c r="V2116" s="21">
        <v>12.9603</v>
      </c>
      <c r="W2116" s="21">
        <v>16.9045</v>
      </c>
      <c r="X2116" s="21">
        <v>2.0861</v>
      </c>
      <c r="Y2116" s="21">
        <v>1.7287</v>
      </c>
      <c r="Z2116" s="21">
        <v>1.789</v>
      </c>
      <c r="AA2116" s="16" t="s">
        <v>2620</v>
      </c>
      <c r="AB2116" s="22">
        <f>IFERROR(__xludf.DUMMYFUNCTION("IFERROR(GOOGLEFINANCE(B2116,""price""),"""")"),127.56)</f>
        <v>127.56</v>
      </c>
    </row>
    <row r="2117">
      <c r="A2117" s="7">
        <v>46118.670644586746</v>
      </c>
      <c r="B2117" s="8" t="s">
        <v>2692</v>
      </c>
      <c r="C2117" s="8" t="s">
        <v>2693</v>
      </c>
      <c r="D2117" s="9">
        <v>46124.0</v>
      </c>
      <c r="E2117" s="10">
        <v>240.97</v>
      </c>
      <c r="F2117" s="8" t="s">
        <v>117</v>
      </c>
      <c r="G2117" s="13">
        <v>21.8155</v>
      </c>
      <c r="H2117" s="13">
        <v>11.0458</v>
      </c>
      <c r="I2117" s="9">
        <v>46122.0</v>
      </c>
      <c r="J2117" s="10">
        <v>242.5</v>
      </c>
      <c r="K2117" s="8">
        <v>1659.0</v>
      </c>
      <c r="L2117" s="8" t="s">
        <v>2627</v>
      </c>
      <c r="M2117" s="11">
        <v>0.63</v>
      </c>
      <c r="N2117" s="8" t="s">
        <v>4654</v>
      </c>
      <c r="O2117" s="8">
        <v>1659.0</v>
      </c>
      <c r="P2117" s="11">
        <v>15.8025</v>
      </c>
      <c r="Q2117" s="8" t="s">
        <v>2695</v>
      </c>
      <c r="R2117" s="11">
        <v>-0.8517</v>
      </c>
      <c r="S2117" s="12">
        <v>4439866.0</v>
      </c>
      <c r="T2117" s="12">
        <v>5.80713603E11</v>
      </c>
      <c r="U2117" s="13">
        <v>4.0005</v>
      </c>
      <c r="V2117" s="13">
        <v>35.0301</v>
      </c>
      <c r="W2117" s="13">
        <v>27.2081</v>
      </c>
      <c r="X2117" s="13">
        <v>6.046</v>
      </c>
      <c r="Y2117" s="13">
        <v>0.605</v>
      </c>
      <c r="Z2117" s="13">
        <v>1.0277</v>
      </c>
      <c r="AA2117" s="8" t="s">
        <v>2620</v>
      </c>
      <c r="AB2117" s="14">
        <f>IFERROR(__xludf.DUMMYFUNCTION("IFERROR(GOOGLEFINANCE(B2117,""price""),"""")"),238.46)</f>
        <v>238.46</v>
      </c>
    </row>
    <row r="2118">
      <c r="A2118" s="15">
        <v>46118.670644586746</v>
      </c>
      <c r="B2118" s="16" t="s">
        <v>2654</v>
      </c>
      <c r="C2118" s="16" t="s">
        <v>2655</v>
      </c>
      <c r="D2118" s="17">
        <v>46124.0</v>
      </c>
      <c r="E2118" s="18">
        <v>43.59</v>
      </c>
      <c r="F2118" s="16" t="s">
        <v>917</v>
      </c>
      <c r="G2118" s="21">
        <v>27.1032</v>
      </c>
      <c r="H2118" s="21">
        <v>1.6083</v>
      </c>
      <c r="I2118" s="17">
        <v>46129.0</v>
      </c>
      <c r="J2118" s="18">
        <v>44.0</v>
      </c>
      <c r="K2118" s="16">
        <v>1512.0</v>
      </c>
      <c r="L2118" s="16" t="s">
        <v>2608</v>
      </c>
      <c r="M2118" s="19">
        <v>0.94</v>
      </c>
      <c r="N2118" s="16" t="s">
        <v>4655</v>
      </c>
      <c r="O2118" s="16">
        <v>1512.0</v>
      </c>
      <c r="P2118" s="19">
        <v>18.0859</v>
      </c>
      <c r="Q2118" s="16" t="s">
        <v>2657</v>
      </c>
      <c r="R2118" s="19">
        <v>-0.2745</v>
      </c>
      <c r="S2118" s="20">
        <v>2789932.0</v>
      </c>
      <c r="T2118" s="20">
        <v>2.845869048E10</v>
      </c>
      <c r="U2118" s="21">
        <v>0.7308</v>
      </c>
      <c r="V2118" s="21">
        <v>9.643</v>
      </c>
      <c r="W2118" s="21">
        <v>22.55</v>
      </c>
      <c r="X2118" s="21">
        <v>8.261</v>
      </c>
      <c r="Y2118" s="21">
        <v>2.1166</v>
      </c>
      <c r="Z2118" s="21">
        <v>0.9107</v>
      </c>
      <c r="AA2118" s="16" t="s">
        <v>2620</v>
      </c>
      <c r="AB2118" s="22">
        <f>IFERROR(__xludf.DUMMYFUNCTION("IFERROR(GOOGLEFINANCE(B2118,""price""),"""")"),43.39)</f>
        <v>43.39</v>
      </c>
    </row>
    <row r="2119">
      <c r="A2119" s="7">
        <v>46118.670644586746</v>
      </c>
      <c r="B2119" s="8" t="s">
        <v>3242</v>
      </c>
      <c r="C2119" s="8" t="s">
        <v>3243</v>
      </c>
      <c r="D2119" s="9">
        <v>46124.0</v>
      </c>
      <c r="E2119" s="10">
        <v>114.61</v>
      </c>
      <c r="F2119" s="8" t="s">
        <v>917</v>
      </c>
      <c r="G2119" s="13">
        <v>20.2749</v>
      </c>
      <c r="H2119" s="13">
        <v>5.6528</v>
      </c>
      <c r="I2119" s="9">
        <v>46129.0</v>
      </c>
      <c r="J2119" s="10">
        <v>115.0</v>
      </c>
      <c r="K2119" s="8">
        <v>1260.0</v>
      </c>
      <c r="L2119" s="8" t="s">
        <v>2608</v>
      </c>
      <c r="M2119" s="11">
        <v>0.34</v>
      </c>
      <c r="N2119" s="8" t="s">
        <v>4656</v>
      </c>
      <c r="O2119" s="8">
        <v>1260.0</v>
      </c>
      <c r="P2119" s="11">
        <v>15.7401</v>
      </c>
      <c r="Q2119" s="8" t="s">
        <v>3245</v>
      </c>
      <c r="R2119" s="11">
        <v>-0.7104</v>
      </c>
      <c r="S2119" s="12">
        <v>1199028.0</v>
      </c>
      <c r="T2119" s="12">
        <v>4.140893683E10</v>
      </c>
      <c r="U2119" s="13">
        <v>2.0881</v>
      </c>
      <c r="V2119" s="13">
        <v>8.7624</v>
      </c>
      <c r="W2119" s="13">
        <v>17.3247</v>
      </c>
      <c r="X2119" s="13">
        <v>10.8577</v>
      </c>
      <c r="Y2119" s="13">
        <v>1.173</v>
      </c>
      <c r="Z2119" s="13">
        <v>1.0206</v>
      </c>
      <c r="AA2119" s="8" t="s">
        <v>2620</v>
      </c>
      <c r="AB2119" s="14">
        <f>IFERROR(__xludf.DUMMYFUNCTION("IFERROR(GOOGLEFINANCE(B2119,""price""),"""")"),113.56)</f>
        <v>113.56</v>
      </c>
    </row>
    <row r="2120">
      <c r="A2120" s="15">
        <v>46118.670644586746</v>
      </c>
      <c r="B2120" s="16" t="s">
        <v>2646</v>
      </c>
      <c r="C2120" s="16" t="s">
        <v>2647</v>
      </c>
      <c r="D2120" s="17">
        <v>46124.0</v>
      </c>
      <c r="E2120" s="18">
        <v>37.83</v>
      </c>
      <c r="F2120" s="16" t="s">
        <v>270</v>
      </c>
      <c r="G2120" s="21">
        <v>14.2852</v>
      </c>
      <c r="H2120" s="21">
        <v>2.6482</v>
      </c>
      <c r="I2120" s="17">
        <v>46122.0</v>
      </c>
      <c r="J2120" s="18">
        <v>38.0</v>
      </c>
      <c r="K2120" s="16">
        <v>1115.0</v>
      </c>
      <c r="L2120" s="16" t="s">
        <v>2608</v>
      </c>
      <c r="M2120" s="19">
        <v>0.45</v>
      </c>
      <c r="N2120" s="16" t="s">
        <v>4657</v>
      </c>
      <c r="O2120" s="16">
        <v>1115.0</v>
      </c>
      <c r="P2120" s="19">
        <v>32.3592</v>
      </c>
      <c r="Q2120" s="16" t="s">
        <v>2649</v>
      </c>
      <c r="R2120" s="19">
        <v>0.692</v>
      </c>
      <c r="S2120" s="20">
        <v>2219098.0</v>
      </c>
      <c r="T2120" s="20">
        <v>8.17793808E10</v>
      </c>
      <c r="U2120" s="21">
        <v>0.7512</v>
      </c>
      <c r="V2120" s="21">
        <v>19.6987</v>
      </c>
      <c r="W2120" s="21">
        <v>12.3812</v>
      </c>
      <c r="X2120" s="21">
        <v>-6.474</v>
      </c>
      <c r="Y2120" s="21">
        <v>1.1744</v>
      </c>
      <c r="Z2120" s="21">
        <v>1.0411</v>
      </c>
      <c r="AA2120" s="16" t="s">
        <v>2620</v>
      </c>
      <c r="AB2120" s="22">
        <f>IFERROR(__xludf.DUMMYFUNCTION("IFERROR(GOOGLEFINANCE(B2120,""price""),"""")"),37.35)</f>
        <v>37.35</v>
      </c>
    </row>
    <row r="2121">
      <c r="A2121" s="7">
        <v>46118.670644586746</v>
      </c>
      <c r="B2121" s="8" t="s">
        <v>2768</v>
      </c>
      <c r="C2121" s="8" t="s">
        <v>2769</v>
      </c>
      <c r="D2121" s="9">
        <v>46124.0</v>
      </c>
      <c r="E2121" s="10">
        <v>304.15</v>
      </c>
      <c r="F2121" s="8" t="s">
        <v>308</v>
      </c>
      <c r="G2121" s="13">
        <v>30.535</v>
      </c>
      <c r="H2121" s="13">
        <v>9.9607</v>
      </c>
      <c r="I2121" s="9">
        <v>46122.0</v>
      </c>
      <c r="J2121" s="10">
        <v>300.0</v>
      </c>
      <c r="K2121" s="8">
        <v>1085.0</v>
      </c>
      <c r="L2121" s="8" t="s">
        <v>2608</v>
      </c>
      <c r="M2121" s="11">
        <v>1.36</v>
      </c>
      <c r="N2121" s="8" t="s">
        <v>4658</v>
      </c>
      <c r="O2121" s="8">
        <v>1085.0</v>
      </c>
      <c r="P2121" s="11">
        <v>15.6195</v>
      </c>
      <c r="Q2121" s="8" t="s">
        <v>2771</v>
      </c>
      <c r="R2121" s="11">
        <v>3.1122</v>
      </c>
      <c r="S2121" s="12">
        <v>7878407.0</v>
      </c>
      <c r="T2121" s="12">
        <v>1.031184077E11</v>
      </c>
      <c r="U2121" s="13">
        <v>22.3176</v>
      </c>
      <c r="V2121" s="13">
        <v>41.2731</v>
      </c>
      <c r="W2121" s="13">
        <v>27.8834</v>
      </c>
      <c r="X2121" s="13">
        <v>-31.1967</v>
      </c>
      <c r="Y2121" s="13">
        <v>0.7076</v>
      </c>
      <c r="Z2121" s="13">
        <v>1.455</v>
      </c>
      <c r="AA2121" s="8" t="s">
        <v>2611</v>
      </c>
      <c r="AB2121" s="14">
        <f>IFERROR(__xludf.DUMMYFUNCTION("IFERROR(GOOGLEFINANCE(B2121,""price""),"""")"),343.43)</f>
        <v>343.43</v>
      </c>
    </row>
    <row r="2122">
      <c r="A2122" s="7">
        <v>46119.668181620196</v>
      </c>
      <c r="B2122" s="8" t="s">
        <v>2399</v>
      </c>
      <c r="C2122" s="8" t="s">
        <v>2400</v>
      </c>
      <c r="D2122" s="9">
        <v>46124.0</v>
      </c>
      <c r="E2122" s="10">
        <v>19.12</v>
      </c>
      <c r="F2122" s="8" t="s">
        <v>270</v>
      </c>
      <c r="G2122" s="13">
        <v>15.8252</v>
      </c>
      <c r="H2122" s="13">
        <v>1.2082</v>
      </c>
      <c r="I2122" s="9">
        <v>46122.0</v>
      </c>
      <c r="J2122" s="10">
        <v>19.5</v>
      </c>
      <c r="K2122" s="8">
        <v>10593.0</v>
      </c>
      <c r="L2122" s="8" t="s">
        <v>2608</v>
      </c>
      <c r="M2122" s="11">
        <v>1.99</v>
      </c>
      <c r="N2122" s="8" t="s">
        <v>4659</v>
      </c>
      <c r="O2122" s="8">
        <v>15279.0</v>
      </c>
      <c r="P2122" s="11">
        <v>19.9057</v>
      </c>
      <c r="Q2122" s="8" t="s">
        <v>2401</v>
      </c>
      <c r="R2122" s="11">
        <v>0.8439</v>
      </c>
      <c r="S2122" s="12">
        <v>2.3522366E7</v>
      </c>
      <c r="T2122" s="12">
        <v>6.5778809168E10</v>
      </c>
      <c r="U2122" s="13">
        <v>0.3778</v>
      </c>
      <c r="V2122" s="13">
        <v>12.7475</v>
      </c>
      <c r="W2122" s="13">
        <v>10.8866</v>
      </c>
      <c r="X2122" s="13">
        <v>3.4655</v>
      </c>
      <c r="Y2122" s="13">
        <v>2.0395</v>
      </c>
      <c r="Z2122" s="13">
        <v>1.2192</v>
      </c>
      <c r="AA2122" s="8" t="s">
        <v>2620</v>
      </c>
      <c r="AB2122" s="14">
        <f>IFERROR(__xludf.DUMMYFUNCTION("IFERROR(GOOGLEFINANCE(B2122,""price""),"""")"),19.19)</f>
        <v>19.19</v>
      </c>
    </row>
    <row r="2123">
      <c r="A2123" s="15">
        <v>46119.668181620196</v>
      </c>
      <c r="B2123" s="16" t="s">
        <v>3697</v>
      </c>
      <c r="C2123" s="16" t="s">
        <v>3698</v>
      </c>
      <c r="D2123" s="17">
        <v>46124.0</v>
      </c>
      <c r="E2123" s="18">
        <v>49.05</v>
      </c>
      <c r="F2123" s="16" t="s">
        <v>917</v>
      </c>
      <c r="G2123" s="21">
        <v>17.9348</v>
      </c>
      <c r="H2123" s="21">
        <v>2.7349</v>
      </c>
      <c r="I2123" s="17">
        <v>46129.0</v>
      </c>
      <c r="J2123" s="18">
        <v>49.0</v>
      </c>
      <c r="K2123" s="16">
        <v>9489.0</v>
      </c>
      <c r="L2123" s="16" t="s">
        <v>2608</v>
      </c>
      <c r="M2123" s="19">
        <v>0.1</v>
      </c>
      <c r="N2123" s="16" t="s">
        <v>4660</v>
      </c>
      <c r="O2123" s="16">
        <v>13467.0</v>
      </c>
      <c r="P2123" s="19">
        <v>18.0845</v>
      </c>
      <c r="Q2123" s="16" t="s">
        <v>3700</v>
      </c>
      <c r="R2123" s="19">
        <v>0.2248</v>
      </c>
      <c r="S2123" s="20">
        <v>4107812.0</v>
      </c>
      <c r="T2123" s="20">
        <v>5.0172879549E10</v>
      </c>
      <c r="U2123" s="21">
        <v>0.8879</v>
      </c>
      <c r="V2123" s="21">
        <v>9.9356</v>
      </c>
      <c r="W2123" s="21">
        <v>21.2054</v>
      </c>
      <c r="X2123" s="21">
        <v>5.3367</v>
      </c>
      <c r="Y2123" s="21">
        <v>1.7554</v>
      </c>
      <c r="Z2123" s="21">
        <v>0.924</v>
      </c>
      <c r="AA2123" s="16" t="s">
        <v>2611</v>
      </c>
      <c r="AB2123" s="22">
        <f>IFERROR(__xludf.DUMMYFUNCTION("IFERROR(GOOGLEFINANCE(B2123,""price""),"""")"),48.57)</f>
        <v>48.57</v>
      </c>
    </row>
    <row r="2124">
      <c r="A2124" s="7">
        <v>46119.668181620196</v>
      </c>
      <c r="B2124" s="8" t="s">
        <v>2638</v>
      </c>
      <c r="C2124" s="8" t="s">
        <v>2639</v>
      </c>
      <c r="D2124" s="9">
        <v>46124.0</v>
      </c>
      <c r="E2124" s="10">
        <v>163.91</v>
      </c>
      <c r="F2124" s="8" t="s">
        <v>245</v>
      </c>
      <c r="G2124" s="13">
        <v>24.4832</v>
      </c>
      <c r="H2124" s="13">
        <v>6.6948</v>
      </c>
      <c r="I2124" s="9">
        <v>46122.0</v>
      </c>
      <c r="J2124" s="10">
        <v>162.5</v>
      </c>
      <c r="K2124" s="8">
        <v>4332.0</v>
      </c>
      <c r="L2124" s="8" t="s">
        <v>2608</v>
      </c>
      <c r="M2124" s="11">
        <v>0.86</v>
      </c>
      <c r="N2124" s="8" t="s">
        <v>4661</v>
      </c>
      <c r="O2124" s="8">
        <v>10541.0</v>
      </c>
      <c r="P2124" s="11">
        <v>28.8037</v>
      </c>
      <c r="Q2124" s="8" t="s">
        <v>2641</v>
      </c>
      <c r="R2124" s="11">
        <v>0.3305</v>
      </c>
      <c r="S2124" s="12">
        <v>2.3793885E7</v>
      </c>
      <c r="T2124" s="12">
        <v>6.82974213045E11</v>
      </c>
      <c r="U2124" s="13">
        <v>5.0318</v>
      </c>
      <c r="V2124" s="13">
        <v>11.0283</v>
      </c>
      <c r="W2124" s="13">
        <v>10.3419</v>
      </c>
      <c r="X2124" s="13">
        <v>-4.856</v>
      </c>
      <c r="Y2124" s="13">
        <v>0.1871</v>
      </c>
      <c r="Z2124" s="13">
        <v>1.1528</v>
      </c>
      <c r="AA2124" s="8" t="s">
        <v>2611</v>
      </c>
      <c r="AB2124" s="14">
        <f>IFERROR(__xludf.DUMMYFUNCTION("IFERROR(GOOGLEFINANCE(B2124,""price""),"""")"),152.51)</f>
        <v>152.51</v>
      </c>
    </row>
    <row r="2125">
      <c r="A2125" s="15">
        <v>46119.668181620196</v>
      </c>
      <c r="B2125" s="16" t="s">
        <v>1612</v>
      </c>
      <c r="C2125" s="16" t="s">
        <v>1613</v>
      </c>
      <c r="D2125" s="17">
        <v>46124.0</v>
      </c>
      <c r="E2125" s="18">
        <v>72.68</v>
      </c>
      <c r="F2125" s="16" t="s">
        <v>137</v>
      </c>
      <c r="G2125" s="21">
        <v>46.9995</v>
      </c>
      <c r="H2125" s="21">
        <v>1.5464</v>
      </c>
      <c r="I2125" s="17">
        <v>46122.0</v>
      </c>
      <c r="J2125" s="18">
        <v>73.0</v>
      </c>
      <c r="K2125" s="16">
        <v>5927.0</v>
      </c>
      <c r="L2125" s="16" t="s">
        <v>2608</v>
      </c>
      <c r="M2125" s="19">
        <v>0.44</v>
      </c>
      <c r="N2125" s="16" t="s">
        <v>4662</v>
      </c>
      <c r="O2125" s="16">
        <v>10502.0</v>
      </c>
      <c r="P2125" s="19">
        <v>19.3718</v>
      </c>
      <c r="Q2125" s="16" t="s">
        <v>1614</v>
      </c>
      <c r="R2125" s="19">
        <v>-0.4793</v>
      </c>
      <c r="S2125" s="20">
        <v>4469339.0</v>
      </c>
      <c r="T2125" s="20">
        <v>4.4521995504E10</v>
      </c>
      <c r="U2125" s="21">
        <v>1.904</v>
      </c>
      <c r="V2125" s="21">
        <v>14.0867</v>
      </c>
      <c r="W2125" s="21">
        <v>3.1617</v>
      </c>
      <c r="X2125" s="21">
        <v>0.3528</v>
      </c>
      <c r="Y2125" s="21">
        <v>4.166</v>
      </c>
      <c r="Z2125" s="21">
        <v>0.801</v>
      </c>
      <c r="AA2125" s="16" t="s">
        <v>2620</v>
      </c>
      <c r="AB2125" s="22">
        <f>IFERROR(__xludf.DUMMYFUNCTION("IFERROR(GOOGLEFINANCE(B2125,""price""),"""")"),67.99)</f>
        <v>67.99</v>
      </c>
    </row>
    <row r="2126">
      <c r="A2126" s="7">
        <v>46119.668181620196</v>
      </c>
      <c r="B2126" s="8" t="s">
        <v>4663</v>
      </c>
      <c r="C2126" s="8" t="s">
        <v>4664</v>
      </c>
      <c r="D2126" s="9">
        <v>46124.0</v>
      </c>
      <c r="E2126" s="10">
        <v>90.63</v>
      </c>
      <c r="F2126" s="8" t="s">
        <v>270</v>
      </c>
      <c r="G2126" s="13">
        <v>16.7458</v>
      </c>
      <c r="H2126" s="13">
        <v>5.4121</v>
      </c>
      <c r="I2126" s="9">
        <v>46129.0</v>
      </c>
      <c r="J2126" s="10">
        <v>90.0</v>
      </c>
      <c r="K2126" s="8">
        <v>7870.0</v>
      </c>
      <c r="L2126" s="8" t="s">
        <v>2608</v>
      </c>
      <c r="M2126" s="11">
        <v>0.7</v>
      </c>
      <c r="N2126" s="8" t="s">
        <v>4665</v>
      </c>
      <c r="O2126" s="8">
        <v>7870.0</v>
      </c>
      <c r="P2126" s="11">
        <v>25.0888</v>
      </c>
      <c r="Q2126" s="8" t="s">
        <v>4666</v>
      </c>
      <c r="R2126" s="11">
        <v>2.4068</v>
      </c>
      <c r="S2126" s="12">
        <v>4267019.0</v>
      </c>
      <c r="T2126" s="12">
        <v>5.7077290421E10</v>
      </c>
      <c r="U2126" s="13">
        <v>2.641</v>
      </c>
      <c r="V2126" s="13">
        <v>17.1706</v>
      </c>
      <c r="W2126" s="13">
        <v>17.2024</v>
      </c>
      <c r="X2126" s="13">
        <v>54.9866</v>
      </c>
      <c r="Y2126" s="13">
        <v>1.47</v>
      </c>
      <c r="Z2126" s="13">
        <v>0.7051</v>
      </c>
      <c r="AA2126" s="8" t="s">
        <v>2611</v>
      </c>
      <c r="AB2126" s="14">
        <f>IFERROR(__xludf.DUMMYFUNCTION("IFERROR(GOOGLEFINANCE(B2126,""price""),"""")"),86.21)</f>
        <v>86.21</v>
      </c>
    </row>
    <row r="2127">
      <c r="A2127" s="15">
        <v>46119.668181620196</v>
      </c>
      <c r="B2127" s="16" t="s">
        <v>2634</v>
      </c>
      <c r="C2127" s="16" t="s">
        <v>2635</v>
      </c>
      <c r="D2127" s="17">
        <v>46124.0</v>
      </c>
      <c r="E2127" s="18">
        <v>201.54</v>
      </c>
      <c r="F2127" s="16" t="s">
        <v>245</v>
      </c>
      <c r="G2127" s="21">
        <v>30.3159</v>
      </c>
      <c r="H2127" s="21">
        <v>6.648</v>
      </c>
      <c r="I2127" s="17">
        <v>46122.0</v>
      </c>
      <c r="J2127" s="18">
        <v>205.0</v>
      </c>
      <c r="K2127" s="16">
        <v>4265.0</v>
      </c>
      <c r="L2127" s="16" t="s">
        <v>2608</v>
      </c>
      <c r="M2127" s="19">
        <v>1.72</v>
      </c>
      <c r="N2127" s="16" t="s">
        <v>4667</v>
      </c>
      <c r="O2127" s="16">
        <v>7214.0</v>
      </c>
      <c r="P2127" s="19">
        <v>33.7188</v>
      </c>
      <c r="Q2127" s="16" t="s">
        <v>2637</v>
      </c>
      <c r="R2127" s="19">
        <v>1.3477</v>
      </c>
      <c r="S2127" s="20">
        <v>1.1306803E7</v>
      </c>
      <c r="T2127" s="20">
        <v>4.0214999451E11</v>
      </c>
      <c r="U2127" s="21">
        <v>5.3271</v>
      </c>
      <c r="V2127" s="21">
        <v>7.261</v>
      </c>
      <c r="W2127" s="21">
        <v>8.8802</v>
      </c>
      <c r="X2127" s="21">
        <v>-4.6193</v>
      </c>
      <c r="Y2127" s="21">
        <v>0.2507</v>
      </c>
      <c r="Z2127" s="21">
        <v>1.1547</v>
      </c>
      <c r="AA2127" s="16" t="s">
        <v>2620</v>
      </c>
      <c r="AB2127" s="22">
        <f>IFERROR(__xludf.DUMMYFUNCTION("IFERROR(GOOGLEFINANCE(B2127,""price""),"""")"),188.55)</f>
        <v>188.55</v>
      </c>
    </row>
    <row r="2128">
      <c r="A2128" s="7">
        <v>46119.668181620196</v>
      </c>
      <c r="B2128" s="8" t="s">
        <v>2280</v>
      </c>
      <c r="C2128" s="8" t="s">
        <v>2281</v>
      </c>
      <c r="D2128" s="9">
        <v>46124.0</v>
      </c>
      <c r="E2128" s="10">
        <v>17.55</v>
      </c>
      <c r="F2128" s="8" t="s">
        <v>286</v>
      </c>
      <c r="G2128" s="13">
        <v>10.2136</v>
      </c>
      <c r="H2128" s="13">
        <v>1.7183</v>
      </c>
      <c r="I2128" s="9">
        <v>46129.0</v>
      </c>
      <c r="J2128" s="10">
        <v>17.5</v>
      </c>
      <c r="K2128" s="8">
        <v>6089.0</v>
      </c>
      <c r="L2128" s="8" t="s">
        <v>2608</v>
      </c>
      <c r="M2128" s="11">
        <v>0.28</v>
      </c>
      <c r="N2128" s="8" t="s">
        <v>4668</v>
      </c>
      <c r="O2128" s="8">
        <v>6089.0</v>
      </c>
      <c r="P2128" s="11">
        <v>30.6792</v>
      </c>
      <c r="Q2128" s="8" t="s">
        <v>2282</v>
      </c>
      <c r="R2128" s="11">
        <v>-1.8456</v>
      </c>
      <c r="S2128" s="12">
        <v>3227844.0</v>
      </c>
      <c r="T2128" s="12">
        <v>1.8752329806E10</v>
      </c>
      <c r="U2128" s="13">
        <v>0.5301</v>
      </c>
      <c r="V2128" s="13">
        <v>31.0119</v>
      </c>
      <c r="W2128" s="13">
        <v>4.8766</v>
      </c>
      <c r="X2128" s="13"/>
      <c r="Y2128" s="13">
        <v>2.6263</v>
      </c>
      <c r="Z2128" s="13">
        <v>1.5975</v>
      </c>
      <c r="AA2128" s="8" t="s">
        <v>2611</v>
      </c>
      <c r="AB2128" s="14">
        <f>IFERROR(__xludf.DUMMYFUNCTION("IFERROR(GOOGLEFINANCE(B2128,""price""),"""")"),18.32)</f>
        <v>18.32</v>
      </c>
    </row>
    <row r="2129">
      <c r="A2129" s="15">
        <v>46119.668181620196</v>
      </c>
      <c r="B2129" s="16" t="s">
        <v>4359</v>
      </c>
      <c r="C2129" s="16" t="s">
        <v>4360</v>
      </c>
      <c r="D2129" s="17">
        <v>46124.0</v>
      </c>
      <c r="E2129" s="18">
        <v>109.38</v>
      </c>
      <c r="F2129" s="16" t="s">
        <v>308</v>
      </c>
      <c r="G2129" s="21">
        <v>35.3866</v>
      </c>
      <c r="H2129" s="21">
        <v>3.091</v>
      </c>
      <c r="I2129" s="17">
        <v>46122.0</v>
      </c>
      <c r="J2129" s="18">
        <v>110.0</v>
      </c>
      <c r="K2129" s="16">
        <v>3426.0</v>
      </c>
      <c r="L2129" s="16" t="s">
        <v>2608</v>
      </c>
      <c r="M2129" s="19">
        <v>0.57</v>
      </c>
      <c r="N2129" s="16" t="s">
        <v>4669</v>
      </c>
      <c r="O2129" s="16">
        <v>6023.0</v>
      </c>
      <c r="P2129" s="19">
        <v>18.0078</v>
      </c>
      <c r="Q2129" s="16" t="s">
        <v>4362</v>
      </c>
      <c r="R2129" s="19">
        <v>-0.1187</v>
      </c>
      <c r="S2129" s="20">
        <v>1.8559672E7</v>
      </c>
      <c r="T2129" s="20">
        <v>9.5648245464E10</v>
      </c>
      <c r="U2129" s="21">
        <v>5.6165</v>
      </c>
      <c r="V2129" s="21">
        <v>19.2541</v>
      </c>
      <c r="W2129" s="21">
        <v>16.3327</v>
      </c>
      <c r="X2129" s="21">
        <v>42.0873</v>
      </c>
      <c r="Y2129" s="21">
        <v>0.3519</v>
      </c>
      <c r="Z2129" s="21">
        <v>2.0061</v>
      </c>
      <c r="AA2129" s="16" t="s">
        <v>2620</v>
      </c>
      <c r="AB2129" s="22">
        <f>IFERROR(__xludf.DUMMYFUNCTION("IFERROR(GOOGLEFINANCE(B2129,""price""),"""")"),128.49)</f>
        <v>128.49</v>
      </c>
    </row>
    <row r="2130">
      <c r="A2130" s="7">
        <v>46119.668181620196</v>
      </c>
      <c r="B2130" s="8" t="s">
        <v>3802</v>
      </c>
      <c r="C2130" s="8" t="s">
        <v>3803</v>
      </c>
      <c r="D2130" s="9">
        <v>46124.0</v>
      </c>
      <c r="E2130" s="10">
        <v>54.44</v>
      </c>
      <c r="F2130" s="8" t="s">
        <v>270</v>
      </c>
      <c r="G2130" s="13">
        <v>83.9864</v>
      </c>
      <c r="H2130" s="13">
        <v>0.6482</v>
      </c>
      <c r="I2130" s="9">
        <v>46129.0</v>
      </c>
      <c r="J2130" s="10">
        <v>55.0</v>
      </c>
      <c r="K2130" s="8">
        <v>5543.0</v>
      </c>
      <c r="L2130" s="8" t="s">
        <v>2608</v>
      </c>
      <c r="M2130" s="11">
        <v>1.03</v>
      </c>
      <c r="N2130" s="8" t="s">
        <v>4670</v>
      </c>
      <c r="O2130" s="8">
        <v>5543.0</v>
      </c>
      <c r="P2130" s="11">
        <v>35.4129</v>
      </c>
      <c r="Q2130" s="8" t="s">
        <v>3805</v>
      </c>
      <c r="R2130" s="11">
        <v>-2.3498</v>
      </c>
      <c r="S2130" s="12">
        <v>2341345.0</v>
      </c>
      <c r="T2130" s="12">
        <v>5.530519527E9</v>
      </c>
      <c r="U2130" s="13">
        <v>1.921</v>
      </c>
      <c r="V2130" s="13">
        <v>3.4054</v>
      </c>
      <c r="W2130" s="13">
        <v>34.4448</v>
      </c>
      <c r="X2130" s="13">
        <v>51.1384</v>
      </c>
      <c r="Y2130" s="13">
        <v>1.5001</v>
      </c>
      <c r="Z2130" s="13">
        <v>2.5453</v>
      </c>
      <c r="AA2130" s="8" t="s">
        <v>2620</v>
      </c>
      <c r="AB2130" s="14">
        <f>IFERROR(__xludf.DUMMYFUNCTION("IFERROR(GOOGLEFINANCE(B2130,""price""),"""")"),53.28)</f>
        <v>53.28</v>
      </c>
    </row>
    <row r="2131">
      <c r="A2131" s="15">
        <v>46119.668181620196</v>
      </c>
      <c r="B2131" s="16" t="s">
        <v>2646</v>
      </c>
      <c r="C2131" s="16" t="s">
        <v>2647</v>
      </c>
      <c r="D2131" s="17">
        <v>46124.0</v>
      </c>
      <c r="E2131" s="18">
        <v>38.41</v>
      </c>
      <c r="F2131" s="16" t="s">
        <v>270</v>
      </c>
      <c r="G2131" s="21">
        <v>14.5042</v>
      </c>
      <c r="H2131" s="21">
        <v>2.6482</v>
      </c>
      <c r="I2131" s="17">
        <v>46122.0</v>
      </c>
      <c r="J2131" s="18">
        <v>38.5</v>
      </c>
      <c r="K2131" s="16">
        <v>3264.0</v>
      </c>
      <c r="L2131" s="16" t="s">
        <v>2608</v>
      </c>
      <c r="M2131" s="19">
        <v>0.23</v>
      </c>
      <c r="N2131" s="16" t="s">
        <v>4671</v>
      </c>
      <c r="O2131" s="16">
        <v>4402.0</v>
      </c>
      <c r="P2131" s="19">
        <v>30.9121</v>
      </c>
      <c r="Q2131" s="16" t="s">
        <v>2649</v>
      </c>
      <c r="R2131" s="19">
        <v>1.5332</v>
      </c>
      <c r="S2131" s="20">
        <v>2709111.0</v>
      </c>
      <c r="T2131" s="20">
        <v>8.3033234126E10</v>
      </c>
      <c r="U2131" s="21">
        <v>0.7518</v>
      </c>
      <c r="V2131" s="21">
        <v>19.6987</v>
      </c>
      <c r="W2131" s="21">
        <v>12.3812</v>
      </c>
      <c r="X2131" s="21">
        <v>-6.474</v>
      </c>
      <c r="Y2131" s="21">
        <v>1.1744</v>
      </c>
      <c r="Z2131" s="21">
        <v>1.0411</v>
      </c>
      <c r="AA2131" s="16" t="s">
        <v>2620</v>
      </c>
      <c r="AB2131" s="22">
        <f>IFERROR(__xludf.DUMMYFUNCTION("IFERROR(GOOGLEFINANCE(B2131,""price""),"""")"),37.35)</f>
        <v>37.35</v>
      </c>
    </row>
    <row r="2132">
      <c r="A2132" s="7">
        <v>46119.668181620196</v>
      </c>
      <c r="B2132" s="8" t="s">
        <v>3944</v>
      </c>
      <c r="C2132" s="8" t="s">
        <v>3945</v>
      </c>
      <c r="D2132" s="9">
        <v>46124.0</v>
      </c>
      <c r="E2132" s="10">
        <v>131.82</v>
      </c>
      <c r="F2132" s="8" t="s">
        <v>917</v>
      </c>
      <c r="G2132" s="13">
        <v>20.883</v>
      </c>
      <c r="H2132" s="13">
        <v>6.3123</v>
      </c>
      <c r="I2132" s="9">
        <v>46129.0</v>
      </c>
      <c r="J2132" s="10">
        <v>130.0</v>
      </c>
      <c r="K2132" s="8">
        <v>2870.0</v>
      </c>
      <c r="L2132" s="8" t="s">
        <v>2608</v>
      </c>
      <c r="M2132" s="11">
        <v>1.38</v>
      </c>
      <c r="N2132" s="8" t="s">
        <v>4672</v>
      </c>
      <c r="O2132" s="8">
        <v>4169.0</v>
      </c>
      <c r="P2132" s="11">
        <v>17.0109</v>
      </c>
      <c r="Q2132" s="8" t="s">
        <v>3947</v>
      </c>
      <c r="R2132" s="11">
        <v>0.312</v>
      </c>
      <c r="S2132" s="12">
        <v>2557195.0</v>
      </c>
      <c r="T2132" s="12">
        <v>1.02512580689E11</v>
      </c>
      <c r="U2132" s="13">
        <v>2.1725</v>
      </c>
      <c r="V2132" s="13">
        <v>9.7422</v>
      </c>
      <c r="W2132" s="13">
        <v>26.6061</v>
      </c>
      <c r="X2132" s="13">
        <v>6.193</v>
      </c>
      <c r="Y2132" s="13">
        <v>1.7574</v>
      </c>
      <c r="Z2132" s="13">
        <v>0.5518</v>
      </c>
      <c r="AA2132" s="8" t="s">
        <v>2611</v>
      </c>
      <c r="AB2132" s="14">
        <f>IFERROR(__xludf.DUMMYFUNCTION("IFERROR(GOOGLEFINANCE(B2132,""price""),"""")"),131.79)</f>
        <v>131.79</v>
      </c>
    </row>
    <row r="2133">
      <c r="A2133" s="15">
        <v>46119.668181620196</v>
      </c>
      <c r="B2133" s="16" t="s">
        <v>4646</v>
      </c>
      <c r="C2133" s="16" t="s">
        <v>4647</v>
      </c>
      <c r="D2133" s="17">
        <v>46124.0</v>
      </c>
      <c r="E2133" s="18">
        <v>65.48</v>
      </c>
      <c r="F2133" s="16" t="s">
        <v>117</v>
      </c>
      <c r="G2133" s="21"/>
      <c r="H2133" s="21">
        <v>-6.5335</v>
      </c>
      <c r="I2133" s="17">
        <v>46129.0</v>
      </c>
      <c r="J2133" s="18">
        <v>65.0</v>
      </c>
      <c r="K2133" s="16">
        <v>3376.0</v>
      </c>
      <c r="L2133" s="16" t="s">
        <v>2608</v>
      </c>
      <c r="M2133" s="19">
        <v>0.73</v>
      </c>
      <c r="N2133" s="16" t="s">
        <v>4673</v>
      </c>
      <c r="O2133" s="16">
        <v>3376.0</v>
      </c>
      <c r="P2133" s="19">
        <v>16.6175</v>
      </c>
      <c r="Q2133" s="16" t="s">
        <v>4649</v>
      </c>
      <c r="R2133" s="19">
        <v>0.8315</v>
      </c>
      <c r="S2133" s="20">
        <v>1287648.0</v>
      </c>
      <c r="T2133" s="20">
        <v>8.064700686E9</v>
      </c>
      <c r="U2133" s="21">
        <v>2.6152</v>
      </c>
      <c r="V2133" s="21"/>
      <c r="W2133" s="21">
        <v>-695.4395</v>
      </c>
      <c r="X2133" s="21">
        <v>376.5562</v>
      </c>
      <c r="Y2133" s="21"/>
      <c r="Z2133" s="21">
        <v>4.5293</v>
      </c>
      <c r="AA2133" s="16" t="s">
        <v>2611</v>
      </c>
      <c r="AB2133" s="22">
        <f>IFERROR(__xludf.DUMMYFUNCTION("IFERROR(GOOGLEFINANCE(B2133,""price""),"""")"),65.01)</f>
        <v>65.01</v>
      </c>
    </row>
    <row r="2134">
      <c r="A2134" s="7">
        <v>46119.668181620196</v>
      </c>
      <c r="B2134" s="8" t="s">
        <v>4438</v>
      </c>
      <c r="C2134" s="8" t="s">
        <v>4439</v>
      </c>
      <c r="D2134" s="9">
        <v>46124.0</v>
      </c>
      <c r="E2134" s="10">
        <v>60.82</v>
      </c>
      <c r="F2134" s="8" t="s">
        <v>245</v>
      </c>
      <c r="G2134" s="13">
        <v>19.8745</v>
      </c>
      <c r="H2134" s="13">
        <v>3.0602</v>
      </c>
      <c r="I2134" s="9">
        <v>46129.0</v>
      </c>
      <c r="J2134" s="10">
        <v>60.0</v>
      </c>
      <c r="K2134" s="8">
        <v>3126.0</v>
      </c>
      <c r="L2134" s="8" t="s">
        <v>2608</v>
      </c>
      <c r="M2134" s="11">
        <v>1.35</v>
      </c>
      <c r="N2134" s="8" t="s">
        <v>4674</v>
      </c>
      <c r="O2134" s="8">
        <v>3126.0</v>
      </c>
      <c r="P2134" s="11">
        <v>18.3748</v>
      </c>
      <c r="Q2134" s="8" t="s">
        <v>4441</v>
      </c>
      <c r="R2134" s="11">
        <v>-0.5884</v>
      </c>
      <c r="S2134" s="12">
        <v>2324088.0</v>
      </c>
      <c r="T2134" s="12">
        <v>1.0964215675E10</v>
      </c>
      <c r="U2134" s="13">
        <v>2.463</v>
      </c>
      <c r="V2134" s="13">
        <v>6.2073</v>
      </c>
      <c r="W2134" s="13">
        <v>3.4166</v>
      </c>
      <c r="X2134" s="13">
        <v>-6.0035</v>
      </c>
      <c r="Y2134" s="13">
        <v>0.3519</v>
      </c>
      <c r="Z2134" s="13">
        <v>1.9364</v>
      </c>
      <c r="AA2134" s="8" t="s">
        <v>2611</v>
      </c>
      <c r="AB2134" s="14">
        <f>IFERROR(__xludf.DUMMYFUNCTION("IFERROR(GOOGLEFINANCE(B2134,""price""),"""")"),57.51)</f>
        <v>57.51</v>
      </c>
    </row>
    <row r="2135">
      <c r="A2135" s="15">
        <v>46119.668181620196</v>
      </c>
      <c r="B2135" s="16" t="s">
        <v>2710</v>
      </c>
      <c r="C2135" s="16" t="s">
        <v>2711</v>
      </c>
      <c r="D2135" s="17">
        <v>46124.0</v>
      </c>
      <c r="E2135" s="18">
        <v>132.92</v>
      </c>
      <c r="F2135" s="16" t="s">
        <v>917</v>
      </c>
      <c r="G2135" s="21">
        <v>19.9583</v>
      </c>
      <c r="H2135" s="21">
        <v>6.6599</v>
      </c>
      <c r="I2135" s="17">
        <v>46129.0</v>
      </c>
      <c r="J2135" s="18">
        <v>135.0</v>
      </c>
      <c r="K2135" s="16">
        <v>2861.0</v>
      </c>
      <c r="L2135" s="16" t="s">
        <v>2608</v>
      </c>
      <c r="M2135" s="19">
        <v>1.56</v>
      </c>
      <c r="N2135" s="16" t="s">
        <v>4675</v>
      </c>
      <c r="O2135" s="16">
        <v>2861.0</v>
      </c>
      <c r="P2135" s="19">
        <v>20.9688</v>
      </c>
      <c r="Q2135" s="16" t="s">
        <v>2713</v>
      </c>
      <c r="R2135" s="19">
        <v>0.4231</v>
      </c>
      <c r="S2135" s="20">
        <v>1809458.0</v>
      </c>
      <c r="T2135" s="20">
        <v>7.1891312405E10</v>
      </c>
      <c r="U2135" s="21">
        <v>2.3475</v>
      </c>
      <c r="V2135" s="21">
        <v>12.3274</v>
      </c>
      <c r="W2135" s="21">
        <v>25.0742</v>
      </c>
      <c r="X2135" s="21">
        <v>10.4587</v>
      </c>
      <c r="Y2135" s="21">
        <v>1.5949</v>
      </c>
      <c r="Z2135" s="21">
        <v>0.4546</v>
      </c>
      <c r="AA2135" s="16" t="s">
        <v>2620</v>
      </c>
      <c r="AB2135" s="22">
        <f>IFERROR(__xludf.DUMMYFUNCTION("IFERROR(GOOGLEFINANCE(B2135,""price""),"""")"),136.3)</f>
        <v>136.3</v>
      </c>
    </row>
    <row r="2136">
      <c r="A2136" s="7">
        <v>46119.668181620196</v>
      </c>
      <c r="B2136" s="8" t="s">
        <v>1080</v>
      </c>
      <c r="C2136" s="8" t="s">
        <v>1081</v>
      </c>
      <c r="D2136" s="9">
        <v>46124.0</v>
      </c>
      <c r="E2136" s="10">
        <v>50.25</v>
      </c>
      <c r="F2136" s="8" t="s">
        <v>308</v>
      </c>
      <c r="G2136" s="13"/>
      <c r="H2136" s="13">
        <v>-0.2955</v>
      </c>
      <c r="I2136" s="9">
        <v>46129.0</v>
      </c>
      <c r="J2136" s="10">
        <v>50.0</v>
      </c>
      <c r="K2136" s="8">
        <v>2561.0</v>
      </c>
      <c r="L2136" s="8" t="s">
        <v>2608</v>
      </c>
      <c r="M2136" s="11">
        <v>0.5</v>
      </c>
      <c r="N2136" s="8" t="s">
        <v>4676</v>
      </c>
      <c r="O2136" s="8">
        <v>2561.0</v>
      </c>
      <c r="P2136" s="11">
        <v>18.4825</v>
      </c>
      <c r="Q2136" s="8" t="s">
        <v>1082</v>
      </c>
      <c r="R2136" s="11">
        <v>-3.6618</v>
      </c>
      <c r="S2136" s="12">
        <v>5281607.0</v>
      </c>
      <c r="T2136" s="12">
        <v>1.539023943E9</v>
      </c>
      <c r="U2136" s="13">
        <v>4.8427</v>
      </c>
      <c r="V2136" s="13">
        <v>-6.9744</v>
      </c>
      <c r="W2136" s="13">
        <v>-22.8493</v>
      </c>
      <c r="X2136" s="13">
        <v>4.9552</v>
      </c>
      <c r="Y2136" s="13">
        <v>0.0777</v>
      </c>
      <c r="Z2136" s="13">
        <v>10.6188</v>
      </c>
      <c r="AA2136" s="8" t="s">
        <v>2611</v>
      </c>
      <c r="AB2136" s="14">
        <f>IFERROR(__xludf.DUMMYFUNCTION("IFERROR(GOOGLEFINANCE(B2136,""price""),"""")"),70.43)</f>
        <v>70.43</v>
      </c>
    </row>
    <row r="2137">
      <c r="A2137" s="15">
        <v>46119.668181620196</v>
      </c>
      <c r="B2137" s="16" t="s">
        <v>3248</v>
      </c>
      <c r="C2137" s="16" t="s">
        <v>3249</v>
      </c>
      <c r="D2137" s="17">
        <v>46124.0</v>
      </c>
      <c r="E2137" s="18">
        <v>124.62</v>
      </c>
      <c r="F2137" s="16" t="s">
        <v>93</v>
      </c>
      <c r="G2137" s="21">
        <v>16.8096</v>
      </c>
      <c r="H2137" s="21">
        <v>7.4136</v>
      </c>
      <c r="I2137" s="17">
        <v>46129.0</v>
      </c>
      <c r="J2137" s="18">
        <v>125.0</v>
      </c>
      <c r="K2137" s="16">
        <v>2091.0</v>
      </c>
      <c r="L2137" s="16" t="s">
        <v>2608</v>
      </c>
      <c r="M2137" s="19">
        <v>0.3</v>
      </c>
      <c r="N2137" s="16" t="s">
        <v>4677</v>
      </c>
      <c r="O2137" s="16">
        <v>2091.0</v>
      </c>
      <c r="P2137" s="19">
        <v>17.6957</v>
      </c>
      <c r="Q2137" s="16" t="s">
        <v>3251</v>
      </c>
      <c r="R2137" s="19">
        <v>0.8008</v>
      </c>
      <c r="S2137" s="20">
        <v>3654275.0</v>
      </c>
      <c r="T2137" s="20">
        <v>8.5602391885E10</v>
      </c>
      <c r="U2137" s="21">
        <v>2.8771</v>
      </c>
      <c r="V2137" s="21">
        <v>12.9603</v>
      </c>
      <c r="W2137" s="21">
        <v>34.4848</v>
      </c>
      <c r="X2137" s="21">
        <v>2.0861</v>
      </c>
      <c r="Y2137" s="21">
        <v>1.7287</v>
      </c>
      <c r="Z2137" s="21">
        <v>1.6753</v>
      </c>
      <c r="AA2137" s="16" t="s">
        <v>2620</v>
      </c>
      <c r="AB2137" s="22">
        <f>IFERROR(__xludf.DUMMYFUNCTION("IFERROR(GOOGLEFINANCE(B2137,""price""),"""")"),127.56)</f>
        <v>127.56</v>
      </c>
    </row>
    <row r="2138">
      <c r="A2138" s="7">
        <v>46119.668181620196</v>
      </c>
      <c r="B2138" s="8" t="s">
        <v>2692</v>
      </c>
      <c r="C2138" s="8" t="s">
        <v>2693</v>
      </c>
      <c r="D2138" s="9">
        <v>46124.0</v>
      </c>
      <c r="E2138" s="10">
        <v>238.41</v>
      </c>
      <c r="F2138" s="8" t="s">
        <v>117</v>
      </c>
      <c r="G2138" s="13">
        <v>21.5838</v>
      </c>
      <c r="H2138" s="13">
        <v>11.0458</v>
      </c>
      <c r="I2138" s="9">
        <v>46122.0</v>
      </c>
      <c r="J2138" s="10">
        <v>242.5</v>
      </c>
      <c r="K2138" s="8">
        <v>1673.0</v>
      </c>
      <c r="L2138" s="8" t="s">
        <v>2627</v>
      </c>
      <c r="M2138" s="11">
        <v>1.72</v>
      </c>
      <c r="N2138" s="8" t="s">
        <v>4678</v>
      </c>
      <c r="O2138" s="8">
        <v>1673.0</v>
      </c>
      <c r="P2138" s="11">
        <v>15.7051</v>
      </c>
      <c r="Q2138" s="8" t="s">
        <v>2695</v>
      </c>
      <c r="R2138" s="11">
        <v>-1.0624</v>
      </c>
      <c r="S2138" s="12">
        <v>6227516.0</v>
      </c>
      <c r="T2138" s="12">
        <v>5.74237495292E11</v>
      </c>
      <c r="U2138" s="13">
        <v>4.069</v>
      </c>
      <c r="V2138" s="13">
        <v>35.0301</v>
      </c>
      <c r="W2138" s="13">
        <v>27.2081</v>
      </c>
      <c r="X2138" s="13">
        <v>6.046</v>
      </c>
      <c r="Y2138" s="13">
        <v>0.605</v>
      </c>
      <c r="Z2138" s="13">
        <v>1.0277</v>
      </c>
      <c r="AA2138" s="8" t="s">
        <v>2620</v>
      </c>
      <c r="AB2138" s="14">
        <f>IFERROR(__xludf.DUMMYFUNCTION("IFERROR(GOOGLEFINANCE(B2138,""price""),"""")"),238.46)</f>
        <v>238.46</v>
      </c>
    </row>
    <row r="2139">
      <c r="A2139" s="15">
        <v>46119.668181620196</v>
      </c>
      <c r="B2139" s="16" t="s">
        <v>1443</v>
      </c>
      <c r="C2139" s="16" t="s">
        <v>1444</v>
      </c>
      <c r="D2139" s="17">
        <v>46124.0</v>
      </c>
      <c r="E2139" s="18">
        <v>203.95</v>
      </c>
      <c r="F2139" s="16" t="s">
        <v>88</v>
      </c>
      <c r="G2139" s="21">
        <v>76.5722</v>
      </c>
      <c r="H2139" s="21">
        <v>2.6635</v>
      </c>
      <c r="I2139" s="17">
        <v>46122.0</v>
      </c>
      <c r="J2139" s="18">
        <v>207.5</v>
      </c>
      <c r="K2139" s="16">
        <v>1649.0</v>
      </c>
      <c r="L2139" s="16" t="s">
        <v>2608</v>
      </c>
      <c r="M2139" s="19">
        <v>1.74</v>
      </c>
      <c r="N2139" s="16" t="s">
        <v>4679</v>
      </c>
      <c r="O2139" s="16">
        <v>1649.0</v>
      </c>
      <c r="P2139" s="19">
        <v>23.144</v>
      </c>
      <c r="Q2139" s="16" t="s">
        <v>1445</v>
      </c>
      <c r="R2139" s="19">
        <v>-0.1029</v>
      </c>
      <c r="S2139" s="20">
        <v>1085599.0</v>
      </c>
      <c r="T2139" s="20">
        <v>5.1039247751E10</v>
      </c>
      <c r="U2139" s="21">
        <v>1.0841</v>
      </c>
      <c r="V2139" s="21">
        <v>10.0265</v>
      </c>
      <c r="W2139" s="21">
        <v>14.2154</v>
      </c>
      <c r="X2139" s="21">
        <v>-0.3134</v>
      </c>
      <c r="Y2139" s="21">
        <v>0.317</v>
      </c>
      <c r="Z2139" s="21">
        <v>0.9261</v>
      </c>
      <c r="AA2139" s="16" t="s">
        <v>2620</v>
      </c>
      <c r="AB2139" s="22">
        <f>IFERROR(__xludf.DUMMYFUNCTION("IFERROR(GOOGLEFINANCE(B2139,""price""),"""")"),202.74)</f>
        <v>202.74</v>
      </c>
    </row>
    <row r="2140">
      <c r="A2140" s="7">
        <v>46119.668181620196</v>
      </c>
      <c r="B2140" s="8" t="s">
        <v>2654</v>
      </c>
      <c r="C2140" s="8" t="s">
        <v>2655</v>
      </c>
      <c r="D2140" s="9">
        <v>46124.0</v>
      </c>
      <c r="E2140" s="10">
        <v>43.6</v>
      </c>
      <c r="F2140" s="8" t="s">
        <v>917</v>
      </c>
      <c r="G2140" s="13">
        <v>27.1094</v>
      </c>
      <c r="H2140" s="13">
        <v>1.6083</v>
      </c>
      <c r="I2140" s="9">
        <v>46129.0</v>
      </c>
      <c r="J2140" s="10">
        <v>44.0</v>
      </c>
      <c r="K2140" s="8">
        <v>1506.0</v>
      </c>
      <c r="L2140" s="8" t="s">
        <v>2608</v>
      </c>
      <c r="M2140" s="11">
        <v>0.92</v>
      </c>
      <c r="N2140" s="8" t="s">
        <v>4680</v>
      </c>
      <c r="O2140" s="8">
        <v>1506.0</v>
      </c>
      <c r="P2140" s="11">
        <v>17.9636</v>
      </c>
      <c r="Q2140" s="8" t="s">
        <v>2657</v>
      </c>
      <c r="R2140" s="11">
        <v>0.0229</v>
      </c>
      <c r="S2140" s="12">
        <v>2333801.0</v>
      </c>
      <c r="T2140" s="12">
        <v>2.8465201076E10</v>
      </c>
      <c r="U2140" s="13">
        <v>0.7161</v>
      </c>
      <c r="V2140" s="13">
        <v>9.643</v>
      </c>
      <c r="W2140" s="13">
        <v>22.55</v>
      </c>
      <c r="X2140" s="13">
        <v>8.261</v>
      </c>
      <c r="Y2140" s="13">
        <v>2.1166</v>
      </c>
      <c r="Z2140" s="13">
        <v>0.9107</v>
      </c>
      <c r="AA2140" s="8" t="s">
        <v>2620</v>
      </c>
      <c r="AB2140" s="14">
        <f>IFERROR(__xludf.DUMMYFUNCTION("IFERROR(GOOGLEFINANCE(B2140,""price""),"""")"),43.39)</f>
        <v>43.39</v>
      </c>
    </row>
    <row r="2141">
      <c r="A2141" s="15">
        <v>46119.668181620196</v>
      </c>
      <c r="B2141" s="16" t="s">
        <v>1766</v>
      </c>
      <c r="C2141" s="16" t="s">
        <v>1767</v>
      </c>
      <c r="D2141" s="17">
        <v>46124.0</v>
      </c>
      <c r="E2141" s="18">
        <v>98.46</v>
      </c>
      <c r="F2141" s="16" t="s">
        <v>917</v>
      </c>
      <c r="G2141" s="21">
        <v>35.8271</v>
      </c>
      <c r="H2141" s="21">
        <v>2.7482</v>
      </c>
      <c r="I2141" s="17">
        <v>46129.0</v>
      </c>
      <c r="J2141" s="18">
        <v>100.0</v>
      </c>
      <c r="K2141" s="16">
        <v>1346.0</v>
      </c>
      <c r="L2141" s="16" t="s">
        <v>2608</v>
      </c>
      <c r="M2141" s="19">
        <v>1.56</v>
      </c>
      <c r="N2141" s="16" t="s">
        <v>4681</v>
      </c>
      <c r="O2141" s="16">
        <v>1346.0</v>
      </c>
      <c r="P2141" s="19">
        <v>18.4193</v>
      </c>
      <c r="Q2141" s="16" t="s">
        <v>1768</v>
      </c>
      <c r="R2141" s="19">
        <v>0.4591</v>
      </c>
      <c r="S2141" s="20">
        <v>2164252.0</v>
      </c>
      <c r="T2141" s="20">
        <v>6.4322355725E10</v>
      </c>
      <c r="U2141" s="21">
        <v>1.9672</v>
      </c>
      <c r="V2141" s="21">
        <v>5.8451</v>
      </c>
      <c r="W2141" s="21">
        <v>23.7349</v>
      </c>
      <c r="X2141" s="21">
        <v>5.8424</v>
      </c>
      <c r="Y2141" s="21">
        <v>1.1478</v>
      </c>
      <c r="Z2141" s="21">
        <v>1.5912</v>
      </c>
      <c r="AA2141" s="16" t="s">
        <v>2620</v>
      </c>
      <c r="AB2141" s="22">
        <f>IFERROR(__xludf.DUMMYFUNCTION("IFERROR(GOOGLEFINANCE(B2141,""price""),"""")"),98.82)</f>
        <v>98.82</v>
      </c>
    </row>
    <row r="2142">
      <c r="A2142" s="7">
        <v>46119.668181620196</v>
      </c>
      <c r="B2142" s="8" t="s">
        <v>3242</v>
      </c>
      <c r="C2142" s="8" t="s">
        <v>3243</v>
      </c>
      <c r="D2142" s="9">
        <v>46124.0</v>
      </c>
      <c r="E2142" s="10">
        <v>114.46</v>
      </c>
      <c r="F2142" s="8" t="s">
        <v>917</v>
      </c>
      <c r="G2142" s="13">
        <v>20.2484</v>
      </c>
      <c r="H2142" s="13">
        <v>5.6528</v>
      </c>
      <c r="I2142" s="9">
        <v>46129.0</v>
      </c>
      <c r="J2142" s="10">
        <v>115.0</v>
      </c>
      <c r="K2142" s="8">
        <v>1258.0</v>
      </c>
      <c r="L2142" s="8" t="s">
        <v>2608</v>
      </c>
      <c r="M2142" s="11">
        <v>0.47</v>
      </c>
      <c r="N2142" s="8" t="s">
        <v>4682</v>
      </c>
      <c r="O2142" s="8">
        <v>1258.0</v>
      </c>
      <c r="P2142" s="11">
        <v>16.137</v>
      </c>
      <c r="Q2142" s="8" t="s">
        <v>3245</v>
      </c>
      <c r="R2142" s="11">
        <v>-0.1309</v>
      </c>
      <c r="S2142" s="12">
        <v>1359437.0</v>
      </c>
      <c r="T2142" s="12">
        <v>4.1354704211E10</v>
      </c>
      <c r="U2142" s="13">
        <v>2.0325</v>
      </c>
      <c r="V2142" s="13">
        <v>8.7624</v>
      </c>
      <c r="W2142" s="13">
        <v>17.3247</v>
      </c>
      <c r="X2142" s="13">
        <v>10.8577</v>
      </c>
      <c r="Y2142" s="13">
        <v>1.173</v>
      </c>
      <c r="Z2142" s="13">
        <v>1.0206</v>
      </c>
      <c r="AA2142" s="8" t="s">
        <v>2620</v>
      </c>
      <c r="AB2142" s="14">
        <f>IFERROR(__xludf.DUMMYFUNCTION("IFERROR(GOOGLEFINANCE(B2142,""price""),"""")"),113.56)</f>
        <v>113.56</v>
      </c>
    </row>
    <row r="2143">
      <c r="A2143" s="7">
        <v>46120.6681903711</v>
      </c>
      <c r="B2143" s="8" t="s">
        <v>3697</v>
      </c>
      <c r="C2143" s="8" t="s">
        <v>3698</v>
      </c>
      <c r="D2143" s="9">
        <v>46124.0</v>
      </c>
      <c r="E2143" s="10">
        <v>49.17</v>
      </c>
      <c r="F2143" s="8" t="s">
        <v>917</v>
      </c>
      <c r="G2143" s="13">
        <v>17.9787</v>
      </c>
      <c r="H2143" s="13">
        <v>2.7349</v>
      </c>
      <c r="I2143" s="9">
        <v>46129.0</v>
      </c>
      <c r="J2143" s="10">
        <v>49.0</v>
      </c>
      <c r="K2143" s="8">
        <v>9490.0</v>
      </c>
      <c r="L2143" s="8" t="s">
        <v>2608</v>
      </c>
      <c r="M2143" s="11">
        <v>0.35</v>
      </c>
      <c r="N2143" s="8" t="s">
        <v>4683</v>
      </c>
      <c r="O2143" s="8">
        <v>13467.0</v>
      </c>
      <c r="P2143" s="11">
        <v>16.8533</v>
      </c>
      <c r="Q2143" s="8" t="s">
        <v>3700</v>
      </c>
      <c r="R2143" s="11">
        <v>0.2446</v>
      </c>
      <c r="S2143" s="12">
        <v>6440875.0</v>
      </c>
      <c r="T2143" s="12">
        <v>5.0295627284E10</v>
      </c>
      <c r="U2143" s="13">
        <v>0.8866</v>
      </c>
      <c r="V2143" s="13">
        <v>9.9356</v>
      </c>
      <c r="W2143" s="13">
        <v>21.2054</v>
      </c>
      <c r="X2143" s="13">
        <v>5.3367</v>
      </c>
      <c r="Y2143" s="13">
        <v>1.7554</v>
      </c>
      <c r="Z2143" s="13">
        <v>0.924</v>
      </c>
      <c r="AA2143" s="8" t="s">
        <v>2611</v>
      </c>
      <c r="AB2143" s="14">
        <f>IFERROR(__xludf.DUMMYFUNCTION("IFERROR(GOOGLEFINANCE(B2143,""price""),"""")"),48.57)</f>
        <v>48.57</v>
      </c>
    </row>
    <row r="2144">
      <c r="A2144" s="15">
        <v>46120.6681903711</v>
      </c>
      <c r="B2144" s="16" t="s">
        <v>3416</v>
      </c>
      <c r="C2144" s="16" t="s">
        <v>3417</v>
      </c>
      <c r="D2144" s="17">
        <v>46124.0</v>
      </c>
      <c r="E2144" s="18">
        <v>66.8</v>
      </c>
      <c r="F2144" s="16" t="s">
        <v>286</v>
      </c>
      <c r="G2144" s="21">
        <v>16.2266</v>
      </c>
      <c r="H2144" s="21">
        <v>4.1167</v>
      </c>
      <c r="I2144" s="17">
        <v>46122.0</v>
      </c>
      <c r="J2144" s="18">
        <v>68.0</v>
      </c>
      <c r="K2144" s="16">
        <v>4286.0</v>
      </c>
      <c r="L2144" s="16" t="s">
        <v>2608</v>
      </c>
      <c r="M2144" s="19">
        <v>1.8</v>
      </c>
      <c r="N2144" s="16" t="s">
        <v>4684</v>
      </c>
      <c r="O2144" s="16">
        <v>11149.0</v>
      </c>
      <c r="P2144" s="19">
        <v>15.8859</v>
      </c>
      <c r="Q2144" s="16" t="s">
        <v>3419</v>
      </c>
      <c r="R2144" s="19">
        <v>0.8302</v>
      </c>
      <c r="S2144" s="20">
        <v>1.0799385E7</v>
      </c>
      <c r="T2144" s="20">
        <v>1.11682791162E11</v>
      </c>
      <c r="U2144" s="21">
        <v>1.4865</v>
      </c>
      <c r="V2144" s="21"/>
      <c r="W2144" s="21">
        <v>63.8109</v>
      </c>
      <c r="X2144" s="21">
        <v>-1.3989</v>
      </c>
      <c r="Y2144" s="21"/>
      <c r="Z2144" s="21">
        <v>0.648</v>
      </c>
      <c r="AA2144" s="16" t="s">
        <v>2620</v>
      </c>
      <c r="AB2144" s="22">
        <f>IFERROR(__xludf.DUMMYFUNCTION("IFERROR(GOOGLEFINANCE(B2144,""price""),"""")"),67.38)</f>
        <v>67.38</v>
      </c>
    </row>
    <row r="2145">
      <c r="A2145" s="7">
        <v>46120.6681903711</v>
      </c>
      <c r="B2145" s="8" t="s">
        <v>4359</v>
      </c>
      <c r="C2145" s="8" t="s">
        <v>4360</v>
      </c>
      <c r="D2145" s="9">
        <v>46124.0</v>
      </c>
      <c r="E2145" s="10">
        <v>114.45</v>
      </c>
      <c r="F2145" s="8" t="s">
        <v>308</v>
      </c>
      <c r="G2145" s="13">
        <v>37.0269</v>
      </c>
      <c r="H2145" s="13">
        <v>3.091</v>
      </c>
      <c r="I2145" s="9">
        <v>46122.0</v>
      </c>
      <c r="J2145" s="10">
        <v>115.0</v>
      </c>
      <c r="K2145" s="8">
        <v>4837.0</v>
      </c>
      <c r="L2145" s="8" t="s">
        <v>2608</v>
      </c>
      <c r="M2145" s="11">
        <v>0.48</v>
      </c>
      <c r="N2145" s="8" t="s">
        <v>4685</v>
      </c>
      <c r="O2145" s="8">
        <v>8598.0</v>
      </c>
      <c r="P2145" s="11">
        <v>19.6091</v>
      </c>
      <c r="Q2145" s="8" t="s">
        <v>4362</v>
      </c>
      <c r="R2145" s="11">
        <v>4.6352</v>
      </c>
      <c r="S2145" s="12">
        <v>2.9382859E7</v>
      </c>
      <c r="T2145" s="12">
        <v>1.00081744423E11</v>
      </c>
      <c r="U2145" s="13">
        <v>5.6639</v>
      </c>
      <c r="V2145" s="13">
        <v>19.2541</v>
      </c>
      <c r="W2145" s="13">
        <v>16.3327</v>
      </c>
      <c r="X2145" s="13">
        <v>42.0873</v>
      </c>
      <c r="Y2145" s="13">
        <v>0.3519</v>
      </c>
      <c r="Z2145" s="13">
        <v>2.0061</v>
      </c>
      <c r="AA2145" s="8" t="s">
        <v>2620</v>
      </c>
      <c r="AB2145" s="14">
        <f>IFERROR(__xludf.DUMMYFUNCTION("IFERROR(GOOGLEFINANCE(B2145,""price""),"""")"),128.49)</f>
        <v>128.49</v>
      </c>
    </row>
    <row r="2146">
      <c r="A2146" s="15">
        <v>46120.6681903711</v>
      </c>
      <c r="B2146" s="16" t="s">
        <v>2638</v>
      </c>
      <c r="C2146" s="16" t="s">
        <v>2639</v>
      </c>
      <c r="D2146" s="17">
        <v>46124.0</v>
      </c>
      <c r="E2146" s="18">
        <v>156.22</v>
      </c>
      <c r="F2146" s="16" t="s">
        <v>245</v>
      </c>
      <c r="G2146" s="21">
        <v>23.3345</v>
      </c>
      <c r="H2146" s="21">
        <v>6.6948</v>
      </c>
      <c r="I2146" s="17">
        <v>46122.0</v>
      </c>
      <c r="J2146" s="18">
        <v>157.5</v>
      </c>
      <c r="K2146" s="16">
        <v>3225.0</v>
      </c>
      <c r="L2146" s="16" t="s">
        <v>2627</v>
      </c>
      <c r="M2146" s="19">
        <v>0.82</v>
      </c>
      <c r="N2146" s="16" t="s">
        <v>4686</v>
      </c>
      <c r="O2146" s="16">
        <v>6092.0</v>
      </c>
      <c r="P2146" s="19">
        <v>27.6266</v>
      </c>
      <c r="Q2146" s="16" t="s">
        <v>2641</v>
      </c>
      <c r="R2146" s="19">
        <v>-4.6916</v>
      </c>
      <c r="S2146" s="20">
        <v>3.1251665E7</v>
      </c>
      <c r="T2146" s="20">
        <v>6.50931835363E11</v>
      </c>
      <c r="U2146" s="21">
        <v>5.5959</v>
      </c>
      <c r="V2146" s="21">
        <v>11.0283</v>
      </c>
      <c r="W2146" s="21">
        <v>10.3419</v>
      </c>
      <c r="X2146" s="21">
        <v>-4.856</v>
      </c>
      <c r="Y2146" s="21">
        <v>0.1871</v>
      </c>
      <c r="Z2146" s="21">
        <v>1.1528</v>
      </c>
      <c r="AA2146" s="16" t="s">
        <v>2620</v>
      </c>
      <c r="AB2146" s="22">
        <f>IFERROR(__xludf.DUMMYFUNCTION("IFERROR(GOOGLEFINANCE(B2146,""price""),"""")"),152.51)</f>
        <v>152.51</v>
      </c>
    </row>
    <row r="2147">
      <c r="A2147" s="7">
        <v>46120.6681903711</v>
      </c>
      <c r="B2147" s="8" t="s">
        <v>4687</v>
      </c>
      <c r="C2147" s="8" t="s">
        <v>4688</v>
      </c>
      <c r="D2147" s="9">
        <v>46124.0</v>
      </c>
      <c r="E2147" s="10">
        <v>49.15</v>
      </c>
      <c r="F2147" s="8" t="s">
        <v>270</v>
      </c>
      <c r="G2147" s="13"/>
      <c r="H2147" s="13">
        <v>-1.2547</v>
      </c>
      <c r="I2147" s="9">
        <v>46129.0</v>
      </c>
      <c r="J2147" s="10">
        <v>50.0</v>
      </c>
      <c r="K2147" s="8">
        <v>6033.0</v>
      </c>
      <c r="L2147" s="8" t="s">
        <v>2608</v>
      </c>
      <c r="M2147" s="11">
        <v>1.73</v>
      </c>
      <c r="N2147" s="8" t="s">
        <v>4689</v>
      </c>
      <c r="O2147" s="8">
        <v>6033.0</v>
      </c>
      <c r="P2147" s="11">
        <v>17.5829</v>
      </c>
      <c r="Q2147" s="8" t="s">
        <v>4690</v>
      </c>
      <c r="R2147" s="11">
        <v>2.9966</v>
      </c>
      <c r="S2147" s="12">
        <v>2703970.0</v>
      </c>
      <c r="T2147" s="12">
        <v>7.059291176E9</v>
      </c>
      <c r="U2147" s="13">
        <v>2.0929</v>
      </c>
      <c r="V2147" s="13">
        <v>-1.418</v>
      </c>
      <c r="W2147" s="13">
        <v>-2.0382</v>
      </c>
      <c r="X2147" s="13">
        <v>-4.9709</v>
      </c>
      <c r="Y2147" s="13">
        <v>0.3298</v>
      </c>
      <c r="Z2147" s="13">
        <v>1.907</v>
      </c>
      <c r="AA2147" s="8" t="s">
        <v>2620</v>
      </c>
      <c r="AB2147" s="14">
        <f>IFERROR(__xludf.DUMMYFUNCTION("IFERROR(GOOGLEFINANCE(B2147,""price""),"""")"),49.21)</f>
        <v>49.21</v>
      </c>
    </row>
    <row r="2148">
      <c r="A2148" s="15">
        <v>46120.6681903711</v>
      </c>
      <c r="B2148" s="16" t="s">
        <v>3802</v>
      </c>
      <c r="C2148" s="16" t="s">
        <v>3803</v>
      </c>
      <c r="D2148" s="17">
        <v>46124.0</v>
      </c>
      <c r="E2148" s="18">
        <v>54.87</v>
      </c>
      <c r="F2148" s="16" t="s">
        <v>270</v>
      </c>
      <c r="G2148" s="21">
        <v>84.6498</v>
      </c>
      <c r="H2148" s="21">
        <v>0.6482</v>
      </c>
      <c r="I2148" s="17">
        <v>46129.0</v>
      </c>
      <c r="J2148" s="18">
        <v>55.0</v>
      </c>
      <c r="K2148" s="16">
        <v>5539.0</v>
      </c>
      <c r="L2148" s="16" t="s">
        <v>2608</v>
      </c>
      <c r="M2148" s="19">
        <v>0.24</v>
      </c>
      <c r="N2148" s="16" t="s">
        <v>4691</v>
      </c>
      <c r="O2148" s="16">
        <v>5539.0</v>
      </c>
      <c r="P2148" s="19">
        <v>34.5554</v>
      </c>
      <c r="Q2148" s="16" t="s">
        <v>3805</v>
      </c>
      <c r="R2148" s="19">
        <v>0.7899</v>
      </c>
      <c r="S2148" s="20">
        <v>1849841.0</v>
      </c>
      <c r="T2148" s="20">
        <v>5.57420277E9</v>
      </c>
      <c r="U2148" s="21">
        <v>2.0063</v>
      </c>
      <c r="V2148" s="21">
        <v>3.4054</v>
      </c>
      <c r="W2148" s="21">
        <v>34.4448</v>
      </c>
      <c r="X2148" s="21">
        <v>51.1384</v>
      </c>
      <c r="Y2148" s="21">
        <v>1.5001</v>
      </c>
      <c r="Z2148" s="21">
        <v>2.5453</v>
      </c>
      <c r="AA2148" s="16" t="s">
        <v>2620</v>
      </c>
      <c r="AB2148" s="22">
        <f>IFERROR(__xludf.DUMMYFUNCTION("IFERROR(GOOGLEFINANCE(B2148,""price""),"""")"),53.28)</f>
        <v>53.28</v>
      </c>
    </row>
    <row r="2149">
      <c r="A2149" s="7">
        <v>46120.6681903711</v>
      </c>
      <c r="B2149" s="8" t="s">
        <v>3684</v>
      </c>
      <c r="C2149" s="8" t="s">
        <v>3685</v>
      </c>
      <c r="D2149" s="9">
        <v>46124.0</v>
      </c>
      <c r="E2149" s="10">
        <v>39.15</v>
      </c>
      <c r="F2149" s="8" t="s">
        <v>917</v>
      </c>
      <c r="G2149" s="13">
        <v>24.6583</v>
      </c>
      <c r="H2149" s="13">
        <v>1.5877</v>
      </c>
      <c r="I2149" s="9">
        <v>46129.0</v>
      </c>
      <c r="J2149" s="10">
        <v>39.0</v>
      </c>
      <c r="K2149" s="8">
        <v>5031.0</v>
      </c>
      <c r="L2149" s="8" t="s">
        <v>2608</v>
      </c>
      <c r="M2149" s="11">
        <v>0.38</v>
      </c>
      <c r="N2149" s="8" t="s">
        <v>4692</v>
      </c>
      <c r="O2149" s="8">
        <v>5031.0</v>
      </c>
      <c r="P2149" s="11">
        <v>15.1835</v>
      </c>
      <c r="Q2149" s="8" t="s">
        <v>3687</v>
      </c>
      <c r="R2149" s="11">
        <v>0.7463</v>
      </c>
      <c r="S2149" s="12">
        <v>5328419.0</v>
      </c>
      <c r="T2149" s="12">
        <v>2.9413662611E10</v>
      </c>
      <c r="U2149" s="13">
        <v>0.6604</v>
      </c>
      <c r="V2149" s="13">
        <v>8.1497</v>
      </c>
      <c r="W2149" s="13">
        <v>23.6452</v>
      </c>
      <c r="X2149" s="13">
        <v>6.8542</v>
      </c>
      <c r="Y2149" s="13">
        <v>1.3003</v>
      </c>
      <c r="Z2149" s="13">
        <v>0.8647</v>
      </c>
      <c r="AA2149" s="8" t="s">
        <v>2611</v>
      </c>
      <c r="AB2149" s="14">
        <f>IFERROR(__xludf.DUMMYFUNCTION("IFERROR(GOOGLEFINANCE(B2149,""price""),"""")"),39.65)</f>
        <v>39.65</v>
      </c>
    </row>
    <row r="2150">
      <c r="A2150" s="15">
        <v>46120.6681903711</v>
      </c>
      <c r="B2150" s="16" t="s">
        <v>3000</v>
      </c>
      <c r="C2150" s="16" t="s">
        <v>3001</v>
      </c>
      <c r="D2150" s="17">
        <v>46124.0</v>
      </c>
      <c r="E2150" s="18">
        <v>136.13</v>
      </c>
      <c r="F2150" s="16" t="s">
        <v>93</v>
      </c>
      <c r="G2150" s="21">
        <v>14.471</v>
      </c>
      <c r="H2150" s="21">
        <v>9.4071</v>
      </c>
      <c r="I2150" s="17">
        <v>46129.0</v>
      </c>
      <c r="J2150" s="18">
        <v>135.0</v>
      </c>
      <c r="K2150" s="16">
        <v>4914.0</v>
      </c>
      <c r="L2150" s="16" t="s">
        <v>2608</v>
      </c>
      <c r="M2150" s="19">
        <v>0.83</v>
      </c>
      <c r="N2150" s="16" t="s">
        <v>4693</v>
      </c>
      <c r="O2150" s="16">
        <v>4914.0</v>
      </c>
      <c r="P2150" s="19">
        <v>15.2113</v>
      </c>
      <c r="Q2150" s="16" t="s">
        <v>3003</v>
      </c>
      <c r="R2150" s="19">
        <v>3.7497</v>
      </c>
      <c r="S2150" s="20">
        <v>1778943.0</v>
      </c>
      <c r="T2150" s="20">
        <v>3.794327323E10</v>
      </c>
      <c r="U2150" s="21">
        <v>3.6754</v>
      </c>
      <c r="V2150" s="21">
        <v>11.0708</v>
      </c>
      <c r="W2150" s="21">
        <v>29.1237</v>
      </c>
      <c r="X2150" s="21">
        <v>1.9838</v>
      </c>
      <c r="Y2150" s="21">
        <v>1.1015</v>
      </c>
      <c r="Z2150" s="21">
        <v>4.1708</v>
      </c>
      <c r="AA2150" s="16" t="s">
        <v>2611</v>
      </c>
      <c r="AB2150" s="22">
        <f>IFERROR(__xludf.DUMMYFUNCTION("IFERROR(GOOGLEFINANCE(B2150,""price""),"""")"),139.42)</f>
        <v>139.42</v>
      </c>
    </row>
    <row r="2151">
      <c r="A2151" s="7">
        <v>46120.6681903711</v>
      </c>
      <c r="B2151" s="8" t="s">
        <v>3944</v>
      </c>
      <c r="C2151" s="8" t="s">
        <v>3945</v>
      </c>
      <c r="D2151" s="9">
        <v>46124.0</v>
      </c>
      <c r="E2151" s="10">
        <v>131.6</v>
      </c>
      <c r="F2151" s="8" t="s">
        <v>917</v>
      </c>
      <c r="G2151" s="13">
        <v>20.8482</v>
      </c>
      <c r="H2151" s="13">
        <v>6.3123</v>
      </c>
      <c r="I2151" s="9">
        <v>46129.0</v>
      </c>
      <c r="J2151" s="10">
        <v>130.0</v>
      </c>
      <c r="K2151" s="8">
        <v>2869.0</v>
      </c>
      <c r="L2151" s="8" t="s">
        <v>2608</v>
      </c>
      <c r="M2151" s="11">
        <v>1.22</v>
      </c>
      <c r="N2151" s="8" t="s">
        <v>4694</v>
      </c>
      <c r="O2151" s="8">
        <v>4173.0</v>
      </c>
      <c r="P2151" s="11">
        <v>15.8254</v>
      </c>
      <c r="Q2151" s="8" t="s">
        <v>3947</v>
      </c>
      <c r="R2151" s="11">
        <v>-0.1669</v>
      </c>
      <c r="S2151" s="12">
        <v>3702529.0</v>
      </c>
      <c r="T2151" s="12">
        <v>1.02341495921E11</v>
      </c>
      <c r="U2151" s="13">
        <v>2.1859</v>
      </c>
      <c r="V2151" s="13">
        <v>9.7422</v>
      </c>
      <c r="W2151" s="13">
        <v>26.6061</v>
      </c>
      <c r="X2151" s="13">
        <v>6.193</v>
      </c>
      <c r="Y2151" s="13">
        <v>1.7574</v>
      </c>
      <c r="Z2151" s="13">
        <v>0.5518</v>
      </c>
      <c r="AA2151" s="8" t="s">
        <v>2611</v>
      </c>
      <c r="AB2151" s="14">
        <f>IFERROR(__xludf.DUMMYFUNCTION("IFERROR(GOOGLEFINANCE(B2151,""price""),"""")"),131.79)</f>
        <v>131.79</v>
      </c>
    </row>
    <row r="2152">
      <c r="A2152" s="15">
        <v>46120.6681903711</v>
      </c>
      <c r="B2152" s="16" t="s">
        <v>2399</v>
      </c>
      <c r="C2152" s="16" t="s">
        <v>2400</v>
      </c>
      <c r="D2152" s="17">
        <v>46124.0</v>
      </c>
      <c r="E2152" s="18">
        <v>19.08</v>
      </c>
      <c r="F2152" s="16" t="s">
        <v>270</v>
      </c>
      <c r="G2152" s="21">
        <v>15.7921</v>
      </c>
      <c r="H2152" s="21">
        <v>1.2082</v>
      </c>
      <c r="I2152" s="17">
        <v>46122.0</v>
      </c>
      <c r="J2152" s="18">
        <v>19.0</v>
      </c>
      <c r="K2152" s="16">
        <v>1966.0</v>
      </c>
      <c r="L2152" s="16" t="s">
        <v>2627</v>
      </c>
      <c r="M2152" s="19">
        <v>0.42</v>
      </c>
      <c r="N2152" s="16" t="s">
        <v>4695</v>
      </c>
      <c r="O2152" s="16">
        <v>3432.0</v>
      </c>
      <c r="P2152" s="19">
        <v>18.8143</v>
      </c>
      <c r="Q2152" s="16" t="s">
        <v>2401</v>
      </c>
      <c r="R2152" s="19">
        <v>-0.2092</v>
      </c>
      <c r="S2152" s="20">
        <v>4.1564181E7</v>
      </c>
      <c r="T2152" s="20">
        <v>6.5641202647E10</v>
      </c>
      <c r="U2152" s="21">
        <v>0.3923</v>
      </c>
      <c r="V2152" s="21">
        <v>12.7475</v>
      </c>
      <c r="W2152" s="21">
        <v>10.8866</v>
      </c>
      <c r="X2152" s="21">
        <v>3.4655</v>
      </c>
      <c r="Y2152" s="21">
        <v>2.0395</v>
      </c>
      <c r="Z2152" s="21">
        <v>1.2192</v>
      </c>
      <c r="AA2152" s="16" t="s">
        <v>2611</v>
      </c>
      <c r="AB2152" s="22">
        <f>IFERROR(__xludf.DUMMYFUNCTION("IFERROR(GOOGLEFINANCE(B2152,""price""),"""")"),19.19)</f>
        <v>19.19</v>
      </c>
    </row>
    <row r="2153">
      <c r="A2153" s="7">
        <v>46120.6681903711</v>
      </c>
      <c r="B2153" s="8" t="s">
        <v>4646</v>
      </c>
      <c r="C2153" s="8" t="s">
        <v>4647</v>
      </c>
      <c r="D2153" s="9">
        <v>46124.0</v>
      </c>
      <c r="E2153" s="10">
        <v>65.77</v>
      </c>
      <c r="F2153" s="8" t="s">
        <v>117</v>
      </c>
      <c r="G2153" s="13"/>
      <c r="H2153" s="13">
        <v>-6.5335</v>
      </c>
      <c r="I2153" s="9">
        <v>46129.0</v>
      </c>
      <c r="J2153" s="10">
        <v>65.0</v>
      </c>
      <c r="K2153" s="8">
        <v>3402.0</v>
      </c>
      <c r="L2153" s="8" t="s">
        <v>2608</v>
      </c>
      <c r="M2153" s="11">
        <v>1.17</v>
      </c>
      <c r="N2153" s="8" t="s">
        <v>4696</v>
      </c>
      <c r="O2153" s="8">
        <v>3402.0</v>
      </c>
      <c r="P2153" s="11">
        <v>17.7082</v>
      </c>
      <c r="Q2153" s="8" t="s">
        <v>4649</v>
      </c>
      <c r="R2153" s="11">
        <v>0.4429</v>
      </c>
      <c r="S2153" s="12">
        <v>1755975.0</v>
      </c>
      <c r="T2153" s="12">
        <v>8.100418011E9</v>
      </c>
      <c r="U2153" s="13">
        <v>2.592</v>
      </c>
      <c r="V2153" s="13"/>
      <c r="W2153" s="13">
        <v>-695.4395</v>
      </c>
      <c r="X2153" s="13">
        <v>376.5562</v>
      </c>
      <c r="Y2153" s="13"/>
      <c r="Z2153" s="13">
        <v>4.5293</v>
      </c>
      <c r="AA2153" s="8" t="s">
        <v>2611</v>
      </c>
      <c r="AB2153" s="14">
        <f>IFERROR(__xludf.DUMMYFUNCTION("IFERROR(GOOGLEFINANCE(B2153,""price""),"""")"),65.01)</f>
        <v>65.01</v>
      </c>
    </row>
    <row r="2154">
      <c r="A2154" s="15">
        <v>46120.6681903711</v>
      </c>
      <c r="B2154" s="16" t="s">
        <v>2646</v>
      </c>
      <c r="C2154" s="16" t="s">
        <v>2647</v>
      </c>
      <c r="D2154" s="17">
        <v>46124.0</v>
      </c>
      <c r="E2154" s="18">
        <v>38.03</v>
      </c>
      <c r="F2154" s="16" t="s">
        <v>270</v>
      </c>
      <c r="G2154" s="21">
        <v>14.3607</v>
      </c>
      <c r="H2154" s="21">
        <v>2.6482</v>
      </c>
      <c r="I2154" s="17">
        <v>46122.0</v>
      </c>
      <c r="J2154" s="18">
        <v>38.5</v>
      </c>
      <c r="K2154" s="16">
        <v>1934.0</v>
      </c>
      <c r="L2154" s="16" t="s">
        <v>2608</v>
      </c>
      <c r="M2154" s="19">
        <v>1.24</v>
      </c>
      <c r="N2154" s="16" t="s">
        <v>4697</v>
      </c>
      <c r="O2154" s="16">
        <v>3056.0</v>
      </c>
      <c r="P2154" s="19">
        <v>29.0588</v>
      </c>
      <c r="Q2154" s="16" t="s">
        <v>2649</v>
      </c>
      <c r="R2154" s="19">
        <v>-0.9893</v>
      </c>
      <c r="S2154" s="20">
        <v>4038202.0</v>
      </c>
      <c r="T2154" s="20">
        <v>8.2211760699E10</v>
      </c>
      <c r="U2154" s="21">
        <v>0.7966</v>
      </c>
      <c r="V2154" s="21">
        <v>19.6987</v>
      </c>
      <c r="W2154" s="21">
        <v>12.3812</v>
      </c>
      <c r="X2154" s="21">
        <v>-6.474</v>
      </c>
      <c r="Y2154" s="21">
        <v>1.1744</v>
      </c>
      <c r="Z2154" s="21">
        <v>1.0411</v>
      </c>
      <c r="AA2154" s="16" t="s">
        <v>2620</v>
      </c>
      <c r="AB2154" s="22">
        <f>IFERROR(__xludf.DUMMYFUNCTION("IFERROR(GOOGLEFINANCE(B2154,""price""),"""")"),37.35)</f>
        <v>37.35</v>
      </c>
    </row>
    <row r="2155">
      <c r="A2155" s="7">
        <v>46120.6681903711</v>
      </c>
      <c r="B2155" s="8" t="s">
        <v>2710</v>
      </c>
      <c r="C2155" s="8" t="s">
        <v>2711</v>
      </c>
      <c r="D2155" s="9">
        <v>46124.0</v>
      </c>
      <c r="E2155" s="10">
        <v>134.71</v>
      </c>
      <c r="F2155" s="8" t="s">
        <v>917</v>
      </c>
      <c r="G2155" s="13">
        <v>20.227</v>
      </c>
      <c r="H2155" s="13">
        <v>6.6599</v>
      </c>
      <c r="I2155" s="9">
        <v>46129.0</v>
      </c>
      <c r="J2155" s="10">
        <v>135.0</v>
      </c>
      <c r="K2155" s="8">
        <v>2860.0</v>
      </c>
      <c r="L2155" s="8" t="s">
        <v>2608</v>
      </c>
      <c r="M2155" s="11">
        <v>0.22</v>
      </c>
      <c r="N2155" s="8" t="s">
        <v>4698</v>
      </c>
      <c r="O2155" s="8">
        <v>2860.0</v>
      </c>
      <c r="P2155" s="11">
        <v>21.1075</v>
      </c>
      <c r="Q2155" s="8" t="s">
        <v>2713</v>
      </c>
      <c r="R2155" s="11">
        <v>1.3467</v>
      </c>
      <c r="S2155" s="12">
        <v>2391947.0</v>
      </c>
      <c r="T2155" s="12">
        <v>7.2859453174E10</v>
      </c>
      <c r="U2155" s="13">
        <v>2.4149</v>
      </c>
      <c r="V2155" s="13">
        <v>12.3274</v>
      </c>
      <c r="W2155" s="13">
        <v>25.0742</v>
      </c>
      <c r="X2155" s="13">
        <v>10.4587</v>
      </c>
      <c r="Y2155" s="13">
        <v>1.5949</v>
      </c>
      <c r="Z2155" s="13">
        <v>0.4546</v>
      </c>
      <c r="AA2155" s="8" t="s">
        <v>2620</v>
      </c>
      <c r="AB2155" s="14">
        <f>IFERROR(__xludf.DUMMYFUNCTION("IFERROR(GOOGLEFINANCE(B2155,""price""),"""")"),136.3)</f>
        <v>136.3</v>
      </c>
    </row>
    <row r="2156">
      <c r="A2156" s="15">
        <v>46120.6681903711</v>
      </c>
      <c r="B2156" s="16" t="s">
        <v>2692</v>
      </c>
      <c r="C2156" s="16" t="s">
        <v>2693</v>
      </c>
      <c r="D2156" s="17">
        <v>46124.0</v>
      </c>
      <c r="E2156" s="18">
        <v>241.3</v>
      </c>
      <c r="F2156" s="16" t="s">
        <v>117</v>
      </c>
      <c r="G2156" s="21">
        <v>21.8454</v>
      </c>
      <c r="H2156" s="21">
        <v>11.0458</v>
      </c>
      <c r="I2156" s="17">
        <v>46122.0</v>
      </c>
      <c r="J2156" s="18">
        <v>242.5</v>
      </c>
      <c r="K2156" s="16">
        <v>1675.0</v>
      </c>
      <c r="L2156" s="16" t="s">
        <v>2627</v>
      </c>
      <c r="M2156" s="19">
        <v>0.5</v>
      </c>
      <c r="N2156" s="16" t="s">
        <v>4699</v>
      </c>
      <c r="O2156" s="16">
        <v>2771.0</v>
      </c>
      <c r="P2156" s="19">
        <v>16.0949</v>
      </c>
      <c r="Q2156" s="16" t="s">
        <v>2695</v>
      </c>
      <c r="R2156" s="19">
        <v>1.2122</v>
      </c>
      <c r="S2156" s="20">
        <v>8766126.0</v>
      </c>
      <c r="T2156" s="20">
        <v>5.81198393693E11</v>
      </c>
      <c r="U2156" s="21">
        <v>4.3091</v>
      </c>
      <c r="V2156" s="21">
        <v>35.0301</v>
      </c>
      <c r="W2156" s="21">
        <v>27.2081</v>
      </c>
      <c r="X2156" s="21">
        <v>6.046</v>
      </c>
      <c r="Y2156" s="21">
        <v>0.605</v>
      </c>
      <c r="Z2156" s="21">
        <v>1.0277</v>
      </c>
      <c r="AA2156" s="16" t="s">
        <v>2620</v>
      </c>
      <c r="AB2156" s="22">
        <f>IFERROR(__xludf.DUMMYFUNCTION("IFERROR(GOOGLEFINANCE(B2156,""price""),"""")"),238.46)</f>
        <v>238.46</v>
      </c>
    </row>
    <row r="2157">
      <c r="A2157" s="7">
        <v>46120.6681903711</v>
      </c>
      <c r="B2157" s="8" t="s">
        <v>4700</v>
      </c>
      <c r="C2157" s="8" t="s">
        <v>4701</v>
      </c>
      <c r="D2157" s="9">
        <v>46124.0</v>
      </c>
      <c r="E2157" s="10">
        <v>35.08</v>
      </c>
      <c r="F2157" s="8" t="s">
        <v>335</v>
      </c>
      <c r="G2157" s="13">
        <v>18.896</v>
      </c>
      <c r="H2157" s="13">
        <v>1.8565</v>
      </c>
      <c r="I2157" s="9">
        <v>46129.0</v>
      </c>
      <c r="J2157" s="10">
        <v>35.0</v>
      </c>
      <c r="K2157" s="8">
        <v>2202.0</v>
      </c>
      <c r="L2157" s="8" t="s">
        <v>2608</v>
      </c>
      <c r="M2157" s="11">
        <v>0.23</v>
      </c>
      <c r="N2157" s="8" t="s">
        <v>4702</v>
      </c>
      <c r="O2157" s="8">
        <v>2202.0</v>
      </c>
      <c r="P2157" s="11">
        <v>20.1702</v>
      </c>
      <c r="Q2157" s="8" t="s">
        <v>4703</v>
      </c>
      <c r="R2157" s="11">
        <v>7.6404</v>
      </c>
      <c r="S2157" s="12">
        <v>6616072.0</v>
      </c>
      <c r="T2157" s="12">
        <v>7.132685664E9</v>
      </c>
      <c r="U2157" s="13">
        <v>2.122</v>
      </c>
      <c r="V2157" s="13">
        <v>11.9051</v>
      </c>
      <c r="W2157" s="13">
        <v>28.8598</v>
      </c>
      <c r="X2157" s="13">
        <v>74.4481</v>
      </c>
      <c r="Y2157" s="13">
        <v>0.1127</v>
      </c>
      <c r="Z2157" s="13">
        <v>2.0815</v>
      </c>
      <c r="AA2157" s="8" t="s">
        <v>2611</v>
      </c>
      <c r="AB2157" s="14">
        <f>IFERROR(__xludf.DUMMYFUNCTION("IFERROR(GOOGLEFINANCE(B2157,""price""),"""")"),33.13)</f>
        <v>33.13</v>
      </c>
    </row>
    <row r="2158">
      <c r="A2158" s="15">
        <v>46120.6681903711</v>
      </c>
      <c r="B2158" s="16" t="s">
        <v>4218</v>
      </c>
      <c r="C2158" s="16" t="s">
        <v>4219</v>
      </c>
      <c r="D2158" s="17">
        <v>46124.0</v>
      </c>
      <c r="E2158" s="18">
        <v>126.16</v>
      </c>
      <c r="F2158" s="16" t="s">
        <v>107</v>
      </c>
      <c r="G2158" s="21">
        <v>14.0288</v>
      </c>
      <c r="H2158" s="21">
        <v>8.9929</v>
      </c>
      <c r="I2158" s="17">
        <v>46122.0</v>
      </c>
      <c r="J2158" s="18">
        <v>125.0</v>
      </c>
      <c r="K2158" s="16">
        <v>2146.0</v>
      </c>
      <c r="L2158" s="16" t="s">
        <v>2627</v>
      </c>
      <c r="M2158" s="19">
        <v>0.92</v>
      </c>
      <c r="N2158" s="16" t="s">
        <v>4704</v>
      </c>
      <c r="O2158" s="16">
        <v>2146.0</v>
      </c>
      <c r="P2158" s="19">
        <v>34.0651</v>
      </c>
      <c r="Q2158" s="16" t="s">
        <v>4221</v>
      </c>
      <c r="R2158" s="19">
        <v>-5.6959</v>
      </c>
      <c r="S2158" s="20">
        <v>7353172.0</v>
      </c>
      <c r="T2158" s="20">
        <v>1.9380249871E10</v>
      </c>
      <c r="U2158" s="21">
        <v>8.0203</v>
      </c>
      <c r="V2158" s="21">
        <v>29.6244</v>
      </c>
      <c r="W2158" s="21">
        <v>37.1118</v>
      </c>
      <c r="X2158" s="21">
        <v>19.3396</v>
      </c>
      <c r="Y2158" s="21">
        <v>0.7516</v>
      </c>
      <c r="Z2158" s="21">
        <v>3.3653</v>
      </c>
      <c r="AA2158" s="16" t="s">
        <v>2611</v>
      </c>
      <c r="AB2158" s="22">
        <f>IFERROR(__xludf.DUMMYFUNCTION("IFERROR(GOOGLEFINANCE(B2158,""price""),"""")"),121.32)</f>
        <v>121.32</v>
      </c>
    </row>
    <row r="2159">
      <c r="A2159" s="7">
        <v>46120.6681903711</v>
      </c>
      <c r="B2159" s="8" t="s">
        <v>2634</v>
      </c>
      <c r="C2159" s="8" t="s">
        <v>2635</v>
      </c>
      <c r="D2159" s="9">
        <v>46124.0</v>
      </c>
      <c r="E2159" s="10">
        <v>192.89</v>
      </c>
      <c r="F2159" s="8" t="s">
        <v>245</v>
      </c>
      <c r="G2159" s="13">
        <v>29.0147</v>
      </c>
      <c r="H2159" s="13">
        <v>6.648</v>
      </c>
      <c r="I2159" s="9">
        <v>46122.0</v>
      </c>
      <c r="J2159" s="10">
        <v>190.0</v>
      </c>
      <c r="K2159" s="8">
        <v>1995.0</v>
      </c>
      <c r="L2159" s="8" t="s">
        <v>2627</v>
      </c>
      <c r="M2159" s="11">
        <v>1.5</v>
      </c>
      <c r="N2159" s="8" t="s">
        <v>4705</v>
      </c>
      <c r="O2159" s="8">
        <v>1995.0</v>
      </c>
      <c r="P2159" s="11">
        <v>32.4035</v>
      </c>
      <c r="Q2159" s="8" t="s">
        <v>2637</v>
      </c>
      <c r="R2159" s="11">
        <v>-4.292</v>
      </c>
      <c r="S2159" s="12">
        <v>1.7156997E7</v>
      </c>
      <c r="T2159" s="12">
        <v>3.84889895897E11</v>
      </c>
      <c r="U2159" s="13">
        <v>5.8709</v>
      </c>
      <c r="V2159" s="13">
        <v>7.261</v>
      </c>
      <c r="W2159" s="13">
        <v>8.8802</v>
      </c>
      <c r="X2159" s="13">
        <v>-4.6193</v>
      </c>
      <c r="Y2159" s="13">
        <v>0.2507</v>
      </c>
      <c r="Z2159" s="13">
        <v>1.1547</v>
      </c>
      <c r="AA2159" s="8" t="s">
        <v>2611</v>
      </c>
      <c r="AB2159" s="14">
        <f>IFERROR(__xludf.DUMMYFUNCTION("IFERROR(GOOGLEFINANCE(B2159,""price""),"""")"),188.55)</f>
        <v>188.55</v>
      </c>
    </row>
    <row r="2160">
      <c r="A2160" s="15">
        <v>46120.6681903711</v>
      </c>
      <c r="B2160" s="16" t="s">
        <v>3248</v>
      </c>
      <c r="C2160" s="16" t="s">
        <v>3249</v>
      </c>
      <c r="D2160" s="17">
        <v>46124.0</v>
      </c>
      <c r="E2160" s="18">
        <v>127.94</v>
      </c>
      <c r="F2160" s="16" t="s">
        <v>93</v>
      </c>
      <c r="G2160" s="21">
        <v>17.2575</v>
      </c>
      <c r="H2160" s="21">
        <v>7.4136</v>
      </c>
      <c r="I2160" s="17">
        <v>46129.0</v>
      </c>
      <c r="J2160" s="18">
        <v>130.0</v>
      </c>
      <c r="K2160" s="16">
        <v>1697.0</v>
      </c>
      <c r="L2160" s="16" t="s">
        <v>2608</v>
      </c>
      <c r="M2160" s="19">
        <v>1.61</v>
      </c>
      <c r="N2160" s="16" t="s">
        <v>4706</v>
      </c>
      <c r="O2160" s="16">
        <v>1697.0</v>
      </c>
      <c r="P2160" s="19">
        <v>18.8949</v>
      </c>
      <c r="Q2160" s="16" t="s">
        <v>3251</v>
      </c>
      <c r="R2160" s="19">
        <v>2.6641</v>
      </c>
      <c r="S2160" s="20">
        <v>4250788.0</v>
      </c>
      <c r="T2160" s="20">
        <v>8.7882928121E10</v>
      </c>
      <c r="U2160" s="21">
        <v>2.9405</v>
      </c>
      <c r="V2160" s="21">
        <v>12.9603</v>
      </c>
      <c r="W2160" s="21">
        <v>34.4848</v>
      </c>
      <c r="X2160" s="21">
        <v>2.0861</v>
      </c>
      <c r="Y2160" s="21">
        <v>1.7287</v>
      </c>
      <c r="Z2160" s="21">
        <v>1.6753</v>
      </c>
      <c r="AA2160" s="16" t="s">
        <v>2620</v>
      </c>
      <c r="AB2160" s="22">
        <f>IFERROR(__xludf.DUMMYFUNCTION("IFERROR(GOOGLEFINANCE(B2160,""price""),"""")"),127.56)</f>
        <v>127.56</v>
      </c>
    </row>
    <row r="2161">
      <c r="A2161" s="7">
        <v>46120.6681903711</v>
      </c>
      <c r="B2161" s="8" t="s">
        <v>1443</v>
      </c>
      <c r="C2161" s="8" t="s">
        <v>1444</v>
      </c>
      <c r="D2161" s="9">
        <v>46124.0</v>
      </c>
      <c r="E2161" s="10">
        <v>203.99</v>
      </c>
      <c r="F2161" s="8" t="s">
        <v>88</v>
      </c>
      <c r="G2161" s="13">
        <v>76.5872</v>
      </c>
      <c r="H2161" s="13">
        <v>2.6635</v>
      </c>
      <c r="I2161" s="9">
        <v>46122.0</v>
      </c>
      <c r="J2161" s="10">
        <v>207.5</v>
      </c>
      <c r="K2161" s="8">
        <v>1614.0</v>
      </c>
      <c r="L2161" s="8" t="s">
        <v>2608</v>
      </c>
      <c r="M2161" s="11">
        <v>1.72</v>
      </c>
      <c r="N2161" s="8" t="s">
        <v>4707</v>
      </c>
      <c r="O2161" s="8">
        <v>1614.0</v>
      </c>
      <c r="P2161" s="11">
        <v>24.6835</v>
      </c>
      <c r="Q2161" s="8" t="s">
        <v>1445</v>
      </c>
      <c r="R2161" s="11">
        <v>0.0196</v>
      </c>
      <c r="S2161" s="12">
        <v>2123053.0</v>
      </c>
      <c r="T2161" s="12">
        <v>5.1049256221E10</v>
      </c>
      <c r="U2161" s="13">
        <v>1.0438</v>
      </c>
      <c r="V2161" s="13">
        <v>10.0265</v>
      </c>
      <c r="W2161" s="13">
        <v>14.2154</v>
      </c>
      <c r="X2161" s="13">
        <v>-0.3134</v>
      </c>
      <c r="Y2161" s="13">
        <v>0.317</v>
      </c>
      <c r="Z2161" s="13">
        <v>0.9261</v>
      </c>
      <c r="AA2161" s="8" t="s">
        <v>2620</v>
      </c>
      <c r="AB2161" s="14">
        <f>IFERROR(__xludf.DUMMYFUNCTION("IFERROR(GOOGLEFINANCE(B2161,""price""),"""")"),202.74)</f>
        <v>202.74</v>
      </c>
    </row>
    <row r="2162">
      <c r="A2162" s="15">
        <v>46120.6681903711</v>
      </c>
      <c r="B2162" s="16" t="s">
        <v>1467</v>
      </c>
      <c r="C2162" s="16" t="s">
        <v>1468</v>
      </c>
      <c r="D2162" s="17">
        <v>46124.0</v>
      </c>
      <c r="E2162" s="18">
        <v>139.0</v>
      </c>
      <c r="F2162" s="16" t="s">
        <v>102</v>
      </c>
      <c r="G2162" s="21">
        <v>26.1485</v>
      </c>
      <c r="H2162" s="21">
        <v>5.3158</v>
      </c>
      <c r="I2162" s="17">
        <v>46129.0</v>
      </c>
      <c r="J2162" s="18">
        <v>140.0</v>
      </c>
      <c r="K2162" s="16">
        <v>1589.0</v>
      </c>
      <c r="L2162" s="16" t="s">
        <v>2608</v>
      </c>
      <c r="M2162" s="19">
        <v>0.72</v>
      </c>
      <c r="N2162" s="16" t="s">
        <v>4708</v>
      </c>
      <c r="O2162" s="16">
        <v>1589.0</v>
      </c>
      <c r="P2162" s="19">
        <v>28.274</v>
      </c>
      <c r="Q2162" s="16" t="s">
        <v>1469</v>
      </c>
      <c r="R2162" s="19">
        <v>4.3935</v>
      </c>
      <c r="S2162" s="20">
        <v>3772484.0</v>
      </c>
      <c r="T2162" s="20">
        <v>8.5077192633E10</v>
      </c>
      <c r="U2162" s="21">
        <v>4.228</v>
      </c>
      <c r="V2162" s="21">
        <v>13.146</v>
      </c>
      <c r="W2162" s="21">
        <v>13.0805</v>
      </c>
      <c r="X2162" s="21">
        <v>-6.3935</v>
      </c>
      <c r="Y2162" s="21">
        <v>0.735</v>
      </c>
      <c r="Z2162" s="21">
        <v>0.9638</v>
      </c>
      <c r="AA2162" s="16" t="s">
        <v>2620</v>
      </c>
      <c r="AB2162" s="22">
        <f>IFERROR(__xludf.DUMMYFUNCTION("IFERROR(GOOGLEFINANCE(B2162,""price""),"""")"),142.53)</f>
        <v>142.53</v>
      </c>
    </row>
    <row r="2163">
      <c r="A2163" s="7">
        <v>46120.6681903711</v>
      </c>
      <c r="B2163" s="8" t="s">
        <v>2654</v>
      </c>
      <c r="C2163" s="8" t="s">
        <v>2655</v>
      </c>
      <c r="D2163" s="9">
        <v>46124.0</v>
      </c>
      <c r="E2163" s="10">
        <v>43.68</v>
      </c>
      <c r="F2163" s="8" t="s">
        <v>917</v>
      </c>
      <c r="G2163" s="13">
        <v>27.1591</v>
      </c>
      <c r="H2163" s="13">
        <v>1.6083</v>
      </c>
      <c r="I2163" s="9">
        <v>46129.0</v>
      </c>
      <c r="J2163" s="10">
        <v>44.0</v>
      </c>
      <c r="K2163" s="8">
        <v>1506.0</v>
      </c>
      <c r="L2163" s="8" t="s">
        <v>2608</v>
      </c>
      <c r="M2163" s="11">
        <v>0.73</v>
      </c>
      <c r="N2163" s="8" t="s">
        <v>4680</v>
      </c>
      <c r="O2163" s="8">
        <v>1506.0</v>
      </c>
      <c r="P2163" s="11">
        <v>16.8704</v>
      </c>
      <c r="Q2163" s="8" t="s">
        <v>2657</v>
      </c>
      <c r="R2163" s="11">
        <v>0.1835</v>
      </c>
      <c r="S2163" s="12">
        <v>5045219.0</v>
      </c>
      <c r="T2163" s="12">
        <v>2.8517429705E10</v>
      </c>
      <c r="U2163" s="13">
        <v>0.7128</v>
      </c>
      <c r="V2163" s="13">
        <v>9.643</v>
      </c>
      <c r="W2163" s="13">
        <v>22.55</v>
      </c>
      <c r="X2163" s="13">
        <v>8.261</v>
      </c>
      <c r="Y2163" s="13">
        <v>2.1166</v>
      </c>
      <c r="Z2163" s="13">
        <v>0.9107</v>
      </c>
      <c r="AA2163" s="8" t="s">
        <v>2620</v>
      </c>
      <c r="AB2163" s="14">
        <f>IFERROR(__xludf.DUMMYFUNCTION("IFERROR(GOOGLEFINANCE(B2163,""price""),"""")"),43.39)</f>
        <v>43.39</v>
      </c>
    </row>
    <row r="2164">
      <c r="A2164" s="15">
        <v>46120.6681903711</v>
      </c>
      <c r="B2164" s="16" t="s">
        <v>4709</v>
      </c>
      <c r="C2164" s="16" t="s">
        <v>4710</v>
      </c>
      <c r="D2164" s="17">
        <v>46124.0</v>
      </c>
      <c r="E2164" s="18">
        <v>83.46</v>
      </c>
      <c r="F2164" s="16" t="s">
        <v>149</v>
      </c>
      <c r="G2164" s="21">
        <v>21.9464</v>
      </c>
      <c r="H2164" s="21">
        <v>3.8029</v>
      </c>
      <c r="I2164" s="17">
        <v>46129.0</v>
      </c>
      <c r="J2164" s="18">
        <v>85.0</v>
      </c>
      <c r="K2164" s="16">
        <v>1472.0</v>
      </c>
      <c r="L2164" s="16" t="s">
        <v>2608</v>
      </c>
      <c r="M2164" s="19">
        <v>1.85</v>
      </c>
      <c r="N2164" s="16" t="s">
        <v>4711</v>
      </c>
      <c r="O2164" s="16">
        <v>1472.0</v>
      </c>
      <c r="P2164" s="19">
        <v>20.8699</v>
      </c>
      <c r="Q2164" s="16" t="s">
        <v>4712</v>
      </c>
      <c r="R2164" s="19">
        <v>0.6027</v>
      </c>
      <c r="S2164" s="20">
        <v>1099521.0</v>
      </c>
      <c r="T2164" s="20">
        <v>1.1619608087E10</v>
      </c>
      <c r="U2164" s="21">
        <v>1.9834</v>
      </c>
      <c r="V2164" s="21">
        <v>32.7243</v>
      </c>
      <c r="W2164" s="21">
        <v>22.6007</v>
      </c>
      <c r="X2164" s="21">
        <v>2.9346</v>
      </c>
      <c r="Y2164" s="21">
        <v>3.1843</v>
      </c>
      <c r="Z2164" s="21">
        <v>0.5522</v>
      </c>
      <c r="AA2164" s="16" t="s">
        <v>2620</v>
      </c>
      <c r="AB2164" s="22">
        <f>IFERROR(__xludf.DUMMYFUNCTION("IFERROR(GOOGLEFINANCE(B2164,""price""),"""")"),81.55)</f>
        <v>81.55</v>
      </c>
    </row>
    <row r="2165">
      <c r="A2165" s="7">
        <v>46120.6681903711</v>
      </c>
      <c r="B2165" s="8" t="s">
        <v>1766</v>
      </c>
      <c r="C2165" s="8" t="s">
        <v>1767</v>
      </c>
      <c r="D2165" s="9">
        <v>46124.0</v>
      </c>
      <c r="E2165" s="10">
        <v>98.88</v>
      </c>
      <c r="F2165" s="8" t="s">
        <v>917</v>
      </c>
      <c r="G2165" s="13">
        <v>35.9799</v>
      </c>
      <c r="H2165" s="13">
        <v>2.7482</v>
      </c>
      <c r="I2165" s="9">
        <v>46129.0</v>
      </c>
      <c r="J2165" s="10">
        <v>100.0</v>
      </c>
      <c r="K2165" s="8">
        <v>1339.0</v>
      </c>
      <c r="L2165" s="8" t="s">
        <v>2608</v>
      </c>
      <c r="M2165" s="11">
        <v>1.13</v>
      </c>
      <c r="N2165" s="8" t="s">
        <v>4713</v>
      </c>
      <c r="O2165" s="8">
        <v>1339.0</v>
      </c>
      <c r="P2165" s="11">
        <v>18.074</v>
      </c>
      <c r="Q2165" s="8" t="s">
        <v>1768</v>
      </c>
      <c r="R2165" s="11">
        <v>0.4266</v>
      </c>
      <c r="S2165" s="12">
        <v>2852665.0</v>
      </c>
      <c r="T2165" s="12">
        <v>6.4596733051E10</v>
      </c>
      <c r="U2165" s="13">
        <v>2.0138</v>
      </c>
      <c r="V2165" s="13">
        <v>5.8451</v>
      </c>
      <c r="W2165" s="13">
        <v>23.7349</v>
      </c>
      <c r="X2165" s="13">
        <v>5.8424</v>
      </c>
      <c r="Y2165" s="13">
        <v>1.1478</v>
      </c>
      <c r="Z2165" s="13">
        <v>1.5912</v>
      </c>
      <c r="AA2165" s="8" t="s">
        <v>2620</v>
      </c>
      <c r="AB2165" s="14">
        <f>IFERROR(__xludf.DUMMYFUNCTION("IFERROR(GOOGLEFINANCE(B2165,""price""),"""")"),98.82)</f>
        <v>98.82</v>
      </c>
    </row>
    <row r="2166">
      <c r="A2166" s="15">
        <v>46120.6681903711</v>
      </c>
      <c r="B2166" s="16" t="s">
        <v>3242</v>
      </c>
      <c r="C2166" s="16" t="s">
        <v>3243</v>
      </c>
      <c r="D2166" s="17">
        <v>46124.0</v>
      </c>
      <c r="E2166" s="18">
        <v>113.57</v>
      </c>
      <c r="F2166" s="16" t="s">
        <v>917</v>
      </c>
      <c r="G2166" s="21">
        <v>20.0909</v>
      </c>
      <c r="H2166" s="21">
        <v>5.6528</v>
      </c>
      <c r="I2166" s="17">
        <v>46129.0</v>
      </c>
      <c r="J2166" s="18">
        <v>115.0</v>
      </c>
      <c r="K2166" s="16">
        <v>1257.0</v>
      </c>
      <c r="L2166" s="16" t="s">
        <v>2608</v>
      </c>
      <c r="M2166" s="19">
        <v>1.26</v>
      </c>
      <c r="N2166" s="16" t="s">
        <v>4714</v>
      </c>
      <c r="O2166" s="16">
        <v>1257.0</v>
      </c>
      <c r="P2166" s="19">
        <v>15.6856</v>
      </c>
      <c r="Q2166" s="16" t="s">
        <v>3245</v>
      </c>
      <c r="R2166" s="19">
        <v>-0.7776</v>
      </c>
      <c r="S2166" s="20">
        <v>2617017.0</v>
      </c>
      <c r="T2166" s="20">
        <v>4.1033144283E10</v>
      </c>
      <c r="U2166" s="21">
        <v>2.1302</v>
      </c>
      <c r="V2166" s="21">
        <v>8.7624</v>
      </c>
      <c r="W2166" s="21">
        <v>17.3247</v>
      </c>
      <c r="X2166" s="21">
        <v>10.8577</v>
      </c>
      <c r="Y2166" s="21">
        <v>1.173</v>
      </c>
      <c r="Z2166" s="21">
        <v>1.0206</v>
      </c>
      <c r="AA2166" s="16" t="s">
        <v>2620</v>
      </c>
      <c r="AB2166" s="22">
        <f>IFERROR(__xludf.DUMMYFUNCTION("IFERROR(GOOGLEFINANCE(B2166,""price""),"""")"),113.56)</f>
        <v>113.56</v>
      </c>
    </row>
    <row r="2167">
      <c r="A2167" s="7">
        <v>46120.6681903711</v>
      </c>
      <c r="B2167" s="8" t="s">
        <v>3035</v>
      </c>
      <c r="C2167" s="8" t="s">
        <v>3036</v>
      </c>
      <c r="D2167" s="9">
        <v>46124.0</v>
      </c>
      <c r="E2167" s="10">
        <v>25.31</v>
      </c>
      <c r="F2167" s="8" t="s">
        <v>117</v>
      </c>
      <c r="G2167" s="13">
        <v>15.027</v>
      </c>
      <c r="H2167" s="13">
        <v>1.6843</v>
      </c>
      <c r="I2167" s="9">
        <v>46129.0</v>
      </c>
      <c r="J2167" s="10">
        <v>25.0</v>
      </c>
      <c r="K2167" s="8">
        <v>1244.0</v>
      </c>
      <c r="L2167" s="8" t="s">
        <v>2608</v>
      </c>
      <c r="M2167" s="11">
        <v>1.22</v>
      </c>
      <c r="N2167" s="8" t="s">
        <v>4715</v>
      </c>
      <c r="O2167" s="8">
        <v>1244.0</v>
      </c>
      <c r="P2167" s="11">
        <v>15.2784</v>
      </c>
      <c r="Q2167" s="8" t="s">
        <v>3038</v>
      </c>
      <c r="R2167" s="11">
        <v>1.2805</v>
      </c>
      <c r="S2167" s="12">
        <v>1347212.0</v>
      </c>
      <c r="T2167" s="12">
        <v>3.090955529E9</v>
      </c>
      <c r="U2167" s="13">
        <v>0.7356</v>
      </c>
      <c r="V2167" s="13">
        <v>25.4862</v>
      </c>
      <c r="W2167" s="13">
        <v>43.7662</v>
      </c>
      <c r="X2167" s="13">
        <v>19.778</v>
      </c>
      <c r="Y2167" s="13">
        <v>0.0029</v>
      </c>
      <c r="Z2167" s="13">
        <v>6.0756</v>
      </c>
      <c r="AA2167" s="8" t="s">
        <v>2611</v>
      </c>
      <c r="AB2167" s="14">
        <f>IFERROR(__xludf.DUMMYFUNCTION("IFERROR(GOOGLEFINANCE(B2167,""price""),"""")"),24.94)</f>
        <v>24.94</v>
      </c>
    </row>
    <row r="2168">
      <c r="A2168" s="15">
        <v>46120.6681903711</v>
      </c>
      <c r="B2168" s="16" t="s">
        <v>2768</v>
      </c>
      <c r="C2168" s="16" t="s">
        <v>2769</v>
      </c>
      <c r="D2168" s="17">
        <v>46124.0</v>
      </c>
      <c r="E2168" s="18">
        <v>338.78</v>
      </c>
      <c r="F2168" s="16" t="s">
        <v>308</v>
      </c>
      <c r="G2168" s="21">
        <v>34.0117</v>
      </c>
      <c r="H2168" s="21">
        <v>9.9607</v>
      </c>
      <c r="I2168" s="17">
        <v>46122.0</v>
      </c>
      <c r="J2168" s="18">
        <v>335.0</v>
      </c>
      <c r="K2168" s="16">
        <v>1056.0</v>
      </c>
      <c r="L2168" s="16" t="s">
        <v>2608</v>
      </c>
      <c r="M2168" s="19">
        <v>1.12</v>
      </c>
      <c r="N2168" s="16" t="s">
        <v>4716</v>
      </c>
      <c r="O2168" s="16">
        <v>1056.0</v>
      </c>
      <c r="P2168" s="19">
        <v>16.9992</v>
      </c>
      <c r="Q2168" s="16" t="s">
        <v>2771</v>
      </c>
      <c r="R2168" s="19">
        <v>8.5973</v>
      </c>
      <c r="S2168" s="20">
        <v>9125972.0</v>
      </c>
      <c r="T2168" s="20">
        <v>1.14859267914E11</v>
      </c>
      <c r="U2168" s="21">
        <v>22.9099</v>
      </c>
      <c r="V2168" s="21">
        <v>41.2731</v>
      </c>
      <c r="W2168" s="21">
        <v>27.8834</v>
      </c>
      <c r="X2168" s="21">
        <v>-31.1967</v>
      </c>
      <c r="Y2168" s="21">
        <v>0.7076</v>
      </c>
      <c r="Z2168" s="21">
        <v>1.455</v>
      </c>
      <c r="AA2168" s="16" t="s">
        <v>2611</v>
      </c>
      <c r="AB2168" s="22">
        <f>IFERROR(__xludf.DUMMYFUNCTION("IFERROR(GOOGLEFINANCE(B2168,""price""),"""")"),343.43)</f>
        <v>343.43</v>
      </c>
    </row>
    <row r="2169">
      <c r="A2169" s="7">
        <v>46120.6681903711</v>
      </c>
      <c r="B2169" s="8" t="s">
        <v>4640</v>
      </c>
      <c r="C2169" s="8" t="s">
        <v>4641</v>
      </c>
      <c r="D2169" s="9">
        <v>46124.0</v>
      </c>
      <c r="E2169" s="10">
        <v>71.76</v>
      </c>
      <c r="F2169" s="8" t="s">
        <v>335</v>
      </c>
      <c r="G2169" s="13">
        <v>15.9975</v>
      </c>
      <c r="H2169" s="13">
        <v>4.4857</v>
      </c>
      <c r="I2169" s="9">
        <v>46122.0</v>
      </c>
      <c r="J2169" s="10">
        <v>71.0</v>
      </c>
      <c r="K2169" s="8">
        <v>1021.0</v>
      </c>
      <c r="L2169" s="8" t="s">
        <v>2608</v>
      </c>
      <c r="M2169" s="11">
        <v>1.06</v>
      </c>
      <c r="N2169" s="8" t="s">
        <v>4717</v>
      </c>
      <c r="O2169" s="8">
        <v>1021.0</v>
      </c>
      <c r="P2169" s="11">
        <v>19.3324</v>
      </c>
      <c r="Q2169" s="8" t="s">
        <v>4643</v>
      </c>
      <c r="R2169" s="11">
        <v>-1.6447</v>
      </c>
      <c r="S2169" s="12">
        <v>6934518.0</v>
      </c>
      <c r="T2169" s="12">
        <v>1.893314038E10</v>
      </c>
      <c r="U2169" s="13">
        <v>3.8264</v>
      </c>
      <c r="V2169" s="13">
        <v>20.7539</v>
      </c>
      <c r="W2169" s="13">
        <v>12.283</v>
      </c>
      <c r="X2169" s="13">
        <v>7.3149</v>
      </c>
      <c r="Y2169" s="13">
        <v>0.449</v>
      </c>
      <c r="Z2169" s="13">
        <v>1.4388</v>
      </c>
      <c r="AA2169" s="8" t="s">
        <v>2611</v>
      </c>
      <c r="AB2169" s="14">
        <f>IFERROR(__xludf.DUMMYFUNCTION("IFERROR(GOOGLEFINANCE(B2169,""price""),"""")"),73.03)</f>
        <v>73.03</v>
      </c>
    </row>
    <row r="2170">
      <c r="A2170" s="15">
        <v>46120.6681903711</v>
      </c>
      <c r="B2170" s="16" t="s">
        <v>2297</v>
      </c>
      <c r="C2170" s="16" t="s">
        <v>2298</v>
      </c>
      <c r="D2170" s="17">
        <v>46124.0</v>
      </c>
      <c r="E2170" s="18">
        <v>114.61</v>
      </c>
      <c r="F2170" s="16" t="s">
        <v>917</v>
      </c>
      <c r="G2170" s="21">
        <v>29.294</v>
      </c>
      <c r="H2170" s="21">
        <v>3.9124</v>
      </c>
      <c r="I2170" s="17">
        <v>46129.0</v>
      </c>
      <c r="J2170" s="18">
        <v>115.0</v>
      </c>
      <c r="K2170" s="16">
        <v>1006.0</v>
      </c>
      <c r="L2170" s="16" t="s">
        <v>2627</v>
      </c>
      <c r="M2170" s="19">
        <v>0.34</v>
      </c>
      <c r="N2170" s="16" t="s">
        <v>4718</v>
      </c>
      <c r="O2170" s="16">
        <v>1006.0</v>
      </c>
      <c r="P2170" s="19">
        <v>29.3962</v>
      </c>
      <c r="Q2170" s="16" t="s">
        <v>2299</v>
      </c>
      <c r="R2170" s="19">
        <v>0.6499</v>
      </c>
      <c r="S2170" s="20">
        <v>2871331.0</v>
      </c>
      <c r="T2170" s="20">
        <v>5.1917166545E10</v>
      </c>
      <c r="U2170" s="21">
        <v>2.4394</v>
      </c>
      <c r="V2170" s="21">
        <v>10.931</v>
      </c>
      <c r="W2170" s="21">
        <v>22.9697</v>
      </c>
      <c r="X2170" s="21">
        <v>8.3782</v>
      </c>
      <c r="Y2170" s="21">
        <v>1.8276</v>
      </c>
      <c r="Z2170" s="21">
        <v>0.7243</v>
      </c>
      <c r="AA2170" s="16" t="s">
        <v>2620</v>
      </c>
      <c r="AB2170" s="22">
        <f>IFERROR(__xludf.DUMMYFUNCTION("IFERROR(GOOGLEFINANCE(B2170,""price""),"""")"),116.47)</f>
        <v>116.47</v>
      </c>
    </row>
    <row r="2171">
      <c r="A2171" s="7">
        <v>46121.67049511618</v>
      </c>
      <c r="B2171" s="8" t="s">
        <v>2616</v>
      </c>
      <c r="C2171" s="8" t="s">
        <v>2617</v>
      </c>
      <c r="D2171" s="9">
        <v>46124.0</v>
      </c>
      <c r="E2171" s="10">
        <v>78.18</v>
      </c>
      <c r="F2171" s="8" t="s">
        <v>286</v>
      </c>
      <c r="G2171" s="13">
        <v>25.7298</v>
      </c>
      <c r="H2171" s="13">
        <v>3.0385</v>
      </c>
      <c r="I2171" s="9">
        <v>46122.0</v>
      </c>
      <c r="J2171" s="10">
        <v>78.0</v>
      </c>
      <c r="K2171" s="8">
        <v>7911.0</v>
      </c>
      <c r="L2171" s="8" t="s">
        <v>2608</v>
      </c>
      <c r="M2171" s="11">
        <v>0.23</v>
      </c>
      <c r="N2171" s="8" t="s">
        <v>4719</v>
      </c>
      <c r="O2171" s="8">
        <v>16349.0</v>
      </c>
      <c r="P2171" s="11">
        <v>15.5484</v>
      </c>
      <c r="Q2171" s="8" t="s">
        <v>2619</v>
      </c>
      <c r="R2171" s="11">
        <v>1.1515</v>
      </c>
      <c r="S2171" s="12">
        <v>1.429325E7</v>
      </c>
      <c r="T2171" s="12">
        <v>3.36230539422E11</v>
      </c>
      <c r="U2171" s="13">
        <v>1.375</v>
      </c>
      <c r="V2171" s="13">
        <v>45.9693</v>
      </c>
      <c r="W2171" s="13">
        <v>31.3688</v>
      </c>
      <c r="X2171" s="13">
        <v>3.4769</v>
      </c>
      <c r="Y2171" s="13">
        <v>1.4577</v>
      </c>
      <c r="Z2171" s="13">
        <v>1.4588</v>
      </c>
      <c r="AA2171" s="8" t="s">
        <v>2611</v>
      </c>
      <c r="AB2171" s="14">
        <f>IFERROR(__xludf.DUMMYFUNCTION("IFERROR(GOOGLEFINANCE(B2171,""price""),"""")"),77.47)</f>
        <v>77.47</v>
      </c>
    </row>
    <row r="2172">
      <c r="A2172" s="15">
        <v>46121.67049511618</v>
      </c>
      <c r="B2172" s="16" t="s">
        <v>3697</v>
      </c>
      <c r="C2172" s="16" t="s">
        <v>3698</v>
      </c>
      <c r="D2172" s="17">
        <v>46124.0</v>
      </c>
      <c r="E2172" s="18">
        <v>49.44</v>
      </c>
      <c r="F2172" s="16" t="s">
        <v>917</v>
      </c>
      <c r="G2172" s="21">
        <v>18.0774</v>
      </c>
      <c r="H2172" s="21">
        <v>2.7349</v>
      </c>
      <c r="I2172" s="17">
        <v>46129.0</v>
      </c>
      <c r="J2172" s="18">
        <v>49.0</v>
      </c>
      <c r="K2172" s="16">
        <v>9489.0</v>
      </c>
      <c r="L2172" s="16" t="s">
        <v>2608</v>
      </c>
      <c r="M2172" s="19">
        <v>0.89</v>
      </c>
      <c r="N2172" s="16" t="s">
        <v>4720</v>
      </c>
      <c r="O2172" s="16">
        <v>13330.0</v>
      </c>
      <c r="P2172" s="19">
        <v>16.6893</v>
      </c>
      <c r="Q2172" s="16" t="s">
        <v>3700</v>
      </c>
      <c r="R2172" s="19">
        <v>0.5491</v>
      </c>
      <c r="S2172" s="20">
        <v>7686135.0</v>
      </c>
      <c r="T2172" s="20">
        <v>5.0571807179E10</v>
      </c>
      <c r="U2172" s="21">
        <v>0.8954</v>
      </c>
      <c r="V2172" s="21">
        <v>9.9356</v>
      </c>
      <c r="W2172" s="21">
        <v>21.2054</v>
      </c>
      <c r="X2172" s="21">
        <v>5.3367</v>
      </c>
      <c r="Y2172" s="21">
        <v>1.7554</v>
      </c>
      <c r="Z2172" s="21">
        <v>0.924</v>
      </c>
      <c r="AA2172" s="16" t="s">
        <v>2611</v>
      </c>
      <c r="AB2172" s="22">
        <f>IFERROR(__xludf.DUMMYFUNCTION("IFERROR(GOOGLEFINANCE(B2172,""price""),"""")"),48.57)</f>
        <v>48.57</v>
      </c>
    </row>
    <row r="2173">
      <c r="A2173" s="7">
        <v>46121.67049511618</v>
      </c>
      <c r="B2173" s="8" t="s">
        <v>2638</v>
      </c>
      <c r="C2173" s="8" t="s">
        <v>2639</v>
      </c>
      <c r="D2173" s="9">
        <v>46124.0</v>
      </c>
      <c r="E2173" s="10">
        <v>155.04</v>
      </c>
      <c r="F2173" s="8" t="s">
        <v>245</v>
      </c>
      <c r="G2173" s="13">
        <v>23.1583</v>
      </c>
      <c r="H2173" s="13">
        <v>6.6948</v>
      </c>
      <c r="I2173" s="9">
        <v>46122.0</v>
      </c>
      <c r="J2173" s="10">
        <v>155.0</v>
      </c>
      <c r="K2173" s="8">
        <v>3346.0</v>
      </c>
      <c r="L2173" s="8" t="s">
        <v>2608</v>
      </c>
      <c r="M2173" s="11">
        <v>0.03</v>
      </c>
      <c r="N2173" s="8" t="s">
        <v>4721</v>
      </c>
      <c r="O2173" s="8">
        <v>11596.0</v>
      </c>
      <c r="P2173" s="11">
        <v>26.0114</v>
      </c>
      <c r="Q2173" s="8" t="s">
        <v>2641</v>
      </c>
      <c r="R2173" s="11">
        <v>-0.7553</v>
      </c>
      <c r="S2173" s="12">
        <v>2.5804581E7</v>
      </c>
      <c r="T2173" s="12">
        <v>6.46015044736E11</v>
      </c>
      <c r="U2173" s="13">
        <v>5.5476</v>
      </c>
      <c r="V2173" s="13">
        <v>11.0283</v>
      </c>
      <c r="W2173" s="13">
        <v>10.3419</v>
      </c>
      <c r="X2173" s="13">
        <v>-4.856</v>
      </c>
      <c r="Y2173" s="13">
        <v>0.1871</v>
      </c>
      <c r="Z2173" s="13">
        <v>1.1528</v>
      </c>
      <c r="AA2173" s="8" t="s">
        <v>2611</v>
      </c>
      <c r="AB2173" s="14">
        <f>IFERROR(__xludf.DUMMYFUNCTION("IFERROR(GOOGLEFINANCE(B2173,""price""),"""")"),152.51)</f>
        <v>152.51</v>
      </c>
    </row>
    <row r="2174">
      <c r="A2174" s="15">
        <v>46121.67049511618</v>
      </c>
      <c r="B2174" s="16" t="s">
        <v>3944</v>
      </c>
      <c r="C2174" s="16" t="s">
        <v>3945</v>
      </c>
      <c r="D2174" s="17">
        <v>46124.0</v>
      </c>
      <c r="E2174" s="18">
        <v>133.0</v>
      </c>
      <c r="F2174" s="16" t="s">
        <v>917</v>
      </c>
      <c r="G2174" s="21">
        <v>21.07</v>
      </c>
      <c r="H2174" s="21">
        <v>6.3123</v>
      </c>
      <c r="I2174" s="17">
        <v>46129.0</v>
      </c>
      <c r="J2174" s="18">
        <v>135.0</v>
      </c>
      <c r="K2174" s="16">
        <v>8056.0</v>
      </c>
      <c r="L2174" s="16" t="s">
        <v>2608</v>
      </c>
      <c r="M2174" s="19">
        <v>1.5</v>
      </c>
      <c r="N2174" s="16" t="s">
        <v>4722</v>
      </c>
      <c r="O2174" s="16">
        <v>8056.0</v>
      </c>
      <c r="P2174" s="19">
        <v>15.9498</v>
      </c>
      <c r="Q2174" s="16" t="s">
        <v>3947</v>
      </c>
      <c r="R2174" s="19">
        <v>1.0638</v>
      </c>
      <c r="S2174" s="20">
        <v>3118602.0</v>
      </c>
      <c r="T2174" s="20">
        <v>1.03430234289E11</v>
      </c>
      <c r="U2174" s="21">
        <v>2.2333</v>
      </c>
      <c r="V2174" s="21">
        <v>9.7422</v>
      </c>
      <c r="W2174" s="21">
        <v>26.6061</v>
      </c>
      <c r="X2174" s="21">
        <v>6.193</v>
      </c>
      <c r="Y2174" s="21">
        <v>1.7574</v>
      </c>
      <c r="Z2174" s="21">
        <v>0.5518</v>
      </c>
      <c r="AA2174" s="16" t="s">
        <v>2620</v>
      </c>
      <c r="AB2174" s="22">
        <f>IFERROR(__xludf.DUMMYFUNCTION("IFERROR(GOOGLEFINANCE(B2174,""price""),"""")"),131.79)</f>
        <v>131.79</v>
      </c>
    </row>
    <row r="2175">
      <c r="A2175" s="7">
        <v>46121.67049511618</v>
      </c>
      <c r="B2175" s="8" t="s">
        <v>4687</v>
      </c>
      <c r="C2175" s="8" t="s">
        <v>4688</v>
      </c>
      <c r="D2175" s="9">
        <v>46124.0</v>
      </c>
      <c r="E2175" s="10">
        <v>49.07</v>
      </c>
      <c r="F2175" s="8" t="s">
        <v>270</v>
      </c>
      <c r="G2175" s="13"/>
      <c r="H2175" s="13">
        <v>-1.2547</v>
      </c>
      <c r="I2175" s="9">
        <v>46129.0</v>
      </c>
      <c r="J2175" s="10">
        <v>50.0</v>
      </c>
      <c r="K2175" s="8">
        <v>5985.0</v>
      </c>
      <c r="L2175" s="8" t="s">
        <v>2608</v>
      </c>
      <c r="M2175" s="11">
        <v>1.9</v>
      </c>
      <c r="N2175" s="8" t="s">
        <v>4723</v>
      </c>
      <c r="O2175" s="8">
        <v>5985.0</v>
      </c>
      <c r="P2175" s="11">
        <v>17.252</v>
      </c>
      <c r="Q2175" s="8" t="s">
        <v>4690</v>
      </c>
      <c r="R2175" s="11">
        <v>-0.1628</v>
      </c>
      <c r="S2175" s="12">
        <v>1789543.0</v>
      </c>
      <c r="T2175" s="12">
        <v>7.047801015E9</v>
      </c>
      <c r="U2175" s="13">
        <v>2.0159</v>
      </c>
      <c r="V2175" s="13">
        <v>-1.418</v>
      </c>
      <c r="W2175" s="13">
        <v>-2.0382</v>
      </c>
      <c r="X2175" s="13">
        <v>-4.9709</v>
      </c>
      <c r="Y2175" s="13">
        <v>0.3298</v>
      </c>
      <c r="Z2175" s="13">
        <v>1.907</v>
      </c>
      <c r="AA2175" s="8" t="s">
        <v>2620</v>
      </c>
      <c r="AB2175" s="14">
        <f>IFERROR(__xludf.DUMMYFUNCTION("IFERROR(GOOGLEFINANCE(B2175,""price""),"""")"),49.21)</f>
        <v>49.21</v>
      </c>
    </row>
    <row r="2176">
      <c r="A2176" s="15">
        <v>46121.67049511618</v>
      </c>
      <c r="B2176" s="16" t="s">
        <v>3416</v>
      </c>
      <c r="C2176" s="16" t="s">
        <v>3417</v>
      </c>
      <c r="D2176" s="17">
        <v>46124.0</v>
      </c>
      <c r="E2176" s="18">
        <v>67.46</v>
      </c>
      <c r="F2176" s="16" t="s">
        <v>286</v>
      </c>
      <c r="G2176" s="21">
        <v>16.3869</v>
      </c>
      <c r="H2176" s="21">
        <v>4.1167</v>
      </c>
      <c r="I2176" s="17">
        <v>46122.0</v>
      </c>
      <c r="J2176" s="18">
        <v>68.0</v>
      </c>
      <c r="K2176" s="16">
        <v>4244.0</v>
      </c>
      <c r="L2176" s="16" t="s">
        <v>2608</v>
      </c>
      <c r="M2176" s="19">
        <v>0.8</v>
      </c>
      <c r="N2176" s="16" t="s">
        <v>4724</v>
      </c>
      <c r="O2176" s="16">
        <v>5436.0</v>
      </c>
      <c r="P2176" s="19">
        <v>15.2239</v>
      </c>
      <c r="Q2176" s="16" t="s">
        <v>3419</v>
      </c>
      <c r="R2176" s="19">
        <v>0.988</v>
      </c>
      <c r="S2176" s="20">
        <v>6932753.0</v>
      </c>
      <c r="T2176" s="20">
        <v>1.12786249041E11</v>
      </c>
      <c r="U2176" s="21">
        <v>1.5188</v>
      </c>
      <c r="V2176" s="21"/>
      <c r="W2176" s="21">
        <v>63.8109</v>
      </c>
      <c r="X2176" s="21">
        <v>-1.3989</v>
      </c>
      <c r="Y2176" s="21"/>
      <c r="Z2176" s="21">
        <v>0.648</v>
      </c>
      <c r="AA2176" s="16" t="s">
        <v>2620</v>
      </c>
      <c r="AB2176" s="22">
        <f>IFERROR(__xludf.DUMMYFUNCTION("IFERROR(GOOGLEFINANCE(B2176,""price""),"""")"),67.38)</f>
        <v>67.38</v>
      </c>
    </row>
    <row r="2177">
      <c r="A2177" s="7">
        <v>46121.67049511618</v>
      </c>
      <c r="B2177" s="8" t="s">
        <v>2654</v>
      </c>
      <c r="C2177" s="8" t="s">
        <v>2655</v>
      </c>
      <c r="D2177" s="9">
        <v>46124.0</v>
      </c>
      <c r="E2177" s="10">
        <v>44.13</v>
      </c>
      <c r="F2177" s="8" t="s">
        <v>917</v>
      </c>
      <c r="G2177" s="13">
        <v>27.4389</v>
      </c>
      <c r="H2177" s="13">
        <v>1.6083</v>
      </c>
      <c r="I2177" s="9">
        <v>46129.0</v>
      </c>
      <c r="J2177" s="10">
        <v>45.0</v>
      </c>
      <c r="K2177" s="8">
        <v>3728.0</v>
      </c>
      <c r="L2177" s="8" t="s">
        <v>2608</v>
      </c>
      <c r="M2177" s="11">
        <v>1.97</v>
      </c>
      <c r="N2177" s="8" t="s">
        <v>4725</v>
      </c>
      <c r="O2177" s="8">
        <v>5232.0</v>
      </c>
      <c r="P2177" s="11">
        <v>17.1323</v>
      </c>
      <c r="Q2177" s="8" t="s">
        <v>2657</v>
      </c>
      <c r="R2177" s="11">
        <v>1.0302</v>
      </c>
      <c r="S2177" s="12">
        <v>4256326.0</v>
      </c>
      <c r="T2177" s="12">
        <v>2.8811223116E10</v>
      </c>
      <c r="U2177" s="13">
        <v>0.7276</v>
      </c>
      <c r="V2177" s="13">
        <v>9.643</v>
      </c>
      <c r="W2177" s="13">
        <v>22.55</v>
      </c>
      <c r="X2177" s="13">
        <v>8.261</v>
      </c>
      <c r="Y2177" s="13">
        <v>2.1166</v>
      </c>
      <c r="Z2177" s="13">
        <v>0.9107</v>
      </c>
      <c r="AA2177" s="8" t="s">
        <v>2620</v>
      </c>
      <c r="AB2177" s="14">
        <f>IFERROR(__xludf.DUMMYFUNCTION("IFERROR(GOOGLEFINANCE(B2177,""price""),"""")"),43.39)</f>
        <v>43.39</v>
      </c>
    </row>
    <row r="2178">
      <c r="A2178" s="15">
        <v>46121.67049511618</v>
      </c>
      <c r="B2178" s="16" t="s">
        <v>2399</v>
      </c>
      <c r="C2178" s="16" t="s">
        <v>2400</v>
      </c>
      <c r="D2178" s="17">
        <v>46124.0</v>
      </c>
      <c r="E2178" s="18">
        <v>19.09</v>
      </c>
      <c r="F2178" s="16" t="s">
        <v>270</v>
      </c>
      <c r="G2178" s="21">
        <v>15.8004</v>
      </c>
      <c r="H2178" s="21">
        <v>1.2082</v>
      </c>
      <c r="I2178" s="17">
        <v>46122.0</v>
      </c>
      <c r="J2178" s="18">
        <v>19.0</v>
      </c>
      <c r="K2178" s="16">
        <v>1961.0</v>
      </c>
      <c r="L2178" s="16" t="s">
        <v>2608</v>
      </c>
      <c r="M2178" s="19">
        <v>0.47</v>
      </c>
      <c r="N2178" s="16" t="s">
        <v>4726</v>
      </c>
      <c r="O2178" s="16">
        <v>3760.0</v>
      </c>
      <c r="P2178" s="19">
        <v>18.19</v>
      </c>
      <c r="Q2178" s="16" t="s">
        <v>2401</v>
      </c>
      <c r="R2178" s="19">
        <v>0.0524</v>
      </c>
      <c r="S2178" s="20">
        <v>2.9199554E7</v>
      </c>
      <c r="T2178" s="20">
        <v>6.5675602647E10</v>
      </c>
      <c r="U2178" s="21">
        <v>0.405</v>
      </c>
      <c r="V2178" s="21">
        <v>12.7475</v>
      </c>
      <c r="W2178" s="21">
        <v>10.8866</v>
      </c>
      <c r="X2178" s="21">
        <v>3.4655</v>
      </c>
      <c r="Y2178" s="21">
        <v>2.0395</v>
      </c>
      <c r="Z2178" s="21">
        <v>1.2192</v>
      </c>
      <c r="AA2178" s="16" t="s">
        <v>2611</v>
      </c>
      <c r="AB2178" s="22">
        <f>IFERROR(__xludf.DUMMYFUNCTION("IFERROR(GOOGLEFINANCE(B2178,""price""),"""")"),19.19)</f>
        <v>19.19</v>
      </c>
    </row>
    <row r="2179">
      <c r="A2179" s="7">
        <v>46121.67049511618</v>
      </c>
      <c r="B2179" s="8" t="s">
        <v>4646</v>
      </c>
      <c r="C2179" s="8" t="s">
        <v>4647</v>
      </c>
      <c r="D2179" s="9">
        <v>46124.0</v>
      </c>
      <c r="E2179" s="10">
        <v>64.59</v>
      </c>
      <c r="F2179" s="8" t="s">
        <v>117</v>
      </c>
      <c r="G2179" s="13"/>
      <c r="H2179" s="13">
        <v>-6.5335</v>
      </c>
      <c r="I2179" s="9">
        <v>46129.0</v>
      </c>
      <c r="J2179" s="10">
        <v>65.0</v>
      </c>
      <c r="K2179" s="8">
        <v>3402.0</v>
      </c>
      <c r="L2179" s="8" t="s">
        <v>2608</v>
      </c>
      <c r="M2179" s="11">
        <v>0.63</v>
      </c>
      <c r="N2179" s="8" t="s">
        <v>4727</v>
      </c>
      <c r="O2179" s="8">
        <v>3402.0</v>
      </c>
      <c r="P2179" s="11">
        <v>17.8908</v>
      </c>
      <c r="Q2179" s="8" t="s">
        <v>4649</v>
      </c>
      <c r="R2179" s="11">
        <v>-1.7941</v>
      </c>
      <c r="S2179" s="12">
        <v>1363571.0</v>
      </c>
      <c r="T2179" s="12">
        <v>7.955085082E9</v>
      </c>
      <c r="U2179" s="13">
        <v>2.5182</v>
      </c>
      <c r="V2179" s="13"/>
      <c r="W2179" s="13">
        <v>-695.4395</v>
      </c>
      <c r="X2179" s="13">
        <v>376.5562</v>
      </c>
      <c r="Y2179" s="13"/>
      <c r="Z2179" s="13">
        <v>4.5293</v>
      </c>
      <c r="AA2179" s="8" t="s">
        <v>2620</v>
      </c>
      <c r="AB2179" s="14">
        <f>IFERROR(__xludf.DUMMYFUNCTION("IFERROR(GOOGLEFINANCE(B2179,""price""),"""")"),65.01)</f>
        <v>65.01</v>
      </c>
    </row>
    <row r="2180">
      <c r="A2180" s="15">
        <v>46121.67049511618</v>
      </c>
      <c r="B2180" s="16" t="s">
        <v>4359</v>
      </c>
      <c r="C2180" s="16" t="s">
        <v>4360</v>
      </c>
      <c r="D2180" s="17">
        <v>46124.0</v>
      </c>
      <c r="E2180" s="18">
        <v>119.93</v>
      </c>
      <c r="F2180" s="16" t="s">
        <v>308</v>
      </c>
      <c r="G2180" s="21">
        <v>38.7997</v>
      </c>
      <c r="H2180" s="21">
        <v>3.091</v>
      </c>
      <c r="I2180" s="17">
        <v>46122.0</v>
      </c>
      <c r="J2180" s="18">
        <v>120.0</v>
      </c>
      <c r="K2180" s="16">
        <v>2177.0</v>
      </c>
      <c r="L2180" s="16" t="s">
        <v>2608</v>
      </c>
      <c r="M2180" s="19">
        <v>0.06</v>
      </c>
      <c r="N2180" s="16" t="s">
        <v>4728</v>
      </c>
      <c r="O2180" s="16">
        <v>3282.0</v>
      </c>
      <c r="P2180" s="19">
        <v>21.7063</v>
      </c>
      <c r="Q2180" s="16" t="s">
        <v>4362</v>
      </c>
      <c r="R2180" s="19">
        <v>4.7881</v>
      </c>
      <c r="S2180" s="20">
        <v>3.2368132E7</v>
      </c>
      <c r="T2180" s="20">
        <v>1.0487377536E11</v>
      </c>
      <c r="U2180" s="21">
        <v>5.7964</v>
      </c>
      <c r="V2180" s="21">
        <v>19.2541</v>
      </c>
      <c r="W2180" s="21">
        <v>16.3327</v>
      </c>
      <c r="X2180" s="21">
        <v>42.0873</v>
      </c>
      <c r="Y2180" s="21">
        <v>0.3519</v>
      </c>
      <c r="Z2180" s="21">
        <v>2.0061</v>
      </c>
      <c r="AA2180" s="16" t="s">
        <v>2620</v>
      </c>
      <c r="AB2180" s="22">
        <f>IFERROR(__xludf.DUMMYFUNCTION("IFERROR(GOOGLEFINANCE(B2180,""price""),"""")"),128.49)</f>
        <v>128.49</v>
      </c>
    </row>
    <row r="2181">
      <c r="A2181" s="7">
        <v>46121.67049511618</v>
      </c>
      <c r="B2181" s="8" t="s">
        <v>2692</v>
      </c>
      <c r="C2181" s="8" t="s">
        <v>2693</v>
      </c>
      <c r="D2181" s="9">
        <v>46124.0</v>
      </c>
      <c r="E2181" s="10">
        <v>241.31</v>
      </c>
      <c r="F2181" s="8" t="s">
        <v>117</v>
      </c>
      <c r="G2181" s="13">
        <v>21.8463</v>
      </c>
      <c r="H2181" s="13">
        <v>11.0458</v>
      </c>
      <c r="I2181" s="9">
        <v>46122.0</v>
      </c>
      <c r="J2181" s="10">
        <v>242.5</v>
      </c>
      <c r="K2181" s="8">
        <v>1668.0</v>
      </c>
      <c r="L2181" s="8" t="s">
        <v>2627</v>
      </c>
      <c r="M2181" s="11">
        <v>0.49</v>
      </c>
      <c r="N2181" s="8" t="s">
        <v>4729</v>
      </c>
      <c r="O2181" s="8">
        <v>3046.0</v>
      </c>
      <c r="P2181" s="11">
        <v>15.5635</v>
      </c>
      <c r="Q2181" s="8" t="s">
        <v>2695</v>
      </c>
      <c r="R2181" s="11">
        <v>0.0041</v>
      </c>
      <c r="S2181" s="12">
        <v>6092310.0</v>
      </c>
      <c r="T2181" s="12">
        <v>5.81222478249E11</v>
      </c>
      <c r="U2181" s="13">
        <v>4.2627</v>
      </c>
      <c r="V2181" s="13">
        <v>35.0301</v>
      </c>
      <c r="W2181" s="13">
        <v>27.2081</v>
      </c>
      <c r="X2181" s="13">
        <v>6.046</v>
      </c>
      <c r="Y2181" s="13">
        <v>0.605</v>
      </c>
      <c r="Z2181" s="13">
        <v>1.0277</v>
      </c>
      <c r="AA2181" s="8" t="s">
        <v>2620</v>
      </c>
      <c r="AB2181" s="14">
        <f>IFERROR(__xludf.DUMMYFUNCTION("IFERROR(GOOGLEFINANCE(B2181,""price""),"""")"),238.46)</f>
        <v>238.46</v>
      </c>
    </row>
    <row r="2182">
      <c r="A2182" s="15">
        <v>46121.67049511618</v>
      </c>
      <c r="B2182" s="16" t="s">
        <v>2710</v>
      </c>
      <c r="C2182" s="16" t="s">
        <v>2711</v>
      </c>
      <c r="D2182" s="17">
        <v>46124.0</v>
      </c>
      <c r="E2182" s="18">
        <v>137.15</v>
      </c>
      <c r="F2182" s="16" t="s">
        <v>917</v>
      </c>
      <c r="G2182" s="21">
        <v>20.5934</v>
      </c>
      <c r="H2182" s="21">
        <v>6.6599</v>
      </c>
      <c r="I2182" s="17">
        <v>46129.0</v>
      </c>
      <c r="J2182" s="18">
        <v>135.0</v>
      </c>
      <c r="K2182" s="16">
        <v>2800.0</v>
      </c>
      <c r="L2182" s="16" t="s">
        <v>2608</v>
      </c>
      <c r="M2182" s="19">
        <v>1.57</v>
      </c>
      <c r="N2182" s="16" t="s">
        <v>4730</v>
      </c>
      <c r="O2182" s="16">
        <v>2800.0</v>
      </c>
      <c r="P2182" s="19">
        <v>22.3124</v>
      </c>
      <c r="Q2182" s="16" t="s">
        <v>2713</v>
      </c>
      <c r="R2182" s="19">
        <v>1.8113</v>
      </c>
      <c r="S2182" s="20">
        <v>2562267.0</v>
      </c>
      <c r="T2182" s="20">
        <v>7.4549734526E10</v>
      </c>
      <c r="U2182" s="21">
        <v>2.4789</v>
      </c>
      <c r="V2182" s="21">
        <v>12.3274</v>
      </c>
      <c r="W2182" s="21">
        <v>25.0742</v>
      </c>
      <c r="X2182" s="21">
        <v>10.4587</v>
      </c>
      <c r="Y2182" s="21">
        <v>1.5949</v>
      </c>
      <c r="Z2182" s="21">
        <v>0.4546</v>
      </c>
      <c r="AA2182" s="16" t="s">
        <v>2611</v>
      </c>
      <c r="AB2182" s="22">
        <f>IFERROR(__xludf.DUMMYFUNCTION("IFERROR(GOOGLEFINANCE(B2182,""price""),"""")"),136.3)</f>
        <v>136.3</v>
      </c>
    </row>
    <row r="2183">
      <c r="A2183" s="7">
        <v>46121.67049511618</v>
      </c>
      <c r="B2183" s="8" t="s">
        <v>1292</v>
      </c>
      <c r="C2183" s="8" t="s">
        <v>1293</v>
      </c>
      <c r="D2183" s="9">
        <v>46124.0</v>
      </c>
      <c r="E2183" s="10">
        <v>118.78</v>
      </c>
      <c r="F2183" s="8" t="s">
        <v>917</v>
      </c>
      <c r="G2183" s="13">
        <v>24.5769</v>
      </c>
      <c r="H2183" s="13">
        <v>4.833</v>
      </c>
      <c r="I2183" s="9">
        <v>46129.0</v>
      </c>
      <c r="J2183" s="10">
        <v>120.0</v>
      </c>
      <c r="K2183" s="8">
        <v>1880.0</v>
      </c>
      <c r="L2183" s="8" t="s">
        <v>2608</v>
      </c>
      <c r="M2183" s="11">
        <v>1.03</v>
      </c>
      <c r="N2183" s="8" t="s">
        <v>4731</v>
      </c>
      <c r="O2183" s="8">
        <v>1880.0</v>
      </c>
      <c r="P2183" s="11">
        <v>15.216</v>
      </c>
      <c r="Q2183" s="8" t="s">
        <v>1294</v>
      </c>
      <c r="R2183" s="11">
        <v>1.279</v>
      </c>
      <c r="S2183" s="12">
        <v>1922005.0</v>
      </c>
      <c r="T2183" s="12">
        <v>3.7901411499E10</v>
      </c>
      <c r="U2183" s="13">
        <v>2.0181</v>
      </c>
      <c r="V2183" s="13">
        <v>11.9581</v>
      </c>
      <c r="W2183" s="13">
        <v>24.2375</v>
      </c>
      <c r="X2183" s="13">
        <v>13.956</v>
      </c>
      <c r="Y2183" s="13">
        <v>1.6411</v>
      </c>
      <c r="Z2183" s="13">
        <v>0.5872</v>
      </c>
      <c r="AA2183" s="8" t="s">
        <v>2620</v>
      </c>
      <c r="AB2183" s="14">
        <f>IFERROR(__xludf.DUMMYFUNCTION("IFERROR(GOOGLEFINANCE(B2183,""price""),"""")"),117.54)</f>
        <v>117.54</v>
      </c>
    </row>
    <row r="2184">
      <c r="A2184" s="15">
        <v>46121.67049511618</v>
      </c>
      <c r="B2184" s="16" t="s">
        <v>4218</v>
      </c>
      <c r="C2184" s="16" t="s">
        <v>4219</v>
      </c>
      <c r="D2184" s="17">
        <v>46124.0</v>
      </c>
      <c r="E2184" s="18">
        <v>119.38</v>
      </c>
      <c r="F2184" s="16" t="s">
        <v>107</v>
      </c>
      <c r="G2184" s="21">
        <v>13.2749</v>
      </c>
      <c r="H2184" s="21">
        <v>8.9929</v>
      </c>
      <c r="I2184" s="17">
        <v>46122.0</v>
      </c>
      <c r="J2184" s="18">
        <v>120.0</v>
      </c>
      <c r="K2184" s="16">
        <v>1807.0</v>
      </c>
      <c r="L2184" s="16" t="s">
        <v>2627</v>
      </c>
      <c r="M2184" s="19">
        <v>0.52</v>
      </c>
      <c r="N2184" s="16" t="s">
        <v>4732</v>
      </c>
      <c r="O2184" s="16">
        <v>1807.0</v>
      </c>
      <c r="P2184" s="19">
        <v>31.7415</v>
      </c>
      <c r="Q2184" s="16" t="s">
        <v>4221</v>
      </c>
      <c r="R2184" s="19">
        <v>-5.3741</v>
      </c>
      <c r="S2184" s="20">
        <v>5647597.0</v>
      </c>
      <c r="T2184" s="20">
        <v>1.8338731118E10</v>
      </c>
      <c r="U2184" s="21">
        <v>8.2096</v>
      </c>
      <c r="V2184" s="21">
        <v>29.6244</v>
      </c>
      <c r="W2184" s="21">
        <v>37.1118</v>
      </c>
      <c r="X2184" s="21">
        <v>19.3396</v>
      </c>
      <c r="Y2184" s="21">
        <v>0.7516</v>
      </c>
      <c r="Z2184" s="21">
        <v>3.3653</v>
      </c>
      <c r="AA2184" s="16" t="s">
        <v>2620</v>
      </c>
      <c r="AB2184" s="22">
        <f>IFERROR(__xludf.DUMMYFUNCTION("IFERROR(GOOGLEFINANCE(B2184,""price""),"""")"),121.32)</f>
        <v>121.32</v>
      </c>
    </row>
    <row r="2185">
      <c r="A2185" s="7">
        <v>46121.67049511618</v>
      </c>
      <c r="B2185" s="8" t="s">
        <v>3248</v>
      </c>
      <c r="C2185" s="8" t="s">
        <v>3249</v>
      </c>
      <c r="D2185" s="9">
        <v>46124.0</v>
      </c>
      <c r="E2185" s="10">
        <v>128.58</v>
      </c>
      <c r="F2185" s="8" t="s">
        <v>93</v>
      </c>
      <c r="G2185" s="13">
        <v>17.3438</v>
      </c>
      <c r="H2185" s="13">
        <v>7.4136</v>
      </c>
      <c r="I2185" s="9">
        <v>46129.0</v>
      </c>
      <c r="J2185" s="10">
        <v>130.0</v>
      </c>
      <c r="K2185" s="8">
        <v>1684.0</v>
      </c>
      <c r="L2185" s="8" t="s">
        <v>2608</v>
      </c>
      <c r="M2185" s="11">
        <v>1.1</v>
      </c>
      <c r="N2185" s="8" t="s">
        <v>4733</v>
      </c>
      <c r="O2185" s="8">
        <v>1684.0</v>
      </c>
      <c r="P2185" s="11">
        <v>20.0882</v>
      </c>
      <c r="Q2185" s="8" t="s">
        <v>3251</v>
      </c>
      <c r="R2185" s="11">
        <v>0.5002</v>
      </c>
      <c r="S2185" s="12">
        <v>2944584.0</v>
      </c>
      <c r="T2185" s="12">
        <v>8.8322548573E10</v>
      </c>
      <c r="U2185" s="13">
        <v>2.8455</v>
      </c>
      <c r="V2185" s="13">
        <v>12.9603</v>
      </c>
      <c r="W2185" s="13">
        <v>34.4848</v>
      </c>
      <c r="X2185" s="13">
        <v>2.0861</v>
      </c>
      <c r="Y2185" s="13">
        <v>1.7287</v>
      </c>
      <c r="Z2185" s="13">
        <v>1.6753</v>
      </c>
      <c r="AA2185" s="8" t="s">
        <v>2620</v>
      </c>
      <c r="AB2185" s="14">
        <f>IFERROR(__xludf.DUMMYFUNCTION("IFERROR(GOOGLEFINANCE(B2185,""price""),"""")"),127.56)</f>
        <v>127.56</v>
      </c>
    </row>
    <row r="2186">
      <c r="A2186" s="15">
        <v>46121.67049511618</v>
      </c>
      <c r="B2186" s="16" t="s">
        <v>1467</v>
      </c>
      <c r="C2186" s="16" t="s">
        <v>1468</v>
      </c>
      <c r="D2186" s="17">
        <v>46124.0</v>
      </c>
      <c r="E2186" s="18">
        <v>141.85</v>
      </c>
      <c r="F2186" s="16" t="s">
        <v>102</v>
      </c>
      <c r="G2186" s="21">
        <v>26.6846</v>
      </c>
      <c r="H2186" s="21">
        <v>5.3158</v>
      </c>
      <c r="I2186" s="17">
        <v>46129.0</v>
      </c>
      <c r="J2186" s="18">
        <v>140.0</v>
      </c>
      <c r="K2186" s="16">
        <v>1595.0</v>
      </c>
      <c r="L2186" s="16" t="s">
        <v>2608</v>
      </c>
      <c r="M2186" s="19">
        <v>1.3</v>
      </c>
      <c r="N2186" s="16" t="s">
        <v>4734</v>
      </c>
      <c r="O2186" s="16">
        <v>1595.0</v>
      </c>
      <c r="P2186" s="19">
        <v>26.4813</v>
      </c>
      <c r="Q2186" s="16" t="s">
        <v>1469</v>
      </c>
      <c r="R2186" s="19">
        <v>2.0504</v>
      </c>
      <c r="S2186" s="20">
        <v>3878432.0</v>
      </c>
      <c r="T2186" s="20">
        <v>8.6821585095E10</v>
      </c>
      <c r="U2186" s="21">
        <v>4.1952</v>
      </c>
      <c r="V2186" s="21">
        <v>13.146</v>
      </c>
      <c r="W2186" s="21">
        <v>13.0805</v>
      </c>
      <c r="X2186" s="21">
        <v>-6.3935</v>
      </c>
      <c r="Y2186" s="21">
        <v>0.735</v>
      </c>
      <c r="Z2186" s="21">
        <v>0.9638</v>
      </c>
      <c r="AA2186" s="16" t="s">
        <v>2611</v>
      </c>
      <c r="AB2186" s="22">
        <f>IFERROR(__xludf.DUMMYFUNCTION("IFERROR(GOOGLEFINANCE(B2186,""price""),"""")"),142.53)</f>
        <v>142.53</v>
      </c>
    </row>
    <row r="2187">
      <c r="A2187" s="7">
        <v>46121.67049511618</v>
      </c>
      <c r="B2187" s="8" t="s">
        <v>2646</v>
      </c>
      <c r="C2187" s="8" t="s">
        <v>2647</v>
      </c>
      <c r="D2187" s="9">
        <v>46124.0</v>
      </c>
      <c r="E2187" s="10">
        <v>37.52</v>
      </c>
      <c r="F2187" s="8" t="s">
        <v>270</v>
      </c>
      <c r="G2187" s="13">
        <v>14.1681</v>
      </c>
      <c r="H2187" s="13">
        <v>2.6482</v>
      </c>
      <c r="I2187" s="9">
        <v>46122.0</v>
      </c>
      <c r="J2187" s="10">
        <v>38.0</v>
      </c>
      <c r="K2187" s="8">
        <v>1593.0</v>
      </c>
      <c r="L2187" s="8" t="s">
        <v>2608</v>
      </c>
      <c r="M2187" s="11">
        <v>1.28</v>
      </c>
      <c r="N2187" s="8" t="s">
        <v>4735</v>
      </c>
      <c r="O2187" s="8">
        <v>1593.0</v>
      </c>
      <c r="P2187" s="11">
        <v>27.1377</v>
      </c>
      <c r="Q2187" s="8" t="s">
        <v>2649</v>
      </c>
      <c r="R2187" s="11">
        <v>-1.341</v>
      </c>
      <c r="S2187" s="12">
        <v>3505414.0</v>
      </c>
      <c r="T2187" s="12">
        <v>8.1109260444E10</v>
      </c>
      <c r="U2187" s="13">
        <v>0.8279</v>
      </c>
      <c r="V2187" s="13">
        <v>19.6987</v>
      </c>
      <c r="W2187" s="13">
        <v>12.3812</v>
      </c>
      <c r="X2187" s="13">
        <v>-6.474</v>
      </c>
      <c r="Y2187" s="13">
        <v>1.1744</v>
      </c>
      <c r="Z2187" s="13">
        <v>1.0411</v>
      </c>
      <c r="AA2187" s="8" t="s">
        <v>2620</v>
      </c>
      <c r="AB2187" s="14">
        <f>IFERROR(__xludf.DUMMYFUNCTION("IFERROR(GOOGLEFINANCE(B2187,""price""),"""")"),37.35)</f>
        <v>37.35</v>
      </c>
    </row>
    <row r="2188">
      <c r="A2188" s="15">
        <v>46121.67049511618</v>
      </c>
      <c r="B2188" s="16" t="s">
        <v>1080</v>
      </c>
      <c r="C2188" s="16" t="s">
        <v>1081</v>
      </c>
      <c r="D2188" s="17">
        <v>46124.0</v>
      </c>
      <c r="E2188" s="18">
        <v>68.86</v>
      </c>
      <c r="F2188" s="16" t="s">
        <v>308</v>
      </c>
      <c r="G2188" s="21"/>
      <c r="H2188" s="21">
        <v>-0.3783</v>
      </c>
      <c r="I2188" s="17">
        <v>46129.0</v>
      </c>
      <c r="J2188" s="18">
        <v>70.0</v>
      </c>
      <c r="K2188" s="16">
        <v>1565.0</v>
      </c>
      <c r="L2188" s="16" t="s">
        <v>2608</v>
      </c>
      <c r="M2188" s="19">
        <v>1.66</v>
      </c>
      <c r="N2188" s="16" t="s">
        <v>4736</v>
      </c>
      <c r="O2188" s="16">
        <v>1565.0</v>
      </c>
      <c r="P2188" s="19">
        <v>23.4996</v>
      </c>
      <c r="Q2188" s="16" t="s">
        <v>1082</v>
      </c>
      <c r="R2188" s="19">
        <v>9.0247</v>
      </c>
      <c r="S2188" s="20">
        <v>7223110.0</v>
      </c>
      <c r="T2188" s="20">
        <v>2.10899878E9</v>
      </c>
      <c r="U2188" s="21">
        <v>5.8288</v>
      </c>
      <c r="V2188" s="21">
        <v>-8.6813</v>
      </c>
      <c r="W2188" s="21">
        <v>-33.7576</v>
      </c>
      <c r="X2188" s="21">
        <v>-26.3895</v>
      </c>
      <c r="Y2188" s="21">
        <v>0.0722</v>
      </c>
      <c r="Z2188" s="21">
        <v>10.97</v>
      </c>
      <c r="AA2188" s="16" t="s">
        <v>2620</v>
      </c>
      <c r="AB2188" s="22">
        <f>IFERROR(__xludf.DUMMYFUNCTION("IFERROR(GOOGLEFINANCE(B2188,""price""),"""")"),70.43)</f>
        <v>70.43</v>
      </c>
    </row>
    <row r="2189">
      <c r="A2189" s="7">
        <v>46121.67049511618</v>
      </c>
      <c r="B2189" s="8" t="s">
        <v>1766</v>
      </c>
      <c r="C2189" s="8" t="s">
        <v>1767</v>
      </c>
      <c r="D2189" s="9">
        <v>46124.0</v>
      </c>
      <c r="E2189" s="10">
        <v>99.75</v>
      </c>
      <c r="F2189" s="8" t="s">
        <v>917</v>
      </c>
      <c r="G2189" s="13">
        <v>36.2965</v>
      </c>
      <c r="H2189" s="13">
        <v>2.7482</v>
      </c>
      <c r="I2189" s="9">
        <v>46129.0</v>
      </c>
      <c r="J2189" s="10">
        <v>100.0</v>
      </c>
      <c r="K2189" s="8">
        <v>1495.0</v>
      </c>
      <c r="L2189" s="8" t="s">
        <v>2608</v>
      </c>
      <c r="M2189" s="11">
        <v>0.25</v>
      </c>
      <c r="N2189" s="8" t="s">
        <v>4737</v>
      </c>
      <c r="O2189" s="8">
        <v>1495.0</v>
      </c>
      <c r="P2189" s="11">
        <v>18.8523</v>
      </c>
      <c r="Q2189" s="8" t="s">
        <v>1768</v>
      </c>
      <c r="R2189" s="11">
        <v>0.8799</v>
      </c>
      <c r="S2189" s="12">
        <v>2676989.0</v>
      </c>
      <c r="T2189" s="12">
        <v>6.5165089025E10</v>
      </c>
      <c r="U2189" s="13">
        <v>2.0581</v>
      </c>
      <c r="V2189" s="13">
        <v>5.8451</v>
      </c>
      <c r="W2189" s="13">
        <v>23.7349</v>
      </c>
      <c r="X2189" s="13">
        <v>5.8424</v>
      </c>
      <c r="Y2189" s="13">
        <v>1.1478</v>
      </c>
      <c r="Z2189" s="13">
        <v>1.5912</v>
      </c>
      <c r="AA2189" s="8" t="s">
        <v>2620</v>
      </c>
      <c r="AB2189" s="14">
        <f>IFERROR(__xludf.DUMMYFUNCTION("IFERROR(GOOGLEFINANCE(B2189,""price""),"""")"),98.82)</f>
        <v>98.82</v>
      </c>
    </row>
    <row r="2190">
      <c r="A2190" s="15">
        <v>46121.67049511618</v>
      </c>
      <c r="B2190" s="16" t="s">
        <v>4061</v>
      </c>
      <c r="C2190" s="16" t="s">
        <v>4062</v>
      </c>
      <c r="D2190" s="17">
        <v>46124.0</v>
      </c>
      <c r="E2190" s="18">
        <v>1032.03</v>
      </c>
      <c r="F2190" s="16" t="s">
        <v>137</v>
      </c>
      <c r="G2190" s="21">
        <v>53.6725</v>
      </c>
      <c r="H2190" s="21">
        <v>19.2283</v>
      </c>
      <c r="I2190" s="17">
        <v>46122.0</v>
      </c>
      <c r="J2190" s="18">
        <v>1050.0</v>
      </c>
      <c r="K2190" s="16">
        <v>1031.0</v>
      </c>
      <c r="L2190" s="16" t="s">
        <v>2608</v>
      </c>
      <c r="M2190" s="19">
        <v>1.74</v>
      </c>
      <c r="N2190" s="16" t="s">
        <v>4738</v>
      </c>
      <c r="O2190" s="16">
        <v>1031.0</v>
      </c>
      <c r="P2190" s="19">
        <v>18.9628</v>
      </c>
      <c r="Q2190" s="16" t="s">
        <v>4064</v>
      </c>
      <c r="R2190" s="19">
        <v>0.1708</v>
      </c>
      <c r="S2190" s="20">
        <v>1430952.0</v>
      </c>
      <c r="T2190" s="20">
        <v>4.5786272597E11</v>
      </c>
      <c r="U2190" s="21">
        <v>17.8813</v>
      </c>
      <c r="V2190" s="21">
        <v>29.6511</v>
      </c>
      <c r="W2190" s="21">
        <v>3.8216</v>
      </c>
      <c r="X2190" s="21">
        <v>8.3984</v>
      </c>
      <c r="Y2190" s="21">
        <v>0.2598</v>
      </c>
      <c r="Z2190" s="21">
        <v>1.0581</v>
      </c>
      <c r="AA2190" s="16" t="s">
        <v>2620</v>
      </c>
      <c r="AB2190" s="22">
        <f>IFERROR(__xludf.DUMMYFUNCTION("IFERROR(GOOGLEFINANCE(B2190,""price""),"""")"),998.47)</f>
        <v>998.47</v>
      </c>
    </row>
    <row r="2191">
      <c r="A2191" s="7">
        <v>46121.67049511618</v>
      </c>
      <c r="B2191" s="8" t="s">
        <v>2768</v>
      </c>
      <c r="C2191" s="8" t="s">
        <v>2769</v>
      </c>
      <c r="D2191" s="9">
        <v>46124.0</v>
      </c>
      <c r="E2191" s="10">
        <v>337.88</v>
      </c>
      <c r="F2191" s="8" t="s">
        <v>308</v>
      </c>
      <c r="G2191" s="13">
        <v>33.9213</v>
      </c>
      <c r="H2191" s="13">
        <v>9.9607</v>
      </c>
      <c r="I2191" s="9">
        <v>46122.0</v>
      </c>
      <c r="J2191" s="10">
        <v>335.0</v>
      </c>
      <c r="K2191" s="8">
        <v>1007.0</v>
      </c>
      <c r="L2191" s="8" t="s">
        <v>2608</v>
      </c>
      <c r="M2191" s="11">
        <v>0.85</v>
      </c>
      <c r="N2191" s="8" t="s">
        <v>4739</v>
      </c>
      <c r="O2191" s="8">
        <v>1007.0</v>
      </c>
      <c r="P2191" s="11">
        <v>18.1408</v>
      </c>
      <c r="Q2191" s="8" t="s">
        <v>2771</v>
      </c>
      <c r="R2191" s="11">
        <v>-0.2657</v>
      </c>
      <c r="S2191" s="12">
        <v>6369558.0</v>
      </c>
      <c r="T2191" s="12">
        <v>1.14554136507E11</v>
      </c>
      <c r="U2191" s="13">
        <v>22.3877</v>
      </c>
      <c r="V2191" s="13">
        <v>41.2731</v>
      </c>
      <c r="W2191" s="13">
        <v>27.8834</v>
      </c>
      <c r="X2191" s="13">
        <v>-31.1967</v>
      </c>
      <c r="Y2191" s="13">
        <v>0.7076</v>
      </c>
      <c r="Z2191" s="13">
        <v>1.455</v>
      </c>
      <c r="AA2191" s="8" t="s">
        <v>2611</v>
      </c>
      <c r="AB2191" s="14">
        <f>IFERROR(__xludf.DUMMYFUNCTION("IFERROR(GOOGLEFINANCE(B2191,""price""),"""")"),343.43)</f>
        <v>343.43</v>
      </c>
    </row>
    <row r="2192">
      <c r="A2192" s="7">
        <v>46122.66767184507</v>
      </c>
      <c r="B2192" s="8" t="s">
        <v>2630</v>
      </c>
      <c r="C2192" s="8" t="s">
        <v>2631</v>
      </c>
      <c r="D2192" s="9">
        <v>46124.0</v>
      </c>
      <c r="E2192" s="10">
        <v>420.59</v>
      </c>
      <c r="F2192" s="8" t="s">
        <v>308</v>
      </c>
      <c r="G2192" s="13">
        <v>19.8567</v>
      </c>
      <c r="H2192" s="13">
        <v>21.1813</v>
      </c>
      <c r="I2192" s="9">
        <v>46122.0</v>
      </c>
      <c r="J2192" s="10">
        <v>420.0</v>
      </c>
      <c r="K2192" s="8">
        <v>10813.0</v>
      </c>
      <c r="L2192" s="8" t="s">
        <v>2608</v>
      </c>
      <c r="M2192" s="11">
        <v>0.14</v>
      </c>
      <c r="N2192" s="8" t="s">
        <v>4740</v>
      </c>
      <c r="O2192" s="8">
        <v>22897.0</v>
      </c>
      <c r="P2192" s="11">
        <v>18.2328</v>
      </c>
      <c r="Q2192" s="8" t="s">
        <v>2633</v>
      </c>
      <c r="R2192" s="11">
        <v>-0.2183</v>
      </c>
      <c r="S2192" s="12">
        <v>3.6192325E7</v>
      </c>
      <c r="T2192" s="12">
        <v>4.74313657746E11</v>
      </c>
      <c r="U2192" s="13">
        <v>26.1771</v>
      </c>
      <c r="V2192" s="13">
        <v>39.8226</v>
      </c>
      <c r="W2192" s="13">
        <v>48.6536</v>
      </c>
      <c r="X2192" s="13">
        <v>85.5474</v>
      </c>
      <c r="Y2192" s="13">
        <v>0.149</v>
      </c>
      <c r="Z2192" s="13">
        <v>2.8968</v>
      </c>
      <c r="AA2192" s="8" t="s">
        <v>2611</v>
      </c>
      <c r="AB2192" s="14">
        <f>IFERROR(__xludf.DUMMYFUNCTION("IFERROR(GOOGLEFINANCE(B2192,""price""),"""")"),420.59)</f>
        <v>420.59</v>
      </c>
    </row>
    <row r="2193">
      <c r="A2193" s="15">
        <v>46122.66767184507</v>
      </c>
      <c r="B2193" s="16" t="s">
        <v>2399</v>
      </c>
      <c r="C2193" s="16" t="s">
        <v>2400</v>
      </c>
      <c r="D2193" s="17">
        <v>46124.0</v>
      </c>
      <c r="E2193" s="18">
        <v>19.19</v>
      </c>
      <c r="F2193" s="16" t="s">
        <v>270</v>
      </c>
      <c r="G2193" s="21">
        <v>15.8831</v>
      </c>
      <c r="H2193" s="21">
        <v>1.2082</v>
      </c>
      <c r="I2193" s="17">
        <v>46122.0</v>
      </c>
      <c r="J2193" s="18">
        <v>19.5</v>
      </c>
      <c r="K2193" s="16">
        <v>12237.0</v>
      </c>
      <c r="L2193" s="16" t="s">
        <v>2608</v>
      </c>
      <c r="M2193" s="19">
        <v>1.62</v>
      </c>
      <c r="N2193" s="16" t="s">
        <v>4741</v>
      </c>
      <c r="O2193" s="16">
        <v>17624.0</v>
      </c>
      <c r="P2193" s="19">
        <v>17.6104</v>
      </c>
      <c r="Q2193" s="16" t="s">
        <v>2401</v>
      </c>
      <c r="R2193" s="19">
        <v>0.5238</v>
      </c>
      <c r="S2193" s="20">
        <v>8269425.0</v>
      </c>
      <c r="T2193" s="20">
        <v>6.6019634883E10</v>
      </c>
      <c r="U2193" s="21">
        <v>0.3996</v>
      </c>
      <c r="V2193" s="21">
        <v>12.7475</v>
      </c>
      <c r="W2193" s="21">
        <v>10.8866</v>
      </c>
      <c r="X2193" s="21">
        <v>3.4655</v>
      </c>
      <c r="Y2193" s="21">
        <v>2.0395</v>
      </c>
      <c r="Z2193" s="21">
        <v>1.2192</v>
      </c>
      <c r="AA2193" s="16" t="s">
        <v>2620</v>
      </c>
      <c r="AB2193" s="22">
        <f>IFERROR(__xludf.DUMMYFUNCTION("IFERROR(GOOGLEFINANCE(B2193,""price""),"""")"),19.19)</f>
        <v>19.19</v>
      </c>
    </row>
    <row r="2194">
      <c r="A2194" s="7">
        <v>46122.66767184507</v>
      </c>
      <c r="B2194" s="8" t="s">
        <v>2612</v>
      </c>
      <c r="C2194" s="8" t="s">
        <v>2613</v>
      </c>
      <c r="D2194" s="9">
        <v>46124.0</v>
      </c>
      <c r="E2194" s="10">
        <v>245.04</v>
      </c>
      <c r="F2194" s="8" t="s">
        <v>308</v>
      </c>
      <c r="G2194" s="13">
        <v>92.6497</v>
      </c>
      <c r="H2194" s="13">
        <v>2.6448</v>
      </c>
      <c r="I2194" s="9">
        <v>46122.0</v>
      </c>
      <c r="J2194" s="10">
        <v>245.0</v>
      </c>
      <c r="K2194" s="8">
        <v>8478.0</v>
      </c>
      <c r="L2194" s="8" t="s">
        <v>2608</v>
      </c>
      <c r="M2194" s="11">
        <v>0.02</v>
      </c>
      <c r="N2194" s="8" t="s">
        <v>4742</v>
      </c>
      <c r="O2194" s="8">
        <v>11815.0</v>
      </c>
      <c r="P2194" s="11">
        <v>17.359</v>
      </c>
      <c r="Q2194" s="8" t="s">
        <v>2615</v>
      </c>
      <c r="R2194" s="11">
        <v>3.5497</v>
      </c>
      <c r="S2194" s="12">
        <v>3.5989906E7</v>
      </c>
      <c r="T2194" s="12">
        <v>3.9951588313E11</v>
      </c>
      <c r="U2194" s="13">
        <v>10.2236</v>
      </c>
      <c r="V2194" s="13">
        <v>7.0815</v>
      </c>
      <c r="W2194" s="13">
        <v>10.6672</v>
      </c>
      <c r="X2194" s="13">
        <v>34.3378</v>
      </c>
      <c r="Y2194" s="13">
        <v>0.0611</v>
      </c>
      <c r="Z2194" s="13">
        <v>2.85</v>
      </c>
      <c r="AA2194" s="8" t="s">
        <v>2611</v>
      </c>
      <c r="AB2194" s="14">
        <f>IFERROR(__xludf.DUMMYFUNCTION("IFERROR(GOOGLEFINANCE(B2194,""price""),"""")"),245.04)</f>
        <v>245.04</v>
      </c>
    </row>
    <row r="2195">
      <c r="A2195" s="15">
        <v>46122.66767184507</v>
      </c>
      <c r="B2195" s="16" t="s">
        <v>3697</v>
      </c>
      <c r="C2195" s="16" t="s">
        <v>3698</v>
      </c>
      <c r="D2195" s="17">
        <v>46124.0</v>
      </c>
      <c r="E2195" s="18">
        <v>48.57</v>
      </c>
      <c r="F2195" s="16" t="s">
        <v>917</v>
      </c>
      <c r="G2195" s="21">
        <v>17.7593</v>
      </c>
      <c r="H2195" s="21">
        <v>2.7349</v>
      </c>
      <c r="I2195" s="17">
        <v>46129.0</v>
      </c>
      <c r="J2195" s="18">
        <v>49.0</v>
      </c>
      <c r="K2195" s="16">
        <v>9453.0</v>
      </c>
      <c r="L2195" s="16" t="s">
        <v>2608</v>
      </c>
      <c r="M2195" s="19">
        <v>0.89</v>
      </c>
      <c r="N2195" s="16" t="s">
        <v>4743</v>
      </c>
      <c r="O2195" s="16">
        <v>10592.0</v>
      </c>
      <c r="P2195" s="19">
        <v>15.6321</v>
      </c>
      <c r="Q2195" s="16" t="s">
        <v>3700</v>
      </c>
      <c r="R2195" s="19">
        <v>-1.7597</v>
      </c>
      <c r="S2195" s="20">
        <v>5629930.0</v>
      </c>
      <c r="T2195" s="20">
        <v>4.968189114E10</v>
      </c>
      <c r="U2195" s="21">
        <v>0.9022</v>
      </c>
      <c r="V2195" s="21">
        <v>9.9356</v>
      </c>
      <c r="W2195" s="21">
        <v>21.2054</v>
      </c>
      <c r="X2195" s="21">
        <v>5.3367</v>
      </c>
      <c r="Y2195" s="21">
        <v>1.7554</v>
      </c>
      <c r="Z2195" s="21">
        <v>0.924</v>
      </c>
      <c r="AA2195" s="16" t="s">
        <v>2620</v>
      </c>
      <c r="AB2195" s="22">
        <f>IFERROR(__xludf.DUMMYFUNCTION("IFERROR(GOOGLEFINANCE(B2195,""price""),"""")"),48.57)</f>
        <v>48.57</v>
      </c>
    </row>
    <row r="2196">
      <c r="A2196" s="7">
        <v>46122.66767184507</v>
      </c>
      <c r="B2196" s="8" t="s">
        <v>4687</v>
      </c>
      <c r="C2196" s="8" t="s">
        <v>4688</v>
      </c>
      <c r="D2196" s="9">
        <v>46124.0</v>
      </c>
      <c r="E2196" s="10">
        <v>49.21</v>
      </c>
      <c r="F2196" s="8" t="s">
        <v>270</v>
      </c>
      <c r="G2196" s="13"/>
      <c r="H2196" s="13">
        <v>-1.2547</v>
      </c>
      <c r="I2196" s="9">
        <v>46129.0</v>
      </c>
      <c r="J2196" s="10">
        <v>50.0</v>
      </c>
      <c r="K2196" s="8">
        <v>5983.0</v>
      </c>
      <c r="L2196" s="8" t="s">
        <v>2608</v>
      </c>
      <c r="M2196" s="11">
        <v>1.61</v>
      </c>
      <c r="N2196" s="8" t="s">
        <v>4744</v>
      </c>
      <c r="O2196" s="8">
        <v>5983.0</v>
      </c>
      <c r="P2196" s="11">
        <v>16.9447</v>
      </c>
      <c r="Q2196" s="8" t="s">
        <v>4690</v>
      </c>
      <c r="R2196" s="11">
        <v>0.2853</v>
      </c>
      <c r="S2196" s="12">
        <v>1331328.0</v>
      </c>
      <c r="T2196" s="12">
        <v>7.0679086E9</v>
      </c>
      <c r="U2196" s="13">
        <v>1.9315</v>
      </c>
      <c r="V2196" s="13">
        <v>-1.418</v>
      </c>
      <c r="W2196" s="13">
        <v>-2.0382</v>
      </c>
      <c r="X2196" s="13">
        <v>-4.9709</v>
      </c>
      <c r="Y2196" s="13">
        <v>0.3298</v>
      </c>
      <c r="Z2196" s="13">
        <v>1.907</v>
      </c>
      <c r="AA2196" s="8" t="s">
        <v>2620</v>
      </c>
      <c r="AB2196" s="14">
        <f>IFERROR(__xludf.DUMMYFUNCTION("IFERROR(GOOGLEFINANCE(B2196,""price""),"""")"),49.21)</f>
        <v>49.21</v>
      </c>
    </row>
    <row r="2197">
      <c r="A2197" s="15">
        <v>46122.66767184507</v>
      </c>
      <c r="B2197" s="16" t="s">
        <v>3684</v>
      </c>
      <c r="C2197" s="16" t="s">
        <v>3685</v>
      </c>
      <c r="D2197" s="17">
        <v>46124.0</v>
      </c>
      <c r="E2197" s="18">
        <v>39.65</v>
      </c>
      <c r="F2197" s="16" t="s">
        <v>917</v>
      </c>
      <c r="G2197" s="21">
        <v>24.9732</v>
      </c>
      <c r="H2197" s="21">
        <v>1.5877</v>
      </c>
      <c r="I2197" s="17">
        <v>46129.0</v>
      </c>
      <c r="J2197" s="18">
        <v>39.0</v>
      </c>
      <c r="K2197" s="16">
        <v>5033.0</v>
      </c>
      <c r="L2197" s="16" t="s">
        <v>2608</v>
      </c>
      <c r="M2197" s="19">
        <v>1.64</v>
      </c>
      <c r="N2197" s="16" t="s">
        <v>4745</v>
      </c>
      <c r="O2197" s="16">
        <v>5033.0</v>
      </c>
      <c r="P2197" s="19">
        <v>17.7104</v>
      </c>
      <c r="Q2197" s="16" t="s">
        <v>3687</v>
      </c>
      <c r="R2197" s="19">
        <v>-0.4019</v>
      </c>
      <c r="S2197" s="20">
        <v>6038254.0</v>
      </c>
      <c r="T2197" s="20">
        <v>2.9789316588E10</v>
      </c>
      <c r="U2197" s="21">
        <v>0.6481</v>
      </c>
      <c r="V2197" s="21">
        <v>8.1497</v>
      </c>
      <c r="W2197" s="21">
        <v>23.6452</v>
      </c>
      <c r="X2197" s="21">
        <v>6.8542</v>
      </c>
      <c r="Y2197" s="21">
        <v>1.3003</v>
      </c>
      <c r="Z2197" s="21">
        <v>0.8647</v>
      </c>
      <c r="AA2197" s="16" t="s">
        <v>2611</v>
      </c>
      <c r="AB2197" s="22">
        <f>IFERROR(__xludf.DUMMYFUNCTION("IFERROR(GOOGLEFINANCE(B2197,""price""),"""")"),39.65)</f>
        <v>39.65</v>
      </c>
    </row>
    <row r="2198">
      <c r="A2198" s="7">
        <v>46122.66767184507</v>
      </c>
      <c r="B2198" s="8" t="s">
        <v>3944</v>
      </c>
      <c r="C2198" s="8" t="s">
        <v>3945</v>
      </c>
      <c r="D2198" s="9">
        <v>46124.0</v>
      </c>
      <c r="E2198" s="10">
        <v>131.79</v>
      </c>
      <c r="F2198" s="8" t="s">
        <v>917</v>
      </c>
      <c r="G2198" s="13">
        <v>20.8783</v>
      </c>
      <c r="H2198" s="13">
        <v>6.3123</v>
      </c>
      <c r="I2198" s="9">
        <v>46129.0</v>
      </c>
      <c r="J2198" s="10">
        <v>130.0</v>
      </c>
      <c r="K2198" s="8">
        <v>2929.0</v>
      </c>
      <c r="L2198" s="8" t="s">
        <v>2608</v>
      </c>
      <c r="M2198" s="11">
        <v>1.36</v>
      </c>
      <c r="N2198" s="8" t="s">
        <v>4746</v>
      </c>
      <c r="O2198" s="8">
        <v>4233.0</v>
      </c>
      <c r="P2198" s="11">
        <v>16.0652</v>
      </c>
      <c r="Q2198" s="8" t="s">
        <v>3947</v>
      </c>
      <c r="R2198" s="11">
        <v>-0.9098</v>
      </c>
      <c r="S2198" s="12">
        <v>2758696.0</v>
      </c>
      <c r="T2198" s="12">
        <v>1.02548120447E11</v>
      </c>
      <c r="U2198" s="13">
        <v>2.1974</v>
      </c>
      <c r="V2198" s="13">
        <v>9.7422</v>
      </c>
      <c r="W2198" s="13">
        <v>26.6061</v>
      </c>
      <c r="X2198" s="13">
        <v>6.193</v>
      </c>
      <c r="Y2198" s="13">
        <v>1.7574</v>
      </c>
      <c r="Z2198" s="13">
        <v>0.5518</v>
      </c>
      <c r="AA2198" s="8" t="s">
        <v>2611</v>
      </c>
      <c r="AB2198" s="14">
        <f>IFERROR(__xludf.DUMMYFUNCTION("IFERROR(GOOGLEFINANCE(B2198,""price""),"""")"),131.79)</f>
        <v>131.79</v>
      </c>
    </row>
    <row r="2199">
      <c r="A2199" s="15">
        <v>46122.66767184507</v>
      </c>
      <c r="B2199" s="16" t="s">
        <v>4646</v>
      </c>
      <c r="C2199" s="16" t="s">
        <v>4647</v>
      </c>
      <c r="D2199" s="17">
        <v>46124.0</v>
      </c>
      <c r="E2199" s="18">
        <v>65.01</v>
      </c>
      <c r="F2199" s="16" t="s">
        <v>117</v>
      </c>
      <c r="G2199" s="21"/>
      <c r="H2199" s="21">
        <v>-6.5335</v>
      </c>
      <c r="I2199" s="17">
        <v>46129.0</v>
      </c>
      <c r="J2199" s="18">
        <v>65.0</v>
      </c>
      <c r="K2199" s="16">
        <v>3417.0</v>
      </c>
      <c r="L2199" s="16" t="s">
        <v>2608</v>
      </c>
      <c r="M2199" s="19">
        <v>0.02</v>
      </c>
      <c r="N2199" s="16" t="s">
        <v>4747</v>
      </c>
      <c r="O2199" s="16">
        <v>3417.0</v>
      </c>
      <c r="P2199" s="19">
        <v>17.9106</v>
      </c>
      <c r="Q2199" s="16" t="s">
        <v>4649</v>
      </c>
      <c r="R2199" s="19">
        <v>0.6503</v>
      </c>
      <c r="S2199" s="20">
        <v>1224305.0</v>
      </c>
      <c r="T2199" s="20">
        <v>8.006813412E9</v>
      </c>
      <c r="U2199" s="21">
        <v>2.4537</v>
      </c>
      <c r="V2199" s="21"/>
      <c r="W2199" s="21">
        <v>-695.4395</v>
      </c>
      <c r="X2199" s="21">
        <v>376.5562</v>
      </c>
      <c r="Y2199" s="21"/>
      <c r="Z2199" s="21">
        <v>4.5293</v>
      </c>
      <c r="AA2199" s="16" t="s">
        <v>2611</v>
      </c>
      <c r="AB2199" s="22">
        <f>IFERROR(__xludf.DUMMYFUNCTION("IFERROR(GOOGLEFINANCE(B2199,""price""),"""")"),65.01)</f>
        <v>65.01</v>
      </c>
    </row>
    <row r="2200">
      <c r="A2200" s="7">
        <v>46122.66767184507</v>
      </c>
      <c r="B2200" s="8" t="s">
        <v>1467</v>
      </c>
      <c r="C2200" s="8" t="s">
        <v>1468</v>
      </c>
      <c r="D2200" s="9">
        <v>46124.0</v>
      </c>
      <c r="E2200" s="10">
        <v>142.53</v>
      </c>
      <c r="F2200" s="8" t="s">
        <v>102</v>
      </c>
      <c r="G2200" s="13">
        <v>26.8125</v>
      </c>
      <c r="H2200" s="13">
        <v>5.3158</v>
      </c>
      <c r="I2200" s="9">
        <v>46129.0</v>
      </c>
      <c r="J2200" s="10">
        <v>145.0</v>
      </c>
      <c r="K2200" s="8">
        <v>1645.0</v>
      </c>
      <c r="L2200" s="8" t="s">
        <v>2608</v>
      </c>
      <c r="M2200" s="11">
        <v>1.73</v>
      </c>
      <c r="N2200" s="8" t="s">
        <v>4748</v>
      </c>
      <c r="O2200" s="8">
        <v>3237.0</v>
      </c>
      <c r="P2200" s="11">
        <v>24.9841</v>
      </c>
      <c r="Q2200" s="8" t="s">
        <v>1469</v>
      </c>
      <c r="R2200" s="11">
        <v>0.4794</v>
      </c>
      <c r="S2200" s="12">
        <v>3583739.0</v>
      </c>
      <c r="T2200" s="12">
        <v>8.7237793839E10</v>
      </c>
      <c r="U2200" s="13">
        <v>4.0049</v>
      </c>
      <c r="V2200" s="13">
        <v>13.146</v>
      </c>
      <c r="W2200" s="13">
        <v>13.0805</v>
      </c>
      <c r="X2200" s="13">
        <v>-6.3935</v>
      </c>
      <c r="Y2200" s="13">
        <v>0.735</v>
      </c>
      <c r="Z2200" s="13">
        <v>0.9638</v>
      </c>
      <c r="AA2200" s="8" t="s">
        <v>2620</v>
      </c>
      <c r="AB2200" s="14">
        <f>IFERROR(__xludf.DUMMYFUNCTION("IFERROR(GOOGLEFINANCE(B2200,""price""),"""")"),142.53)</f>
        <v>142.53</v>
      </c>
    </row>
    <row r="2201">
      <c r="A2201" s="15">
        <v>46122.66767184507</v>
      </c>
      <c r="B2201" s="16" t="s">
        <v>2710</v>
      </c>
      <c r="C2201" s="16" t="s">
        <v>2711</v>
      </c>
      <c r="D2201" s="17">
        <v>46124.0</v>
      </c>
      <c r="E2201" s="18">
        <v>136.3</v>
      </c>
      <c r="F2201" s="16" t="s">
        <v>917</v>
      </c>
      <c r="G2201" s="21">
        <v>20.4658</v>
      </c>
      <c r="H2201" s="21">
        <v>6.6599</v>
      </c>
      <c r="I2201" s="17">
        <v>46129.0</v>
      </c>
      <c r="J2201" s="18">
        <v>135.0</v>
      </c>
      <c r="K2201" s="16">
        <v>2681.0</v>
      </c>
      <c r="L2201" s="16" t="s">
        <v>2608</v>
      </c>
      <c r="M2201" s="19">
        <v>0.95</v>
      </c>
      <c r="N2201" s="16" t="s">
        <v>4749</v>
      </c>
      <c r="O2201" s="16">
        <v>2681.0</v>
      </c>
      <c r="P2201" s="19">
        <v>23.4312</v>
      </c>
      <c r="Q2201" s="16" t="s">
        <v>2713</v>
      </c>
      <c r="R2201" s="19">
        <v>-0.6198</v>
      </c>
      <c r="S2201" s="20">
        <v>1981759.0</v>
      </c>
      <c r="T2201" s="20">
        <v>7.4087698558E10</v>
      </c>
      <c r="U2201" s="21">
        <v>2.4054</v>
      </c>
      <c r="V2201" s="21">
        <v>12.3274</v>
      </c>
      <c r="W2201" s="21">
        <v>25.0742</v>
      </c>
      <c r="X2201" s="21">
        <v>10.4587</v>
      </c>
      <c r="Y2201" s="21">
        <v>1.5949</v>
      </c>
      <c r="Z2201" s="21">
        <v>0.4546</v>
      </c>
      <c r="AA2201" s="16" t="s">
        <v>2611</v>
      </c>
      <c r="AB2201" s="22">
        <f>IFERROR(__xludf.DUMMYFUNCTION("IFERROR(GOOGLEFINANCE(B2201,""price""),"""")"),136.3)</f>
        <v>136.3</v>
      </c>
    </row>
    <row r="2202">
      <c r="A2202" s="7">
        <v>46122.66767184507</v>
      </c>
      <c r="B2202" s="8" t="s">
        <v>3385</v>
      </c>
      <c r="C2202" s="8" t="s">
        <v>3386</v>
      </c>
      <c r="D2202" s="9">
        <v>46124.0</v>
      </c>
      <c r="E2202" s="10">
        <v>49.17</v>
      </c>
      <c r="F2202" s="8" t="s">
        <v>129</v>
      </c>
      <c r="G2202" s="13">
        <v>44.941</v>
      </c>
      <c r="H2202" s="13">
        <v>1.0941</v>
      </c>
      <c r="I2202" s="9">
        <v>46129.0</v>
      </c>
      <c r="J2202" s="10">
        <v>50.0</v>
      </c>
      <c r="K2202" s="8">
        <v>2647.0</v>
      </c>
      <c r="L2202" s="8" t="s">
        <v>2608</v>
      </c>
      <c r="M2202" s="11">
        <v>1.69</v>
      </c>
      <c r="N2202" s="8" t="s">
        <v>4750</v>
      </c>
      <c r="O2202" s="8">
        <v>2647.0</v>
      </c>
      <c r="P2202" s="11">
        <v>15.7615</v>
      </c>
      <c r="Q2202" s="8" t="s">
        <v>3388</v>
      </c>
      <c r="R2202" s="11">
        <v>0.1426</v>
      </c>
      <c r="S2202" s="12">
        <v>7283310.0</v>
      </c>
      <c r="T2202" s="12">
        <v>5.6463310158E10</v>
      </c>
      <c r="U2202" s="13">
        <v>1.1493</v>
      </c>
      <c r="V2202" s="13">
        <v>33.2967</v>
      </c>
      <c r="W2202" s="13">
        <v>20.1917</v>
      </c>
      <c r="X2202" s="13">
        <v>8.6721</v>
      </c>
      <c r="Y2202" s="13">
        <v>0.1121</v>
      </c>
      <c r="Z2202" s="13">
        <v>4.852</v>
      </c>
      <c r="AA2202" s="8" t="s">
        <v>2620</v>
      </c>
      <c r="AB2202" s="14">
        <f>IFERROR(__xludf.DUMMYFUNCTION("IFERROR(GOOGLEFINANCE(B2202,""price""),"""")"),49.17)</f>
        <v>49.17</v>
      </c>
    </row>
    <row r="2203">
      <c r="A2203" s="15">
        <v>46122.66767184507</v>
      </c>
      <c r="B2203" s="16" t="s">
        <v>4359</v>
      </c>
      <c r="C2203" s="16" t="s">
        <v>4360</v>
      </c>
      <c r="D2203" s="17">
        <v>46124.0</v>
      </c>
      <c r="E2203" s="18">
        <v>128.49</v>
      </c>
      <c r="F2203" s="16" t="s">
        <v>308</v>
      </c>
      <c r="G2203" s="21">
        <v>41.5691</v>
      </c>
      <c r="H2203" s="21">
        <v>3.091</v>
      </c>
      <c r="I2203" s="17">
        <v>46122.0</v>
      </c>
      <c r="J2203" s="18">
        <v>130.0</v>
      </c>
      <c r="K2203" s="16">
        <v>2569.0</v>
      </c>
      <c r="L2203" s="16" t="s">
        <v>2608</v>
      </c>
      <c r="M2203" s="19">
        <v>1.18</v>
      </c>
      <c r="N2203" s="16" t="s">
        <v>4751</v>
      </c>
      <c r="O2203" s="16">
        <v>2569.0</v>
      </c>
      <c r="P2203" s="19">
        <v>24.2425</v>
      </c>
      <c r="Q2203" s="16" t="s">
        <v>4362</v>
      </c>
      <c r="R2203" s="19">
        <v>7.1375</v>
      </c>
      <c r="S2203" s="20">
        <v>4.1103912E7</v>
      </c>
      <c r="T2203" s="20">
        <v>1.1235914108E11</v>
      </c>
      <c r="U2203" s="21">
        <v>6.0903</v>
      </c>
      <c r="V2203" s="21">
        <v>19.2541</v>
      </c>
      <c r="W2203" s="21">
        <v>16.3327</v>
      </c>
      <c r="X2203" s="21">
        <v>42.0873</v>
      </c>
      <c r="Y2203" s="21">
        <v>0.3519</v>
      </c>
      <c r="Z2203" s="21">
        <v>2.0061</v>
      </c>
      <c r="AA2203" s="16" t="s">
        <v>2620</v>
      </c>
      <c r="AB2203" s="22">
        <f>IFERROR(__xludf.DUMMYFUNCTION("IFERROR(GOOGLEFINANCE(B2203,""price""),"""")"),128.49)</f>
        <v>128.49</v>
      </c>
    </row>
    <row r="2204">
      <c r="A2204" s="7">
        <v>46122.66767184507</v>
      </c>
      <c r="B2204" s="8" t="s">
        <v>1080</v>
      </c>
      <c r="C2204" s="8" t="s">
        <v>1081</v>
      </c>
      <c r="D2204" s="9">
        <v>46124.0</v>
      </c>
      <c r="E2204" s="10">
        <v>70.43</v>
      </c>
      <c r="F2204" s="8" t="s">
        <v>308</v>
      </c>
      <c r="G2204" s="13"/>
      <c r="H2204" s="13">
        <v>-0.3783</v>
      </c>
      <c r="I2204" s="9">
        <v>46129.0</v>
      </c>
      <c r="J2204" s="10">
        <v>70.0</v>
      </c>
      <c r="K2204" s="8">
        <v>1897.0</v>
      </c>
      <c r="L2204" s="8" t="s">
        <v>2608</v>
      </c>
      <c r="M2204" s="11">
        <v>0.61</v>
      </c>
      <c r="N2204" s="8" t="s">
        <v>4752</v>
      </c>
      <c r="O2204" s="8">
        <v>1897.0</v>
      </c>
      <c r="P2204" s="11">
        <v>26.0365</v>
      </c>
      <c r="Q2204" s="8" t="s">
        <v>1082</v>
      </c>
      <c r="R2204" s="11">
        <v>2.28</v>
      </c>
      <c r="S2204" s="12">
        <v>5253704.0</v>
      </c>
      <c r="T2204" s="12">
        <v>2.215252748E9</v>
      </c>
      <c r="U2204" s="13">
        <v>5.9053</v>
      </c>
      <c r="V2204" s="13">
        <v>-8.6813</v>
      </c>
      <c r="W2204" s="13">
        <v>-33.7576</v>
      </c>
      <c r="X2204" s="13">
        <v>-26.3895</v>
      </c>
      <c r="Y2204" s="13">
        <v>0.0722</v>
      </c>
      <c r="Z2204" s="13">
        <v>10.97</v>
      </c>
      <c r="AA2204" s="8" t="s">
        <v>2611</v>
      </c>
      <c r="AB2204" s="14">
        <f>IFERROR(__xludf.DUMMYFUNCTION("IFERROR(GOOGLEFINANCE(B2204,""price""),"""")"),70.43)</f>
        <v>70.43</v>
      </c>
    </row>
    <row r="2205">
      <c r="A2205" s="15">
        <v>46122.66767184507</v>
      </c>
      <c r="B2205" s="16" t="s">
        <v>4218</v>
      </c>
      <c r="C2205" s="16" t="s">
        <v>4219</v>
      </c>
      <c r="D2205" s="17">
        <v>46124.0</v>
      </c>
      <c r="E2205" s="18">
        <v>121.32</v>
      </c>
      <c r="F2205" s="16" t="s">
        <v>107</v>
      </c>
      <c r="G2205" s="21">
        <v>13.4906</v>
      </c>
      <c r="H2205" s="21">
        <v>8.9929</v>
      </c>
      <c r="I2205" s="17">
        <v>46122.0</v>
      </c>
      <c r="J2205" s="18">
        <v>120.0</v>
      </c>
      <c r="K2205" s="16">
        <v>1808.0</v>
      </c>
      <c r="L2205" s="16" t="s">
        <v>2627</v>
      </c>
      <c r="M2205" s="19">
        <v>1.09</v>
      </c>
      <c r="N2205" s="16" t="s">
        <v>4753</v>
      </c>
      <c r="O2205" s="16">
        <v>1808.0</v>
      </c>
      <c r="P2205" s="19">
        <v>29.626</v>
      </c>
      <c r="Q2205" s="16" t="s">
        <v>4221</v>
      </c>
      <c r="R2205" s="19">
        <v>1.6251</v>
      </c>
      <c r="S2205" s="20">
        <v>3651840.0</v>
      </c>
      <c r="T2205" s="20">
        <v>1.863674605E10</v>
      </c>
      <c r="U2205" s="21">
        <v>7.9018</v>
      </c>
      <c r="V2205" s="21">
        <v>29.6244</v>
      </c>
      <c r="W2205" s="21">
        <v>37.1118</v>
      </c>
      <c r="X2205" s="21">
        <v>19.3396</v>
      </c>
      <c r="Y2205" s="21">
        <v>0.7516</v>
      </c>
      <c r="Z2205" s="21">
        <v>3.3653</v>
      </c>
      <c r="AA2205" s="16" t="s">
        <v>2611</v>
      </c>
      <c r="AB2205" s="22">
        <f>IFERROR(__xludf.DUMMYFUNCTION("IFERROR(GOOGLEFINANCE(B2205,""price""),"""")"),121.32)</f>
        <v>121.32</v>
      </c>
    </row>
    <row r="2206">
      <c r="A2206" s="7">
        <v>46122.66767184507</v>
      </c>
      <c r="B2206" s="8" t="s">
        <v>2646</v>
      </c>
      <c r="C2206" s="8" t="s">
        <v>2647</v>
      </c>
      <c r="D2206" s="9">
        <v>46124.0</v>
      </c>
      <c r="E2206" s="10">
        <v>37.35</v>
      </c>
      <c r="F2206" s="8" t="s">
        <v>270</v>
      </c>
      <c r="G2206" s="13">
        <v>14.1039</v>
      </c>
      <c r="H2206" s="13">
        <v>2.6482</v>
      </c>
      <c r="I2206" s="9">
        <v>46122.0</v>
      </c>
      <c r="J2206" s="10">
        <v>38.0</v>
      </c>
      <c r="K2206" s="8">
        <v>1733.0</v>
      </c>
      <c r="L2206" s="8" t="s">
        <v>2608</v>
      </c>
      <c r="M2206" s="11">
        <v>1.74</v>
      </c>
      <c r="N2206" s="8" t="s">
        <v>4754</v>
      </c>
      <c r="O2206" s="8">
        <v>1733.0</v>
      </c>
      <c r="P2206" s="11">
        <v>25.2942</v>
      </c>
      <c r="Q2206" s="8" t="s">
        <v>2649</v>
      </c>
      <c r="R2206" s="11">
        <v>-0.4531</v>
      </c>
      <c r="S2206" s="12">
        <v>4143446.0</v>
      </c>
      <c r="T2206" s="12">
        <v>8.0741764705E10</v>
      </c>
      <c r="U2206" s="13">
        <v>0.8031</v>
      </c>
      <c r="V2206" s="13">
        <v>19.6987</v>
      </c>
      <c r="W2206" s="13">
        <v>12.3812</v>
      </c>
      <c r="X2206" s="13">
        <v>-6.474</v>
      </c>
      <c r="Y2206" s="13">
        <v>1.1744</v>
      </c>
      <c r="Z2206" s="13">
        <v>1.0411</v>
      </c>
      <c r="AA2206" s="8" t="s">
        <v>2620</v>
      </c>
      <c r="AB2206" s="14">
        <f>IFERROR(__xludf.DUMMYFUNCTION("IFERROR(GOOGLEFINANCE(B2206,""price""),"""")"),37.35)</f>
        <v>37.35</v>
      </c>
    </row>
    <row r="2207">
      <c r="A2207" s="15">
        <v>46122.66767184507</v>
      </c>
      <c r="B2207" s="16" t="s">
        <v>3248</v>
      </c>
      <c r="C2207" s="16" t="s">
        <v>3249</v>
      </c>
      <c r="D2207" s="17">
        <v>46124.0</v>
      </c>
      <c r="E2207" s="18">
        <v>127.56</v>
      </c>
      <c r="F2207" s="16" t="s">
        <v>93</v>
      </c>
      <c r="G2207" s="21">
        <v>17.2062</v>
      </c>
      <c r="H2207" s="21">
        <v>7.4136</v>
      </c>
      <c r="I2207" s="17">
        <v>46129.0</v>
      </c>
      <c r="J2207" s="18">
        <v>130.0</v>
      </c>
      <c r="K2207" s="16">
        <v>1637.0</v>
      </c>
      <c r="L2207" s="16" t="s">
        <v>2608</v>
      </c>
      <c r="M2207" s="19">
        <v>1.91</v>
      </c>
      <c r="N2207" s="16" t="s">
        <v>4755</v>
      </c>
      <c r="O2207" s="16">
        <v>1637.0</v>
      </c>
      <c r="P2207" s="19">
        <v>21.0862</v>
      </c>
      <c r="Q2207" s="16" t="s">
        <v>3251</v>
      </c>
      <c r="R2207" s="19">
        <v>-0.7933</v>
      </c>
      <c r="S2207" s="20">
        <v>2893107.0</v>
      </c>
      <c r="T2207" s="20">
        <v>8.7621902639E10</v>
      </c>
      <c r="U2207" s="21">
        <v>2.7672</v>
      </c>
      <c r="V2207" s="21">
        <v>12.9603</v>
      </c>
      <c r="W2207" s="21">
        <v>34.4848</v>
      </c>
      <c r="X2207" s="21">
        <v>2.0861</v>
      </c>
      <c r="Y2207" s="21">
        <v>1.7287</v>
      </c>
      <c r="Z2207" s="21">
        <v>1.6753</v>
      </c>
      <c r="AA2207" s="16" t="s">
        <v>2620</v>
      </c>
      <c r="AB2207" s="22">
        <f>IFERROR(__xludf.DUMMYFUNCTION("IFERROR(GOOGLEFINANCE(B2207,""price""),"""")"),127.56)</f>
        <v>127.56</v>
      </c>
    </row>
    <row r="2208">
      <c r="A2208" s="7">
        <v>46122.66767184507</v>
      </c>
      <c r="B2208" s="8" t="s">
        <v>2654</v>
      </c>
      <c r="C2208" s="8" t="s">
        <v>2655</v>
      </c>
      <c r="D2208" s="9">
        <v>46124.0</v>
      </c>
      <c r="E2208" s="10">
        <v>43.39</v>
      </c>
      <c r="F2208" s="8" t="s">
        <v>917</v>
      </c>
      <c r="G2208" s="13">
        <v>26.9788</v>
      </c>
      <c r="H2208" s="13">
        <v>1.6083</v>
      </c>
      <c r="I2208" s="9">
        <v>46129.0</v>
      </c>
      <c r="J2208" s="10">
        <v>44.0</v>
      </c>
      <c r="K2208" s="8">
        <v>1553.0</v>
      </c>
      <c r="L2208" s="8" t="s">
        <v>2608</v>
      </c>
      <c r="M2208" s="11">
        <v>1.41</v>
      </c>
      <c r="N2208" s="8" t="s">
        <v>4756</v>
      </c>
      <c r="O2208" s="8">
        <v>1553.0</v>
      </c>
      <c r="P2208" s="11">
        <v>16.8142</v>
      </c>
      <c r="Q2208" s="8" t="s">
        <v>2657</v>
      </c>
      <c r="R2208" s="11">
        <v>-1.6769</v>
      </c>
      <c r="S2208" s="12">
        <v>3494607.0</v>
      </c>
      <c r="T2208" s="12">
        <v>2.832809863E10</v>
      </c>
      <c r="U2208" s="13">
        <v>0.7367</v>
      </c>
      <c r="V2208" s="13">
        <v>9.643</v>
      </c>
      <c r="W2208" s="13">
        <v>22.55</v>
      </c>
      <c r="X2208" s="13">
        <v>8.261</v>
      </c>
      <c r="Y2208" s="13">
        <v>2.1166</v>
      </c>
      <c r="Z2208" s="13">
        <v>0.9107</v>
      </c>
      <c r="AA2208" s="8" t="s">
        <v>2620</v>
      </c>
      <c r="AB2208" s="14">
        <f>IFERROR(__xludf.DUMMYFUNCTION("IFERROR(GOOGLEFINANCE(B2208,""price""),"""")"),43.39)</f>
        <v>43.39</v>
      </c>
    </row>
    <row r="2209">
      <c r="A2209" s="15">
        <v>46122.66767184507</v>
      </c>
      <c r="B2209" s="16" t="s">
        <v>1766</v>
      </c>
      <c r="C2209" s="16" t="s">
        <v>1767</v>
      </c>
      <c r="D2209" s="17">
        <v>46124.0</v>
      </c>
      <c r="E2209" s="18">
        <v>98.82</v>
      </c>
      <c r="F2209" s="16" t="s">
        <v>917</v>
      </c>
      <c r="G2209" s="21">
        <v>35.9581</v>
      </c>
      <c r="H2209" s="21">
        <v>2.7482</v>
      </c>
      <c r="I2209" s="17">
        <v>46129.0</v>
      </c>
      <c r="J2209" s="18">
        <v>100.0</v>
      </c>
      <c r="K2209" s="16">
        <v>1477.0</v>
      </c>
      <c r="L2209" s="16" t="s">
        <v>2608</v>
      </c>
      <c r="M2209" s="19">
        <v>1.19</v>
      </c>
      <c r="N2209" s="16" t="s">
        <v>4757</v>
      </c>
      <c r="O2209" s="16">
        <v>1477.0</v>
      </c>
      <c r="P2209" s="19">
        <v>19.5751</v>
      </c>
      <c r="Q2209" s="16" t="s">
        <v>1768</v>
      </c>
      <c r="R2209" s="19">
        <v>-0.9323</v>
      </c>
      <c r="S2209" s="20">
        <v>1880410.0</v>
      </c>
      <c r="T2209" s="20">
        <v>6.4557536606E10</v>
      </c>
      <c r="U2209" s="21">
        <v>2.0161</v>
      </c>
      <c r="V2209" s="21">
        <v>5.8451</v>
      </c>
      <c r="W2209" s="21">
        <v>23.7349</v>
      </c>
      <c r="X2209" s="21">
        <v>5.8424</v>
      </c>
      <c r="Y2209" s="21">
        <v>1.1478</v>
      </c>
      <c r="Z2209" s="21">
        <v>1.5912</v>
      </c>
      <c r="AA2209" s="16" t="s">
        <v>2620</v>
      </c>
      <c r="AB2209" s="22">
        <f>IFERROR(__xludf.DUMMYFUNCTION("IFERROR(GOOGLEFINANCE(B2209,""price""),"""")"),98.82)</f>
        <v>98.82</v>
      </c>
    </row>
    <row r="2210">
      <c r="A2210" s="7">
        <v>46122.66767184507</v>
      </c>
      <c r="B2210" s="8" t="s">
        <v>3035</v>
      </c>
      <c r="C2210" s="8" t="s">
        <v>3036</v>
      </c>
      <c r="D2210" s="9">
        <v>46124.0</v>
      </c>
      <c r="E2210" s="10">
        <v>24.94</v>
      </c>
      <c r="F2210" s="8" t="s">
        <v>117</v>
      </c>
      <c r="G2210" s="13">
        <v>14.8073</v>
      </c>
      <c r="H2210" s="13">
        <v>1.6843</v>
      </c>
      <c r="I2210" s="9">
        <v>46129.0</v>
      </c>
      <c r="J2210" s="10">
        <v>25.0</v>
      </c>
      <c r="K2210" s="8">
        <v>1346.0</v>
      </c>
      <c r="L2210" s="8" t="s">
        <v>2608</v>
      </c>
      <c r="M2210" s="11">
        <v>0.24</v>
      </c>
      <c r="N2210" s="8" t="s">
        <v>4758</v>
      </c>
      <c r="O2210" s="8">
        <v>1346.0</v>
      </c>
      <c r="P2210" s="11">
        <v>15.9581</v>
      </c>
      <c r="Q2210" s="8" t="s">
        <v>3038</v>
      </c>
      <c r="R2210" s="11">
        <v>-2.5781</v>
      </c>
      <c r="S2210" s="12">
        <v>1276561.0</v>
      </c>
      <c r="T2210" s="12">
        <v>3.045769765E9</v>
      </c>
      <c r="U2210" s="13">
        <v>0.749</v>
      </c>
      <c r="V2210" s="13">
        <v>25.4862</v>
      </c>
      <c r="W2210" s="13">
        <v>43.7662</v>
      </c>
      <c r="X2210" s="13">
        <v>19.778</v>
      </c>
      <c r="Y2210" s="13">
        <v>0.0029</v>
      </c>
      <c r="Z2210" s="13">
        <v>6.0756</v>
      </c>
      <c r="AA2210" s="8" t="s">
        <v>2620</v>
      </c>
      <c r="AB2210" s="14">
        <f>IFERROR(__xludf.DUMMYFUNCTION("IFERROR(GOOGLEFINANCE(B2210,""price""),"""")"),24.94)</f>
        <v>24.94</v>
      </c>
    </row>
    <row r="2211">
      <c r="A2211" s="15">
        <v>46122.66767184507</v>
      </c>
      <c r="B2211" s="16" t="s">
        <v>2672</v>
      </c>
      <c r="C2211" s="16" t="s">
        <v>2673</v>
      </c>
      <c r="D2211" s="17">
        <v>46124.0</v>
      </c>
      <c r="E2211" s="18">
        <v>47.25</v>
      </c>
      <c r="F2211" s="16" t="s">
        <v>107</v>
      </c>
      <c r="G2211" s="21"/>
      <c r="H2211" s="21">
        <v>-1.865</v>
      </c>
      <c r="I2211" s="17">
        <v>46129.0</v>
      </c>
      <c r="J2211" s="18">
        <v>47.5</v>
      </c>
      <c r="K2211" s="16">
        <v>1272.0</v>
      </c>
      <c r="L2211" s="16" t="s">
        <v>2608</v>
      </c>
      <c r="M2211" s="19">
        <v>0.53</v>
      </c>
      <c r="N2211" s="16" t="s">
        <v>4759</v>
      </c>
      <c r="O2211" s="16">
        <v>1272.0</v>
      </c>
      <c r="P2211" s="19">
        <v>19.5896</v>
      </c>
      <c r="Q2211" s="16" t="s">
        <v>2675</v>
      </c>
      <c r="R2211" s="19">
        <v>-0.3585</v>
      </c>
      <c r="S2211" s="20">
        <v>2195217.0</v>
      </c>
      <c r="T2211" s="20">
        <v>1.9365613914E10</v>
      </c>
      <c r="U2211" s="21">
        <v>1.3707</v>
      </c>
      <c r="V2211" s="21">
        <v>-0.805</v>
      </c>
      <c r="W2211" s="21">
        <v>16.2067</v>
      </c>
      <c r="X2211" s="21">
        <v>-10.4796</v>
      </c>
      <c r="Y2211" s="21">
        <v>0.2451</v>
      </c>
      <c r="Z2211" s="21">
        <v>2.4187</v>
      </c>
      <c r="AA2211" s="16" t="s">
        <v>2620</v>
      </c>
      <c r="AB2211" s="22">
        <f>IFERROR(__xludf.DUMMYFUNCTION("IFERROR(GOOGLEFINANCE(B2211,""price""),"""")"),47.25)</f>
        <v>47.25</v>
      </c>
    </row>
    <row r="2212">
      <c r="A2212" s="7">
        <v>46122.66767184507</v>
      </c>
      <c r="B2212" s="8" t="s">
        <v>1811</v>
      </c>
      <c r="C2212" s="8" t="s">
        <v>1812</v>
      </c>
      <c r="D2212" s="9">
        <v>46124.0</v>
      </c>
      <c r="E2212" s="10">
        <v>46.06</v>
      </c>
      <c r="F2212" s="8" t="s">
        <v>308</v>
      </c>
      <c r="G2212" s="13">
        <v>44.5024</v>
      </c>
      <c r="H2212" s="13">
        <v>1.035</v>
      </c>
      <c r="I2212" s="9">
        <v>46129.0</v>
      </c>
      <c r="J2212" s="10">
        <v>46.0</v>
      </c>
      <c r="K2212" s="8">
        <v>1037.0</v>
      </c>
      <c r="L2212" s="8" t="s">
        <v>2608</v>
      </c>
      <c r="M2212" s="11">
        <v>0.13</v>
      </c>
      <c r="N2212" s="8" t="s">
        <v>4760</v>
      </c>
      <c r="O2212" s="8">
        <v>1037.0</v>
      </c>
      <c r="P2212" s="11">
        <v>18.385</v>
      </c>
      <c r="Q2212" s="8" t="s">
        <v>1813</v>
      </c>
      <c r="R2212" s="11">
        <v>-2.2081</v>
      </c>
      <c r="S2212" s="12">
        <v>1123165.0</v>
      </c>
      <c r="T2212" s="12">
        <v>1.224487518E10</v>
      </c>
      <c r="U2212" s="13">
        <v>1.7734</v>
      </c>
      <c r="V2212" s="13">
        <v>10.5164</v>
      </c>
      <c r="W2212" s="13">
        <v>9.5669</v>
      </c>
      <c r="X2212" s="13">
        <v>12.8015</v>
      </c>
      <c r="Y2212" s="13">
        <v>0.1722</v>
      </c>
      <c r="Z2212" s="13">
        <v>1.8895</v>
      </c>
      <c r="AA2212" s="8" t="s">
        <v>2611</v>
      </c>
      <c r="AB2212" s="14">
        <f>IFERROR(__xludf.DUMMYFUNCTION("IFERROR(GOOGLEFINANCE(B2212,""price""),"""")"),46.06)</f>
        <v>46.06</v>
      </c>
    </row>
    <row r="2213">
      <c r="A2213" s="15">
        <v>46122.66767184507</v>
      </c>
      <c r="B2213" s="16" t="s">
        <v>4640</v>
      </c>
      <c r="C2213" s="16" t="s">
        <v>4641</v>
      </c>
      <c r="D2213" s="17">
        <v>46124.0</v>
      </c>
      <c r="E2213" s="18">
        <v>73.03</v>
      </c>
      <c r="F2213" s="16" t="s">
        <v>335</v>
      </c>
      <c r="G2213" s="21">
        <v>16.2806</v>
      </c>
      <c r="H2213" s="21">
        <v>4.4857</v>
      </c>
      <c r="I2213" s="17">
        <v>46122.0</v>
      </c>
      <c r="J2213" s="18">
        <v>72.0</v>
      </c>
      <c r="K2213" s="16">
        <v>1014.0</v>
      </c>
      <c r="L2213" s="16" t="s">
        <v>2627</v>
      </c>
      <c r="M2213" s="19">
        <v>1.41</v>
      </c>
      <c r="N2213" s="16" t="s">
        <v>4761</v>
      </c>
      <c r="O2213" s="16">
        <v>1014.0</v>
      </c>
      <c r="P2213" s="19">
        <v>20.3564</v>
      </c>
      <c r="Q2213" s="16" t="s">
        <v>4643</v>
      </c>
      <c r="R2213" s="19">
        <v>-0.3276</v>
      </c>
      <c r="S2213" s="20">
        <v>3184752.0</v>
      </c>
      <c r="T2213" s="20">
        <v>1.926821622E10</v>
      </c>
      <c r="U2213" s="21">
        <v>3.7271</v>
      </c>
      <c r="V2213" s="21">
        <v>20.7539</v>
      </c>
      <c r="W2213" s="21">
        <v>12.283</v>
      </c>
      <c r="X2213" s="21">
        <v>7.3149</v>
      </c>
      <c r="Y2213" s="21">
        <v>0.449</v>
      </c>
      <c r="Z2213" s="21">
        <v>1.4388</v>
      </c>
      <c r="AA2213" s="16" t="s">
        <v>2611</v>
      </c>
      <c r="AB2213" s="22">
        <f>IFERROR(__xludf.DUMMYFUNCTION("IFERROR(GOOGLEFINANCE(B2213,""price""),"""")"),73.03)</f>
        <v>73.03</v>
      </c>
    </row>
    <row r="2214">
      <c r="A2214" s="7">
        <v>46122.66767184507</v>
      </c>
      <c r="B2214" s="8" t="s">
        <v>2297</v>
      </c>
      <c r="C2214" s="8" t="s">
        <v>2298</v>
      </c>
      <c r="D2214" s="9">
        <v>46124.0</v>
      </c>
      <c r="E2214" s="10">
        <v>116.47</v>
      </c>
      <c r="F2214" s="8" t="s">
        <v>917</v>
      </c>
      <c r="G2214" s="13">
        <v>29.7695</v>
      </c>
      <c r="H2214" s="13">
        <v>3.9124</v>
      </c>
      <c r="I2214" s="9">
        <v>46129.0</v>
      </c>
      <c r="J2214" s="10">
        <v>115.0</v>
      </c>
      <c r="K2214" s="8">
        <v>1004.0</v>
      </c>
      <c r="L2214" s="8" t="s">
        <v>2627</v>
      </c>
      <c r="M2214" s="11">
        <v>1.26</v>
      </c>
      <c r="N2214" s="8" t="s">
        <v>4762</v>
      </c>
      <c r="O2214" s="8">
        <v>1004.0</v>
      </c>
      <c r="P2214" s="11">
        <v>31.3606</v>
      </c>
      <c r="Q2214" s="8" t="s">
        <v>2299</v>
      </c>
      <c r="R2214" s="11">
        <v>-0.826</v>
      </c>
      <c r="S2214" s="12">
        <v>1889179.0</v>
      </c>
      <c r="T2214" s="12">
        <v>5.2759727487E10</v>
      </c>
      <c r="U2214" s="13">
        <v>2.4159</v>
      </c>
      <c r="V2214" s="13">
        <v>10.931</v>
      </c>
      <c r="W2214" s="13">
        <v>22.9697</v>
      </c>
      <c r="X2214" s="13">
        <v>8.3782</v>
      </c>
      <c r="Y2214" s="13">
        <v>1.8276</v>
      </c>
      <c r="Z2214" s="13">
        <v>0.7243</v>
      </c>
      <c r="AA2214" s="8" t="s">
        <v>2611</v>
      </c>
      <c r="AB2214" s="14">
        <f>IFERROR(__xludf.DUMMYFUNCTION("IFERROR(GOOGLEFINANCE(B2214,""price""),"""")"),116.47)</f>
        <v>116.47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6.38"/>
    <col customWidth="1" min="3" max="3" width="40.75"/>
    <col customWidth="1" min="4" max="4" width="10.0"/>
    <col customWidth="1" min="5" max="5" width="5.88"/>
    <col customWidth="1" min="6" max="6" width="14.13"/>
    <col customWidth="1" min="7" max="7" width="10.88"/>
    <col customWidth="1" min="8" max="9" width="12.5"/>
    <col customWidth="1" min="10" max="10" width="12.38"/>
    <col customWidth="1" min="11" max="11" width="6.25"/>
    <col customWidth="1" min="12" max="12" width="20.0"/>
    <col customWidth="1" min="13" max="13" width="11.88"/>
    <col customWidth="1" min="14" max="15" width="9.13"/>
    <col customWidth="1" min="16" max="20" width="6.88"/>
    <col customWidth="1" min="21" max="21" width="10.25"/>
  </cols>
  <sheetData>
    <row r="1">
      <c r="A1" s="6" t="s">
        <v>0</v>
      </c>
      <c r="B1" s="6" t="s">
        <v>57</v>
      </c>
      <c r="C1" s="6" t="s">
        <v>58</v>
      </c>
      <c r="D1" s="6" t="s">
        <v>59</v>
      </c>
      <c r="E1" s="6" t="s">
        <v>61</v>
      </c>
      <c r="F1" s="6" t="s">
        <v>73</v>
      </c>
      <c r="G1" s="6" t="s">
        <v>4763</v>
      </c>
      <c r="H1" s="6" t="s">
        <v>4764</v>
      </c>
      <c r="I1" s="6" t="s">
        <v>4765</v>
      </c>
      <c r="J1" s="6" t="s">
        <v>60</v>
      </c>
      <c r="K1" s="6" t="s">
        <v>62</v>
      </c>
      <c r="L1" s="6" t="s">
        <v>71</v>
      </c>
      <c r="M1" s="6" t="s">
        <v>4766</v>
      </c>
      <c r="N1" s="6" t="s">
        <v>4767</v>
      </c>
      <c r="O1" s="6" t="s">
        <v>4768</v>
      </c>
      <c r="P1" s="6" t="s">
        <v>1068</v>
      </c>
      <c r="Q1" s="6" t="s">
        <v>1069</v>
      </c>
      <c r="R1" s="6" t="s">
        <v>1070</v>
      </c>
      <c r="S1" s="6" t="s">
        <v>1071</v>
      </c>
      <c r="T1" s="6" t="s">
        <v>1072</v>
      </c>
      <c r="U1" s="6" t="s">
        <v>7</v>
      </c>
    </row>
    <row r="2">
      <c r="A2" s="7">
        <v>46048.66130101975</v>
      </c>
      <c r="B2" s="8" t="s">
        <v>4769</v>
      </c>
      <c r="C2" s="8" t="s">
        <v>4770</v>
      </c>
      <c r="D2" s="9">
        <v>46054.0</v>
      </c>
      <c r="E2" s="10">
        <v>20.5</v>
      </c>
      <c r="F2" s="12">
        <v>3.6392324E8</v>
      </c>
      <c r="G2" s="26">
        <v>45.431</v>
      </c>
      <c r="H2" s="26">
        <v>78.6026</v>
      </c>
      <c r="I2" s="13">
        <v>0.9008</v>
      </c>
      <c r="J2" s="8" t="s">
        <v>4771</v>
      </c>
      <c r="K2" s="11">
        <v>-5.268</v>
      </c>
      <c r="L2" s="13">
        <v>704079.4</v>
      </c>
      <c r="M2" s="8">
        <v>6791210.0</v>
      </c>
      <c r="N2" s="8">
        <v>2.1445212E7</v>
      </c>
      <c r="O2" s="8">
        <v>2.380571E7</v>
      </c>
      <c r="P2" s="13">
        <v>21.0541</v>
      </c>
      <c r="Q2" s="13">
        <v>19.503</v>
      </c>
      <c r="R2" s="13">
        <v>17.8714</v>
      </c>
      <c r="S2" s="13">
        <v>16.1241</v>
      </c>
      <c r="T2" s="13">
        <v>14.6766</v>
      </c>
      <c r="U2" s="14">
        <f>IFERROR(__xludf.DUMMYFUNCTION("IFERROR(GOOGLEFINANCE(B2,""price""),"""")"),25.17)</f>
        <v>25.17</v>
      </c>
    </row>
    <row r="3">
      <c r="A3" s="15">
        <v>46048.66130101975</v>
      </c>
      <c r="B3" s="16" t="s">
        <v>4772</v>
      </c>
      <c r="C3" s="16" t="s">
        <v>4773</v>
      </c>
      <c r="D3" s="17">
        <v>46054.0</v>
      </c>
      <c r="E3" s="18">
        <v>42.84</v>
      </c>
      <c r="F3" s="20">
        <v>9.31810517E8</v>
      </c>
      <c r="G3" s="27">
        <v>93.0719</v>
      </c>
      <c r="H3" s="27">
        <v>227.9908</v>
      </c>
      <c r="I3" s="21">
        <v>1.8204</v>
      </c>
      <c r="J3" s="16" t="s">
        <v>4774</v>
      </c>
      <c r="K3" s="19">
        <v>-2.8792</v>
      </c>
      <c r="L3" s="21">
        <v>238873.2</v>
      </c>
      <c r="M3" s="16">
        <v>2.480306E7</v>
      </c>
      <c r="N3" s="16">
        <v>1.85414791E8</v>
      </c>
      <c r="O3" s="16">
        <v>1.0185301E8</v>
      </c>
      <c r="P3" s="21">
        <v>43.9943</v>
      </c>
      <c r="Q3" s="21">
        <v>43.2446</v>
      </c>
      <c r="R3" s="21">
        <v>42.9522</v>
      </c>
      <c r="S3" s="21">
        <v>42.8226</v>
      </c>
      <c r="T3" s="21">
        <v>42.7554</v>
      </c>
      <c r="U3" s="22">
        <f>IFERROR(__xludf.DUMMYFUNCTION("IFERROR(GOOGLEFINANCE(B3,""price""),"""")"),48.35)</f>
        <v>48.35</v>
      </c>
    </row>
    <row r="4">
      <c r="A4" s="7">
        <v>46048.66130101975</v>
      </c>
      <c r="B4" s="8" t="s">
        <v>4775</v>
      </c>
      <c r="C4" s="8" t="s">
        <v>4776</v>
      </c>
      <c r="D4" s="9">
        <v>46054.0</v>
      </c>
      <c r="E4" s="10">
        <v>1.43</v>
      </c>
      <c r="F4" s="12">
        <v>3.7947338E8</v>
      </c>
      <c r="G4" s="26">
        <v>76.5527</v>
      </c>
      <c r="H4" s="26">
        <v>32.489</v>
      </c>
      <c r="I4" s="13">
        <v>1.4008</v>
      </c>
      <c r="J4" s="8" t="s">
        <v>4777</v>
      </c>
      <c r="K4" s="11">
        <v>5.1471</v>
      </c>
      <c r="L4" s="8">
        <v>3416093.0</v>
      </c>
      <c r="M4" s="8">
        <v>3.2174E7</v>
      </c>
      <c r="N4" s="8">
        <v>4.5155E7</v>
      </c>
      <c r="O4" s="8">
        <v>3.2236E7</v>
      </c>
      <c r="P4" s="13">
        <v>1.4013</v>
      </c>
      <c r="Q4" s="13">
        <v>1.4639</v>
      </c>
      <c r="R4" s="13">
        <v>1.5461</v>
      </c>
      <c r="S4" s="13">
        <v>1.7105</v>
      </c>
      <c r="T4" s="13">
        <v>1.9529</v>
      </c>
      <c r="U4" s="14">
        <f>IFERROR(__xludf.DUMMYFUNCTION("IFERROR(GOOGLEFINANCE(B4,""price""),"""")"),1.4)</f>
        <v>1.4</v>
      </c>
    </row>
    <row r="5">
      <c r="A5" s="15">
        <v>46048.66130101975</v>
      </c>
      <c r="B5" s="16" t="s">
        <v>4778</v>
      </c>
      <c r="C5" s="16" t="s">
        <v>4779</v>
      </c>
      <c r="D5" s="17">
        <v>46054.0</v>
      </c>
      <c r="E5" s="18">
        <v>5.85</v>
      </c>
      <c r="F5" s="20">
        <v>3.74489941E8</v>
      </c>
      <c r="G5" s="27">
        <v>87.9451</v>
      </c>
      <c r="H5" s="27">
        <v>78.0444</v>
      </c>
      <c r="I5" s="21">
        <v>0.0632</v>
      </c>
      <c r="J5" s="16" t="s">
        <v>4780</v>
      </c>
      <c r="K5" s="19">
        <v>0.6885</v>
      </c>
      <c r="L5" s="21">
        <v>554989.6</v>
      </c>
      <c r="M5" s="16">
        <v>1.5074E7</v>
      </c>
      <c r="N5" s="16">
        <v>4488000.0</v>
      </c>
      <c r="O5" s="16">
        <v>7.1049E7</v>
      </c>
      <c r="P5" s="21">
        <v>5.765</v>
      </c>
      <c r="Q5" s="21">
        <v>5.6766</v>
      </c>
      <c r="R5" s="21">
        <v>5.6246</v>
      </c>
      <c r="S5" s="21">
        <v>5.5654</v>
      </c>
      <c r="T5" s="21">
        <v>5.4906</v>
      </c>
      <c r="U5" s="22">
        <f>IFERROR(__xludf.DUMMYFUNCTION("IFERROR(GOOGLEFINANCE(B5,""price""),"""")"),5.45)</f>
        <v>5.45</v>
      </c>
    </row>
    <row r="6">
      <c r="A6" s="7">
        <v>46048.66130101975</v>
      </c>
      <c r="B6" s="8" t="s">
        <v>4781</v>
      </c>
      <c r="C6" s="8" t="s">
        <v>4782</v>
      </c>
      <c r="D6" s="9">
        <v>46054.0</v>
      </c>
      <c r="E6" s="10">
        <v>30.33</v>
      </c>
      <c r="F6" s="12">
        <v>2.45492371E8</v>
      </c>
      <c r="G6" s="26">
        <v>33.5301</v>
      </c>
      <c r="H6" s="26">
        <v>30.7392</v>
      </c>
      <c r="I6" s="13">
        <v>0.4459</v>
      </c>
      <c r="J6" s="8" t="s">
        <v>4783</v>
      </c>
      <c r="K6" s="11">
        <v>1.7444</v>
      </c>
      <c r="L6" s="13">
        <v>115869.7</v>
      </c>
      <c r="M6" s="8">
        <v>1.2268E7</v>
      </c>
      <c r="N6" s="8">
        <v>1.4151E7</v>
      </c>
      <c r="O6" s="8">
        <v>3.1737E7</v>
      </c>
      <c r="P6" s="13">
        <v>30.7255</v>
      </c>
      <c r="Q6" s="13">
        <v>30.9859</v>
      </c>
      <c r="R6" s="13">
        <v>30.5588</v>
      </c>
      <c r="S6" s="13">
        <v>29.7197</v>
      </c>
      <c r="T6" s="13">
        <v>28.4322</v>
      </c>
      <c r="U6" s="14">
        <f>IFERROR(__xludf.DUMMYFUNCTION("IFERROR(GOOGLEFINANCE(B6,""price""),"""")"),33.55)</f>
        <v>33.55</v>
      </c>
    </row>
    <row r="7">
      <c r="A7" s="15">
        <v>46048.66130101975</v>
      </c>
      <c r="B7" s="16" t="s">
        <v>4784</v>
      </c>
      <c r="C7" s="16" t="s">
        <v>4785</v>
      </c>
      <c r="D7" s="17">
        <v>46054.0</v>
      </c>
      <c r="E7" s="18">
        <v>7.43</v>
      </c>
      <c r="F7" s="20">
        <v>6.97373055E8</v>
      </c>
      <c r="G7" s="27">
        <v>92.9391</v>
      </c>
      <c r="H7" s="27">
        <v>188.9999</v>
      </c>
      <c r="I7" s="21">
        <v>0.794</v>
      </c>
      <c r="J7" s="16" t="s">
        <v>4786</v>
      </c>
      <c r="K7" s="19">
        <v>-0.5355</v>
      </c>
      <c r="L7" s="21">
        <v>342489.1</v>
      </c>
      <c r="M7" s="16">
        <v>5.3903E7</v>
      </c>
      <c r="N7" s="16">
        <v>7.8663E7</v>
      </c>
      <c r="O7" s="16">
        <v>9.9078E7</v>
      </c>
      <c r="P7" s="21">
        <v>7.4513</v>
      </c>
      <c r="Q7" s="21">
        <v>7.4461</v>
      </c>
      <c r="R7" s="21">
        <v>7.4435</v>
      </c>
      <c r="S7" s="21">
        <v>7.4481</v>
      </c>
      <c r="T7" s="21">
        <v>7.4552</v>
      </c>
      <c r="U7" s="22">
        <f>IFERROR(__xludf.DUMMYFUNCTION("IFERROR(GOOGLEFINANCE(B7,""price""),"""")"),7.06)</f>
        <v>7.06</v>
      </c>
    </row>
    <row r="8">
      <c r="A8" s="7">
        <v>46048.66130101975</v>
      </c>
      <c r="B8" s="8" t="s">
        <v>4787</v>
      </c>
      <c r="C8" s="8" t="s">
        <v>4788</v>
      </c>
      <c r="D8" s="9">
        <v>46054.0</v>
      </c>
      <c r="E8" s="10">
        <v>15.95</v>
      </c>
      <c r="F8" s="12">
        <v>3.60364586E8</v>
      </c>
      <c r="G8" s="26">
        <v>93.5373</v>
      </c>
      <c r="H8" s="26">
        <v>235.6763</v>
      </c>
      <c r="I8" s="13">
        <v>1.1757</v>
      </c>
      <c r="J8" s="8" t="s">
        <v>4789</v>
      </c>
      <c r="K8" s="11">
        <v>0.0</v>
      </c>
      <c r="L8" s="13">
        <v>171428.9</v>
      </c>
      <c r="M8" s="8">
        <v>1153000.0</v>
      </c>
      <c r="N8" s="8">
        <v>8.1709E7</v>
      </c>
      <c r="O8" s="8">
        <v>6.9496E7</v>
      </c>
      <c r="P8" s="13">
        <v>15.8006</v>
      </c>
      <c r="Q8" s="13">
        <v>15.6333</v>
      </c>
      <c r="R8" s="13">
        <v>15.5376</v>
      </c>
      <c r="S8" s="13">
        <v>15.4344</v>
      </c>
      <c r="T8" s="13">
        <v>15.2718</v>
      </c>
      <c r="U8" s="14">
        <f>IFERROR(__xludf.DUMMYFUNCTION("IFERROR(GOOGLEFINANCE(B8,""price""),"""")"),16.44)</f>
        <v>16.44</v>
      </c>
    </row>
    <row r="9">
      <c r="A9" s="15">
        <v>46048.66130101975</v>
      </c>
      <c r="B9" s="16" t="s">
        <v>4790</v>
      </c>
      <c r="C9" s="16" t="s">
        <v>4791</v>
      </c>
      <c r="D9" s="17">
        <v>46054.0</v>
      </c>
      <c r="E9" s="18">
        <v>11.64</v>
      </c>
      <c r="F9" s="20">
        <v>2.16977187E8</v>
      </c>
      <c r="G9" s="27">
        <v>61.3449</v>
      </c>
      <c r="H9" s="27">
        <v>24.1858</v>
      </c>
      <c r="I9" s="21">
        <v>0.8187</v>
      </c>
      <c r="J9" s="16" t="s">
        <v>4792</v>
      </c>
      <c r="K9" s="19">
        <v>-2.349</v>
      </c>
      <c r="L9" s="21">
        <v>224194.1</v>
      </c>
      <c r="M9" s="16">
        <v>1.2011E7</v>
      </c>
      <c r="N9" s="16">
        <v>9089000.0</v>
      </c>
      <c r="O9" s="16">
        <v>1.1102E7</v>
      </c>
      <c r="P9" s="21">
        <v>12.0909</v>
      </c>
      <c r="Q9" s="21">
        <v>12.6323</v>
      </c>
      <c r="R9" s="21">
        <v>13.1558</v>
      </c>
      <c r="S9" s="21">
        <v>13.9095</v>
      </c>
      <c r="T9" s="21">
        <v>14.4976</v>
      </c>
      <c r="U9" s="22">
        <f>IFERROR(__xludf.DUMMYFUNCTION("IFERROR(GOOGLEFINANCE(B9,""price""),"""")"),6.13)</f>
        <v>6.13</v>
      </c>
    </row>
    <row r="10">
      <c r="A10" s="7">
        <v>46048.66130101975</v>
      </c>
      <c r="B10" s="8" t="s">
        <v>4793</v>
      </c>
      <c r="C10" s="8" t="s">
        <v>4794</v>
      </c>
      <c r="D10" s="9">
        <v>46054.0</v>
      </c>
      <c r="E10" s="10">
        <v>7.43</v>
      </c>
      <c r="F10" s="12">
        <v>2.8247305E8</v>
      </c>
      <c r="G10" s="26">
        <v>57.3216</v>
      </c>
      <c r="H10" s="26">
        <v>18.8954</v>
      </c>
      <c r="I10" s="13">
        <v>0.2964</v>
      </c>
      <c r="J10" s="8" t="s">
        <v>4795</v>
      </c>
      <c r="K10" s="11">
        <v>1.5027</v>
      </c>
      <c r="L10" s="13">
        <v>126646.2</v>
      </c>
      <c r="M10" s="8">
        <v>5385000.0</v>
      </c>
      <c r="N10" s="8">
        <v>1.3575E7</v>
      </c>
      <c r="O10" s="8">
        <v>4.5803E7</v>
      </c>
      <c r="P10" s="13">
        <v>7.3792</v>
      </c>
      <c r="Q10" s="13">
        <v>7.3206</v>
      </c>
      <c r="R10" s="13">
        <v>7.2424</v>
      </c>
      <c r="S10" s="13">
        <v>7.1363</v>
      </c>
      <c r="T10" s="13">
        <v>7.0416</v>
      </c>
      <c r="U10" s="14">
        <f>IFERROR(__xludf.DUMMYFUNCTION("IFERROR(GOOGLEFINANCE(B10,""price""),"""")"),9.51)</f>
        <v>9.51</v>
      </c>
    </row>
    <row r="11">
      <c r="A11" s="15">
        <v>46048.66130101975</v>
      </c>
      <c r="B11" s="16" t="s">
        <v>4796</v>
      </c>
      <c r="C11" s="16" t="s">
        <v>4797</v>
      </c>
      <c r="D11" s="17">
        <v>46054.0</v>
      </c>
      <c r="E11" s="18">
        <v>4.91</v>
      </c>
      <c r="F11" s="20">
        <v>1.74811475E8</v>
      </c>
      <c r="G11" s="27">
        <v>85.0918</v>
      </c>
      <c r="H11" s="27">
        <v>24.2074</v>
      </c>
      <c r="I11" s="21">
        <v>1.6603</v>
      </c>
      <c r="J11" s="16" t="s">
        <v>4798</v>
      </c>
      <c r="K11" s="19">
        <v>-1.2072</v>
      </c>
      <c r="L11" s="21">
        <v>409360.0</v>
      </c>
      <c r="M11" s="16">
        <v>3.603424E7</v>
      </c>
      <c r="N11" s="16">
        <v>8.0844E7</v>
      </c>
      <c r="O11" s="16">
        <v>4.8691E7</v>
      </c>
      <c r="P11" s="21">
        <v>4.9755</v>
      </c>
      <c r="Q11" s="21">
        <v>5.1245</v>
      </c>
      <c r="R11" s="21">
        <v>5.2941</v>
      </c>
      <c r="S11" s="21">
        <v>5.6635</v>
      </c>
      <c r="T11" s="21">
        <v>6.3655</v>
      </c>
      <c r="U11" s="22">
        <f>IFERROR(__xludf.DUMMYFUNCTION("IFERROR(GOOGLEFINANCE(B11,""price""),"""")"),3.61)</f>
        <v>3.61</v>
      </c>
    </row>
    <row r="12">
      <c r="A12" s="7">
        <v>46048.66130101975</v>
      </c>
      <c r="B12" s="8" t="s">
        <v>4799</v>
      </c>
      <c r="C12" s="8" t="s">
        <v>4800</v>
      </c>
      <c r="D12" s="9">
        <v>46054.0</v>
      </c>
      <c r="E12" s="10">
        <v>8.92</v>
      </c>
      <c r="F12" s="12">
        <v>5.0426421E8</v>
      </c>
      <c r="G12" s="26">
        <v>91.3388</v>
      </c>
      <c r="H12" s="26">
        <v>30.1381</v>
      </c>
      <c r="I12" s="13">
        <v>1.2149</v>
      </c>
      <c r="J12" s="8" t="s">
        <v>4801</v>
      </c>
      <c r="K12" s="11">
        <v>0.2247</v>
      </c>
      <c r="L12" s="13">
        <v>195332.5</v>
      </c>
      <c r="M12" s="8">
        <v>1.691388E7</v>
      </c>
      <c r="N12" s="8">
        <v>1.25076693E8</v>
      </c>
      <c r="O12" s="8">
        <v>1.0295438E8</v>
      </c>
      <c r="P12" s="13">
        <v>8.7763</v>
      </c>
      <c r="Q12" s="13">
        <v>8.645</v>
      </c>
      <c r="R12" s="13">
        <v>8.5896</v>
      </c>
      <c r="S12" s="13">
        <v>8.5491</v>
      </c>
      <c r="T12" s="13">
        <v>8.5339</v>
      </c>
      <c r="U12" s="14">
        <f>IFERROR(__xludf.DUMMYFUNCTION("IFERROR(GOOGLEFINANCE(B12,""price""),"""")"),10.09)</f>
        <v>10.09</v>
      </c>
    </row>
    <row r="13">
      <c r="A13" s="15">
        <v>46048.66130101975</v>
      </c>
      <c r="B13" s="16" t="s">
        <v>4802</v>
      </c>
      <c r="C13" s="16" t="s">
        <v>4803</v>
      </c>
      <c r="D13" s="17">
        <v>46054.0</v>
      </c>
      <c r="E13" s="18">
        <v>8.42</v>
      </c>
      <c r="F13" s="20">
        <v>3.77192705E8</v>
      </c>
      <c r="G13" s="27">
        <v>91.4242</v>
      </c>
      <c r="H13" s="27">
        <v>351.6546</v>
      </c>
      <c r="I13" s="21">
        <v>0.1285</v>
      </c>
      <c r="J13" s="16" t="s">
        <v>4804</v>
      </c>
      <c r="K13" s="19">
        <v>0.1189</v>
      </c>
      <c r="L13" s="21">
        <v>199811.4</v>
      </c>
      <c r="M13" s="16">
        <v>3.8991E7</v>
      </c>
      <c r="N13" s="16">
        <v>6542000.0</v>
      </c>
      <c r="O13" s="16">
        <v>5.0894E7</v>
      </c>
      <c r="P13" s="21">
        <v>8.4083</v>
      </c>
      <c r="Q13" s="21">
        <v>8.4147</v>
      </c>
      <c r="R13" s="21">
        <v>8.4165</v>
      </c>
      <c r="S13" s="21">
        <v>8.4198</v>
      </c>
      <c r="T13" s="21">
        <v>8.4218</v>
      </c>
      <c r="U13" s="22">
        <f>IFERROR(__xludf.DUMMYFUNCTION("IFERROR(GOOGLEFINANCE(B13,""price""),"""")"),8.09)</f>
        <v>8.09</v>
      </c>
    </row>
    <row r="14">
      <c r="A14" s="7">
        <v>46048.66130101975</v>
      </c>
      <c r="B14" s="8" t="s">
        <v>4805</v>
      </c>
      <c r="C14" s="8" t="s">
        <v>4806</v>
      </c>
      <c r="D14" s="9">
        <v>46054.0</v>
      </c>
      <c r="E14" s="10">
        <v>5.9</v>
      </c>
      <c r="F14" s="12">
        <v>2.53176022E8</v>
      </c>
      <c r="G14" s="26">
        <v>79.064</v>
      </c>
      <c r="H14" s="26">
        <v>30.0646</v>
      </c>
      <c r="I14" s="13">
        <v>1.3011</v>
      </c>
      <c r="J14" s="8" t="s">
        <v>4807</v>
      </c>
      <c r="K14" s="11">
        <v>-0.3378</v>
      </c>
      <c r="L14" s="13">
        <v>419603.7</v>
      </c>
      <c r="M14" s="8">
        <v>2473190.0</v>
      </c>
      <c r="N14" s="8">
        <v>6.6572298E7</v>
      </c>
      <c r="O14" s="8">
        <v>5.116682E7</v>
      </c>
      <c r="P14" s="13">
        <v>5.911</v>
      </c>
      <c r="Q14" s="13">
        <v>5.8522</v>
      </c>
      <c r="R14" s="13">
        <v>5.809</v>
      </c>
      <c r="S14" s="13">
        <v>5.7668</v>
      </c>
      <c r="T14" s="13">
        <v>5.7111</v>
      </c>
      <c r="U14" s="14">
        <f>IFERROR(__xludf.DUMMYFUNCTION("IFERROR(GOOGLEFINANCE(B14,""price""),"""")"),5.78)</f>
        <v>5.78</v>
      </c>
    </row>
    <row r="15">
      <c r="A15" s="15">
        <v>46048.66130101975</v>
      </c>
      <c r="B15" s="16" t="s">
        <v>4808</v>
      </c>
      <c r="C15" s="16" t="s">
        <v>4809</v>
      </c>
      <c r="D15" s="17">
        <v>46054.0</v>
      </c>
      <c r="E15" s="18">
        <v>4.91</v>
      </c>
      <c r="F15" s="20">
        <v>1.51061742E8</v>
      </c>
      <c r="G15" s="27">
        <v>91.6155</v>
      </c>
      <c r="H15" s="27">
        <v>149.1122</v>
      </c>
      <c r="I15" s="21">
        <v>1.6542</v>
      </c>
      <c r="J15" s="16" t="s">
        <v>4810</v>
      </c>
      <c r="K15" s="19">
        <v>-0.6073</v>
      </c>
      <c r="L15" s="21">
        <v>151665.3</v>
      </c>
      <c r="M15" s="16">
        <v>8389000.0</v>
      </c>
      <c r="N15" s="16">
        <v>3.8418E7</v>
      </c>
      <c r="O15" s="16">
        <v>2.3224E7</v>
      </c>
      <c r="P15" s="21">
        <v>4.9059</v>
      </c>
      <c r="Q15" s="21">
        <v>4.9029</v>
      </c>
      <c r="R15" s="21">
        <v>4.9018</v>
      </c>
      <c r="S15" s="21">
        <v>4.9113</v>
      </c>
      <c r="T15" s="21">
        <v>4.9313</v>
      </c>
      <c r="U15" s="22">
        <f>IFERROR(__xludf.DUMMYFUNCTION("IFERROR(GOOGLEFINANCE(B15,""price""),"""")"),5.11)</f>
        <v>5.11</v>
      </c>
    </row>
    <row r="16">
      <c r="A16" s="7">
        <v>46048.69758204441</v>
      </c>
      <c r="B16" s="8" t="s">
        <v>4769</v>
      </c>
      <c r="C16" s="8" t="s">
        <v>4770</v>
      </c>
      <c r="D16" s="9">
        <v>46054.0</v>
      </c>
      <c r="E16" s="10">
        <v>20.5</v>
      </c>
      <c r="F16" s="12">
        <v>3.6392324E8</v>
      </c>
      <c r="G16" s="26">
        <v>45.431</v>
      </c>
      <c r="H16" s="26">
        <v>78.6026</v>
      </c>
      <c r="I16" s="13">
        <v>0.9008</v>
      </c>
      <c r="J16" s="8" t="s">
        <v>4771</v>
      </c>
      <c r="K16" s="11">
        <v>-5.268</v>
      </c>
      <c r="L16" s="13">
        <v>704124.0</v>
      </c>
      <c r="M16" s="8">
        <v>6791210.0</v>
      </c>
      <c r="N16" s="8">
        <v>2.1445212E7</v>
      </c>
      <c r="O16" s="8">
        <v>2.380571E7</v>
      </c>
      <c r="P16" s="13">
        <v>21.0541</v>
      </c>
      <c r="Q16" s="13">
        <v>19.503</v>
      </c>
      <c r="R16" s="13">
        <v>17.8714</v>
      </c>
      <c r="S16" s="13">
        <v>16.1241</v>
      </c>
      <c r="T16" s="13">
        <v>14.6766</v>
      </c>
      <c r="U16" s="14">
        <f>IFERROR(__xludf.DUMMYFUNCTION("IFERROR(GOOGLEFINANCE(B16,""price""),"""")"),25.17)</f>
        <v>25.17</v>
      </c>
    </row>
    <row r="17">
      <c r="A17" s="15">
        <v>46048.69758204441</v>
      </c>
      <c r="B17" s="16" t="s">
        <v>4772</v>
      </c>
      <c r="C17" s="16" t="s">
        <v>4773</v>
      </c>
      <c r="D17" s="17">
        <v>46054.0</v>
      </c>
      <c r="E17" s="18">
        <v>42.84</v>
      </c>
      <c r="F17" s="20">
        <v>9.31810517E8</v>
      </c>
      <c r="G17" s="27">
        <v>93.0719</v>
      </c>
      <c r="H17" s="27">
        <v>227.9908</v>
      </c>
      <c r="I17" s="21">
        <v>1.8204</v>
      </c>
      <c r="J17" s="16" t="s">
        <v>4774</v>
      </c>
      <c r="K17" s="19">
        <v>-2.8792</v>
      </c>
      <c r="L17" s="21">
        <v>238898.0</v>
      </c>
      <c r="M17" s="16">
        <v>2.480306E7</v>
      </c>
      <c r="N17" s="16">
        <v>1.85414791E8</v>
      </c>
      <c r="O17" s="16">
        <v>1.0185301E8</v>
      </c>
      <c r="P17" s="21">
        <v>43.9943</v>
      </c>
      <c r="Q17" s="21">
        <v>43.2446</v>
      </c>
      <c r="R17" s="21">
        <v>42.9522</v>
      </c>
      <c r="S17" s="21">
        <v>42.8226</v>
      </c>
      <c r="T17" s="21">
        <v>42.7554</v>
      </c>
      <c r="U17" s="22">
        <f>IFERROR(__xludf.DUMMYFUNCTION("IFERROR(GOOGLEFINANCE(B17,""price""),"""")"),48.35)</f>
        <v>48.35</v>
      </c>
    </row>
    <row r="18">
      <c r="A18" s="7">
        <v>46048.69758204441</v>
      </c>
      <c r="B18" s="8" t="s">
        <v>4775</v>
      </c>
      <c r="C18" s="8" t="s">
        <v>4776</v>
      </c>
      <c r="D18" s="9">
        <v>46054.0</v>
      </c>
      <c r="E18" s="10">
        <v>1.43</v>
      </c>
      <c r="F18" s="12">
        <v>3.7947338E8</v>
      </c>
      <c r="G18" s="26">
        <v>76.5527</v>
      </c>
      <c r="H18" s="26">
        <v>32.489</v>
      </c>
      <c r="I18" s="13">
        <v>1.4008</v>
      </c>
      <c r="J18" s="8" t="s">
        <v>4777</v>
      </c>
      <c r="K18" s="11">
        <v>5.1471</v>
      </c>
      <c r="L18" s="8">
        <v>3416113.0</v>
      </c>
      <c r="M18" s="8">
        <v>3.2174E7</v>
      </c>
      <c r="N18" s="8">
        <v>4.5155E7</v>
      </c>
      <c r="O18" s="8">
        <v>3.2236E7</v>
      </c>
      <c r="P18" s="13">
        <v>1.4013</v>
      </c>
      <c r="Q18" s="13">
        <v>1.4639</v>
      </c>
      <c r="R18" s="13">
        <v>1.5461</v>
      </c>
      <c r="S18" s="13">
        <v>1.7105</v>
      </c>
      <c r="T18" s="13">
        <v>1.9529</v>
      </c>
      <c r="U18" s="14">
        <f>IFERROR(__xludf.DUMMYFUNCTION("IFERROR(GOOGLEFINANCE(B18,""price""),"""")"),1.4)</f>
        <v>1.4</v>
      </c>
    </row>
    <row r="19">
      <c r="A19" s="15">
        <v>46048.69758204441</v>
      </c>
      <c r="B19" s="16" t="s">
        <v>4778</v>
      </c>
      <c r="C19" s="16" t="s">
        <v>4779</v>
      </c>
      <c r="D19" s="17">
        <v>46054.0</v>
      </c>
      <c r="E19" s="18">
        <v>5.85</v>
      </c>
      <c r="F19" s="20">
        <v>3.74489941E8</v>
      </c>
      <c r="G19" s="27">
        <v>87.9451</v>
      </c>
      <c r="H19" s="27">
        <v>78.0444</v>
      </c>
      <c r="I19" s="21">
        <v>0.0632</v>
      </c>
      <c r="J19" s="16" t="s">
        <v>4780</v>
      </c>
      <c r="K19" s="19">
        <v>0.6885</v>
      </c>
      <c r="L19" s="21">
        <v>554989.6</v>
      </c>
      <c r="M19" s="16">
        <v>1.5074E7</v>
      </c>
      <c r="N19" s="16">
        <v>4488000.0</v>
      </c>
      <c r="O19" s="16">
        <v>7.1049E7</v>
      </c>
      <c r="P19" s="21">
        <v>5.765</v>
      </c>
      <c r="Q19" s="21">
        <v>5.6766</v>
      </c>
      <c r="R19" s="21">
        <v>5.6246</v>
      </c>
      <c r="S19" s="21">
        <v>5.5654</v>
      </c>
      <c r="T19" s="21">
        <v>5.4906</v>
      </c>
      <c r="U19" s="22">
        <f>IFERROR(__xludf.DUMMYFUNCTION("IFERROR(GOOGLEFINANCE(B19,""price""),"""")"),5.45)</f>
        <v>5.45</v>
      </c>
    </row>
    <row r="20">
      <c r="A20" s="7">
        <v>46048.69758204441</v>
      </c>
      <c r="B20" s="8" t="s">
        <v>4781</v>
      </c>
      <c r="C20" s="8" t="s">
        <v>4782</v>
      </c>
      <c r="D20" s="9">
        <v>46054.0</v>
      </c>
      <c r="E20" s="10">
        <v>30.33</v>
      </c>
      <c r="F20" s="12">
        <v>2.45492371E8</v>
      </c>
      <c r="G20" s="26">
        <v>33.5301</v>
      </c>
      <c r="H20" s="26">
        <v>30.7392</v>
      </c>
      <c r="I20" s="13">
        <v>0.4459</v>
      </c>
      <c r="J20" s="8" t="s">
        <v>4783</v>
      </c>
      <c r="K20" s="11">
        <v>1.7444</v>
      </c>
      <c r="L20" s="13">
        <v>115886.6</v>
      </c>
      <c r="M20" s="8">
        <v>1.2268E7</v>
      </c>
      <c r="N20" s="8">
        <v>1.4151E7</v>
      </c>
      <c r="O20" s="8">
        <v>3.1737E7</v>
      </c>
      <c r="P20" s="13">
        <v>30.7255</v>
      </c>
      <c r="Q20" s="13">
        <v>30.9859</v>
      </c>
      <c r="R20" s="13">
        <v>30.5588</v>
      </c>
      <c r="S20" s="13">
        <v>29.7197</v>
      </c>
      <c r="T20" s="13">
        <v>28.4322</v>
      </c>
      <c r="U20" s="14">
        <f>IFERROR(__xludf.DUMMYFUNCTION("IFERROR(GOOGLEFINANCE(B20,""price""),"""")"),33.55)</f>
        <v>33.55</v>
      </c>
    </row>
    <row r="21">
      <c r="A21" s="15">
        <v>46048.69758204441</v>
      </c>
      <c r="B21" s="16" t="s">
        <v>4784</v>
      </c>
      <c r="C21" s="16" t="s">
        <v>4785</v>
      </c>
      <c r="D21" s="17">
        <v>46054.0</v>
      </c>
      <c r="E21" s="18">
        <v>7.43</v>
      </c>
      <c r="F21" s="20">
        <v>6.97373055E8</v>
      </c>
      <c r="G21" s="27">
        <v>92.9391</v>
      </c>
      <c r="H21" s="27">
        <v>188.9999</v>
      </c>
      <c r="I21" s="21">
        <v>0.794</v>
      </c>
      <c r="J21" s="16" t="s">
        <v>4786</v>
      </c>
      <c r="K21" s="19">
        <v>-0.5355</v>
      </c>
      <c r="L21" s="21">
        <v>342489.2</v>
      </c>
      <c r="M21" s="16">
        <v>5.3903E7</v>
      </c>
      <c r="N21" s="16">
        <v>7.8663E7</v>
      </c>
      <c r="O21" s="16">
        <v>9.9078E7</v>
      </c>
      <c r="P21" s="21">
        <v>7.4513</v>
      </c>
      <c r="Q21" s="21">
        <v>7.4461</v>
      </c>
      <c r="R21" s="21">
        <v>7.4435</v>
      </c>
      <c r="S21" s="21">
        <v>7.4481</v>
      </c>
      <c r="T21" s="21">
        <v>7.4552</v>
      </c>
      <c r="U21" s="22">
        <f>IFERROR(__xludf.DUMMYFUNCTION("IFERROR(GOOGLEFINANCE(B21,""price""),"""")"),7.06)</f>
        <v>7.06</v>
      </c>
    </row>
    <row r="22">
      <c r="A22" s="7">
        <v>46048.69758204441</v>
      </c>
      <c r="B22" s="8" t="s">
        <v>4787</v>
      </c>
      <c r="C22" s="8" t="s">
        <v>4788</v>
      </c>
      <c r="D22" s="9">
        <v>46054.0</v>
      </c>
      <c r="E22" s="10">
        <v>15.95</v>
      </c>
      <c r="F22" s="12">
        <v>3.60364586E8</v>
      </c>
      <c r="G22" s="26">
        <v>93.5373</v>
      </c>
      <c r="H22" s="26">
        <v>235.6763</v>
      </c>
      <c r="I22" s="13">
        <v>1.1757</v>
      </c>
      <c r="J22" s="8" t="s">
        <v>4789</v>
      </c>
      <c r="K22" s="11">
        <v>0.0</v>
      </c>
      <c r="L22" s="13">
        <v>171428.9</v>
      </c>
      <c r="M22" s="8">
        <v>1153000.0</v>
      </c>
      <c r="N22" s="8">
        <v>8.1709E7</v>
      </c>
      <c r="O22" s="8">
        <v>6.9496E7</v>
      </c>
      <c r="P22" s="13">
        <v>15.8006</v>
      </c>
      <c r="Q22" s="13">
        <v>15.6333</v>
      </c>
      <c r="R22" s="13">
        <v>15.5376</v>
      </c>
      <c r="S22" s="13">
        <v>15.4344</v>
      </c>
      <c r="T22" s="13">
        <v>15.2718</v>
      </c>
      <c r="U22" s="14">
        <f>IFERROR(__xludf.DUMMYFUNCTION("IFERROR(GOOGLEFINANCE(B22,""price""),"""")"),16.44)</f>
        <v>16.44</v>
      </c>
    </row>
    <row r="23">
      <c r="A23" s="15">
        <v>46048.69758204441</v>
      </c>
      <c r="B23" s="16" t="s">
        <v>4790</v>
      </c>
      <c r="C23" s="16" t="s">
        <v>4791</v>
      </c>
      <c r="D23" s="17">
        <v>46054.0</v>
      </c>
      <c r="E23" s="18">
        <v>11.64</v>
      </c>
      <c r="F23" s="20">
        <v>2.16977187E8</v>
      </c>
      <c r="G23" s="27">
        <v>61.3449</v>
      </c>
      <c r="H23" s="27">
        <v>24.1858</v>
      </c>
      <c r="I23" s="21">
        <v>0.8187</v>
      </c>
      <c r="J23" s="16" t="s">
        <v>4792</v>
      </c>
      <c r="K23" s="19">
        <v>-2.349</v>
      </c>
      <c r="L23" s="21">
        <v>225383.5</v>
      </c>
      <c r="M23" s="16">
        <v>1.2011E7</v>
      </c>
      <c r="N23" s="16">
        <v>9089000.0</v>
      </c>
      <c r="O23" s="16">
        <v>1.1102E7</v>
      </c>
      <c r="P23" s="21">
        <v>12.0909</v>
      </c>
      <c r="Q23" s="21">
        <v>12.6323</v>
      </c>
      <c r="R23" s="21">
        <v>13.1558</v>
      </c>
      <c r="S23" s="21">
        <v>13.9095</v>
      </c>
      <c r="T23" s="21">
        <v>14.4976</v>
      </c>
      <c r="U23" s="22">
        <f>IFERROR(__xludf.DUMMYFUNCTION("IFERROR(GOOGLEFINANCE(B23,""price""),"""")"),6.13)</f>
        <v>6.13</v>
      </c>
    </row>
    <row r="24">
      <c r="A24" s="7">
        <v>46048.69758204441</v>
      </c>
      <c r="B24" s="8" t="s">
        <v>4793</v>
      </c>
      <c r="C24" s="8" t="s">
        <v>4794</v>
      </c>
      <c r="D24" s="9">
        <v>46054.0</v>
      </c>
      <c r="E24" s="10">
        <v>7.43</v>
      </c>
      <c r="F24" s="12">
        <v>2.8247305E8</v>
      </c>
      <c r="G24" s="26">
        <v>57.3216</v>
      </c>
      <c r="H24" s="26">
        <v>18.8954</v>
      </c>
      <c r="I24" s="13">
        <v>0.2964</v>
      </c>
      <c r="J24" s="8" t="s">
        <v>4795</v>
      </c>
      <c r="K24" s="11">
        <v>1.5027</v>
      </c>
      <c r="L24" s="13">
        <v>126686.2</v>
      </c>
      <c r="M24" s="8">
        <v>5385000.0</v>
      </c>
      <c r="N24" s="8">
        <v>1.3575E7</v>
      </c>
      <c r="O24" s="8">
        <v>4.5803E7</v>
      </c>
      <c r="P24" s="13">
        <v>7.3792</v>
      </c>
      <c r="Q24" s="13">
        <v>7.3206</v>
      </c>
      <c r="R24" s="13">
        <v>7.2424</v>
      </c>
      <c r="S24" s="13">
        <v>7.1363</v>
      </c>
      <c r="T24" s="13">
        <v>7.0416</v>
      </c>
      <c r="U24" s="14">
        <f>IFERROR(__xludf.DUMMYFUNCTION("IFERROR(GOOGLEFINANCE(B24,""price""),"""")"),9.51)</f>
        <v>9.51</v>
      </c>
    </row>
    <row r="25">
      <c r="A25" s="15">
        <v>46048.69758204441</v>
      </c>
      <c r="B25" s="16" t="s">
        <v>4796</v>
      </c>
      <c r="C25" s="16" t="s">
        <v>4797</v>
      </c>
      <c r="D25" s="17">
        <v>46054.0</v>
      </c>
      <c r="E25" s="18">
        <v>4.91</v>
      </c>
      <c r="F25" s="20">
        <v>1.74811475E8</v>
      </c>
      <c r="G25" s="27">
        <v>85.0918</v>
      </c>
      <c r="H25" s="27">
        <v>24.2074</v>
      </c>
      <c r="I25" s="21">
        <v>1.6603</v>
      </c>
      <c r="J25" s="16" t="s">
        <v>4798</v>
      </c>
      <c r="K25" s="19">
        <v>-1.2072</v>
      </c>
      <c r="L25" s="21">
        <v>409360.0</v>
      </c>
      <c r="M25" s="16">
        <v>3.603424E7</v>
      </c>
      <c r="N25" s="16">
        <v>8.0844E7</v>
      </c>
      <c r="O25" s="16">
        <v>4.8691E7</v>
      </c>
      <c r="P25" s="21">
        <v>4.9755</v>
      </c>
      <c r="Q25" s="21">
        <v>5.1245</v>
      </c>
      <c r="R25" s="21">
        <v>5.2941</v>
      </c>
      <c r="S25" s="21">
        <v>5.6635</v>
      </c>
      <c r="T25" s="21">
        <v>6.3655</v>
      </c>
      <c r="U25" s="22">
        <f>IFERROR(__xludf.DUMMYFUNCTION("IFERROR(GOOGLEFINANCE(B25,""price""),"""")"),3.61)</f>
        <v>3.61</v>
      </c>
    </row>
    <row r="26">
      <c r="A26" s="7">
        <v>46048.69758204441</v>
      </c>
      <c r="B26" s="8" t="s">
        <v>4799</v>
      </c>
      <c r="C26" s="8" t="s">
        <v>4800</v>
      </c>
      <c r="D26" s="9">
        <v>46054.0</v>
      </c>
      <c r="E26" s="10">
        <v>8.92</v>
      </c>
      <c r="F26" s="12">
        <v>5.0426421E8</v>
      </c>
      <c r="G26" s="26">
        <v>91.3388</v>
      </c>
      <c r="H26" s="26">
        <v>30.1381</v>
      </c>
      <c r="I26" s="13">
        <v>1.2149</v>
      </c>
      <c r="J26" s="8" t="s">
        <v>4801</v>
      </c>
      <c r="K26" s="11">
        <v>0.2247</v>
      </c>
      <c r="L26" s="13">
        <v>195332.5</v>
      </c>
      <c r="M26" s="8">
        <v>1.691388E7</v>
      </c>
      <c r="N26" s="8">
        <v>1.25076693E8</v>
      </c>
      <c r="O26" s="8">
        <v>1.0295438E8</v>
      </c>
      <c r="P26" s="13">
        <v>8.7763</v>
      </c>
      <c r="Q26" s="13">
        <v>8.645</v>
      </c>
      <c r="R26" s="13">
        <v>8.5896</v>
      </c>
      <c r="S26" s="13">
        <v>8.5491</v>
      </c>
      <c r="T26" s="13">
        <v>8.5339</v>
      </c>
      <c r="U26" s="14">
        <f>IFERROR(__xludf.DUMMYFUNCTION("IFERROR(GOOGLEFINANCE(B26,""price""),"""")"),10.09)</f>
        <v>10.09</v>
      </c>
    </row>
    <row r="27">
      <c r="A27" s="15">
        <v>46048.69758204441</v>
      </c>
      <c r="B27" s="16" t="s">
        <v>4802</v>
      </c>
      <c r="C27" s="16" t="s">
        <v>4803</v>
      </c>
      <c r="D27" s="17">
        <v>46054.0</v>
      </c>
      <c r="E27" s="18">
        <v>8.42</v>
      </c>
      <c r="F27" s="20">
        <v>3.77192705E8</v>
      </c>
      <c r="G27" s="27">
        <v>91.4242</v>
      </c>
      <c r="H27" s="27">
        <v>351.6546</v>
      </c>
      <c r="I27" s="21">
        <v>0.1285</v>
      </c>
      <c r="J27" s="16" t="s">
        <v>4804</v>
      </c>
      <c r="K27" s="19">
        <v>0.1189</v>
      </c>
      <c r="L27" s="21">
        <v>199811.4</v>
      </c>
      <c r="M27" s="16">
        <v>3.8991E7</v>
      </c>
      <c r="N27" s="16">
        <v>6542000.0</v>
      </c>
      <c r="O27" s="16">
        <v>5.0894E7</v>
      </c>
      <c r="P27" s="21">
        <v>8.4083</v>
      </c>
      <c r="Q27" s="21">
        <v>8.4147</v>
      </c>
      <c r="R27" s="21">
        <v>8.4165</v>
      </c>
      <c r="S27" s="21">
        <v>8.4198</v>
      </c>
      <c r="T27" s="21">
        <v>8.4218</v>
      </c>
      <c r="U27" s="22">
        <f>IFERROR(__xludf.DUMMYFUNCTION("IFERROR(GOOGLEFINANCE(B27,""price""),"""")"),8.09)</f>
        <v>8.09</v>
      </c>
    </row>
    <row r="28">
      <c r="A28" s="7">
        <v>46048.69758204441</v>
      </c>
      <c r="B28" s="8" t="s">
        <v>4805</v>
      </c>
      <c r="C28" s="8" t="s">
        <v>4806</v>
      </c>
      <c r="D28" s="9">
        <v>46054.0</v>
      </c>
      <c r="E28" s="10">
        <v>5.9</v>
      </c>
      <c r="F28" s="12">
        <v>2.53176022E8</v>
      </c>
      <c r="G28" s="26">
        <v>79.064</v>
      </c>
      <c r="H28" s="26">
        <v>30.0646</v>
      </c>
      <c r="I28" s="13">
        <v>1.3011</v>
      </c>
      <c r="J28" s="8" t="s">
        <v>4807</v>
      </c>
      <c r="K28" s="11">
        <v>-0.3378</v>
      </c>
      <c r="L28" s="13">
        <v>419604.7</v>
      </c>
      <c r="M28" s="8">
        <v>2473190.0</v>
      </c>
      <c r="N28" s="8">
        <v>6.6572298E7</v>
      </c>
      <c r="O28" s="8">
        <v>5.116682E7</v>
      </c>
      <c r="P28" s="13">
        <v>5.911</v>
      </c>
      <c r="Q28" s="13">
        <v>5.8522</v>
      </c>
      <c r="R28" s="13">
        <v>5.809</v>
      </c>
      <c r="S28" s="13">
        <v>5.7668</v>
      </c>
      <c r="T28" s="13">
        <v>5.7111</v>
      </c>
      <c r="U28" s="14">
        <f>IFERROR(__xludf.DUMMYFUNCTION("IFERROR(GOOGLEFINANCE(B28,""price""),"""")"),5.78)</f>
        <v>5.78</v>
      </c>
    </row>
    <row r="29">
      <c r="A29" s="15">
        <v>46048.69758204441</v>
      </c>
      <c r="B29" s="16" t="s">
        <v>4808</v>
      </c>
      <c r="C29" s="16" t="s">
        <v>4809</v>
      </c>
      <c r="D29" s="17">
        <v>46054.0</v>
      </c>
      <c r="E29" s="18">
        <v>4.91</v>
      </c>
      <c r="F29" s="20">
        <v>1.51061742E8</v>
      </c>
      <c r="G29" s="27">
        <v>91.6155</v>
      </c>
      <c r="H29" s="27">
        <v>149.1122</v>
      </c>
      <c r="I29" s="21">
        <v>1.6542</v>
      </c>
      <c r="J29" s="16" t="s">
        <v>4810</v>
      </c>
      <c r="K29" s="19">
        <v>-0.6073</v>
      </c>
      <c r="L29" s="21">
        <v>151665.3</v>
      </c>
      <c r="M29" s="16">
        <v>8389000.0</v>
      </c>
      <c r="N29" s="16">
        <v>3.8418E7</v>
      </c>
      <c r="O29" s="16">
        <v>2.3224E7</v>
      </c>
      <c r="P29" s="21">
        <v>4.9059</v>
      </c>
      <c r="Q29" s="21">
        <v>4.9029</v>
      </c>
      <c r="R29" s="21">
        <v>4.9018</v>
      </c>
      <c r="S29" s="21">
        <v>4.9113</v>
      </c>
      <c r="T29" s="21">
        <v>4.9313</v>
      </c>
      <c r="U29" s="22">
        <f>IFERROR(__xludf.DUMMYFUNCTION("IFERROR(GOOGLEFINANCE(B29,""price""),"""")"),5.11)</f>
        <v>5.11</v>
      </c>
    </row>
    <row r="30">
      <c r="A30" s="7">
        <v>46049.62820362537</v>
      </c>
      <c r="B30" s="8" t="s">
        <v>4769</v>
      </c>
      <c r="C30" s="8" t="s">
        <v>4770</v>
      </c>
      <c r="D30" s="9">
        <v>46054.0</v>
      </c>
      <c r="E30" s="10">
        <v>21.18</v>
      </c>
      <c r="F30" s="12">
        <v>3.7599485E8</v>
      </c>
      <c r="G30" s="26">
        <v>45.431</v>
      </c>
      <c r="H30" s="26">
        <v>78.6026</v>
      </c>
      <c r="I30" s="13">
        <v>0.9008</v>
      </c>
      <c r="J30" s="8" t="s">
        <v>4771</v>
      </c>
      <c r="K30" s="11">
        <v>3.3171</v>
      </c>
      <c r="L30" s="13">
        <v>651044.3</v>
      </c>
      <c r="M30" s="8">
        <v>6791210.0</v>
      </c>
      <c r="N30" s="8">
        <v>2.1445212E7</v>
      </c>
      <c r="O30" s="8">
        <v>2.380571E7</v>
      </c>
      <c r="P30" s="13">
        <v>21.082</v>
      </c>
      <c r="Q30" s="13">
        <v>19.6555</v>
      </c>
      <c r="R30" s="13">
        <v>18.0605</v>
      </c>
      <c r="S30" s="13">
        <v>16.3047</v>
      </c>
      <c r="T30" s="13">
        <v>14.8211</v>
      </c>
      <c r="U30" s="14">
        <f>IFERROR(__xludf.DUMMYFUNCTION("IFERROR(GOOGLEFINANCE(B30,""price""),"""")"),25.17)</f>
        <v>25.17</v>
      </c>
    </row>
    <row r="31">
      <c r="A31" s="15">
        <v>46049.62820362537</v>
      </c>
      <c r="B31" s="16" t="s">
        <v>4772</v>
      </c>
      <c r="C31" s="16" t="s">
        <v>4773</v>
      </c>
      <c r="D31" s="17">
        <v>46054.0</v>
      </c>
      <c r="E31" s="18">
        <v>43.4701</v>
      </c>
      <c r="F31" s="20">
        <v>9.04982148E8</v>
      </c>
      <c r="G31" s="27">
        <v>93.0719</v>
      </c>
      <c r="H31" s="27">
        <v>227.9908</v>
      </c>
      <c r="I31" s="21">
        <v>1.8204</v>
      </c>
      <c r="J31" s="16" t="s">
        <v>4774</v>
      </c>
      <c r="K31" s="19">
        <v>1.4708</v>
      </c>
      <c r="L31" s="21">
        <v>220984.1</v>
      </c>
      <c r="M31" s="16">
        <v>2.480306E7</v>
      </c>
      <c r="N31" s="16">
        <v>1.85414791E8</v>
      </c>
      <c r="O31" s="16">
        <v>1.0185301E8</v>
      </c>
      <c r="P31" s="21">
        <v>43.8778</v>
      </c>
      <c r="Q31" s="21">
        <v>43.2651</v>
      </c>
      <c r="R31" s="21">
        <v>42.9818</v>
      </c>
      <c r="S31" s="21">
        <v>42.8457</v>
      </c>
      <c r="T31" s="21">
        <v>42.7712</v>
      </c>
      <c r="U31" s="22">
        <f>IFERROR(__xludf.DUMMYFUNCTION("IFERROR(GOOGLEFINANCE(B31,""price""),"""")"),48.35)</f>
        <v>48.35</v>
      </c>
    </row>
    <row r="32">
      <c r="A32" s="7">
        <v>46049.62820362537</v>
      </c>
      <c r="B32" s="8" t="s">
        <v>4775</v>
      </c>
      <c r="C32" s="8" t="s">
        <v>4776</v>
      </c>
      <c r="D32" s="9">
        <v>46054.0</v>
      </c>
      <c r="E32" s="10">
        <v>1.515</v>
      </c>
      <c r="F32" s="12">
        <v>4.02029471E8</v>
      </c>
      <c r="G32" s="26">
        <v>76.5527</v>
      </c>
      <c r="H32" s="26">
        <v>32.489</v>
      </c>
      <c r="I32" s="13">
        <v>1.4008</v>
      </c>
      <c r="J32" s="8" t="s">
        <v>4777</v>
      </c>
      <c r="K32" s="11">
        <v>5.9441</v>
      </c>
      <c r="L32" s="8">
        <v>2950961.0</v>
      </c>
      <c r="M32" s="8">
        <v>3.2174E7</v>
      </c>
      <c r="N32" s="8">
        <v>4.5155E7</v>
      </c>
      <c r="O32" s="8">
        <v>3.2236E7</v>
      </c>
      <c r="P32" s="13">
        <v>1.4266</v>
      </c>
      <c r="Q32" s="13">
        <v>1.4685</v>
      </c>
      <c r="R32" s="13">
        <v>1.5444</v>
      </c>
      <c r="S32" s="13">
        <v>1.7035</v>
      </c>
      <c r="T32" s="13">
        <v>1.9432</v>
      </c>
      <c r="U32" s="14">
        <f>IFERROR(__xludf.DUMMYFUNCTION("IFERROR(GOOGLEFINANCE(B32,""price""),"""")"),1.4)</f>
        <v>1.4</v>
      </c>
    </row>
    <row r="33">
      <c r="A33" s="15">
        <v>46049.62820362537</v>
      </c>
      <c r="B33" s="16" t="s">
        <v>4790</v>
      </c>
      <c r="C33" s="16" t="s">
        <v>4791</v>
      </c>
      <c r="D33" s="17">
        <v>46054.0</v>
      </c>
      <c r="E33" s="18">
        <v>11.76</v>
      </c>
      <c r="F33" s="20">
        <v>2.1921407E8</v>
      </c>
      <c r="G33" s="27">
        <v>61.3449</v>
      </c>
      <c r="H33" s="27">
        <v>24.1858</v>
      </c>
      <c r="I33" s="21">
        <v>0.8187</v>
      </c>
      <c r="J33" s="16" t="s">
        <v>4792</v>
      </c>
      <c r="K33" s="19">
        <v>1.0309</v>
      </c>
      <c r="L33" s="21">
        <v>228302.5</v>
      </c>
      <c r="M33" s="16">
        <v>1.2011E7</v>
      </c>
      <c r="N33" s="16">
        <v>9089000.0</v>
      </c>
      <c r="O33" s="16">
        <v>1.1102E7</v>
      </c>
      <c r="P33" s="21">
        <v>12.0174</v>
      </c>
      <c r="Q33" s="21">
        <v>12.553</v>
      </c>
      <c r="R33" s="21">
        <v>13.076</v>
      </c>
      <c r="S33" s="21">
        <v>13.8328</v>
      </c>
      <c r="T33" s="21">
        <v>14.4368</v>
      </c>
      <c r="U33" s="22">
        <f>IFERROR(__xludf.DUMMYFUNCTION("IFERROR(GOOGLEFINANCE(B33,""price""),"""")"),6.13)</f>
        <v>6.13</v>
      </c>
    </row>
    <row r="34">
      <c r="A34" s="7">
        <v>46049.62820362537</v>
      </c>
      <c r="B34" s="8" t="s">
        <v>4811</v>
      </c>
      <c r="C34" s="8" t="s">
        <v>4812</v>
      </c>
      <c r="D34" s="9">
        <v>46054.0</v>
      </c>
      <c r="E34" s="10">
        <v>10.97</v>
      </c>
      <c r="F34" s="12">
        <v>9.9188133E8</v>
      </c>
      <c r="G34" s="26">
        <v>32.9951</v>
      </c>
      <c r="H34" s="26">
        <v>19.8769</v>
      </c>
      <c r="I34" s="13">
        <v>0.5293</v>
      </c>
      <c r="J34" s="8" t="s">
        <v>4813</v>
      </c>
      <c r="K34" s="11">
        <v>-2.6619</v>
      </c>
      <c r="L34" s="13">
        <v>260095.6</v>
      </c>
      <c r="M34" s="8">
        <v>8.4171E7</v>
      </c>
      <c r="N34" s="8">
        <v>9.7672E7</v>
      </c>
      <c r="O34" s="8">
        <v>1.84534E8</v>
      </c>
      <c r="P34" s="13">
        <v>11.3073</v>
      </c>
      <c r="Q34" s="13">
        <v>11.4953</v>
      </c>
      <c r="R34" s="13">
        <v>11.6716</v>
      </c>
      <c r="S34" s="13">
        <v>12.0964</v>
      </c>
      <c r="T34" s="13">
        <v>12.8093</v>
      </c>
      <c r="U34" s="14" t="str">
        <f>IFERROR(__xludf.DUMMYFUNCTION("IFERROR(GOOGLEFINANCE(B34,""price""),"""")"),"")</f>
        <v/>
      </c>
    </row>
    <row r="35">
      <c r="A35" s="15">
        <v>46049.62820362537</v>
      </c>
      <c r="B35" s="16" t="s">
        <v>4778</v>
      </c>
      <c r="C35" s="16" t="s">
        <v>4779</v>
      </c>
      <c r="D35" s="17">
        <v>46054.0</v>
      </c>
      <c r="E35" s="18">
        <v>5.835</v>
      </c>
      <c r="F35" s="20">
        <v>3.77068185E8</v>
      </c>
      <c r="G35" s="27">
        <v>87.9451</v>
      </c>
      <c r="H35" s="27">
        <v>78.0444</v>
      </c>
      <c r="I35" s="21">
        <v>0.0632</v>
      </c>
      <c r="J35" s="16" t="s">
        <v>4780</v>
      </c>
      <c r="K35" s="19">
        <v>-0.2564</v>
      </c>
      <c r="L35" s="21">
        <v>559390.0</v>
      </c>
      <c r="M35" s="16">
        <v>1.5074E7</v>
      </c>
      <c r="N35" s="16">
        <v>4488000.0</v>
      </c>
      <c r="O35" s="16">
        <v>7.1049E7</v>
      </c>
      <c r="P35" s="21">
        <v>5.7806</v>
      </c>
      <c r="Q35" s="21">
        <v>5.691</v>
      </c>
      <c r="R35" s="21">
        <v>5.6366</v>
      </c>
      <c r="S35" s="21">
        <v>5.575</v>
      </c>
      <c r="T35" s="21">
        <v>5.4983</v>
      </c>
      <c r="U35" s="22">
        <f>IFERROR(__xludf.DUMMYFUNCTION("IFERROR(GOOGLEFINANCE(B35,""price""),"""")"),5.45)</f>
        <v>5.45</v>
      </c>
    </row>
    <row r="36">
      <c r="A36" s="7">
        <v>46049.62820362537</v>
      </c>
      <c r="B36" s="8" t="s">
        <v>4784</v>
      </c>
      <c r="C36" s="8" t="s">
        <v>4785</v>
      </c>
      <c r="D36" s="9">
        <v>46054.0</v>
      </c>
      <c r="E36" s="10">
        <v>7.425</v>
      </c>
      <c r="F36" s="12">
        <v>6.93638795E8</v>
      </c>
      <c r="G36" s="26">
        <v>92.9391</v>
      </c>
      <c r="H36" s="26">
        <v>188.9999</v>
      </c>
      <c r="I36" s="13">
        <v>0.794</v>
      </c>
      <c r="J36" s="8" t="s">
        <v>4786</v>
      </c>
      <c r="K36" s="11">
        <v>-0.0673</v>
      </c>
      <c r="L36" s="13">
        <v>315674.4</v>
      </c>
      <c r="M36" s="8">
        <v>5.3903E7</v>
      </c>
      <c r="N36" s="8">
        <v>7.8663E7</v>
      </c>
      <c r="O36" s="8">
        <v>9.9078E7</v>
      </c>
      <c r="P36" s="13">
        <v>7.4454</v>
      </c>
      <c r="Q36" s="13">
        <v>7.4442</v>
      </c>
      <c r="R36" s="13">
        <v>7.4424</v>
      </c>
      <c r="S36" s="13">
        <v>7.4473</v>
      </c>
      <c r="T36" s="13">
        <v>7.4545</v>
      </c>
      <c r="U36" s="14">
        <f>IFERROR(__xludf.DUMMYFUNCTION("IFERROR(GOOGLEFINANCE(B36,""price""),"""")"),7.06)</f>
        <v>7.06</v>
      </c>
    </row>
    <row r="37">
      <c r="A37" s="15">
        <v>46049.62820362537</v>
      </c>
      <c r="B37" s="16" t="s">
        <v>4805</v>
      </c>
      <c r="C37" s="16" t="s">
        <v>4806</v>
      </c>
      <c r="D37" s="17">
        <v>46054.0</v>
      </c>
      <c r="E37" s="18">
        <v>5.935</v>
      </c>
      <c r="F37" s="20">
        <v>2.52320698E8</v>
      </c>
      <c r="G37" s="27">
        <v>79.064</v>
      </c>
      <c r="H37" s="27">
        <v>30.0646</v>
      </c>
      <c r="I37" s="21">
        <v>1.3011</v>
      </c>
      <c r="J37" s="16" t="s">
        <v>4807</v>
      </c>
      <c r="K37" s="19">
        <v>0.5932</v>
      </c>
      <c r="L37" s="21">
        <v>417601.5</v>
      </c>
      <c r="M37" s="16">
        <v>2473190.0</v>
      </c>
      <c r="N37" s="16">
        <v>6.6572298E7</v>
      </c>
      <c r="O37" s="16">
        <v>5.116682E7</v>
      </c>
      <c r="P37" s="21">
        <v>5.9164</v>
      </c>
      <c r="Q37" s="21">
        <v>5.8597</v>
      </c>
      <c r="R37" s="21">
        <v>5.8162</v>
      </c>
      <c r="S37" s="21">
        <v>5.7728</v>
      </c>
      <c r="T37" s="21">
        <v>5.7161</v>
      </c>
      <c r="U37" s="22">
        <f>IFERROR(__xludf.DUMMYFUNCTION("IFERROR(GOOGLEFINANCE(B37,""price""),"""")"),5.78)</f>
        <v>5.78</v>
      </c>
    </row>
    <row r="38">
      <c r="A38" s="7">
        <v>46049.62820362537</v>
      </c>
      <c r="B38" s="8" t="s">
        <v>4799</v>
      </c>
      <c r="C38" s="8" t="s">
        <v>4800</v>
      </c>
      <c r="D38" s="9">
        <v>46054.0</v>
      </c>
      <c r="E38" s="10">
        <v>9.01</v>
      </c>
      <c r="F38" s="12">
        <v>5.05397388E8</v>
      </c>
      <c r="G38" s="26">
        <v>91.3388</v>
      </c>
      <c r="H38" s="26">
        <v>30.1381</v>
      </c>
      <c r="I38" s="13">
        <v>1.2149</v>
      </c>
      <c r="J38" s="8" t="s">
        <v>4801</v>
      </c>
      <c r="K38" s="11">
        <v>1.009</v>
      </c>
      <c r="L38" s="13">
        <v>192700.3</v>
      </c>
      <c r="M38" s="8">
        <v>1.691388E7</v>
      </c>
      <c r="N38" s="8">
        <v>1.25076693E8</v>
      </c>
      <c r="O38" s="8">
        <v>1.0295438E8</v>
      </c>
      <c r="P38" s="13">
        <v>8.8283</v>
      </c>
      <c r="Q38" s="13">
        <v>8.6782</v>
      </c>
      <c r="R38" s="13">
        <v>8.6136</v>
      </c>
      <c r="S38" s="13">
        <v>8.5656</v>
      </c>
      <c r="T38" s="13">
        <v>8.5445</v>
      </c>
      <c r="U38" s="14">
        <f>IFERROR(__xludf.DUMMYFUNCTION("IFERROR(GOOGLEFINANCE(B38,""price""),"""")"),10.09)</f>
        <v>10.09</v>
      </c>
    </row>
    <row r="39">
      <c r="A39" s="15">
        <v>46049.62820362537</v>
      </c>
      <c r="B39" s="16" t="s">
        <v>4796</v>
      </c>
      <c r="C39" s="16" t="s">
        <v>4797</v>
      </c>
      <c r="D39" s="17">
        <v>46054.0</v>
      </c>
      <c r="E39" s="18">
        <v>4.85</v>
      </c>
      <c r="F39" s="20">
        <v>1.72675288E8</v>
      </c>
      <c r="G39" s="27">
        <v>85.0918</v>
      </c>
      <c r="H39" s="27">
        <v>24.2074</v>
      </c>
      <c r="I39" s="21">
        <v>1.6603</v>
      </c>
      <c r="J39" s="16" t="s">
        <v>4798</v>
      </c>
      <c r="K39" s="19">
        <v>-1.222</v>
      </c>
      <c r="L39" s="21">
        <v>394163.1</v>
      </c>
      <c r="M39" s="16">
        <v>3.603424E7</v>
      </c>
      <c r="N39" s="16">
        <v>8.0844E7</v>
      </c>
      <c r="O39" s="16">
        <v>4.8691E7</v>
      </c>
      <c r="P39" s="21">
        <v>4.9476</v>
      </c>
      <c r="Q39" s="21">
        <v>5.0995</v>
      </c>
      <c r="R39" s="21">
        <v>5.2687</v>
      </c>
      <c r="S39" s="21">
        <v>5.6345</v>
      </c>
      <c r="T39" s="21">
        <v>6.3318</v>
      </c>
      <c r="U39" s="22">
        <f>IFERROR(__xludf.DUMMYFUNCTION("IFERROR(GOOGLEFINANCE(B39,""price""),"""")"),3.61)</f>
        <v>3.61</v>
      </c>
    </row>
    <row r="40">
      <c r="A40" s="7">
        <v>46049.62820362537</v>
      </c>
      <c r="B40" s="8" t="s">
        <v>4781</v>
      </c>
      <c r="C40" s="8" t="s">
        <v>4782</v>
      </c>
      <c r="D40" s="9">
        <v>46054.0</v>
      </c>
      <c r="E40" s="10">
        <v>29.8</v>
      </c>
      <c r="F40" s="12">
        <v>2.41202531E8</v>
      </c>
      <c r="G40" s="26">
        <v>33.5301</v>
      </c>
      <c r="H40" s="26">
        <v>30.7392</v>
      </c>
      <c r="I40" s="13">
        <v>0.4459</v>
      </c>
      <c r="J40" s="8" t="s">
        <v>4783</v>
      </c>
      <c r="K40" s="11">
        <v>-1.7474</v>
      </c>
      <c r="L40" s="13">
        <v>106544.1</v>
      </c>
      <c r="M40" s="8">
        <v>1.2268E7</v>
      </c>
      <c r="N40" s="8">
        <v>1.4151E7</v>
      </c>
      <c r="O40" s="8">
        <v>3.1737E7</v>
      </c>
      <c r="P40" s="13">
        <v>30.5199</v>
      </c>
      <c r="Q40" s="13">
        <v>30.8781</v>
      </c>
      <c r="R40" s="13">
        <v>30.5154</v>
      </c>
      <c r="S40" s="13">
        <v>29.7226</v>
      </c>
      <c r="T40" s="13">
        <v>28.4626</v>
      </c>
      <c r="U40" s="14">
        <f>IFERROR(__xludf.DUMMYFUNCTION("IFERROR(GOOGLEFINANCE(B40,""price""),"""")"),33.55)</f>
        <v>33.55</v>
      </c>
    </row>
    <row r="41">
      <c r="A41" s="15">
        <v>46049.62820362537</v>
      </c>
      <c r="B41" s="16" t="s">
        <v>4802</v>
      </c>
      <c r="C41" s="16" t="s">
        <v>4803</v>
      </c>
      <c r="D41" s="17">
        <v>46054.0</v>
      </c>
      <c r="E41" s="18">
        <v>8.395</v>
      </c>
      <c r="F41" s="20">
        <v>3.7764121E8</v>
      </c>
      <c r="G41" s="27">
        <v>91.4242</v>
      </c>
      <c r="H41" s="27">
        <v>351.6546</v>
      </c>
      <c r="I41" s="21">
        <v>0.1285</v>
      </c>
      <c r="J41" s="16" t="s">
        <v>4804</v>
      </c>
      <c r="K41" s="19">
        <v>-0.2969</v>
      </c>
      <c r="L41" s="21">
        <v>190234.9</v>
      </c>
      <c r="M41" s="16">
        <v>3.8991E7</v>
      </c>
      <c r="N41" s="16">
        <v>6542000.0</v>
      </c>
      <c r="O41" s="16">
        <v>5.0894E7</v>
      </c>
      <c r="P41" s="21">
        <v>8.4054</v>
      </c>
      <c r="Q41" s="21">
        <v>8.4129</v>
      </c>
      <c r="R41" s="21">
        <v>8.4153</v>
      </c>
      <c r="S41" s="21">
        <v>8.4189</v>
      </c>
      <c r="T41" s="21">
        <v>8.4212</v>
      </c>
      <c r="U41" s="22">
        <f>IFERROR(__xludf.DUMMYFUNCTION("IFERROR(GOOGLEFINANCE(B41,""price""),"""")"),8.09)</f>
        <v>8.09</v>
      </c>
    </row>
    <row r="42">
      <c r="A42" s="7">
        <v>46049.62820362537</v>
      </c>
      <c r="B42" s="8" t="s">
        <v>4787</v>
      </c>
      <c r="C42" s="8" t="s">
        <v>4788</v>
      </c>
      <c r="D42" s="9">
        <v>46054.0</v>
      </c>
      <c r="E42" s="10">
        <v>16.035</v>
      </c>
      <c r="F42" s="12">
        <v>3.60364586E8</v>
      </c>
      <c r="G42" s="26">
        <v>93.5373</v>
      </c>
      <c r="H42" s="26">
        <v>235.6763</v>
      </c>
      <c r="I42" s="13">
        <v>1.1757</v>
      </c>
      <c r="J42" s="8" t="s">
        <v>4789</v>
      </c>
      <c r="K42" s="11">
        <v>0.5329</v>
      </c>
      <c r="L42" s="13">
        <v>160527.5</v>
      </c>
      <c r="M42" s="8">
        <v>1153000.0</v>
      </c>
      <c r="N42" s="8">
        <v>8.1709E7</v>
      </c>
      <c r="O42" s="8">
        <v>6.9496E7</v>
      </c>
      <c r="P42" s="13">
        <v>15.8527</v>
      </c>
      <c r="Q42" s="13">
        <v>15.6698</v>
      </c>
      <c r="R42" s="13">
        <v>15.5661</v>
      </c>
      <c r="S42" s="13">
        <v>15.4558</v>
      </c>
      <c r="T42" s="13">
        <v>15.2887</v>
      </c>
      <c r="U42" s="14">
        <f>IFERROR(__xludf.DUMMYFUNCTION("IFERROR(GOOGLEFINANCE(B42,""price""),"""")"),16.44)</f>
        <v>16.44</v>
      </c>
    </row>
    <row r="43">
      <c r="A43" s="15">
        <v>46049.62820362537</v>
      </c>
      <c r="B43" s="16" t="s">
        <v>4793</v>
      </c>
      <c r="C43" s="16" t="s">
        <v>4794</v>
      </c>
      <c r="D43" s="17">
        <v>46054.0</v>
      </c>
      <c r="E43" s="18">
        <v>7.43</v>
      </c>
      <c r="F43" s="20">
        <v>2.82473036E8</v>
      </c>
      <c r="G43" s="27">
        <v>57.3216</v>
      </c>
      <c r="H43" s="27">
        <v>18.8954</v>
      </c>
      <c r="I43" s="21">
        <v>0.2964</v>
      </c>
      <c r="J43" s="16" t="s">
        <v>4795</v>
      </c>
      <c r="K43" s="19">
        <v>0.0</v>
      </c>
      <c r="L43" s="21">
        <v>126163.4</v>
      </c>
      <c r="M43" s="16">
        <v>5385000.0</v>
      </c>
      <c r="N43" s="16">
        <v>1.3575E7</v>
      </c>
      <c r="O43" s="16">
        <v>4.5803E7</v>
      </c>
      <c r="P43" s="21">
        <v>7.3905</v>
      </c>
      <c r="Q43" s="21">
        <v>7.3306</v>
      </c>
      <c r="R43" s="21">
        <v>7.2532</v>
      </c>
      <c r="S43" s="21">
        <v>7.1468</v>
      </c>
      <c r="T43" s="21">
        <v>7.0502</v>
      </c>
      <c r="U43" s="22">
        <f>IFERROR(__xludf.DUMMYFUNCTION("IFERROR(GOOGLEFINANCE(B43,""price""),"""")"),9.51)</f>
        <v>9.51</v>
      </c>
    </row>
    <row r="44">
      <c r="A44" s="7">
        <v>46049.62820362537</v>
      </c>
      <c r="B44" s="8" t="s">
        <v>4808</v>
      </c>
      <c r="C44" s="8" t="s">
        <v>4809</v>
      </c>
      <c r="D44" s="9">
        <v>46054.0</v>
      </c>
      <c r="E44" s="10">
        <v>4.95</v>
      </c>
      <c r="F44" s="12">
        <v>1.50144363E8</v>
      </c>
      <c r="G44" s="26">
        <v>91.6155</v>
      </c>
      <c r="H44" s="26">
        <v>149.1122</v>
      </c>
      <c r="I44" s="13">
        <v>1.6542</v>
      </c>
      <c r="J44" s="8" t="s">
        <v>4810</v>
      </c>
      <c r="K44" s="11">
        <v>0.8147</v>
      </c>
      <c r="L44" s="13">
        <v>146963.2</v>
      </c>
      <c r="M44" s="8">
        <v>8389000.0</v>
      </c>
      <c r="N44" s="8">
        <v>3.8418E7</v>
      </c>
      <c r="O44" s="8">
        <v>2.3224E7</v>
      </c>
      <c r="P44" s="13">
        <v>4.9157</v>
      </c>
      <c r="Q44" s="13">
        <v>4.9071</v>
      </c>
      <c r="R44" s="13">
        <v>4.9046</v>
      </c>
      <c r="S44" s="13">
        <v>4.9127</v>
      </c>
      <c r="T44" s="13">
        <v>4.9317</v>
      </c>
      <c r="U44" s="14">
        <f>IFERROR(__xludf.DUMMYFUNCTION("IFERROR(GOOGLEFINANCE(B44,""price""),"""")"),5.11)</f>
        <v>5.11</v>
      </c>
    </row>
    <row r="45">
      <c r="A45" s="7">
        <v>46050.626686936055</v>
      </c>
      <c r="B45" s="8" t="s">
        <v>4778</v>
      </c>
      <c r="C45" s="8" t="s">
        <v>4779</v>
      </c>
      <c r="D45" s="9">
        <v>46054.0</v>
      </c>
      <c r="E45" s="10">
        <v>5.9299</v>
      </c>
      <c r="F45" s="12">
        <v>3.78357307E8</v>
      </c>
      <c r="G45" s="26">
        <v>87.9451</v>
      </c>
      <c r="H45" s="26">
        <v>78.0444</v>
      </c>
      <c r="I45" s="13">
        <v>0.0632</v>
      </c>
      <c r="J45" s="8" t="s">
        <v>4780</v>
      </c>
      <c r="K45" s="11">
        <v>1.0204</v>
      </c>
      <c r="L45" s="13">
        <v>645288.8</v>
      </c>
      <c r="M45" s="8">
        <v>1.5074E7</v>
      </c>
      <c r="N45" s="8">
        <v>4488000.0</v>
      </c>
      <c r="O45" s="8">
        <v>7.1049E7</v>
      </c>
      <c r="P45" s="13">
        <v>5.8198</v>
      </c>
      <c r="Q45" s="13">
        <v>5.7156</v>
      </c>
      <c r="R45" s="13">
        <v>5.6553</v>
      </c>
      <c r="S45" s="13">
        <v>5.5889</v>
      </c>
      <c r="T45" s="13">
        <v>5.5086</v>
      </c>
      <c r="U45" s="14">
        <f>IFERROR(__xludf.DUMMYFUNCTION("IFERROR(GOOGLEFINANCE(B45,""price""),"""")"),5.45)</f>
        <v>5.45</v>
      </c>
    </row>
    <row r="46">
      <c r="A46" s="15">
        <v>46050.626686936055</v>
      </c>
      <c r="B46" s="16" t="s">
        <v>4769</v>
      </c>
      <c r="C46" s="16" t="s">
        <v>4770</v>
      </c>
      <c r="D46" s="17">
        <v>46054.0</v>
      </c>
      <c r="E46" s="18">
        <v>19.58</v>
      </c>
      <c r="F46" s="20">
        <v>3.47591096E8</v>
      </c>
      <c r="G46" s="27">
        <v>45.431</v>
      </c>
      <c r="H46" s="27">
        <v>78.6026</v>
      </c>
      <c r="I46" s="21">
        <v>0.9008</v>
      </c>
      <c r="J46" s="16" t="s">
        <v>4771</v>
      </c>
      <c r="K46" s="19">
        <v>-7.9887</v>
      </c>
      <c r="L46" s="21">
        <v>628698.0</v>
      </c>
      <c r="M46" s="16">
        <v>6791210.0</v>
      </c>
      <c r="N46" s="16">
        <v>2.1445212E7</v>
      </c>
      <c r="O46" s="16">
        <v>2.380571E7</v>
      </c>
      <c r="P46" s="21">
        <v>20.7655</v>
      </c>
      <c r="Q46" s="21">
        <v>19.6569</v>
      </c>
      <c r="R46" s="21">
        <v>18.1527</v>
      </c>
      <c r="S46" s="21">
        <v>16.4251</v>
      </c>
      <c r="T46" s="21">
        <v>14.9291</v>
      </c>
      <c r="U46" s="22">
        <f>IFERROR(__xludf.DUMMYFUNCTION("IFERROR(GOOGLEFINANCE(B46,""price""),"""")"),25.17)</f>
        <v>25.17</v>
      </c>
    </row>
    <row r="47">
      <c r="A47" s="7">
        <v>46050.626686936055</v>
      </c>
      <c r="B47" s="8" t="s">
        <v>4772</v>
      </c>
      <c r="C47" s="8" t="s">
        <v>4773</v>
      </c>
      <c r="D47" s="9">
        <v>46054.0</v>
      </c>
      <c r="E47" s="10">
        <v>43.8699</v>
      </c>
      <c r="F47" s="12">
        <v>9.22726896E8</v>
      </c>
      <c r="G47" s="26">
        <v>93.0719</v>
      </c>
      <c r="H47" s="26">
        <v>227.9908</v>
      </c>
      <c r="I47" s="13">
        <v>1.8204</v>
      </c>
      <c r="J47" s="8" t="s">
        <v>4774</v>
      </c>
      <c r="K47" s="11">
        <v>0.4348</v>
      </c>
      <c r="L47" s="13">
        <v>212120.0</v>
      </c>
      <c r="M47" s="8">
        <v>2.480306E7</v>
      </c>
      <c r="N47" s="8">
        <v>1.85414791E8</v>
      </c>
      <c r="O47" s="8">
        <v>1.0185301E8</v>
      </c>
      <c r="P47" s="13">
        <v>43.9123</v>
      </c>
      <c r="Q47" s="13">
        <v>43.3374</v>
      </c>
      <c r="R47" s="13">
        <v>43.0439</v>
      </c>
      <c r="S47" s="13">
        <v>42.8895</v>
      </c>
      <c r="T47" s="13">
        <v>42.8002</v>
      </c>
      <c r="U47" s="14">
        <f>IFERROR(__xludf.DUMMYFUNCTION("IFERROR(GOOGLEFINANCE(B47,""price""),"""")"),48.35)</f>
        <v>48.35</v>
      </c>
    </row>
    <row r="48">
      <c r="A48" s="15">
        <v>46050.626686936055</v>
      </c>
      <c r="B48" s="16" t="s">
        <v>4784</v>
      </c>
      <c r="C48" s="16" t="s">
        <v>4785</v>
      </c>
      <c r="D48" s="17">
        <v>46054.0</v>
      </c>
      <c r="E48" s="18">
        <v>7.415</v>
      </c>
      <c r="F48" s="20">
        <v>6.9270523E8</v>
      </c>
      <c r="G48" s="27">
        <v>92.9391</v>
      </c>
      <c r="H48" s="27">
        <v>188.9999</v>
      </c>
      <c r="I48" s="21">
        <v>0.794</v>
      </c>
      <c r="J48" s="16" t="s">
        <v>4786</v>
      </c>
      <c r="K48" s="19">
        <v>-0.0674</v>
      </c>
      <c r="L48" s="21">
        <v>327140.7</v>
      </c>
      <c r="M48" s="16">
        <v>5.3903E7</v>
      </c>
      <c r="N48" s="16">
        <v>7.8663E7</v>
      </c>
      <c r="O48" s="16">
        <v>9.9078E7</v>
      </c>
      <c r="P48" s="21">
        <v>7.4378</v>
      </c>
      <c r="Q48" s="21">
        <v>7.4412</v>
      </c>
      <c r="R48" s="21">
        <v>7.4406</v>
      </c>
      <c r="S48" s="21">
        <v>7.446</v>
      </c>
      <c r="T48" s="21">
        <v>7.4535</v>
      </c>
      <c r="U48" s="22">
        <f>IFERROR(__xludf.DUMMYFUNCTION("IFERROR(GOOGLEFINANCE(B48,""price""),"""")"),7.06)</f>
        <v>7.06</v>
      </c>
    </row>
    <row r="49">
      <c r="A49" s="7">
        <v>46050.626686936055</v>
      </c>
      <c r="B49" s="8" t="s">
        <v>4775</v>
      </c>
      <c r="C49" s="8" t="s">
        <v>4776</v>
      </c>
      <c r="D49" s="9">
        <v>46054.0</v>
      </c>
      <c r="E49" s="10">
        <v>1.465</v>
      </c>
      <c r="F49" s="12">
        <v>3.88761183E8</v>
      </c>
      <c r="G49" s="26">
        <v>76.5527</v>
      </c>
      <c r="H49" s="26">
        <v>32.489</v>
      </c>
      <c r="I49" s="13">
        <v>1.4008</v>
      </c>
      <c r="J49" s="8" t="s">
        <v>4777</v>
      </c>
      <c r="K49" s="11">
        <v>-2.9801</v>
      </c>
      <c r="L49" s="8">
        <v>2744248.0</v>
      </c>
      <c r="M49" s="8">
        <v>3.2174E7</v>
      </c>
      <c r="N49" s="8">
        <v>4.5155E7</v>
      </c>
      <c r="O49" s="8">
        <v>3.2236E7</v>
      </c>
      <c r="P49" s="13">
        <v>1.4343</v>
      </c>
      <c r="Q49" s="13">
        <v>1.4678</v>
      </c>
      <c r="R49" s="13">
        <v>1.5396</v>
      </c>
      <c r="S49" s="13">
        <v>1.6948</v>
      </c>
      <c r="T49" s="13">
        <v>1.9325</v>
      </c>
      <c r="U49" s="14">
        <f>IFERROR(__xludf.DUMMYFUNCTION("IFERROR(GOOGLEFINANCE(B49,""price""),"""")"),1.4)</f>
        <v>1.4</v>
      </c>
    </row>
    <row r="50">
      <c r="A50" s="15">
        <v>46050.626686936055</v>
      </c>
      <c r="B50" s="16" t="s">
        <v>4790</v>
      </c>
      <c r="C50" s="16" t="s">
        <v>4791</v>
      </c>
      <c r="D50" s="17">
        <v>46054.0</v>
      </c>
      <c r="E50" s="18">
        <v>11.02</v>
      </c>
      <c r="F50" s="20">
        <v>2.0541999E8</v>
      </c>
      <c r="G50" s="27">
        <v>61.3449</v>
      </c>
      <c r="H50" s="27">
        <v>24.1858</v>
      </c>
      <c r="I50" s="21">
        <v>0.8187</v>
      </c>
      <c r="J50" s="16" t="s">
        <v>4792</v>
      </c>
      <c r="K50" s="19">
        <v>-6.3721</v>
      </c>
      <c r="L50" s="21">
        <v>239121.1</v>
      </c>
      <c r="M50" s="16">
        <v>1.2011E7</v>
      </c>
      <c r="N50" s="16">
        <v>9089000.0</v>
      </c>
      <c r="O50" s="16">
        <v>1.1102E7</v>
      </c>
      <c r="P50" s="21">
        <v>11.7975</v>
      </c>
      <c r="Q50" s="21">
        <v>12.4145</v>
      </c>
      <c r="R50" s="21">
        <v>12.9591</v>
      </c>
      <c r="S50" s="21">
        <v>13.7327</v>
      </c>
      <c r="T50" s="21">
        <v>14.361</v>
      </c>
      <c r="U50" s="22">
        <f>IFERROR(__xludf.DUMMYFUNCTION("IFERROR(GOOGLEFINANCE(B50,""price""),"""")"),6.13)</f>
        <v>6.13</v>
      </c>
    </row>
    <row r="51">
      <c r="A51" s="7">
        <v>46050.626686936055</v>
      </c>
      <c r="B51" s="8" t="s">
        <v>4787</v>
      </c>
      <c r="C51" s="8" t="s">
        <v>4788</v>
      </c>
      <c r="D51" s="9">
        <v>46054.0</v>
      </c>
      <c r="E51" s="10">
        <v>16.14</v>
      </c>
      <c r="F51" s="12">
        <v>3.61946124E8</v>
      </c>
      <c r="G51" s="26">
        <v>93.5373</v>
      </c>
      <c r="H51" s="26">
        <v>235.6763</v>
      </c>
      <c r="I51" s="13">
        <v>1.1757</v>
      </c>
      <c r="J51" s="8" t="s">
        <v>4789</v>
      </c>
      <c r="K51" s="11">
        <v>0.7491</v>
      </c>
      <c r="L51" s="13">
        <v>157161.8</v>
      </c>
      <c r="M51" s="8">
        <v>1153000.0</v>
      </c>
      <c r="N51" s="8">
        <v>8.1709E7</v>
      </c>
      <c r="O51" s="8">
        <v>6.9496E7</v>
      </c>
      <c r="P51" s="13">
        <v>15.9139</v>
      </c>
      <c r="Q51" s="13">
        <v>15.7113</v>
      </c>
      <c r="R51" s="13">
        <v>15.5981</v>
      </c>
      <c r="S51" s="13">
        <v>15.4797</v>
      </c>
      <c r="T51" s="13">
        <v>15.3073</v>
      </c>
      <c r="U51" s="14">
        <f>IFERROR(__xludf.DUMMYFUNCTION("IFERROR(GOOGLEFINANCE(B51,""price""),"""")"),16.44)</f>
        <v>16.44</v>
      </c>
    </row>
    <row r="52">
      <c r="A52" s="15">
        <v>46050.626686936055</v>
      </c>
      <c r="B52" s="16" t="s">
        <v>4811</v>
      </c>
      <c r="C52" s="16" t="s">
        <v>4812</v>
      </c>
      <c r="D52" s="17">
        <v>46054.0</v>
      </c>
      <c r="E52" s="18">
        <v>10.72</v>
      </c>
      <c r="F52" s="20">
        <v>9.69276892E8</v>
      </c>
      <c r="G52" s="27">
        <v>32.9951</v>
      </c>
      <c r="H52" s="27">
        <v>19.8769</v>
      </c>
      <c r="I52" s="21">
        <v>0.5293</v>
      </c>
      <c r="J52" s="16" t="s">
        <v>4813</v>
      </c>
      <c r="K52" s="19">
        <v>-1.8315</v>
      </c>
      <c r="L52" s="21">
        <v>242294.1</v>
      </c>
      <c r="M52" s="16">
        <v>8.4171E7</v>
      </c>
      <c r="N52" s="16">
        <v>9.7672E7</v>
      </c>
      <c r="O52" s="16">
        <v>1.84534E8</v>
      </c>
      <c r="P52" s="21">
        <v>11.1681</v>
      </c>
      <c r="Q52" s="21">
        <v>11.4207</v>
      </c>
      <c r="R52" s="21">
        <v>11.6145</v>
      </c>
      <c r="S52" s="21">
        <v>12.0455</v>
      </c>
      <c r="T52" s="21">
        <v>12.7618</v>
      </c>
      <c r="U52" s="22" t="str">
        <f>IFERROR(__xludf.DUMMYFUNCTION("IFERROR(GOOGLEFINANCE(B52,""price""),"""")"),"")</f>
        <v/>
      </c>
    </row>
    <row r="53">
      <c r="A53" s="7">
        <v>46050.626686936055</v>
      </c>
      <c r="B53" s="8" t="s">
        <v>4781</v>
      </c>
      <c r="C53" s="8" t="s">
        <v>4782</v>
      </c>
      <c r="D53" s="9">
        <v>46054.0</v>
      </c>
      <c r="E53" s="10">
        <v>28.84</v>
      </c>
      <c r="F53" s="12">
        <v>2.33432252E8</v>
      </c>
      <c r="G53" s="26">
        <v>33.5301</v>
      </c>
      <c r="H53" s="26">
        <v>30.7392</v>
      </c>
      <c r="I53" s="13">
        <v>0.4459</v>
      </c>
      <c r="J53" s="8" t="s">
        <v>4783</v>
      </c>
      <c r="K53" s="11">
        <v>-4.186</v>
      </c>
      <c r="L53" s="13">
        <v>101190.5</v>
      </c>
      <c r="M53" s="8">
        <v>1.2268E7</v>
      </c>
      <c r="N53" s="8">
        <v>1.4151E7</v>
      </c>
      <c r="O53" s="8">
        <v>3.1737E7</v>
      </c>
      <c r="P53" s="13">
        <v>30.1984</v>
      </c>
      <c r="Q53" s="13">
        <v>30.7176</v>
      </c>
      <c r="R53" s="13">
        <v>30.4358</v>
      </c>
      <c r="S53" s="13">
        <v>29.7014</v>
      </c>
      <c r="T53" s="13">
        <v>28.4775</v>
      </c>
      <c r="U53" s="14">
        <f>IFERROR(__xludf.DUMMYFUNCTION("IFERROR(GOOGLEFINANCE(B53,""price""),"""")"),33.55)</f>
        <v>33.55</v>
      </c>
    </row>
    <row r="54">
      <c r="A54" s="15">
        <v>46050.626686936055</v>
      </c>
      <c r="B54" s="16" t="s">
        <v>4796</v>
      </c>
      <c r="C54" s="16" t="s">
        <v>4797</v>
      </c>
      <c r="D54" s="17">
        <v>46054.0</v>
      </c>
      <c r="E54" s="18">
        <v>4.765</v>
      </c>
      <c r="F54" s="20">
        <v>1.6964903E8</v>
      </c>
      <c r="G54" s="27">
        <v>85.0918</v>
      </c>
      <c r="H54" s="27">
        <v>24.2074</v>
      </c>
      <c r="I54" s="21">
        <v>1.6603</v>
      </c>
      <c r="J54" s="16" t="s">
        <v>4798</v>
      </c>
      <c r="K54" s="19">
        <v>-1.5496</v>
      </c>
      <c r="L54" s="21">
        <v>395720.4</v>
      </c>
      <c r="M54" s="16">
        <v>3.603424E7</v>
      </c>
      <c r="N54" s="16">
        <v>8.0844E7</v>
      </c>
      <c r="O54" s="16">
        <v>4.8691E7</v>
      </c>
      <c r="P54" s="21">
        <v>4.9053</v>
      </c>
      <c r="Q54" s="21">
        <v>5.0683</v>
      </c>
      <c r="R54" s="21">
        <v>5.2394</v>
      </c>
      <c r="S54" s="21">
        <v>5.6031</v>
      </c>
      <c r="T54" s="21">
        <v>6.2968</v>
      </c>
      <c r="U54" s="22">
        <f>IFERROR(__xludf.DUMMYFUNCTION("IFERROR(GOOGLEFINANCE(B54,""price""),"""")"),3.61)</f>
        <v>3.61</v>
      </c>
    </row>
    <row r="55">
      <c r="A55" s="7">
        <v>46050.626686936055</v>
      </c>
      <c r="B55" s="8" t="s">
        <v>4805</v>
      </c>
      <c r="C55" s="8" t="s">
        <v>4806</v>
      </c>
      <c r="D55" s="9">
        <v>46054.0</v>
      </c>
      <c r="E55" s="10">
        <v>5.94</v>
      </c>
      <c r="F55" s="12">
        <v>2.54031347E8</v>
      </c>
      <c r="G55" s="26">
        <v>79.064</v>
      </c>
      <c r="H55" s="26">
        <v>30.0646</v>
      </c>
      <c r="I55" s="13">
        <v>1.3011</v>
      </c>
      <c r="J55" s="8" t="s">
        <v>4807</v>
      </c>
      <c r="K55" s="11">
        <v>0.0</v>
      </c>
      <c r="L55" s="13">
        <v>401461.6</v>
      </c>
      <c r="M55" s="8">
        <v>2473190.0</v>
      </c>
      <c r="N55" s="8">
        <v>6.6572298E7</v>
      </c>
      <c r="O55" s="8">
        <v>5.116682E7</v>
      </c>
      <c r="P55" s="13">
        <v>5.9225</v>
      </c>
      <c r="Q55" s="13">
        <v>5.8674</v>
      </c>
      <c r="R55" s="13">
        <v>5.8236</v>
      </c>
      <c r="S55" s="13">
        <v>5.7789</v>
      </c>
      <c r="T55" s="13">
        <v>5.7211</v>
      </c>
      <c r="U55" s="14">
        <f>IFERROR(__xludf.DUMMYFUNCTION("IFERROR(GOOGLEFINANCE(B55,""price""),"""")"),5.78)</f>
        <v>5.78</v>
      </c>
    </row>
    <row r="56">
      <c r="A56" s="15">
        <v>46050.626686936055</v>
      </c>
      <c r="B56" s="16" t="s">
        <v>4799</v>
      </c>
      <c r="C56" s="16" t="s">
        <v>4800</v>
      </c>
      <c r="D56" s="17">
        <v>46054.0</v>
      </c>
      <c r="E56" s="18">
        <v>9.06</v>
      </c>
      <c r="F56" s="20">
        <v>5.11063278E8</v>
      </c>
      <c r="G56" s="27">
        <v>91.3388</v>
      </c>
      <c r="H56" s="27">
        <v>30.1381</v>
      </c>
      <c r="I56" s="21">
        <v>1.2149</v>
      </c>
      <c r="J56" s="16" t="s">
        <v>4801</v>
      </c>
      <c r="K56" s="19">
        <v>0.4435</v>
      </c>
      <c r="L56" s="21">
        <v>187757.8</v>
      </c>
      <c r="M56" s="16">
        <v>1.691388E7</v>
      </c>
      <c r="N56" s="16">
        <v>1.25076693E8</v>
      </c>
      <c r="O56" s="16">
        <v>1.0295438E8</v>
      </c>
      <c r="P56" s="21">
        <v>8.8815</v>
      </c>
      <c r="Q56" s="21">
        <v>8.7137</v>
      </c>
      <c r="R56" s="21">
        <v>8.6397</v>
      </c>
      <c r="S56" s="21">
        <v>8.5836</v>
      </c>
      <c r="T56" s="21">
        <v>8.5562</v>
      </c>
      <c r="U56" s="22">
        <f>IFERROR(__xludf.DUMMYFUNCTION("IFERROR(GOOGLEFINANCE(B56,""price""),"""")"),10.09)</f>
        <v>10.09</v>
      </c>
    </row>
    <row r="57">
      <c r="A57" s="7">
        <v>46050.626686936055</v>
      </c>
      <c r="B57" s="8" t="s">
        <v>4802</v>
      </c>
      <c r="C57" s="8" t="s">
        <v>4803</v>
      </c>
      <c r="D57" s="9">
        <v>46054.0</v>
      </c>
      <c r="E57" s="10">
        <v>8.385</v>
      </c>
      <c r="F57" s="12">
        <v>3.7584719E8</v>
      </c>
      <c r="G57" s="26">
        <v>91.4242</v>
      </c>
      <c r="H57" s="26">
        <v>351.6546</v>
      </c>
      <c r="I57" s="13">
        <v>0.1285</v>
      </c>
      <c r="J57" s="8" t="s">
        <v>4804</v>
      </c>
      <c r="K57" s="11">
        <v>0.0597</v>
      </c>
      <c r="L57" s="13">
        <v>184954.3</v>
      </c>
      <c r="M57" s="8">
        <v>3.8991E7</v>
      </c>
      <c r="N57" s="8">
        <v>6542000.0</v>
      </c>
      <c r="O57" s="8">
        <v>5.0894E7</v>
      </c>
      <c r="P57" s="13">
        <v>8.3982</v>
      </c>
      <c r="Q57" s="13">
        <v>8.4091</v>
      </c>
      <c r="R57" s="13">
        <v>8.4128</v>
      </c>
      <c r="S57" s="13">
        <v>8.4172</v>
      </c>
      <c r="T57" s="13">
        <v>8.4201</v>
      </c>
      <c r="U57" s="14">
        <f>IFERROR(__xludf.DUMMYFUNCTION("IFERROR(GOOGLEFINANCE(B57,""price""),"""")"),8.09)</f>
        <v>8.09</v>
      </c>
    </row>
    <row r="58">
      <c r="A58" s="15">
        <v>46050.626686936055</v>
      </c>
      <c r="B58" s="16" t="s">
        <v>4808</v>
      </c>
      <c r="C58" s="16" t="s">
        <v>4809</v>
      </c>
      <c r="D58" s="17">
        <v>46054.0</v>
      </c>
      <c r="E58" s="18">
        <v>4.985</v>
      </c>
      <c r="F58" s="20">
        <v>1.51367535E8</v>
      </c>
      <c r="G58" s="27">
        <v>91.6155</v>
      </c>
      <c r="H58" s="27">
        <v>149.1122</v>
      </c>
      <c r="I58" s="21">
        <v>1.6542</v>
      </c>
      <c r="J58" s="16" t="s">
        <v>4810</v>
      </c>
      <c r="K58" s="19">
        <v>0.7071</v>
      </c>
      <c r="L58" s="21">
        <v>147562.6</v>
      </c>
      <c r="M58" s="16">
        <v>8389000.0</v>
      </c>
      <c r="N58" s="16">
        <v>3.8418E7</v>
      </c>
      <c r="O58" s="16">
        <v>2.3224E7</v>
      </c>
      <c r="P58" s="21">
        <v>4.9311</v>
      </c>
      <c r="Q58" s="21">
        <v>4.9142</v>
      </c>
      <c r="R58" s="21">
        <v>4.9092</v>
      </c>
      <c r="S58" s="21">
        <v>4.9152</v>
      </c>
      <c r="T58" s="21">
        <v>4.9329</v>
      </c>
      <c r="U58" s="22">
        <f>IFERROR(__xludf.DUMMYFUNCTION("IFERROR(GOOGLEFINANCE(B58,""price""),"""")"),5.11)</f>
        <v>5.11</v>
      </c>
    </row>
    <row r="59">
      <c r="A59" s="7">
        <v>46050.626686936055</v>
      </c>
      <c r="B59" s="8" t="s">
        <v>4793</v>
      </c>
      <c r="C59" s="8" t="s">
        <v>4794</v>
      </c>
      <c r="D59" s="9">
        <v>46054.0</v>
      </c>
      <c r="E59" s="10">
        <v>7.4</v>
      </c>
      <c r="F59" s="12">
        <v>2.81332499E8</v>
      </c>
      <c r="G59" s="26">
        <v>57.3216</v>
      </c>
      <c r="H59" s="26">
        <v>18.8954</v>
      </c>
      <c r="I59" s="13">
        <v>0.2964</v>
      </c>
      <c r="J59" s="8" t="s">
        <v>4795</v>
      </c>
      <c r="K59" s="11">
        <v>-0.6711</v>
      </c>
      <c r="L59" s="13">
        <v>128343.4</v>
      </c>
      <c r="M59" s="8">
        <v>5385000.0</v>
      </c>
      <c r="N59" s="8">
        <v>1.3575E7</v>
      </c>
      <c r="O59" s="8">
        <v>4.5803E7</v>
      </c>
      <c r="P59" s="13">
        <v>7.3961</v>
      </c>
      <c r="Q59" s="13">
        <v>7.3385</v>
      </c>
      <c r="R59" s="13">
        <v>7.2626</v>
      </c>
      <c r="S59" s="13">
        <v>7.1566</v>
      </c>
      <c r="T59" s="13">
        <v>7.0584</v>
      </c>
      <c r="U59" s="14">
        <f>IFERROR(__xludf.DUMMYFUNCTION("IFERROR(GOOGLEFINANCE(B59,""price""),"""")"),9.51)</f>
        <v>9.51</v>
      </c>
    </row>
    <row r="60">
      <c r="A60" s="7">
        <v>46050.65018437598</v>
      </c>
      <c r="B60" s="8" t="s">
        <v>4769</v>
      </c>
      <c r="C60" s="8" t="s">
        <v>4770</v>
      </c>
      <c r="D60" s="9">
        <v>46054.0</v>
      </c>
      <c r="E60" s="10">
        <v>19.53</v>
      </c>
      <c r="F60" s="12">
        <v>3.46703478E8</v>
      </c>
      <c r="G60" s="26">
        <v>45.431</v>
      </c>
      <c r="H60" s="26">
        <v>78.6026</v>
      </c>
      <c r="I60" s="13">
        <v>0.9008</v>
      </c>
      <c r="J60" s="8" t="s">
        <v>4771</v>
      </c>
      <c r="K60" s="11">
        <v>-8.2237</v>
      </c>
      <c r="L60" s="13">
        <v>637754.3</v>
      </c>
      <c r="M60" s="8">
        <v>6791210.0</v>
      </c>
      <c r="N60" s="8">
        <v>2.1445212E7</v>
      </c>
      <c r="O60" s="8">
        <v>2.380571E7</v>
      </c>
      <c r="P60" s="13">
        <v>20.7544</v>
      </c>
      <c r="Q60" s="13">
        <v>19.6523</v>
      </c>
      <c r="R60" s="13">
        <v>18.1499</v>
      </c>
      <c r="S60" s="13">
        <v>16.4233</v>
      </c>
      <c r="T60" s="13">
        <v>14.928</v>
      </c>
      <c r="U60" s="14">
        <f>IFERROR(__xludf.DUMMYFUNCTION("IFERROR(GOOGLEFINANCE(B60,""price""),"""")"),25.17)</f>
        <v>25.17</v>
      </c>
    </row>
    <row r="61">
      <c r="A61" s="15">
        <v>46050.65018437598</v>
      </c>
      <c r="B61" s="16" t="s">
        <v>4778</v>
      </c>
      <c r="C61" s="16" t="s">
        <v>4779</v>
      </c>
      <c r="D61" s="17">
        <v>46054.0</v>
      </c>
      <c r="E61" s="18">
        <v>5.93</v>
      </c>
      <c r="F61" s="20">
        <v>3.78357307E8</v>
      </c>
      <c r="G61" s="27">
        <v>87.9451</v>
      </c>
      <c r="H61" s="27">
        <v>78.0444</v>
      </c>
      <c r="I61" s="21">
        <v>0.0632</v>
      </c>
      <c r="J61" s="16" t="s">
        <v>4780</v>
      </c>
      <c r="K61" s="19">
        <v>1.0221</v>
      </c>
      <c r="L61" s="21">
        <v>650637.1</v>
      </c>
      <c r="M61" s="16">
        <v>1.5074E7</v>
      </c>
      <c r="N61" s="16">
        <v>4488000.0</v>
      </c>
      <c r="O61" s="16">
        <v>7.1049E7</v>
      </c>
      <c r="P61" s="21">
        <v>5.8198</v>
      </c>
      <c r="Q61" s="21">
        <v>5.7156</v>
      </c>
      <c r="R61" s="21">
        <v>5.6553</v>
      </c>
      <c r="S61" s="21">
        <v>5.5889</v>
      </c>
      <c r="T61" s="21">
        <v>5.5086</v>
      </c>
      <c r="U61" s="22">
        <f>IFERROR(__xludf.DUMMYFUNCTION("IFERROR(GOOGLEFINANCE(B61,""price""),"""")"),5.45)</f>
        <v>5.45</v>
      </c>
    </row>
    <row r="62">
      <c r="A62" s="7">
        <v>46050.65018437598</v>
      </c>
      <c r="B62" s="8" t="s">
        <v>4772</v>
      </c>
      <c r="C62" s="8" t="s">
        <v>4773</v>
      </c>
      <c r="D62" s="9">
        <v>46054.0</v>
      </c>
      <c r="E62" s="10">
        <v>43.81</v>
      </c>
      <c r="F62" s="12">
        <v>9.22726896E8</v>
      </c>
      <c r="G62" s="26">
        <v>93.0719</v>
      </c>
      <c r="H62" s="26">
        <v>227.9908</v>
      </c>
      <c r="I62" s="13">
        <v>1.8204</v>
      </c>
      <c r="J62" s="8" t="s">
        <v>4774</v>
      </c>
      <c r="K62" s="11">
        <v>0.2976</v>
      </c>
      <c r="L62" s="13">
        <v>212992.7</v>
      </c>
      <c r="M62" s="8">
        <v>2.480306E7</v>
      </c>
      <c r="N62" s="8">
        <v>1.85414791E8</v>
      </c>
      <c r="O62" s="8">
        <v>1.0185301E8</v>
      </c>
      <c r="P62" s="13">
        <v>43.899</v>
      </c>
      <c r="Q62" s="13">
        <v>43.332</v>
      </c>
      <c r="R62" s="13">
        <v>43.0405</v>
      </c>
      <c r="S62" s="13">
        <v>42.8874</v>
      </c>
      <c r="T62" s="13">
        <v>42.7989</v>
      </c>
      <c r="U62" s="14">
        <f>IFERROR(__xludf.DUMMYFUNCTION("IFERROR(GOOGLEFINANCE(B62,""price""),"""")"),48.35)</f>
        <v>48.35</v>
      </c>
    </row>
    <row r="63">
      <c r="A63" s="15">
        <v>46050.65018437598</v>
      </c>
      <c r="B63" s="16" t="s">
        <v>4790</v>
      </c>
      <c r="C63" s="16" t="s">
        <v>4791</v>
      </c>
      <c r="D63" s="17">
        <v>46054.0</v>
      </c>
      <c r="E63" s="18">
        <v>10.97</v>
      </c>
      <c r="F63" s="20">
        <v>2.04487957E8</v>
      </c>
      <c r="G63" s="27">
        <v>61.3449</v>
      </c>
      <c r="H63" s="27">
        <v>24.1858</v>
      </c>
      <c r="I63" s="21">
        <v>0.8187</v>
      </c>
      <c r="J63" s="16" t="s">
        <v>4792</v>
      </c>
      <c r="K63" s="19">
        <v>-6.7969</v>
      </c>
      <c r="L63" s="21">
        <v>245618.2</v>
      </c>
      <c r="M63" s="16">
        <v>1.2011E7</v>
      </c>
      <c r="N63" s="16">
        <v>9089000.0</v>
      </c>
      <c r="O63" s="16">
        <v>1.1102E7</v>
      </c>
      <c r="P63" s="21">
        <v>11.7864</v>
      </c>
      <c r="Q63" s="21">
        <v>12.4099</v>
      </c>
      <c r="R63" s="21">
        <v>12.9562</v>
      </c>
      <c r="S63" s="21">
        <v>13.7309</v>
      </c>
      <c r="T63" s="21">
        <v>14.3599</v>
      </c>
      <c r="U63" s="22">
        <f>IFERROR(__xludf.DUMMYFUNCTION("IFERROR(GOOGLEFINANCE(B63,""price""),"""")"),6.13)</f>
        <v>6.13</v>
      </c>
    </row>
    <row r="64">
      <c r="A64" s="7">
        <v>46050.65018437598</v>
      </c>
      <c r="B64" s="8" t="s">
        <v>4775</v>
      </c>
      <c r="C64" s="8" t="s">
        <v>4776</v>
      </c>
      <c r="D64" s="9">
        <v>46054.0</v>
      </c>
      <c r="E64" s="10">
        <v>1.45</v>
      </c>
      <c r="F64" s="12">
        <v>3.84780693E8</v>
      </c>
      <c r="G64" s="26">
        <v>76.5527</v>
      </c>
      <c r="H64" s="26">
        <v>32.489</v>
      </c>
      <c r="I64" s="13">
        <v>1.4008</v>
      </c>
      <c r="J64" s="8" t="s">
        <v>4777</v>
      </c>
      <c r="K64" s="11">
        <v>-3.9735</v>
      </c>
      <c r="L64" s="8">
        <v>2782742.0</v>
      </c>
      <c r="M64" s="8">
        <v>3.2174E7</v>
      </c>
      <c r="N64" s="8">
        <v>4.5155E7</v>
      </c>
      <c r="O64" s="8">
        <v>3.2236E7</v>
      </c>
      <c r="P64" s="13">
        <v>1.4309</v>
      </c>
      <c r="Q64" s="13">
        <v>1.4664</v>
      </c>
      <c r="R64" s="13">
        <v>1.5387</v>
      </c>
      <c r="S64" s="13">
        <v>1.6943</v>
      </c>
      <c r="T64" s="13">
        <v>1.9321</v>
      </c>
      <c r="U64" s="14">
        <f>IFERROR(__xludf.DUMMYFUNCTION("IFERROR(GOOGLEFINANCE(B64,""price""),"""")"),1.4)</f>
        <v>1.4</v>
      </c>
    </row>
    <row r="65">
      <c r="A65" s="15">
        <v>46050.65018437598</v>
      </c>
      <c r="B65" s="16" t="s">
        <v>4784</v>
      </c>
      <c r="C65" s="16" t="s">
        <v>4785</v>
      </c>
      <c r="D65" s="17">
        <v>46054.0</v>
      </c>
      <c r="E65" s="18">
        <v>7.42</v>
      </c>
      <c r="F65" s="20">
        <v>6.9270523E8</v>
      </c>
      <c r="G65" s="27">
        <v>92.9391</v>
      </c>
      <c r="H65" s="27">
        <v>188.9999</v>
      </c>
      <c r="I65" s="21">
        <v>0.794</v>
      </c>
      <c r="J65" s="16" t="s">
        <v>4786</v>
      </c>
      <c r="K65" s="19">
        <v>0.0</v>
      </c>
      <c r="L65" s="21">
        <v>329091.1</v>
      </c>
      <c r="M65" s="16">
        <v>5.3903E7</v>
      </c>
      <c r="N65" s="16">
        <v>7.8663E7</v>
      </c>
      <c r="O65" s="16">
        <v>9.9078E7</v>
      </c>
      <c r="P65" s="21">
        <v>7.4389</v>
      </c>
      <c r="Q65" s="21">
        <v>7.4416</v>
      </c>
      <c r="R65" s="21">
        <v>7.4409</v>
      </c>
      <c r="S65" s="21">
        <v>7.4462</v>
      </c>
      <c r="T65" s="21">
        <v>7.4536</v>
      </c>
      <c r="U65" s="22">
        <f>IFERROR(__xludf.DUMMYFUNCTION("IFERROR(GOOGLEFINANCE(B65,""price""),"""")"),7.06)</f>
        <v>7.06</v>
      </c>
    </row>
    <row r="66">
      <c r="A66" s="7">
        <v>46050.65018437598</v>
      </c>
      <c r="B66" s="8" t="s">
        <v>4811</v>
      </c>
      <c r="C66" s="8" t="s">
        <v>4812</v>
      </c>
      <c r="D66" s="9">
        <v>46054.0</v>
      </c>
      <c r="E66" s="10">
        <v>10.72</v>
      </c>
      <c r="F66" s="12">
        <v>9.69276892E8</v>
      </c>
      <c r="G66" s="26">
        <v>32.9951</v>
      </c>
      <c r="H66" s="26">
        <v>19.8769</v>
      </c>
      <c r="I66" s="13">
        <v>0.5293</v>
      </c>
      <c r="J66" s="8" t="s">
        <v>4813</v>
      </c>
      <c r="K66" s="11">
        <v>-1.8315</v>
      </c>
      <c r="L66" s="13">
        <v>248368.4</v>
      </c>
      <c r="M66" s="8">
        <v>8.4171E7</v>
      </c>
      <c r="N66" s="8">
        <v>9.7672E7</v>
      </c>
      <c r="O66" s="8">
        <v>1.84534E8</v>
      </c>
      <c r="P66" s="13">
        <v>11.1681</v>
      </c>
      <c r="Q66" s="13">
        <v>11.4207</v>
      </c>
      <c r="R66" s="13">
        <v>11.6145</v>
      </c>
      <c r="S66" s="13">
        <v>12.0455</v>
      </c>
      <c r="T66" s="13">
        <v>12.7618</v>
      </c>
      <c r="U66" s="14" t="str">
        <f>IFERROR(__xludf.DUMMYFUNCTION("IFERROR(GOOGLEFINANCE(B66,""price""),"""")"),"")</f>
        <v/>
      </c>
    </row>
    <row r="67">
      <c r="A67" s="15">
        <v>46050.65018437598</v>
      </c>
      <c r="B67" s="16" t="s">
        <v>4787</v>
      </c>
      <c r="C67" s="16" t="s">
        <v>4788</v>
      </c>
      <c r="D67" s="17">
        <v>46054.0</v>
      </c>
      <c r="E67" s="18">
        <v>16.18</v>
      </c>
      <c r="F67" s="20">
        <v>3.61946124E8</v>
      </c>
      <c r="G67" s="27">
        <v>93.5373</v>
      </c>
      <c r="H67" s="27">
        <v>235.6763</v>
      </c>
      <c r="I67" s="21">
        <v>1.1757</v>
      </c>
      <c r="J67" s="16" t="s">
        <v>4789</v>
      </c>
      <c r="K67" s="19">
        <v>0.9988</v>
      </c>
      <c r="L67" s="21">
        <v>159141.4</v>
      </c>
      <c r="M67" s="16">
        <v>1153000.0</v>
      </c>
      <c r="N67" s="16">
        <v>8.1709E7</v>
      </c>
      <c r="O67" s="16">
        <v>6.9496E7</v>
      </c>
      <c r="P67" s="21">
        <v>15.9228</v>
      </c>
      <c r="Q67" s="21">
        <v>15.715</v>
      </c>
      <c r="R67" s="21">
        <v>15.6003</v>
      </c>
      <c r="S67" s="21">
        <v>15.4812</v>
      </c>
      <c r="T67" s="21">
        <v>15.3082</v>
      </c>
      <c r="U67" s="22">
        <f>IFERROR(__xludf.DUMMYFUNCTION("IFERROR(GOOGLEFINANCE(B67,""price""),"""")"),16.44)</f>
        <v>16.44</v>
      </c>
    </row>
    <row r="68">
      <c r="A68" s="7">
        <v>46050.65018437598</v>
      </c>
      <c r="B68" s="8" t="s">
        <v>4781</v>
      </c>
      <c r="C68" s="8" t="s">
        <v>4782</v>
      </c>
      <c r="D68" s="9">
        <v>46054.0</v>
      </c>
      <c r="E68" s="10">
        <v>28.88</v>
      </c>
      <c r="F68" s="12">
        <v>2.33756013E8</v>
      </c>
      <c r="G68" s="26">
        <v>33.5301</v>
      </c>
      <c r="H68" s="26">
        <v>30.7392</v>
      </c>
      <c r="I68" s="13">
        <v>0.4459</v>
      </c>
      <c r="J68" s="8" t="s">
        <v>4783</v>
      </c>
      <c r="K68" s="11">
        <v>-4.0532</v>
      </c>
      <c r="L68" s="13">
        <v>103402.5</v>
      </c>
      <c r="M68" s="8">
        <v>1.2268E7</v>
      </c>
      <c r="N68" s="8">
        <v>1.4151E7</v>
      </c>
      <c r="O68" s="8">
        <v>3.1737E7</v>
      </c>
      <c r="P68" s="13">
        <v>30.2073</v>
      </c>
      <c r="Q68" s="13">
        <v>30.7212</v>
      </c>
      <c r="R68" s="13">
        <v>30.4381</v>
      </c>
      <c r="S68" s="13">
        <v>29.7028</v>
      </c>
      <c r="T68" s="13">
        <v>28.4784</v>
      </c>
      <c r="U68" s="14">
        <f>IFERROR(__xludf.DUMMYFUNCTION("IFERROR(GOOGLEFINANCE(B68,""price""),"""")"),33.55)</f>
        <v>33.55</v>
      </c>
    </row>
    <row r="69">
      <c r="A69" s="15">
        <v>46050.65018437598</v>
      </c>
      <c r="B69" s="16" t="s">
        <v>4796</v>
      </c>
      <c r="C69" s="16" t="s">
        <v>4797</v>
      </c>
      <c r="D69" s="17">
        <v>46054.0</v>
      </c>
      <c r="E69" s="18">
        <v>4.76</v>
      </c>
      <c r="F69" s="20">
        <v>1.69471015E8</v>
      </c>
      <c r="G69" s="27">
        <v>85.0918</v>
      </c>
      <c r="H69" s="27">
        <v>24.2074</v>
      </c>
      <c r="I69" s="21">
        <v>1.6603</v>
      </c>
      <c r="J69" s="16" t="s">
        <v>4798</v>
      </c>
      <c r="K69" s="19">
        <v>-1.6529</v>
      </c>
      <c r="L69" s="21">
        <v>401734.8</v>
      </c>
      <c r="M69" s="16">
        <v>3.603424E7</v>
      </c>
      <c r="N69" s="16">
        <v>8.0844E7</v>
      </c>
      <c r="O69" s="16">
        <v>4.8691E7</v>
      </c>
      <c r="P69" s="21">
        <v>4.9042</v>
      </c>
      <c r="Q69" s="21">
        <v>5.0678</v>
      </c>
      <c r="R69" s="21">
        <v>5.2391</v>
      </c>
      <c r="S69" s="21">
        <v>5.6029</v>
      </c>
      <c r="T69" s="21">
        <v>6.2967</v>
      </c>
      <c r="U69" s="22">
        <f>IFERROR(__xludf.DUMMYFUNCTION("IFERROR(GOOGLEFINANCE(B69,""price""),"""")"),3.61)</f>
        <v>3.61</v>
      </c>
    </row>
    <row r="70">
      <c r="A70" s="7">
        <v>46050.65018437598</v>
      </c>
      <c r="B70" s="8" t="s">
        <v>4805</v>
      </c>
      <c r="C70" s="8" t="s">
        <v>4806</v>
      </c>
      <c r="D70" s="9">
        <v>46054.0</v>
      </c>
      <c r="E70" s="10">
        <v>5.93</v>
      </c>
      <c r="F70" s="12">
        <v>2.54031347E8</v>
      </c>
      <c r="G70" s="26">
        <v>79.064</v>
      </c>
      <c r="H70" s="26">
        <v>30.0646</v>
      </c>
      <c r="I70" s="13">
        <v>1.3011</v>
      </c>
      <c r="J70" s="8" t="s">
        <v>4807</v>
      </c>
      <c r="K70" s="11">
        <v>-0.1684</v>
      </c>
      <c r="L70" s="13">
        <v>402546.2</v>
      </c>
      <c r="M70" s="8">
        <v>2473190.0</v>
      </c>
      <c r="N70" s="8">
        <v>6.6572298E7</v>
      </c>
      <c r="O70" s="8">
        <v>5.116682E7</v>
      </c>
      <c r="P70" s="13">
        <v>5.9203</v>
      </c>
      <c r="Q70" s="13">
        <v>5.8665</v>
      </c>
      <c r="R70" s="13">
        <v>5.823</v>
      </c>
      <c r="S70" s="13">
        <v>5.7786</v>
      </c>
      <c r="T70" s="13">
        <v>5.7209</v>
      </c>
      <c r="U70" s="14">
        <f>IFERROR(__xludf.DUMMYFUNCTION("IFERROR(GOOGLEFINANCE(B70,""price""),"""")"),5.78)</f>
        <v>5.78</v>
      </c>
    </row>
    <row r="71">
      <c r="A71" s="15">
        <v>46050.65018437598</v>
      </c>
      <c r="B71" s="16" t="s">
        <v>4799</v>
      </c>
      <c r="C71" s="16" t="s">
        <v>4800</v>
      </c>
      <c r="D71" s="17">
        <v>46054.0</v>
      </c>
      <c r="E71" s="18">
        <v>9.09</v>
      </c>
      <c r="F71" s="20">
        <v>5.11063278E8</v>
      </c>
      <c r="G71" s="27">
        <v>91.3388</v>
      </c>
      <c r="H71" s="27">
        <v>30.1381</v>
      </c>
      <c r="I71" s="21">
        <v>1.2149</v>
      </c>
      <c r="J71" s="16" t="s">
        <v>4801</v>
      </c>
      <c r="K71" s="19">
        <v>0.7761</v>
      </c>
      <c r="L71" s="21">
        <v>187942.6</v>
      </c>
      <c r="M71" s="16">
        <v>1.691388E7</v>
      </c>
      <c r="N71" s="16">
        <v>1.25076693E8</v>
      </c>
      <c r="O71" s="16">
        <v>1.0295438E8</v>
      </c>
      <c r="P71" s="21">
        <v>8.8882</v>
      </c>
      <c r="Q71" s="21">
        <v>8.7164</v>
      </c>
      <c r="R71" s="21">
        <v>8.6414</v>
      </c>
      <c r="S71" s="21">
        <v>8.5847</v>
      </c>
      <c r="T71" s="21">
        <v>8.5568</v>
      </c>
      <c r="U71" s="22">
        <f>IFERROR(__xludf.DUMMYFUNCTION("IFERROR(GOOGLEFINANCE(B71,""price""),"""")"),10.09)</f>
        <v>10.09</v>
      </c>
    </row>
    <row r="72">
      <c r="A72" s="7">
        <v>46050.65018437598</v>
      </c>
      <c r="B72" s="8" t="s">
        <v>4802</v>
      </c>
      <c r="C72" s="8" t="s">
        <v>4803</v>
      </c>
      <c r="D72" s="9">
        <v>46054.0</v>
      </c>
      <c r="E72" s="10">
        <v>8.39</v>
      </c>
      <c r="F72" s="12">
        <v>3.7584719E8</v>
      </c>
      <c r="G72" s="26">
        <v>91.4242</v>
      </c>
      <c r="H72" s="26">
        <v>351.6546</v>
      </c>
      <c r="I72" s="13">
        <v>0.1285</v>
      </c>
      <c r="J72" s="8" t="s">
        <v>4804</v>
      </c>
      <c r="K72" s="11">
        <v>0.1193</v>
      </c>
      <c r="L72" s="13">
        <v>185852.2</v>
      </c>
      <c r="M72" s="8">
        <v>3.8991E7</v>
      </c>
      <c r="N72" s="8">
        <v>6542000.0</v>
      </c>
      <c r="O72" s="8">
        <v>5.0894E7</v>
      </c>
      <c r="P72" s="13">
        <v>8.3994</v>
      </c>
      <c r="Q72" s="13">
        <v>8.4096</v>
      </c>
      <c r="R72" s="13">
        <v>8.4131</v>
      </c>
      <c r="S72" s="13">
        <v>8.4173</v>
      </c>
      <c r="T72" s="13">
        <v>8.4202</v>
      </c>
      <c r="U72" s="14">
        <f>IFERROR(__xludf.DUMMYFUNCTION("IFERROR(GOOGLEFINANCE(B72,""price""),"""")"),8.09)</f>
        <v>8.09</v>
      </c>
    </row>
    <row r="73">
      <c r="A73" s="15">
        <v>46050.65018437598</v>
      </c>
      <c r="B73" s="16" t="s">
        <v>4793</v>
      </c>
      <c r="C73" s="16" t="s">
        <v>4794</v>
      </c>
      <c r="D73" s="17">
        <v>46054.0</v>
      </c>
      <c r="E73" s="18">
        <v>7.38</v>
      </c>
      <c r="F73" s="20">
        <v>2.80572141E8</v>
      </c>
      <c r="G73" s="27">
        <v>57.3216</v>
      </c>
      <c r="H73" s="27">
        <v>18.8954</v>
      </c>
      <c r="I73" s="21">
        <v>0.2964</v>
      </c>
      <c r="J73" s="16" t="s">
        <v>4795</v>
      </c>
      <c r="K73" s="19">
        <v>-0.9396</v>
      </c>
      <c r="L73" s="21">
        <v>132088.3</v>
      </c>
      <c r="M73" s="16">
        <v>5385000.0</v>
      </c>
      <c r="N73" s="16">
        <v>1.3575E7</v>
      </c>
      <c r="O73" s="16">
        <v>4.5803E7</v>
      </c>
      <c r="P73" s="21">
        <v>7.3916</v>
      </c>
      <c r="Q73" s="21">
        <v>7.3367</v>
      </c>
      <c r="R73" s="21">
        <v>7.2615</v>
      </c>
      <c r="S73" s="21">
        <v>7.1558</v>
      </c>
      <c r="T73" s="21">
        <v>7.058</v>
      </c>
      <c r="U73" s="22">
        <f>IFERROR(__xludf.DUMMYFUNCTION("IFERROR(GOOGLEFINANCE(B73,""price""),"""")"),9.51)</f>
        <v>9.51</v>
      </c>
    </row>
    <row r="74">
      <c r="A74" s="7">
        <v>46050.65018437598</v>
      </c>
      <c r="B74" s="8" t="s">
        <v>4808</v>
      </c>
      <c r="C74" s="8" t="s">
        <v>4809</v>
      </c>
      <c r="D74" s="9">
        <v>46054.0</v>
      </c>
      <c r="E74" s="10">
        <v>5.0</v>
      </c>
      <c r="F74" s="12">
        <v>1.51367535E8</v>
      </c>
      <c r="G74" s="26">
        <v>91.6155</v>
      </c>
      <c r="H74" s="26">
        <v>149.1122</v>
      </c>
      <c r="I74" s="13">
        <v>1.6542</v>
      </c>
      <c r="J74" s="8" t="s">
        <v>4810</v>
      </c>
      <c r="K74" s="11">
        <v>1.0101</v>
      </c>
      <c r="L74" s="13">
        <v>149983.7</v>
      </c>
      <c r="M74" s="8">
        <v>8389000.0</v>
      </c>
      <c r="N74" s="8">
        <v>3.8418E7</v>
      </c>
      <c r="O74" s="8">
        <v>2.3224E7</v>
      </c>
      <c r="P74" s="13">
        <v>4.9344</v>
      </c>
      <c r="Q74" s="13">
        <v>4.9156</v>
      </c>
      <c r="R74" s="13">
        <v>4.91</v>
      </c>
      <c r="S74" s="13">
        <v>4.9158</v>
      </c>
      <c r="T74" s="13">
        <v>4.9333</v>
      </c>
      <c r="U74" s="14">
        <f>IFERROR(__xludf.DUMMYFUNCTION("IFERROR(GOOGLEFINANCE(B74,""price""),"""")"),5.11)</f>
        <v>5.11</v>
      </c>
    </row>
    <row r="75">
      <c r="A75" s="7">
        <v>46051.62822829239</v>
      </c>
      <c r="B75" s="8" t="s">
        <v>4769</v>
      </c>
      <c r="C75" s="8" t="s">
        <v>4770</v>
      </c>
      <c r="D75" s="9">
        <v>46054.0</v>
      </c>
      <c r="E75" s="10">
        <v>18.85</v>
      </c>
      <c r="F75" s="12">
        <v>3.35121781E8</v>
      </c>
      <c r="G75" s="26">
        <v>45.431</v>
      </c>
      <c r="H75" s="26">
        <v>78.6026</v>
      </c>
      <c r="I75" s="13">
        <v>0.9008</v>
      </c>
      <c r="J75" s="8" t="s">
        <v>4771</v>
      </c>
      <c r="K75" s="11">
        <v>-3.4818</v>
      </c>
      <c r="L75" s="13">
        <v>471464.9</v>
      </c>
      <c r="M75" s="8">
        <v>6791210.0</v>
      </c>
      <c r="N75" s="8">
        <v>2.1445212E7</v>
      </c>
      <c r="O75" s="8">
        <v>2.380571E7</v>
      </c>
      <c r="P75" s="13">
        <v>20.3312</v>
      </c>
      <c r="Q75" s="13">
        <v>19.5794</v>
      </c>
      <c r="R75" s="13">
        <v>18.1899</v>
      </c>
      <c r="S75" s="13">
        <v>16.51</v>
      </c>
      <c r="T75" s="13">
        <v>15.0151</v>
      </c>
      <c r="U75" s="14">
        <f>IFERROR(__xludf.DUMMYFUNCTION("IFERROR(GOOGLEFINANCE(B75,""price""),"""")"),25.17)</f>
        <v>25.17</v>
      </c>
    </row>
    <row r="76">
      <c r="A76" s="15">
        <v>46051.62822829239</v>
      </c>
      <c r="B76" s="16" t="s">
        <v>4772</v>
      </c>
      <c r="C76" s="16" t="s">
        <v>4773</v>
      </c>
      <c r="D76" s="17">
        <v>46054.0</v>
      </c>
      <c r="E76" s="18">
        <v>44.1899</v>
      </c>
      <c r="F76" s="20">
        <v>9.25473107E8</v>
      </c>
      <c r="G76" s="27">
        <v>93.0719</v>
      </c>
      <c r="H76" s="27">
        <v>227.9908</v>
      </c>
      <c r="I76" s="21">
        <v>1.8204</v>
      </c>
      <c r="J76" s="16" t="s">
        <v>4774</v>
      </c>
      <c r="K76" s="19">
        <v>0.8672</v>
      </c>
      <c r="L76" s="21">
        <v>203464.5</v>
      </c>
      <c r="M76" s="16">
        <v>2.480306E7</v>
      </c>
      <c r="N76" s="16">
        <v>1.85414791E8</v>
      </c>
      <c r="O76" s="16">
        <v>1.0185301E8</v>
      </c>
      <c r="P76" s="21">
        <v>43.9637</v>
      </c>
      <c r="Q76" s="21">
        <v>43.41</v>
      </c>
      <c r="R76" s="21">
        <v>43.1062</v>
      </c>
      <c r="S76" s="21">
        <v>42.9339</v>
      </c>
      <c r="T76" s="21">
        <v>42.8298</v>
      </c>
      <c r="U76" s="22">
        <f>IFERROR(__xludf.DUMMYFUNCTION("IFERROR(GOOGLEFINANCE(B76,""price""),"""")"),48.35)</f>
        <v>48.35</v>
      </c>
    </row>
    <row r="77">
      <c r="A77" s="7">
        <v>46051.62822829239</v>
      </c>
      <c r="B77" s="8" t="s">
        <v>4811</v>
      </c>
      <c r="C77" s="8" t="s">
        <v>4812</v>
      </c>
      <c r="D77" s="9">
        <v>46054.0</v>
      </c>
      <c r="E77" s="10">
        <v>10.77</v>
      </c>
      <c r="F77" s="12">
        <v>9.7379779E8</v>
      </c>
      <c r="G77" s="26">
        <v>32.9951</v>
      </c>
      <c r="H77" s="26">
        <v>19.8769</v>
      </c>
      <c r="I77" s="13">
        <v>0.5293</v>
      </c>
      <c r="J77" s="8" t="s">
        <v>4813</v>
      </c>
      <c r="K77" s="11">
        <v>0.4664</v>
      </c>
      <c r="L77" s="13">
        <v>259740.2</v>
      </c>
      <c r="M77" s="8">
        <v>8.4171E7</v>
      </c>
      <c r="N77" s="8">
        <v>9.7672E7</v>
      </c>
      <c r="O77" s="8">
        <v>1.84534E8</v>
      </c>
      <c r="P77" s="13">
        <v>11.0797</v>
      </c>
      <c r="Q77" s="13">
        <v>11.3616</v>
      </c>
      <c r="R77" s="13">
        <v>11.5663</v>
      </c>
      <c r="S77" s="13">
        <v>11.9999</v>
      </c>
      <c r="T77" s="13">
        <v>12.7175</v>
      </c>
      <c r="U77" s="14" t="str">
        <f>IFERROR(__xludf.DUMMYFUNCTION("IFERROR(GOOGLEFINANCE(B77,""price""),"""")"),"")</f>
        <v/>
      </c>
    </row>
    <row r="78">
      <c r="A78" s="15">
        <v>46051.62822829239</v>
      </c>
      <c r="B78" s="16" t="s">
        <v>4778</v>
      </c>
      <c r="C78" s="16" t="s">
        <v>4779</v>
      </c>
      <c r="D78" s="17">
        <v>46054.0</v>
      </c>
      <c r="E78" s="18">
        <v>5.885</v>
      </c>
      <c r="F78" s="20">
        <v>3.82224673E8</v>
      </c>
      <c r="G78" s="27">
        <v>87.9451</v>
      </c>
      <c r="H78" s="27">
        <v>78.0444</v>
      </c>
      <c r="I78" s="21">
        <v>0.0632</v>
      </c>
      <c r="J78" s="16" t="s">
        <v>4780</v>
      </c>
      <c r="K78" s="19">
        <v>-0.7589</v>
      </c>
      <c r="L78" s="21">
        <v>665322.3</v>
      </c>
      <c r="M78" s="16">
        <v>1.5074E7</v>
      </c>
      <c r="N78" s="16">
        <v>4488000.0</v>
      </c>
      <c r="O78" s="16">
        <v>7.1049E7</v>
      </c>
      <c r="P78" s="21">
        <v>5.8343</v>
      </c>
      <c r="Q78" s="21">
        <v>5.731</v>
      </c>
      <c r="R78" s="21">
        <v>5.6684</v>
      </c>
      <c r="S78" s="21">
        <v>5.5995</v>
      </c>
      <c r="T78" s="21">
        <v>5.517</v>
      </c>
      <c r="U78" s="22">
        <f>IFERROR(__xludf.DUMMYFUNCTION("IFERROR(GOOGLEFINANCE(B78,""price""),"""")"),5.45)</f>
        <v>5.45</v>
      </c>
    </row>
    <row r="79">
      <c r="A79" s="7">
        <v>46051.62822829239</v>
      </c>
      <c r="B79" s="8" t="s">
        <v>4784</v>
      </c>
      <c r="C79" s="8" t="s">
        <v>4785</v>
      </c>
      <c r="D79" s="9">
        <v>46054.0</v>
      </c>
      <c r="E79" s="10">
        <v>7.425</v>
      </c>
      <c r="F79" s="12">
        <v>6.9270523E8</v>
      </c>
      <c r="G79" s="26">
        <v>92.9391</v>
      </c>
      <c r="H79" s="26">
        <v>188.9999</v>
      </c>
      <c r="I79" s="13">
        <v>0.794</v>
      </c>
      <c r="J79" s="8" t="s">
        <v>4786</v>
      </c>
      <c r="K79" s="11">
        <v>0.0674</v>
      </c>
      <c r="L79" s="13">
        <v>336503.8</v>
      </c>
      <c r="M79" s="8">
        <v>5.3903E7</v>
      </c>
      <c r="N79" s="8">
        <v>7.8663E7</v>
      </c>
      <c r="O79" s="8">
        <v>9.9078E7</v>
      </c>
      <c r="P79" s="13">
        <v>7.4358</v>
      </c>
      <c r="Q79" s="13">
        <v>7.4401</v>
      </c>
      <c r="R79" s="13">
        <v>7.44</v>
      </c>
      <c r="S79" s="13">
        <v>7.4454</v>
      </c>
      <c r="T79" s="13">
        <v>7.453</v>
      </c>
      <c r="U79" s="14">
        <f>IFERROR(__xludf.DUMMYFUNCTION("IFERROR(GOOGLEFINANCE(B79,""price""),"""")"),7.06)</f>
        <v>7.06</v>
      </c>
    </row>
    <row r="80">
      <c r="A80" s="15">
        <v>46051.62822829239</v>
      </c>
      <c r="B80" s="16" t="s">
        <v>4775</v>
      </c>
      <c r="C80" s="16" t="s">
        <v>4776</v>
      </c>
      <c r="D80" s="17">
        <v>46054.0</v>
      </c>
      <c r="E80" s="18">
        <v>1.445</v>
      </c>
      <c r="F80" s="20">
        <v>3.83453879E8</v>
      </c>
      <c r="G80" s="27">
        <v>76.5527</v>
      </c>
      <c r="H80" s="27">
        <v>32.489</v>
      </c>
      <c r="I80" s="21">
        <v>1.4008</v>
      </c>
      <c r="J80" s="16" t="s">
        <v>4777</v>
      </c>
      <c r="K80" s="19">
        <v>-0.3448</v>
      </c>
      <c r="L80" s="16">
        <v>2606752.0</v>
      </c>
      <c r="M80" s="16">
        <v>3.2174E7</v>
      </c>
      <c r="N80" s="16">
        <v>4.5155E7</v>
      </c>
      <c r="O80" s="16">
        <v>3.2236E7</v>
      </c>
      <c r="P80" s="21">
        <v>1.434</v>
      </c>
      <c r="Q80" s="21">
        <v>1.4645</v>
      </c>
      <c r="R80" s="21">
        <v>1.5333</v>
      </c>
      <c r="S80" s="21">
        <v>1.6854</v>
      </c>
      <c r="T80" s="21">
        <v>1.9213</v>
      </c>
      <c r="U80" s="22">
        <f>IFERROR(__xludf.DUMMYFUNCTION("IFERROR(GOOGLEFINANCE(B80,""price""),"""")"),1.4)</f>
        <v>1.4</v>
      </c>
    </row>
    <row r="81">
      <c r="A81" s="7">
        <v>46051.62822829239</v>
      </c>
      <c r="B81" s="8" t="s">
        <v>4790</v>
      </c>
      <c r="C81" s="8" t="s">
        <v>4791</v>
      </c>
      <c r="D81" s="9">
        <v>46054.0</v>
      </c>
      <c r="E81" s="10">
        <v>10.72</v>
      </c>
      <c r="F81" s="12">
        <v>1.99827791E8</v>
      </c>
      <c r="G81" s="26">
        <v>61.3449</v>
      </c>
      <c r="H81" s="26">
        <v>24.1858</v>
      </c>
      <c r="I81" s="13">
        <v>0.8187</v>
      </c>
      <c r="J81" s="8" t="s">
        <v>4792</v>
      </c>
      <c r="K81" s="11">
        <v>-2.2789</v>
      </c>
      <c r="L81" s="13">
        <v>243522.7</v>
      </c>
      <c r="M81" s="8">
        <v>1.2011E7</v>
      </c>
      <c r="N81" s="8">
        <v>9089000.0</v>
      </c>
      <c r="O81" s="8">
        <v>1.1102E7</v>
      </c>
      <c r="P81" s="13">
        <v>11.5494</v>
      </c>
      <c r="Q81" s="13">
        <v>12.2563</v>
      </c>
      <c r="R81" s="13">
        <v>12.8284</v>
      </c>
      <c r="S81" s="13">
        <v>13.6233</v>
      </c>
      <c r="T81" s="13">
        <v>14.279</v>
      </c>
      <c r="U81" s="14">
        <f>IFERROR(__xludf.DUMMYFUNCTION("IFERROR(GOOGLEFINANCE(B81,""price""),"""")"),6.13)</f>
        <v>6.13</v>
      </c>
    </row>
    <row r="82">
      <c r="A82" s="15">
        <v>46051.62822829239</v>
      </c>
      <c r="B82" s="16" t="s">
        <v>4781</v>
      </c>
      <c r="C82" s="16" t="s">
        <v>4782</v>
      </c>
      <c r="D82" s="17">
        <v>46054.0</v>
      </c>
      <c r="E82" s="18">
        <v>29.225</v>
      </c>
      <c r="F82" s="20">
        <v>2.36548449E8</v>
      </c>
      <c r="G82" s="27">
        <v>33.5301</v>
      </c>
      <c r="H82" s="27">
        <v>30.7392</v>
      </c>
      <c r="I82" s="21">
        <v>0.4459</v>
      </c>
      <c r="J82" s="16" t="s">
        <v>4783</v>
      </c>
      <c r="K82" s="19">
        <v>1.1946</v>
      </c>
      <c r="L82" s="21">
        <v>101772.0</v>
      </c>
      <c r="M82" s="16">
        <v>1.2268E7</v>
      </c>
      <c r="N82" s="16">
        <v>1.4151E7</v>
      </c>
      <c r="O82" s="16">
        <v>3.1737E7</v>
      </c>
      <c r="P82" s="21">
        <v>29.989</v>
      </c>
      <c r="Q82" s="21">
        <v>30.5852</v>
      </c>
      <c r="R82" s="21">
        <v>30.3688</v>
      </c>
      <c r="S82" s="21">
        <v>29.6858</v>
      </c>
      <c r="T82" s="21">
        <v>28.495</v>
      </c>
      <c r="U82" s="22">
        <f>IFERROR(__xludf.DUMMYFUNCTION("IFERROR(GOOGLEFINANCE(B82,""price""),"""")"),33.55)</f>
        <v>33.55</v>
      </c>
    </row>
    <row r="83">
      <c r="A83" s="7">
        <v>46051.62822829239</v>
      </c>
      <c r="B83" s="8" t="s">
        <v>4787</v>
      </c>
      <c r="C83" s="8" t="s">
        <v>4788</v>
      </c>
      <c r="D83" s="9">
        <v>46054.0</v>
      </c>
      <c r="E83" s="10">
        <v>16.0405</v>
      </c>
      <c r="F83" s="12">
        <v>3.65561066E8</v>
      </c>
      <c r="G83" s="26">
        <v>93.5373</v>
      </c>
      <c r="H83" s="26">
        <v>235.6763</v>
      </c>
      <c r="I83" s="13">
        <v>1.1757</v>
      </c>
      <c r="J83" s="8" t="s">
        <v>4789</v>
      </c>
      <c r="K83" s="11">
        <v>-0.8622</v>
      </c>
      <c r="L83" s="13">
        <v>153897.6</v>
      </c>
      <c r="M83" s="8">
        <v>1153000.0</v>
      </c>
      <c r="N83" s="8">
        <v>8.1709E7</v>
      </c>
      <c r="O83" s="8">
        <v>6.9496E7</v>
      </c>
      <c r="P83" s="13">
        <v>15.949</v>
      </c>
      <c r="Q83" s="13">
        <v>15.7446</v>
      </c>
      <c r="R83" s="13">
        <v>15.6255</v>
      </c>
      <c r="S83" s="13">
        <v>15.5011</v>
      </c>
      <c r="T83" s="13">
        <v>15.3245</v>
      </c>
      <c r="U83" s="14">
        <f>IFERROR(__xludf.DUMMYFUNCTION("IFERROR(GOOGLEFINANCE(B83,""price""),"""")"),16.44)</f>
        <v>16.44</v>
      </c>
    </row>
    <row r="84">
      <c r="A84" s="15">
        <v>46051.62822829239</v>
      </c>
      <c r="B84" s="16" t="s">
        <v>4808</v>
      </c>
      <c r="C84" s="16" t="s">
        <v>4809</v>
      </c>
      <c r="D84" s="17">
        <v>46054.0</v>
      </c>
      <c r="E84" s="18">
        <v>5.04</v>
      </c>
      <c r="F84" s="20">
        <v>1.528965E8</v>
      </c>
      <c r="G84" s="27">
        <v>91.6155</v>
      </c>
      <c r="H84" s="27">
        <v>149.1122</v>
      </c>
      <c r="I84" s="21">
        <v>1.6542</v>
      </c>
      <c r="J84" s="16" t="s">
        <v>4810</v>
      </c>
      <c r="K84" s="19">
        <v>0.8</v>
      </c>
      <c r="L84" s="21">
        <v>161720.2</v>
      </c>
      <c r="M84" s="16">
        <v>8389000.0</v>
      </c>
      <c r="N84" s="16">
        <v>3.8418E7</v>
      </c>
      <c r="O84" s="16">
        <v>2.3224E7</v>
      </c>
      <c r="P84" s="21">
        <v>4.9579</v>
      </c>
      <c r="Q84" s="21">
        <v>4.9269</v>
      </c>
      <c r="R84" s="21">
        <v>4.9175</v>
      </c>
      <c r="S84" s="21">
        <v>4.9202</v>
      </c>
      <c r="T84" s="21">
        <v>4.9356</v>
      </c>
      <c r="U84" s="22">
        <f>IFERROR(__xludf.DUMMYFUNCTION("IFERROR(GOOGLEFINANCE(B84,""price""),"""")"),5.11)</f>
        <v>5.11</v>
      </c>
    </row>
    <row r="85">
      <c r="A85" s="7">
        <v>46051.62822829239</v>
      </c>
      <c r="B85" s="8" t="s">
        <v>4802</v>
      </c>
      <c r="C85" s="8" t="s">
        <v>4803</v>
      </c>
      <c r="D85" s="9">
        <v>46054.0</v>
      </c>
      <c r="E85" s="10">
        <v>8.4</v>
      </c>
      <c r="F85" s="12">
        <v>3.76295695E8</v>
      </c>
      <c r="G85" s="26">
        <v>91.4242</v>
      </c>
      <c r="H85" s="26">
        <v>351.6546</v>
      </c>
      <c r="I85" s="13">
        <v>0.1285</v>
      </c>
      <c r="J85" s="8" t="s">
        <v>4804</v>
      </c>
      <c r="K85" s="11">
        <v>0.1192</v>
      </c>
      <c r="L85" s="13">
        <v>186000.6</v>
      </c>
      <c r="M85" s="8">
        <v>3.8991E7</v>
      </c>
      <c r="N85" s="8">
        <v>6542000.0</v>
      </c>
      <c r="O85" s="8">
        <v>5.0894E7</v>
      </c>
      <c r="P85" s="13">
        <v>8.3995</v>
      </c>
      <c r="Q85" s="13">
        <v>8.4087</v>
      </c>
      <c r="R85" s="13">
        <v>8.4123</v>
      </c>
      <c r="S85" s="13">
        <v>8.4167</v>
      </c>
      <c r="T85" s="13">
        <v>8.4197</v>
      </c>
      <c r="U85" s="14">
        <f>IFERROR(__xludf.DUMMYFUNCTION("IFERROR(GOOGLEFINANCE(B85,""price""),"""")"),8.09)</f>
        <v>8.09</v>
      </c>
    </row>
    <row r="86">
      <c r="A86" s="15">
        <v>46051.62822829239</v>
      </c>
      <c r="B86" s="16" t="s">
        <v>4805</v>
      </c>
      <c r="C86" s="16" t="s">
        <v>4806</v>
      </c>
      <c r="D86" s="17">
        <v>46054.0</v>
      </c>
      <c r="E86" s="18">
        <v>5.915</v>
      </c>
      <c r="F86" s="20">
        <v>2.53603685E8</v>
      </c>
      <c r="G86" s="27">
        <v>79.064</v>
      </c>
      <c r="H86" s="27">
        <v>30.0646</v>
      </c>
      <c r="I86" s="21">
        <v>1.3011</v>
      </c>
      <c r="J86" s="16" t="s">
        <v>4807</v>
      </c>
      <c r="K86" s="19">
        <v>-0.253</v>
      </c>
      <c r="L86" s="21">
        <v>376500.9</v>
      </c>
      <c r="M86" s="16">
        <v>2473190.0</v>
      </c>
      <c r="N86" s="16">
        <v>6.6572298E7</v>
      </c>
      <c r="O86" s="16">
        <v>5.116682E7</v>
      </c>
      <c r="P86" s="21">
        <v>5.9191</v>
      </c>
      <c r="Q86" s="21">
        <v>5.8709</v>
      </c>
      <c r="R86" s="21">
        <v>5.8283</v>
      </c>
      <c r="S86" s="21">
        <v>5.7834</v>
      </c>
      <c r="T86" s="21">
        <v>5.7252</v>
      </c>
      <c r="U86" s="22">
        <f>IFERROR(__xludf.DUMMYFUNCTION("IFERROR(GOOGLEFINANCE(B86,""price""),"""")"),5.78)</f>
        <v>5.78</v>
      </c>
    </row>
    <row r="87">
      <c r="A87" s="7">
        <v>46051.62822829239</v>
      </c>
      <c r="B87" s="8" t="s">
        <v>4796</v>
      </c>
      <c r="C87" s="8" t="s">
        <v>4797</v>
      </c>
      <c r="D87" s="9">
        <v>46054.0</v>
      </c>
      <c r="E87" s="10">
        <v>4.79</v>
      </c>
      <c r="F87" s="12">
        <v>1.70539113E8</v>
      </c>
      <c r="G87" s="26">
        <v>85.0918</v>
      </c>
      <c r="H87" s="26">
        <v>24.2074</v>
      </c>
      <c r="I87" s="13">
        <v>1.6603</v>
      </c>
      <c r="J87" s="8" t="s">
        <v>4798</v>
      </c>
      <c r="K87" s="11">
        <v>0.6303</v>
      </c>
      <c r="L87" s="13">
        <v>374392.8</v>
      </c>
      <c r="M87" s="8">
        <v>3.603424E7</v>
      </c>
      <c r="N87" s="8">
        <v>8.0844E7</v>
      </c>
      <c r="O87" s="8">
        <v>4.8691E7</v>
      </c>
      <c r="P87" s="13">
        <v>4.8788</v>
      </c>
      <c r="Q87" s="13">
        <v>5.0426</v>
      </c>
      <c r="R87" s="13">
        <v>5.2134</v>
      </c>
      <c r="S87" s="13">
        <v>5.5739</v>
      </c>
      <c r="T87" s="13">
        <v>6.2632</v>
      </c>
      <c r="U87" s="14">
        <f>IFERROR(__xludf.DUMMYFUNCTION("IFERROR(GOOGLEFINANCE(B87,""price""),"""")"),3.61)</f>
        <v>3.61</v>
      </c>
    </row>
    <row r="88">
      <c r="A88" s="15">
        <v>46051.62822829239</v>
      </c>
      <c r="B88" s="16" t="s">
        <v>4799</v>
      </c>
      <c r="C88" s="16" t="s">
        <v>4800</v>
      </c>
      <c r="D88" s="17">
        <v>46054.0</v>
      </c>
      <c r="E88" s="18">
        <v>9.23</v>
      </c>
      <c r="F88" s="20">
        <v>5.15029401E8</v>
      </c>
      <c r="G88" s="27">
        <v>91.3388</v>
      </c>
      <c r="H88" s="27">
        <v>30.1381</v>
      </c>
      <c r="I88" s="21">
        <v>1.2149</v>
      </c>
      <c r="J88" s="16" t="s">
        <v>4801</v>
      </c>
      <c r="K88" s="19">
        <v>1.5402</v>
      </c>
      <c r="L88" s="21">
        <v>184150.1</v>
      </c>
      <c r="M88" s="16">
        <v>1.691388E7</v>
      </c>
      <c r="N88" s="16">
        <v>1.25076693E8</v>
      </c>
      <c r="O88" s="16">
        <v>1.0295438E8</v>
      </c>
      <c r="P88" s="21">
        <v>8.9641</v>
      </c>
      <c r="Q88" s="21">
        <v>8.7631</v>
      </c>
      <c r="R88" s="21">
        <v>8.675</v>
      </c>
      <c r="S88" s="21">
        <v>8.6077</v>
      </c>
      <c r="T88" s="21">
        <v>8.5718</v>
      </c>
      <c r="U88" s="22">
        <f>IFERROR(__xludf.DUMMYFUNCTION("IFERROR(GOOGLEFINANCE(B88,""price""),"""")"),10.09)</f>
        <v>10.09</v>
      </c>
    </row>
    <row r="89">
      <c r="A89" s="7">
        <v>46051.62822829239</v>
      </c>
      <c r="B89" s="8" t="s">
        <v>4793</v>
      </c>
      <c r="C89" s="8" t="s">
        <v>4794</v>
      </c>
      <c r="D89" s="9">
        <v>46054.0</v>
      </c>
      <c r="E89" s="10">
        <v>7.49</v>
      </c>
      <c r="F89" s="12">
        <v>2.84754122E8</v>
      </c>
      <c r="G89" s="26">
        <v>57.3216</v>
      </c>
      <c r="H89" s="26">
        <v>18.8954</v>
      </c>
      <c r="I89" s="13">
        <v>0.2964</v>
      </c>
      <c r="J89" s="8" t="s">
        <v>4795</v>
      </c>
      <c r="K89" s="11">
        <v>1.4905</v>
      </c>
      <c r="L89" s="13">
        <v>136075.4</v>
      </c>
      <c r="M89" s="8">
        <v>5385000.0</v>
      </c>
      <c r="N89" s="8">
        <v>1.3575E7</v>
      </c>
      <c r="O89" s="8">
        <v>4.5803E7</v>
      </c>
      <c r="P89" s="13">
        <v>7.4135</v>
      </c>
      <c r="Q89" s="13">
        <v>7.3506</v>
      </c>
      <c r="R89" s="13">
        <v>7.2745</v>
      </c>
      <c r="S89" s="13">
        <v>7.1678</v>
      </c>
      <c r="T89" s="13">
        <v>7.0676</v>
      </c>
      <c r="U89" s="14">
        <f>IFERROR(__xludf.DUMMYFUNCTION("IFERROR(GOOGLEFINANCE(B89,""price""),"""")"),9.51)</f>
        <v>9.51</v>
      </c>
    </row>
    <row r="90">
      <c r="A90" s="7">
        <v>46052.46978814813</v>
      </c>
      <c r="B90" s="8" t="s">
        <v>4772</v>
      </c>
      <c r="C90" s="8" t="s">
        <v>4773</v>
      </c>
      <c r="D90" s="9">
        <v>46054.0</v>
      </c>
      <c r="E90" s="10">
        <v>44.24</v>
      </c>
      <c r="F90" s="12">
        <v>9.34979222E8</v>
      </c>
      <c r="G90" s="26">
        <v>93.0719</v>
      </c>
      <c r="H90" s="26">
        <v>227.9908</v>
      </c>
      <c r="I90" s="13">
        <v>1.8204</v>
      </c>
      <c r="J90" s="8" t="s">
        <v>4774</v>
      </c>
      <c r="K90" s="11">
        <v>-0.0452</v>
      </c>
      <c r="L90" s="13">
        <v>190858.7</v>
      </c>
      <c r="M90" s="8">
        <v>2.480306E7</v>
      </c>
      <c r="N90" s="8">
        <v>1.85414791E8</v>
      </c>
      <c r="O90" s="8">
        <v>1.0185301E8</v>
      </c>
      <c r="P90" s="13">
        <v>44.0372</v>
      </c>
      <c r="Q90" s="13">
        <v>43.4912</v>
      </c>
      <c r="R90" s="13">
        <v>43.1747</v>
      </c>
      <c r="S90" s="13">
        <v>42.9829</v>
      </c>
      <c r="T90" s="13">
        <v>42.8627</v>
      </c>
      <c r="U90" s="14">
        <f>IFERROR(__xludf.DUMMYFUNCTION("IFERROR(GOOGLEFINANCE(B90,""price""),"""")"),48.35)</f>
        <v>48.35</v>
      </c>
    </row>
    <row r="91">
      <c r="A91" s="15">
        <v>46052.46978814813</v>
      </c>
      <c r="B91" s="16" t="s">
        <v>4790</v>
      </c>
      <c r="C91" s="16" t="s">
        <v>4791</v>
      </c>
      <c r="D91" s="17">
        <v>46054.0</v>
      </c>
      <c r="E91" s="18">
        <v>10.595</v>
      </c>
      <c r="F91" s="20">
        <v>1.97497699E8</v>
      </c>
      <c r="G91" s="27">
        <v>61.3449</v>
      </c>
      <c r="H91" s="27">
        <v>24.1858</v>
      </c>
      <c r="I91" s="21">
        <v>0.8187</v>
      </c>
      <c r="J91" s="16" t="s">
        <v>4792</v>
      </c>
      <c r="K91" s="19">
        <v>-2.0795</v>
      </c>
      <c r="L91" s="21">
        <v>248475.5</v>
      </c>
      <c r="M91" s="16">
        <v>1.2011E7</v>
      </c>
      <c r="N91" s="16">
        <v>9089000.0</v>
      </c>
      <c r="O91" s="16">
        <v>1.1102E7</v>
      </c>
      <c r="P91" s="21">
        <v>11.3546</v>
      </c>
      <c r="Q91" s="21">
        <v>12.1135</v>
      </c>
      <c r="R91" s="21">
        <v>12.7062</v>
      </c>
      <c r="S91" s="21">
        <v>13.5186</v>
      </c>
      <c r="T91" s="21">
        <v>14.1993</v>
      </c>
      <c r="U91" s="22">
        <f>IFERROR(__xludf.DUMMYFUNCTION("IFERROR(GOOGLEFINANCE(B91,""price""),"""")"),6.13)</f>
        <v>6.13</v>
      </c>
    </row>
    <row r="92">
      <c r="A92" s="7">
        <v>46052.46978814813</v>
      </c>
      <c r="B92" s="8" t="s">
        <v>4769</v>
      </c>
      <c r="C92" s="8" t="s">
        <v>4770</v>
      </c>
      <c r="D92" s="9">
        <v>46054.0</v>
      </c>
      <c r="E92" s="10">
        <v>18.96</v>
      </c>
      <c r="F92" s="12">
        <v>3.37077373E8</v>
      </c>
      <c r="G92" s="26">
        <v>45.431</v>
      </c>
      <c r="H92" s="26">
        <v>78.6026</v>
      </c>
      <c r="I92" s="13">
        <v>0.9008</v>
      </c>
      <c r="J92" s="8" t="s">
        <v>4771</v>
      </c>
      <c r="K92" s="11">
        <v>-0.4724</v>
      </c>
      <c r="L92" s="13">
        <v>425737.0</v>
      </c>
      <c r="M92" s="8">
        <v>6791210.0</v>
      </c>
      <c r="N92" s="8">
        <v>2.1445212E7</v>
      </c>
      <c r="O92" s="8">
        <v>2.380571E7</v>
      </c>
      <c r="P92" s="13">
        <v>20.0611</v>
      </c>
      <c r="Q92" s="13">
        <v>19.5396</v>
      </c>
      <c r="R92" s="13">
        <v>18.2447</v>
      </c>
      <c r="S92" s="13">
        <v>16.6044</v>
      </c>
      <c r="T92" s="13">
        <v>15.1071</v>
      </c>
      <c r="U92" s="14">
        <f>IFERROR(__xludf.DUMMYFUNCTION("IFERROR(GOOGLEFINANCE(B92,""price""),"""")"),25.17)</f>
        <v>25.17</v>
      </c>
    </row>
    <row r="93">
      <c r="A93" s="15">
        <v>46052.46978814813</v>
      </c>
      <c r="B93" s="16" t="s">
        <v>4778</v>
      </c>
      <c r="C93" s="16" t="s">
        <v>4779</v>
      </c>
      <c r="D93" s="17">
        <v>46054.0</v>
      </c>
      <c r="E93" s="18">
        <v>5.851</v>
      </c>
      <c r="F93" s="20">
        <v>3.79646429E8</v>
      </c>
      <c r="G93" s="27">
        <v>87.9451</v>
      </c>
      <c r="H93" s="27">
        <v>78.0444</v>
      </c>
      <c r="I93" s="21">
        <v>0.0632</v>
      </c>
      <c r="J93" s="16" t="s">
        <v>4780</v>
      </c>
      <c r="K93" s="19">
        <v>-0.6621</v>
      </c>
      <c r="L93" s="21">
        <v>587615.7</v>
      </c>
      <c r="M93" s="16">
        <v>1.5074E7</v>
      </c>
      <c r="N93" s="16">
        <v>4488000.0</v>
      </c>
      <c r="O93" s="16">
        <v>7.1049E7</v>
      </c>
      <c r="P93" s="21">
        <v>5.8389</v>
      </c>
      <c r="Q93" s="21">
        <v>5.7423</v>
      </c>
      <c r="R93" s="21">
        <v>5.6791</v>
      </c>
      <c r="S93" s="21">
        <v>5.6086</v>
      </c>
      <c r="T93" s="21">
        <v>5.5245</v>
      </c>
      <c r="U93" s="22">
        <f>IFERROR(__xludf.DUMMYFUNCTION("IFERROR(GOOGLEFINANCE(B93,""price""),"""")"),5.45)</f>
        <v>5.45</v>
      </c>
    </row>
    <row r="94">
      <c r="A94" s="7">
        <v>46052.46978814813</v>
      </c>
      <c r="B94" s="8" t="s">
        <v>4811</v>
      </c>
      <c r="C94" s="8" t="s">
        <v>4812</v>
      </c>
      <c r="D94" s="9">
        <v>46054.0</v>
      </c>
      <c r="E94" s="10">
        <v>10.66</v>
      </c>
      <c r="F94" s="12">
        <v>9.63851804E8</v>
      </c>
      <c r="G94" s="26">
        <v>32.9951</v>
      </c>
      <c r="H94" s="26">
        <v>19.8769</v>
      </c>
      <c r="I94" s="13">
        <v>0.5293</v>
      </c>
      <c r="J94" s="8" t="s">
        <v>4813</v>
      </c>
      <c r="K94" s="11">
        <v>-1.1132</v>
      </c>
      <c r="L94" s="13">
        <v>252628.1</v>
      </c>
      <c r="M94" s="8">
        <v>8.4171E7</v>
      </c>
      <c r="N94" s="8">
        <v>9.7672E7</v>
      </c>
      <c r="O94" s="8">
        <v>1.84534E8</v>
      </c>
      <c r="P94" s="13">
        <v>10.9881</v>
      </c>
      <c r="Q94" s="13">
        <v>11.2986</v>
      </c>
      <c r="R94" s="13">
        <v>11.515</v>
      </c>
      <c r="S94" s="13">
        <v>11.9524</v>
      </c>
      <c r="T94" s="13">
        <v>12.672</v>
      </c>
      <c r="U94" s="14" t="str">
        <f>IFERROR(__xludf.DUMMYFUNCTION("IFERROR(GOOGLEFINANCE(B94,""price""),"""")"),"")</f>
        <v/>
      </c>
    </row>
    <row r="95">
      <c r="A95" s="15">
        <v>46052.46978814813</v>
      </c>
      <c r="B95" s="16" t="s">
        <v>4775</v>
      </c>
      <c r="C95" s="16" t="s">
        <v>4776</v>
      </c>
      <c r="D95" s="17">
        <v>46054.0</v>
      </c>
      <c r="E95" s="18">
        <v>1.4144</v>
      </c>
      <c r="F95" s="20">
        <v>3.75333679E8</v>
      </c>
      <c r="G95" s="27">
        <v>76.5527</v>
      </c>
      <c r="H95" s="27">
        <v>32.489</v>
      </c>
      <c r="I95" s="21">
        <v>1.4008</v>
      </c>
      <c r="J95" s="16" t="s">
        <v>4777</v>
      </c>
      <c r="K95" s="19">
        <v>-2.4552</v>
      </c>
      <c r="L95" s="16">
        <v>2474205.0</v>
      </c>
      <c r="M95" s="16">
        <v>3.2174E7</v>
      </c>
      <c r="N95" s="16">
        <v>4.5155E7</v>
      </c>
      <c r="O95" s="16">
        <v>3.2236E7</v>
      </c>
      <c r="P95" s="21">
        <v>1.4305</v>
      </c>
      <c r="Q95" s="21">
        <v>1.4603</v>
      </c>
      <c r="R95" s="21">
        <v>1.5268</v>
      </c>
      <c r="S95" s="21">
        <v>1.6758</v>
      </c>
      <c r="T95" s="21">
        <v>1.9101</v>
      </c>
      <c r="U95" s="22">
        <f>IFERROR(__xludf.DUMMYFUNCTION("IFERROR(GOOGLEFINANCE(B95,""price""),"""")"),1.4)</f>
        <v>1.4</v>
      </c>
    </row>
    <row r="96">
      <c r="A96" s="7">
        <v>46052.46978814813</v>
      </c>
      <c r="B96" s="8" t="s">
        <v>4796</v>
      </c>
      <c r="C96" s="8" t="s">
        <v>4797</v>
      </c>
      <c r="D96" s="9">
        <v>46054.0</v>
      </c>
      <c r="E96" s="10">
        <v>4.67</v>
      </c>
      <c r="F96" s="12">
        <v>1.66266732E8</v>
      </c>
      <c r="G96" s="26">
        <v>85.0918</v>
      </c>
      <c r="H96" s="26">
        <v>24.2074</v>
      </c>
      <c r="I96" s="13">
        <v>1.6603</v>
      </c>
      <c r="J96" s="8" t="s">
        <v>4798</v>
      </c>
      <c r="K96" s="11">
        <v>-2.7083</v>
      </c>
      <c r="L96" s="13">
        <v>361759.6</v>
      </c>
      <c r="M96" s="8">
        <v>3.603424E7</v>
      </c>
      <c r="N96" s="8">
        <v>8.0844E7</v>
      </c>
      <c r="O96" s="8">
        <v>4.8691E7</v>
      </c>
      <c r="P96" s="13">
        <v>4.8342</v>
      </c>
      <c r="Q96" s="13">
        <v>5.0095</v>
      </c>
      <c r="R96" s="13">
        <v>5.1829</v>
      </c>
      <c r="S96" s="13">
        <v>5.5419</v>
      </c>
      <c r="T96" s="13">
        <v>6.228</v>
      </c>
      <c r="U96" s="14">
        <f>IFERROR(__xludf.DUMMYFUNCTION("IFERROR(GOOGLEFINANCE(B96,""price""),"""")"),3.61)</f>
        <v>3.61</v>
      </c>
    </row>
    <row r="97">
      <c r="A97" s="15">
        <v>46052.46978814813</v>
      </c>
      <c r="B97" s="16" t="s">
        <v>4799</v>
      </c>
      <c r="C97" s="16" t="s">
        <v>4800</v>
      </c>
      <c r="D97" s="17">
        <v>46054.0</v>
      </c>
      <c r="E97" s="18">
        <v>9.27</v>
      </c>
      <c r="F97" s="20">
        <v>5.24094825E8</v>
      </c>
      <c r="G97" s="27">
        <v>91.3388</v>
      </c>
      <c r="H97" s="27">
        <v>30.1381</v>
      </c>
      <c r="I97" s="21">
        <v>1.2149</v>
      </c>
      <c r="J97" s="16" t="s">
        <v>4801</v>
      </c>
      <c r="K97" s="19">
        <v>0.2162</v>
      </c>
      <c r="L97" s="21">
        <v>164802.9</v>
      </c>
      <c r="M97" s="16">
        <v>1.691388E7</v>
      </c>
      <c r="N97" s="16">
        <v>1.25076693E8</v>
      </c>
      <c r="O97" s="16">
        <v>1.0295438E8</v>
      </c>
      <c r="P97" s="21">
        <v>9.0356</v>
      </c>
      <c r="Q97" s="21">
        <v>8.8109</v>
      </c>
      <c r="R97" s="21">
        <v>8.7101</v>
      </c>
      <c r="S97" s="21">
        <v>8.632</v>
      </c>
      <c r="T97" s="21">
        <v>8.5877</v>
      </c>
      <c r="U97" s="22">
        <f>IFERROR(__xludf.DUMMYFUNCTION("IFERROR(GOOGLEFINANCE(B97,""price""),"""")"),10.09)</f>
        <v>10.09</v>
      </c>
    </row>
    <row r="98">
      <c r="A98" s="7">
        <v>46052.46978814813</v>
      </c>
      <c r="B98" s="8" t="s">
        <v>4784</v>
      </c>
      <c r="C98" s="8" t="s">
        <v>4785</v>
      </c>
      <c r="D98" s="9">
        <v>46054.0</v>
      </c>
      <c r="E98" s="10">
        <v>7.415</v>
      </c>
      <c r="F98" s="12">
        <v>6.93638795E8</v>
      </c>
      <c r="G98" s="26">
        <v>92.9391</v>
      </c>
      <c r="H98" s="26">
        <v>188.9999</v>
      </c>
      <c r="I98" s="13">
        <v>0.794</v>
      </c>
      <c r="J98" s="8" t="s">
        <v>4786</v>
      </c>
      <c r="K98" s="11">
        <v>-0.2019</v>
      </c>
      <c r="L98" s="13">
        <v>307634.7</v>
      </c>
      <c r="M98" s="8">
        <v>5.3903E7</v>
      </c>
      <c r="N98" s="8">
        <v>7.8663E7</v>
      </c>
      <c r="O98" s="8">
        <v>9.9078E7</v>
      </c>
      <c r="P98" s="13">
        <v>7.4321</v>
      </c>
      <c r="Q98" s="13">
        <v>7.4382</v>
      </c>
      <c r="R98" s="13">
        <v>7.4388</v>
      </c>
      <c r="S98" s="13">
        <v>7.4445</v>
      </c>
      <c r="T98" s="13">
        <v>7.4523</v>
      </c>
      <c r="U98" s="14">
        <f>IFERROR(__xludf.DUMMYFUNCTION("IFERROR(GOOGLEFINANCE(B98,""price""),"""")"),7.06)</f>
        <v>7.06</v>
      </c>
    </row>
    <row r="99">
      <c r="A99" s="15">
        <v>46052.46978814813</v>
      </c>
      <c r="B99" s="16" t="s">
        <v>4802</v>
      </c>
      <c r="C99" s="16" t="s">
        <v>4803</v>
      </c>
      <c r="D99" s="17">
        <v>46054.0</v>
      </c>
      <c r="E99" s="18">
        <v>8.405</v>
      </c>
      <c r="F99" s="20">
        <v>3.767442E8</v>
      </c>
      <c r="G99" s="27">
        <v>91.4242</v>
      </c>
      <c r="H99" s="27">
        <v>351.6546</v>
      </c>
      <c r="I99" s="21">
        <v>0.1285</v>
      </c>
      <c r="J99" s="16" t="s">
        <v>4804</v>
      </c>
      <c r="K99" s="19">
        <v>0.0595</v>
      </c>
      <c r="L99" s="21">
        <v>186100.7</v>
      </c>
      <c r="M99" s="16">
        <v>3.8991E7</v>
      </c>
      <c r="N99" s="16">
        <v>6542000.0</v>
      </c>
      <c r="O99" s="16">
        <v>5.0894E7</v>
      </c>
      <c r="P99" s="21">
        <v>8.4007</v>
      </c>
      <c r="Q99" s="21">
        <v>8.4084</v>
      </c>
      <c r="R99" s="21">
        <v>8.4119</v>
      </c>
      <c r="S99" s="21">
        <v>8.4163</v>
      </c>
      <c r="T99" s="21">
        <v>8.4194</v>
      </c>
      <c r="U99" s="22">
        <f>IFERROR(__xludf.DUMMYFUNCTION("IFERROR(GOOGLEFINANCE(B99,""price""),"""")"),8.09)</f>
        <v>8.09</v>
      </c>
    </row>
    <row r="100">
      <c r="A100" s="7">
        <v>46052.46978814813</v>
      </c>
      <c r="B100" s="8" t="s">
        <v>4787</v>
      </c>
      <c r="C100" s="8" t="s">
        <v>4788</v>
      </c>
      <c r="D100" s="9">
        <v>46054.0</v>
      </c>
      <c r="E100" s="10">
        <v>15.96</v>
      </c>
      <c r="F100" s="12">
        <v>3.63753595E8</v>
      </c>
      <c r="G100" s="26">
        <v>93.5373</v>
      </c>
      <c r="H100" s="26">
        <v>235.6763</v>
      </c>
      <c r="I100" s="13">
        <v>1.1757</v>
      </c>
      <c r="J100" s="8" t="s">
        <v>4789</v>
      </c>
      <c r="K100" s="11">
        <v>-0.8696</v>
      </c>
      <c r="L100" s="13">
        <v>144548.2</v>
      </c>
      <c r="M100" s="8">
        <v>1153000.0</v>
      </c>
      <c r="N100" s="8">
        <v>8.1709E7</v>
      </c>
      <c r="O100" s="8">
        <v>6.9496E7</v>
      </c>
      <c r="P100" s="13">
        <v>15.9617</v>
      </c>
      <c r="Q100" s="13">
        <v>15.7691</v>
      </c>
      <c r="R100" s="13">
        <v>15.6478</v>
      </c>
      <c r="S100" s="13">
        <v>15.5196</v>
      </c>
      <c r="T100" s="13">
        <v>15.3399</v>
      </c>
      <c r="U100" s="14">
        <f>IFERROR(__xludf.DUMMYFUNCTION("IFERROR(GOOGLEFINANCE(B100,""price""),"""")"),16.44)</f>
        <v>16.44</v>
      </c>
    </row>
    <row r="101">
      <c r="A101" s="15">
        <v>46052.46978814813</v>
      </c>
      <c r="B101" s="16" t="s">
        <v>4808</v>
      </c>
      <c r="C101" s="16" t="s">
        <v>4809</v>
      </c>
      <c r="D101" s="17">
        <v>46054.0</v>
      </c>
      <c r="E101" s="18">
        <v>5.0199</v>
      </c>
      <c r="F101" s="20">
        <v>1.53813879E8</v>
      </c>
      <c r="G101" s="27">
        <v>91.6155</v>
      </c>
      <c r="H101" s="27">
        <v>149.1122</v>
      </c>
      <c r="I101" s="21">
        <v>1.6542</v>
      </c>
      <c r="J101" s="16" t="s">
        <v>4810</v>
      </c>
      <c r="K101" s="19">
        <v>-0.2008</v>
      </c>
      <c r="L101" s="21">
        <v>149443.3</v>
      </c>
      <c r="M101" s="16">
        <v>8389000.0</v>
      </c>
      <c r="N101" s="16">
        <v>3.8418E7</v>
      </c>
      <c r="O101" s="16">
        <v>2.3224E7</v>
      </c>
      <c r="P101" s="21">
        <v>4.9699</v>
      </c>
      <c r="Q101" s="21">
        <v>4.9345</v>
      </c>
      <c r="R101" s="21">
        <v>4.9228</v>
      </c>
      <c r="S101" s="21">
        <v>4.9234</v>
      </c>
      <c r="T101" s="21">
        <v>4.9373</v>
      </c>
      <c r="U101" s="22">
        <f>IFERROR(__xludf.DUMMYFUNCTION("IFERROR(GOOGLEFINANCE(B101,""price""),"""")"),5.11)</f>
        <v>5.11</v>
      </c>
    </row>
    <row r="102">
      <c r="A102" s="7">
        <v>46052.46978814813</v>
      </c>
      <c r="B102" s="8" t="s">
        <v>4805</v>
      </c>
      <c r="C102" s="8" t="s">
        <v>4806</v>
      </c>
      <c r="D102" s="9">
        <v>46054.0</v>
      </c>
      <c r="E102" s="10">
        <v>5.965</v>
      </c>
      <c r="F102" s="12">
        <v>2.53603685E8</v>
      </c>
      <c r="G102" s="26">
        <v>79.064</v>
      </c>
      <c r="H102" s="26">
        <v>30.0646</v>
      </c>
      <c r="I102" s="13">
        <v>1.3011</v>
      </c>
      <c r="J102" s="8" t="s">
        <v>4807</v>
      </c>
      <c r="K102" s="11">
        <v>0.5902</v>
      </c>
      <c r="L102" s="13">
        <v>354538.6</v>
      </c>
      <c r="M102" s="8">
        <v>2473190.0</v>
      </c>
      <c r="N102" s="8">
        <v>6.6572298E7</v>
      </c>
      <c r="O102" s="8">
        <v>5.116682E7</v>
      </c>
      <c r="P102" s="13">
        <v>5.9319</v>
      </c>
      <c r="Q102" s="13">
        <v>5.8807</v>
      </c>
      <c r="R102" s="13">
        <v>5.8369</v>
      </c>
      <c r="S102" s="13">
        <v>5.7904</v>
      </c>
      <c r="T102" s="13">
        <v>5.7309</v>
      </c>
      <c r="U102" s="14">
        <f>IFERROR(__xludf.DUMMYFUNCTION("IFERROR(GOOGLEFINANCE(B102,""price""),"""")"),5.78)</f>
        <v>5.78</v>
      </c>
    </row>
    <row r="103">
      <c r="A103" s="15">
        <v>46052.46978814813</v>
      </c>
      <c r="B103" s="16" t="s">
        <v>4793</v>
      </c>
      <c r="C103" s="16" t="s">
        <v>4794</v>
      </c>
      <c r="D103" s="17">
        <v>46054.0</v>
      </c>
      <c r="E103" s="18">
        <v>7.495</v>
      </c>
      <c r="F103" s="20">
        <v>2.84944208E8</v>
      </c>
      <c r="G103" s="27">
        <v>57.3216</v>
      </c>
      <c r="H103" s="27">
        <v>18.8954</v>
      </c>
      <c r="I103" s="21">
        <v>0.2964</v>
      </c>
      <c r="J103" s="16" t="s">
        <v>4795</v>
      </c>
      <c r="K103" s="19">
        <v>0.2005</v>
      </c>
      <c r="L103" s="21">
        <v>129399.6</v>
      </c>
      <c r="M103" s="16">
        <v>5385000.0</v>
      </c>
      <c r="N103" s="16">
        <v>1.3575E7</v>
      </c>
      <c r="O103" s="16">
        <v>4.5803E7</v>
      </c>
      <c r="P103" s="21">
        <v>7.4299</v>
      </c>
      <c r="Q103" s="21">
        <v>7.3629</v>
      </c>
      <c r="R103" s="21">
        <v>7.2866</v>
      </c>
      <c r="S103" s="21">
        <v>7.1791</v>
      </c>
      <c r="T103" s="21">
        <v>7.0769</v>
      </c>
      <c r="U103" s="22">
        <f>IFERROR(__xludf.DUMMYFUNCTION("IFERROR(GOOGLEFINANCE(B103,""price""),"""")"),9.51)</f>
        <v>9.51</v>
      </c>
    </row>
    <row r="104">
      <c r="A104" s="7">
        <v>46052.62620333321</v>
      </c>
      <c r="B104" s="8" t="s">
        <v>4772</v>
      </c>
      <c r="C104" s="8" t="s">
        <v>4773</v>
      </c>
      <c r="D104" s="9">
        <v>46054.0</v>
      </c>
      <c r="E104" s="10">
        <v>44.35</v>
      </c>
      <c r="F104" s="12">
        <v>9.34979222E8</v>
      </c>
      <c r="G104" s="26">
        <v>93.0719</v>
      </c>
      <c r="H104" s="26">
        <v>227.9908</v>
      </c>
      <c r="I104" s="13">
        <v>1.8204</v>
      </c>
      <c r="J104" s="8" t="s">
        <v>4774</v>
      </c>
      <c r="K104" s="11">
        <v>0.2033</v>
      </c>
      <c r="L104" s="13">
        <v>197110.1</v>
      </c>
      <c r="M104" s="8">
        <v>2.480306E7</v>
      </c>
      <c r="N104" s="8">
        <v>1.85414791E8</v>
      </c>
      <c r="O104" s="8">
        <v>1.0185301E8</v>
      </c>
      <c r="P104" s="13">
        <v>44.0616</v>
      </c>
      <c r="Q104" s="13">
        <v>43.5012</v>
      </c>
      <c r="R104" s="13">
        <v>43.181</v>
      </c>
      <c r="S104" s="13">
        <v>42.9869</v>
      </c>
      <c r="T104" s="13">
        <v>42.8651</v>
      </c>
      <c r="U104" s="14">
        <f>IFERROR(__xludf.DUMMYFUNCTION("IFERROR(GOOGLEFINANCE(B104,""price""),"""")"),48.35)</f>
        <v>48.35</v>
      </c>
    </row>
    <row r="105">
      <c r="A105" s="15">
        <v>46052.62620333321</v>
      </c>
      <c r="B105" s="16" t="s">
        <v>4790</v>
      </c>
      <c r="C105" s="16" t="s">
        <v>4791</v>
      </c>
      <c r="D105" s="17">
        <v>46054.0</v>
      </c>
      <c r="E105" s="18">
        <v>10.845</v>
      </c>
      <c r="F105" s="20">
        <v>2.02157862E8</v>
      </c>
      <c r="G105" s="27">
        <v>61.3449</v>
      </c>
      <c r="H105" s="27">
        <v>24.1858</v>
      </c>
      <c r="I105" s="21">
        <v>0.8187</v>
      </c>
      <c r="J105" s="16" t="s">
        <v>4792</v>
      </c>
      <c r="K105" s="19">
        <v>0.2311</v>
      </c>
      <c r="L105" s="21">
        <v>272200.8</v>
      </c>
      <c r="M105" s="16">
        <v>1.2011E7</v>
      </c>
      <c r="N105" s="16">
        <v>9089000.0</v>
      </c>
      <c r="O105" s="16">
        <v>1.1102E7</v>
      </c>
      <c r="P105" s="21">
        <v>11.4101</v>
      </c>
      <c r="Q105" s="21">
        <v>12.1363</v>
      </c>
      <c r="R105" s="21">
        <v>12.7205</v>
      </c>
      <c r="S105" s="21">
        <v>13.5276</v>
      </c>
      <c r="T105" s="21">
        <v>14.2049</v>
      </c>
      <c r="U105" s="22">
        <f>IFERROR(__xludf.DUMMYFUNCTION("IFERROR(GOOGLEFINANCE(B105,""price""),"""")"),6.13)</f>
        <v>6.13</v>
      </c>
    </row>
    <row r="106">
      <c r="A106" s="7">
        <v>46052.62620333321</v>
      </c>
      <c r="B106" s="8" t="s">
        <v>4769</v>
      </c>
      <c r="C106" s="8" t="s">
        <v>4770</v>
      </c>
      <c r="D106" s="9">
        <v>46054.0</v>
      </c>
      <c r="E106" s="10">
        <v>18.64</v>
      </c>
      <c r="F106" s="12">
        <v>3.31388304E8</v>
      </c>
      <c r="G106" s="26">
        <v>45.431</v>
      </c>
      <c r="H106" s="26">
        <v>78.6026</v>
      </c>
      <c r="I106" s="13">
        <v>0.9008</v>
      </c>
      <c r="J106" s="8" t="s">
        <v>4771</v>
      </c>
      <c r="K106" s="11">
        <v>-2.1522</v>
      </c>
      <c r="L106" s="13">
        <v>437077.9</v>
      </c>
      <c r="M106" s="8">
        <v>6791210.0</v>
      </c>
      <c r="N106" s="8">
        <v>2.1445212E7</v>
      </c>
      <c r="O106" s="8">
        <v>2.380571E7</v>
      </c>
      <c r="P106" s="13">
        <v>19.99</v>
      </c>
      <c r="Q106" s="13">
        <v>19.5105</v>
      </c>
      <c r="R106" s="13">
        <v>18.2264</v>
      </c>
      <c r="S106" s="13">
        <v>16.5929</v>
      </c>
      <c r="T106" s="13">
        <v>15.1</v>
      </c>
      <c r="U106" s="14">
        <f>IFERROR(__xludf.DUMMYFUNCTION("IFERROR(GOOGLEFINANCE(B106,""price""),"""")"),25.17)</f>
        <v>25.17</v>
      </c>
    </row>
    <row r="107">
      <c r="A107" s="15">
        <v>46052.62620333321</v>
      </c>
      <c r="B107" s="16" t="s">
        <v>4805</v>
      </c>
      <c r="C107" s="16" t="s">
        <v>4806</v>
      </c>
      <c r="D107" s="17">
        <v>46054.0</v>
      </c>
      <c r="E107" s="18">
        <v>5.908</v>
      </c>
      <c r="F107" s="20">
        <v>2.53603685E8</v>
      </c>
      <c r="G107" s="27">
        <v>79.064</v>
      </c>
      <c r="H107" s="27">
        <v>30.0646</v>
      </c>
      <c r="I107" s="21">
        <v>1.3011</v>
      </c>
      <c r="J107" s="16" t="s">
        <v>4807</v>
      </c>
      <c r="K107" s="19">
        <v>-0.371</v>
      </c>
      <c r="L107" s="21">
        <v>387810.0</v>
      </c>
      <c r="M107" s="16">
        <v>2473190.0</v>
      </c>
      <c r="N107" s="16">
        <v>6.6572298E7</v>
      </c>
      <c r="O107" s="16">
        <v>5.116682E7</v>
      </c>
      <c r="P107" s="21">
        <v>5.9192</v>
      </c>
      <c r="Q107" s="21">
        <v>5.8755</v>
      </c>
      <c r="R107" s="21">
        <v>5.8336</v>
      </c>
      <c r="S107" s="21">
        <v>5.7884</v>
      </c>
      <c r="T107" s="21">
        <v>5.7296</v>
      </c>
      <c r="U107" s="22">
        <f>IFERROR(__xludf.DUMMYFUNCTION("IFERROR(GOOGLEFINANCE(B107,""price""),"""")"),5.78)</f>
        <v>5.78</v>
      </c>
    </row>
    <row r="108">
      <c r="A108" s="7">
        <v>46052.62620333321</v>
      </c>
      <c r="B108" s="8" t="s">
        <v>4778</v>
      </c>
      <c r="C108" s="8" t="s">
        <v>4779</v>
      </c>
      <c r="D108" s="9">
        <v>46054.0</v>
      </c>
      <c r="E108" s="10">
        <v>5.85</v>
      </c>
      <c r="F108" s="12">
        <v>3.79646429E8</v>
      </c>
      <c r="G108" s="26">
        <v>87.9451</v>
      </c>
      <c r="H108" s="26">
        <v>78.0444</v>
      </c>
      <c r="I108" s="13">
        <v>0.0632</v>
      </c>
      <c r="J108" s="8" t="s">
        <v>4780</v>
      </c>
      <c r="K108" s="11">
        <v>-0.6791</v>
      </c>
      <c r="L108" s="13">
        <v>603658.0</v>
      </c>
      <c r="M108" s="8">
        <v>1.5074E7</v>
      </c>
      <c r="N108" s="8">
        <v>4488000.0</v>
      </c>
      <c r="O108" s="8">
        <v>7.1049E7</v>
      </c>
      <c r="P108" s="13">
        <v>5.8387</v>
      </c>
      <c r="Q108" s="13">
        <v>5.7422</v>
      </c>
      <c r="R108" s="13">
        <v>5.679</v>
      </c>
      <c r="S108" s="13">
        <v>5.6086</v>
      </c>
      <c r="T108" s="13">
        <v>5.5245</v>
      </c>
      <c r="U108" s="14">
        <f>IFERROR(__xludf.DUMMYFUNCTION("IFERROR(GOOGLEFINANCE(B108,""price""),"""")"),5.45)</f>
        <v>5.45</v>
      </c>
    </row>
    <row r="109">
      <c r="A109" s="15">
        <v>46052.62620333321</v>
      </c>
      <c r="B109" s="16" t="s">
        <v>4781</v>
      </c>
      <c r="C109" s="16" t="s">
        <v>4782</v>
      </c>
      <c r="D109" s="17">
        <v>46054.0</v>
      </c>
      <c r="E109" s="18">
        <v>29.07</v>
      </c>
      <c r="F109" s="20">
        <v>2.35293882E8</v>
      </c>
      <c r="G109" s="27">
        <v>33.5301</v>
      </c>
      <c r="H109" s="27">
        <v>30.7392</v>
      </c>
      <c r="I109" s="21">
        <v>0.4459</v>
      </c>
      <c r="J109" s="16" t="s">
        <v>4783</v>
      </c>
      <c r="K109" s="19">
        <v>-1.2232</v>
      </c>
      <c r="L109" s="21">
        <v>100972.1</v>
      </c>
      <c r="M109" s="16">
        <v>1.2268E7</v>
      </c>
      <c r="N109" s="16">
        <v>1.4151E7</v>
      </c>
      <c r="O109" s="16">
        <v>3.1737E7</v>
      </c>
      <c r="P109" s="21">
        <v>29.8202</v>
      </c>
      <c r="Q109" s="21">
        <v>30.4644</v>
      </c>
      <c r="R109" s="21">
        <v>30.3056</v>
      </c>
      <c r="S109" s="21">
        <v>29.6708</v>
      </c>
      <c r="T109" s="21">
        <v>28.5122</v>
      </c>
      <c r="U109" s="22">
        <f>IFERROR(__xludf.DUMMYFUNCTION("IFERROR(GOOGLEFINANCE(B109,""price""),"""")"),33.55)</f>
        <v>33.55</v>
      </c>
    </row>
    <row r="110">
      <c r="A110" s="7">
        <v>46052.62620333321</v>
      </c>
      <c r="B110" s="8" t="s">
        <v>4775</v>
      </c>
      <c r="C110" s="8" t="s">
        <v>4776</v>
      </c>
      <c r="D110" s="9">
        <v>46054.0</v>
      </c>
      <c r="E110" s="10">
        <v>1.415</v>
      </c>
      <c r="F110" s="12">
        <v>3.75492899E8</v>
      </c>
      <c r="G110" s="26">
        <v>76.5527</v>
      </c>
      <c r="H110" s="26">
        <v>32.489</v>
      </c>
      <c r="I110" s="13">
        <v>1.4008</v>
      </c>
      <c r="J110" s="8" t="s">
        <v>4777</v>
      </c>
      <c r="K110" s="11">
        <v>-2.4138</v>
      </c>
      <c r="L110" s="8">
        <v>2548276.0</v>
      </c>
      <c r="M110" s="8">
        <v>3.2174E7</v>
      </c>
      <c r="N110" s="8">
        <v>4.5155E7</v>
      </c>
      <c r="O110" s="8">
        <v>3.2236E7</v>
      </c>
      <c r="P110" s="13">
        <v>1.4307</v>
      </c>
      <c r="Q110" s="13">
        <v>1.4604</v>
      </c>
      <c r="R110" s="13">
        <v>1.5269</v>
      </c>
      <c r="S110" s="13">
        <v>1.6759</v>
      </c>
      <c r="T110" s="13">
        <v>1.9102</v>
      </c>
      <c r="U110" s="14">
        <f>IFERROR(__xludf.DUMMYFUNCTION("IFERROR(GOOGLEFINANCE(B110,""price""),"""")"),1.4)</f>
        <v>1.4</v>
      </c>
    </row>
    <row r="111">
      <c r="A111" s="15">
        <v>46052.62620333321</v>
      </c>
      <c r="B111" s="16" t="s">
        <v>4811</v>
      </c>
      <c r="C111" s="16" t="s">
        <v>4812</v>
      </c>
      <c r="D111" s="17">
        <v>46054.0</v>
      </c>
      <c r="E111" s="18">
        <v>10.8</v>
      </c>
      <c r="F111" s="20">
        <v>9.7651027E8</v>
      </c>
      <c r="G111" s="27">
        <v>32.9951</v>
      </c>
      <c r="H111" s="27">
        <v>19.8769</v>
      </c>
      <c r="I111" s="21">
        <v>0.5293</v>
      </c>
      <c r="J111" s="16" t="s">
        <v>4813</v>
      </c>
      <c r="K111" s="19">
        <v>0.1855</v>
      </c>
      <c r="L111" s="21">
        <v>259577.7</v>
      </c>
      <c r="M111" s="16">
        <v>8.4171E7</v>
      </c>
      <c r="N111" s="16">
        <v>9.7672E7</v>
      </c>
      <c r="O111" s="16">
        <v>1.84534E8</v>
      </c>
      <c r="P111" s="21">
        <v>11.0192</v>
      </c>
      <c r="Q111" s="21">
        <v>11.3113</v>
      </c>
      <c r="R111" s="21">
        <v>11.523</v>
      </c>
      <c r="S111" s="21">
        <v>11.9574</v>
      </c>
      <c r="T111" s="21">
        <v>12.6751</v>
      </c>
      <c r="U111" s="22" t="str">
        <f>IFERROR(__xludf.DUMMYFUNCTION("IFERROR(GOOGLEFINANCE(B111,""price""),"""")"),"")</f>
        <v/>
      </c>
    </row>
    <row r="112">
      <c r="A112" s="7">
        <v>46052.62620333321</v>
      </c>
      <c r="B112" s="8" t="s">
        <v>4796</v>
      </c>
      <c r="C112" s="8" t="s">
        <v>4797</v>
      </c>
      <c r="D112" s="9">
        <v>46054.0</v>
      </c>
      <c r="E112" s="10">
        <v>4.76</v>
      </c>
      <c r="F112" s="12">
        <v>1.69471016E8</v>
      </c>
      <c r="G112" s="26">
        <v>85.0918</v>
      </c>
      <c r="H112" s="26">
        <v>24.2074</v>
      </c>
      <c r="I112" s="13">
        <v>1.6603</v>
      </c>
      <c r="J112" s="8" t="s">
        <v>4798</v>
      </c>
      <c r="K112" s="11">
        <v>-0.8333</v>
      </c>
      <c r="L112" s="13">
        <v>383558.5</v>
      </c>
      <c r="M112" s="8">
        <v>3.603424E7</v>
      </c>
      <c r="N112" s="8">
        <v>8.0844E7</v>
      </c>
      <c r="O112" s="8">
        <v>4.8691E7</v>
      </c>
      <c r="P112" s="13">
        <v>4.8542</v>
      </c>
      <c r="Q112" s="13">
        <v>5.0177</v>
      </c>
      <c r="R112" s="13">
        <v>5.1881</v>
      </c>
      <c r="S112" s="13">
        <v>5.5451</v>
      </c>
      <c r="T112" s="13">
        <v>6.23</v>
      </c>
      <c r="U112" s="14">
        <f>IFERROR(__xludf.DUMMYFUNCTION("IFERROR(GOOGLEFINANCE(B112,""price""),"""")"),3.61)</f>
        <v>3.61</v>
      </c>
    </row>
    <row r="113">
      <c r="A113" s="15">
        <v>46052.62620333321</v>
      </c>
      <c r="B113" s="16" t="s">
        <v>4784</v>
      </c>
      <c r="C113" s="16" t="s">
        <v>4785</v>
      </c>
      <c r="D113" s="17">
        <v>46054.0</v>
      </c>
      <c r="E113" s="18">
        <v>7.415</v>
      </c>
      <c r="F113" s="20">
        <v>6.93638795E8</v>
      </c>
      <c r="G113" s="27">
        <v>92.9391</v>
      </c>
      <c r="H113" s="27">
        <v>188.9999</v>
      </c>
      <c r="I113" s="21">
        <v>0.794</v>
      </c>
      <c r="J113" s="16" t="s">
        <v>4786</v>
      </c>
      <c r="K113" s="19">
        <v>-0.2019</v>
      </c>
      <c r="L113" s="21">
        <v>318617.1</v>
      </c>
      <c r="M113" s="16">
        <v>5.3903E7</v>
      </c>
      <c r="N113" s="16">
        <v>7.8663E7</v>
      </c>
      <c r="O113" s="16">
        <v>9.9078E7</v>
      </c>
      <c r="P113" s="21">
        <v>7.4321</v>
      </c>
      <c r="Q113" s="21">
        <v>7.4382</v>
      </c>
      <c r="R113" s="21">
        <v>7.4388</v>
      </c>
      <c r="S113" s="21">
        <v>7.4445</v>
      </c>
      <c r="T113" s="21">
        <v>7.4523</v>
      </c>
      <c r="U113" s="22">
        <f>IFERROR(__xludf.DUMMYFUNCTION("IFERROR(GOOGLEFINANCE(B113,""price""),"""")"),7.06)</f>
        <v>7.06</v>
      </c>
    </row>
    <row r="114">
      <c r="A114" s="7">
        <v>46052.62620333321</v>
      </c>
      <c r="B114" s="8" t="s">
        <v>4799</v>
      </c>
      <c r="C114" s="8" t="s">
        <v>4800</v>
      </c>
      <c r="D114" s="9">
        <v>46054.0</v>
      </c>
      <c r="E114" s="10">
        <v>9.2599</v>
      </c>
      <c r="F114" s="12">
        <v>5.24094825E8</v>
      </c>
      <c r="G114" s="26">
        <v>91.3388</v>
      </c>
      <c r="H114" s="26">
        <v>30.1381</v>
      </c>
      <c r="I114" s="13">
        <v>1.2149</v>
      </c>
      <c r="J114" s="8" t="s">
        <v>4801</v>
      </c>
      <c r="K114" s="11">
        <v>0.107</v>
      </c>
      <c r="L114" s="13">
        <v>171957.3</v>
      </c>
      <c r="M114" s="8">
        <v>1.691388E7</v>
      </c>
      <c r="N114" s="8">
        <v>1.25076693E8</v>
      </c>
      <c r="O114" s="8">
        <v>1.0295438E8</v>
      </c>
      <c r="P114" s="13">
        <v>9.0333</v>
      </c>
      <c r="Q114" s="13">
        <v>8.8099</v>
      </c>
      <c r="R114" s="13">
        <v>8.7095</v>
      </c>
      <c r="S114" s="13">
        <v>8.6317</v>
      </c>
      <c r="T114" s="13">
        <v>8.5875</v>
      </c>
      <c r="U114" s="14">
        <f>IFERROR(__xludf.DUMMYFUNCTION("IFERROR(GOOGLEFINANCE(B114,""price""),"""")"),10.09)</f>
        <v>10.09</v>
      </c>
    </row>
    <row r="115">
      <c r="A115" s="15">
        <v>46052.62620333321</v>
      </c>
      <c r="B115" s="16" t="s">
        <v>4802</v>
      </c>
      <c r="C115" s="16" t="s">
        <v>4803</v>
      </c>
      <c r="D115" s="17">
        <v>46054.0</v>
      </c>
      <c r="E115" s="18">
        <v>8.4</v>
      </c>
      <c r="F115" s="20">
        <v>3.767442E8</v>
      </c>
      <c r="G115" s="27">
        <v>91.4242</v>
      </c>
      <c r="H115" s="27">
        <v>351.6546</v>
      </c>
      <c r="I115" s="21">
        <v>0.1285</v>
      </c>
      <c r="J115" s="16" t="s">
        <v>4804</v>
      </c>
      <c r="K115" s="19">
        <v>0.0</v>
      </c>
      <c r="L115" s="21">
        <v>191867.7</v>
      </c>
      <c r="M115" s="16">
        <v>3.8991E7</v>
      </c>
      <c r="N115" s="16">
        <v>6542000.0</v>
      </c>
      <c r="O115" s="16">
        <v>5.0894E7</v>
      </c>
      <c r="P115" s="21">
        <v>8.3996</v>
      </c>
      <c r="Q115" s="21">
        <v>8.4079</v>
      </c>
      <c r="R115" s="21">
        <v>8.4116</v>
      </c>
      <c r="S115" s="21">
        <v>8.4161</v>
      </c>
      <c r="T115" s="21">
        <v>8.4193</v>
      </c>
      <c r="U115" s="22">
        <f>IFERROR(__xludf.DUMMYFUNCTION("IFERROR(GOOGLEFINANCE(B115,""price""),"""")"),8.09)</f>
        <v>8.09</v>
      </c>
    </row>
    <row r="116">
      <c r="A116" s="7">
        <v>46052.62620333321</v>
      </c>
      <c r="B116" s="8" t="s">
        <v>4787</v>
      </c>
      <c r="C116" s="8" t="s">
        <v>4788</v>
      </c>
      <c r="D116" s="9">
        <v>46054.0</v>
      </c>
      <c r="E116" s="10">
        <v>16.0</v>
      </c>
      <c r="F116" s="12">
        <v>3.63753595E8</v>
      </c>
      <c r="G116" s="26">
        <v>93.5373</v>
      </c>
      <c r="H116" s="26">
        <v>235.6763</v>
      </c>
      <c r="I116" s="13">
        <v>1.1757</v>
      </c>
      <c r="J116" s="8" t="s">
        <v>4789</v>
      </c>
      <c r="K116" s="11">
        <v>-0.6211</v>
      </c>
      <c r="L116" s="13">
        <v>147893.3</v>
      </c>
      <c r="M116" s="8">
        <v>1153000.0</v>
      </c>
      <c r="N116" s="8">
        <v>8.1709E7</v>
      </c>
      <c r="O116" s="8">
        <v>6.9496E7</v>
      </c>
      <c r="P116" s="13">
        <v>15.9706</v>
      </c>
      <c r="Q116" s="13">
        <v>15.7727</v>
      </c>
      <c r="R116" s="13">
        <v>15.6501</v>
      </c>
      <c r="S116" s="13">
        <v>15.521</v>
      </c>
      <c r="T116" s="13">
        <v>15.3408</v>
      </c>
      <c r="U116" s="14">
        <f>IFERROR(__xludf.DUMMYFUNCTION("IFERROR(GOOGLEFINANCE(B116,""price""),"""")"),16.44)</f>
        <v>16.44</v>
      </c>
    </row>
    <row r="117">
      <c r="A117" s="15">
        <v>46052.62620333321</v>
      </c>
      <c r="B117" s="16" t="s">
        <v>4793</v>
      </c>
      <c r="C117" s="16" t="s">
        <v>4794</v>
      </c>
      <c r="D117" s="17">
        <v>46054.0</v>
      </c>
      <c r="E117" s="18">
        <v>7.6599</v>
      </c>
      <c r="F117" s="20">
        <v>2.9121336E8</v>
      </c>
      <c r="G117" s="27">
        <v>57.3216</v>
      </c>
      <c r="H117" s="27">
        <v>18.8954</v>
      </c>
      <c r="I117" s="21">
        <v>0.2964</v>
      </c>
      <c r="J117" s="16" t="s">
        <v>4795</v>
      </c>
      <c r="K117" s="19">
        <v>2.4051</v>
      </c>
      <c r="L117" s="21">
        <v>136898.6</v>
      </c>
      <c r="M117" s="16">
        <v>5385000.0</v>
      </c>
      <c r="N117" s="16">
        <v>1.3575E7</v>
      </c>
      <c r="O117" s="16">
        <v>4.5803E7</v>
      </c>
      <c r="P117" s="21">
        <v>7.4665</v>
      </c>
      <c r="Q117" s="21">
        <v>7.3779</v>
      </c>
      <c r="R117" s="21">
        <v>7.296</v>
      </c>
      <c r="S117" s="21">
        <v>7.185</v>
      </c>
      <c r="T117" s="21">
        <v>7.0805</v>
      </c>
      <c r="U117" s="22">
        <f>IFERROR(__xludf.DUMMYFUNCTION("IFERROR(GOOGLEFINANCE(B117,""price""),"""")"),9.51)</f>
        <v>9.51</v>
      </c>
    </row>
    <row r="118">
      <c r="A118" s="7">
        <v>46052.62620333321</v>
      </c>
      <c r="B118" s="8" t="s">
        <v>4808</v>
      </c>
      <c r="C118" s="8" t="s">
        <v>4809</v>
      </c>
      <c r="D118" s="9">
        <v>46054.0</v>
      </c>
      <c r="E118" s="10">
        <v>5.005</v>
      </c>
      <c r="F118" s="12">
        <v>1.53813879E8</v>
      </c>
      <c r="G118" s="26">
        <v>91.6155</v>
      </c>
      <c r="H118" s="26">
        <v>149.1122</v>
      </c>
      <c r="I118" s="13">
        <v>1.6542</v>
      </c>
      <c r="J118" s="8" t="s">
        <v>4810</v>
      </c>
      <c r="K118" s="11">
        <v>-0.497</v>
      </c>
      <c r="L118" s="13">
        <v>153753.0</v>
      </c>
      <c r="M118" s="8">
        <v>8389000.0</v>
      </c>
      <c r="N118" s="8">
        <v>3.8418E7</v>
      </c>
      <c r="O118" s="8">
        <v>2.3224E7</v>
      </c>
      <c r="P118" s="13">
        <v>4.9666</v>
      </c>
      <c r="Q118" s="13">
        <v>4.9332</v>
      </c>
      <c r="R118" s="13">
        <v>4.9219</v>
      </c>
      <c r="S118" s="13">
        <v>4.9229</v>
      </c>
      <c r="T118" s="13">
        <v>4.9369</v>
      </c>
      <c r="U118" s="14">
        <f>IFERROR(__xludf.DUMMYFUNCTION("IFERROR(GOOGLEFINANCE(B118,""price""),"""")"),5.11)</f>
        <v>5.11</v>
      </c>
    </row>
    <row r="119">
      <c r="A119" s="7">
        <v>46052.89183122724</v>
      </c>
      <c r="B119" s="8" t="s">
        <v>4769</v>
      </c>
      <c r="C119" s="8" t="s">
        <v>4770</v>
      </c>
      <c r="D119" s="9">
        <v>46054.0</v>
      </c>
      <c r="E119" s="10">
        <v>18.49</v>
      </c>
      <c r="F119" s="12">
        <v>3.28721552E8</v>
      </c>
      <c r="G119" s="26">
        <v>45.431</v>
      </c>
      <c r="H119" s="26">
        <v>78.6026</v>
      </c>
      <c r="I119" s="13">
        <v>0.9008</v>
      </c>
      <c r="J119" s="8" t="s">
        <v>4771</v>
      </c>
      <c r="K119" s="11">
        <v>-2.9396</v>
      </c>
      <c r="L119" s="13">
        <v>451107.7</v>
      </c>
      <c r="M119" s="8">
        <v>6791210.0</v>
      </c>
      <c r="N119" s="8">
        <v>2.1445212E7</v>
      </c>
      <c r="O119" s="8">
        <v>2.380571E7</v>
      </c>
      <c r="P119" s="13">
        <v>19.9566</v>
      </c>
      <c r="Q119" s="13">
        <v>19.4969</v>
      </c>
      <c r="R119" s="13">
        <v>18.2178</v>
      </c>
      <c r="S119" s="13">
        <v>16.5876</v>
      </c>
      <c r="T119" s="13">
        <v>15.0967</v>
      </c>
      <c r="U119" s="14">
        <f>IFERROR(__xludf.DUMMYFUNCTION("IFERROR(GOOGLEFINANCE(B119,""price""),"""")"),25.17)</f>
        <v>25.17</v>
      </c>
    </row>
    <row r="120">
      <c r="A120" s="15">
        <v>46052.89183122724</v>
      </c>
      <c r="B120" s="16" t="s">
        <v>4790</v>
      </c>
      <c r="C120" s="16" t="s">
        <v>4791</v>
      </c>
      <c r="D120" s="17">
        <v>46054.0</v>
      </c>
      <c r="E120" s="18">
        <v>10.76</v>
      </c>
      <c r="F120" s="20">
        <v>2.00573407E8</v>
      </c>
      <c r="G120" s="27">
        <v>61.3449</v>
      </c>
      <c r="H120" s="27">
        <v>24.1858</v>
      </c>
      <c r="I120" s="21">
        <v>0.8187</v>
      </c>
      <c r="J120" s="16" t="s">
        <v>4792</v>
      </c>
      <c r="K120" s="19">
        <v>-0.5545</v>
      </c>
      <c r="L120" s="21">
        <v>284920.7</v>
      </c>
      <c r="M120" s="16">
        <v>1.2011E7</v>
      </c>
      <c r="N120" s="16">
        <v>9089000.0</v>
      </c>
      <c r="O120" s="16">
        <v>1.1102E7</v>
      </c>
      <c r="P120" s="21">
        <v>11.3913</v>
      </c>
      <c r="Q120" s="21">
        <v>12.1285</v>
      </c>
      <c r="R120" s="21">
        <v>12.7156</v>
      </c>
      <c r="S120" s="21">
        <v>13.5245</v>
      </c>
      <c r="T120" s="21">
        <v>14.203</v>
      </c>
      <c r="U120" s="22">
        <f>IFERROR(__xludf.DUMMYFUNCTION("IFERROR(GOOGLEFINANCE(B120,""price""),"""")"),6.13)</f>
        <v>6.13</v>
      </c>
    </row>
    <row r="121">
      <c r="A121" s="7">
        <v>46052.89183122724</v>
      </c>
      <c r="B121" s="8" t="s">
        <v>4772</v>
      </c>
      <c r="C121" s="8" t="s">
        <v>4773</v>
      </c>
      <c r="D121" s="9">
        <v>46054.0</v>
      </c>
      <c r="E121" s="10">
        <v>44.55</v>
      </c>
      <c r="F121" s="12">
        <v>9.34979222E8</v>
      </c>
      <c r="G121" s="26">
        <v>93.0719</v>
      </c>
      <c r="H121" s="26">
        <v>227.9908</v>
      </c>
      <c r="I121" s="13">
        <v>1.8204</v>
      </c>
      <c r="J121" s="8" t="s">
        <v>4774</v>
      </c>
      <c r="K121" s="11">
        <v>0.6552</v>
      </c>
      <c r="L121" s="13">
        <v>198189.8</v>
      </c>
      <c r="M121" s="8">
        <v>2.480306E7</v>
      </c>
      <c r="N121" s="8">
        <v>1.85414791E8</v>
      </c>
      <c r="O121" s="8">
        <v>1.0185301E8</v>
      </c>
      <c r="P121" s="13">
        <v>44.1061</v>
      </c>
      <c r="Q121" s="13">
        <v>43.5194</v>
      </c>
      <c r="R121" s="13">
        <v>43.1924</v>
      </c>
      <c r="S121" s="13">
        <v>42.994</v>
      </c>
      <c r="T121" s="13">
        <v>42.8695</v>
      </c>
      <c r="U121" s="14">
        <f>IFERROR(__xludf.DUMMYFUNCTION("IFERROR(GOOGLEFINANCE(B121,""price""),"""")"),48.35)</f>
        <v>48.35</v>
      </c>
    </row>
    <row r="122">
      <c r="A122" s="15">
        <v>46052.89183122724</v>
      </c>
      <c r="B122" s="16" t="s">
        <v>4811</v>
      </c>
      <c r="C122" s="16" t="s">
        <v>4812</v>
      </c>
      <c r="D122" s="17">
        <v>46054.0</v>
      </c>
      <c r="E122" s="18">
        <v>10.8</v>
      </c>
      <c r="F122" s="20">
        <v>9.7651027E8</v>
      </c>
      <c r="G122" s="27">
        <v>32.9951</v>
      </c>
      <c r="H122" s="27">
        <v>19.8769</v>
      </c>
      <c r="I122" s="21">
        <v>0.5293</v>
      </c>
      <c r="J122" s="16" t="s">
        <v>4813</v>
      </c>
      <c r="K122" s="19">
        <v>0.1855</v>
      </c>
      <c r="L122" s="21">
        <v>275523.5</v>
      </c>
      <c r="M122" s="16">
        <v>8.4171E7</v>
      </c>
      <c r="N122" s="16">
        <v>9.7672E7</v>
      </c>
      <c r="O122" s="16">
        <v>1.84534E8</v>
      </c>
      <c r="P122" s="21">
        <v>11.0192</v>
      </c>
      <c r="Q122" s="21">
        <v>11.3113</v>
      </c>
      <c r="R122" s="21">
        <v>11.523</v>
      </c>
      <c r="S122" s="21">
        <v>11.9574</v>
      </c>
      <c r="T122" s="21">
        <v>12.6751</v>
      </c>
      <c r="U122" s="22" t="str">
        <f>IFERROR(__xludf.DUMMYFUNCTION("IFERROR(GOOGLEFINANCE(B122,""price""),"""")"),"")</f>
        <v/>
      </c>
    </row>
    <row r="123">
      <c r="A123" s="7">
        <v>46052.89183122724</v>
      </c>
      <c r="B123" s="8" t="s">
        <v>4775</v>
      </c>
      <c r="C123" s="8" t="s">
        <v>4776</v>
      </c>
      <c r="D123" s="9">
        <v>46054.0</v>
      </c>
      <c r="E123" s="10">
        <v>1.41</v>
      </c>
      <c r="F123" s="12">
        <v>3.74166069E8</v>
      </c>
      <c r="G123" s="26">
        <v>76.5527</v>
      </c>
      <c r="H123" s="26">
        <v>32.489</v>
      </c>
      <c r="I123" s="13">
        <v>1.4008</v>
      </c>
      <c r="J123" s="8" t="s">
        <v>4777</v>
      </c>
      <c r="K123" s="11">
        <v>-2.7586</v>
      </c>
      <c r="L123" s="8">
        <v>2625667.0</v>
      </c>
      <c r="M123" s="8">
        <v>3.2174E7</v>
      </c>
      <c r="N123" s="8">
        <v>4.5155E7</v>
      </c>
      <c r="O123" s="8">
        <v>3.2236E7</v>
      </c>
      <c r="P123" s="13">
        <v>1.4296</v>
      </c>
      <c r="Q123" s="13">
        <v>1.4599</v>
      </c>
      <c r="R123" s="13">
        <v>1.5266</v>
      </c>
      <c r="S123" s="13">
        <v>1.6757</v>
      </c>
      <c r="T123" s="13">
        <v>1.91</v>
      </c>
      <c r="U123" s="14">
        <f>IFERROR(__xludf.DUMMYFUNCTION("IFERROR(GOOGLEFINANCE(B123,""price""),"""")"),1.4)</f>
        <v>1.4</v>
      </c>
    </row>
    <row r="124">
      <c r="A124" s="15">
        <v>46052.89183122724</v>
      </c>
      <c r="B124" s="16" t="s">
        <v>4805</v>
      </c>
      <c r="C124" s="16" t="s">
        <v>4806</v>
      </c>
      <c r="D124" s="17">
        <v>46054.0</v>
      </c>
      <c r="E124" s="18">
        <v>5.92</v>
      </c>
      <c r="F124" s="20">
        <v>2.53603685E8</v>
      </c>
      <c r="G124" s="27">
        <v>79.064</v>
      </c>
      <c r="H124" s="27">
        <v>30.0646</v>
      </c>
      <c r="I124" s="21">
        <v>1.3011</v>
      </c>
      <c r="J124" s="16" t="s">
        <v>4807</v>
      </c>
      <c r="K124" s="19">
        <v>-0.1686</v>
      </c>
      <c r="L124" s="21">
        <v>392485.4</v>
      </c>
      <c r="M124" s="16">
        <v>2473190.0</v>
      </c>
      <c r="N124" s="16">
        <v>6.6572298E7</v>
      </c>
      <c r="O124" s="16">
        <v>5.116682E7</v>
      </c>
      <c r="P124" s="21">
        <v>5.9219</v>
      </c>
      <c r="Q124" s="21">
        <v>5.8766</v>
      </c>
      <c r="R124" s="21">
        <v>5.8343</v>
      </c>
      <c r="S124" s="21">
        <v>5.7888</v>
      </c>
      <c r="T124" s="21">
        <v>5.7299</v>
      </c>
      <c r="U124" s="22">
        <f>IFERROR(__xludf.DUMMYFUNCTION("IFERROR(GOOGLEFINANCE(B124,""price""),"""")"),5.78)</f>
        <v>5.78</v>
      </c>
    </row>
    <row r="125">
      <c r="A125" s="7">
        <v>46052.89183122724</v>
      </c>
      <c r="B125" s="8" t="s">
        <v>4796</v>
      </c>
      <c r="C125" s="8" t="s">
        <v>4797</v>
      </c>
      <c r="D125" s="9">
        <v>46054.0</v>
      </c>
      <c r="E125" s="10">
        <v>4.77</v>
      </c>
      <c r="F125" s="12">
        <v>1.69827047E8</v>
      </c>
      <c r="G125" s="26">
        <v>85.0918</v>
      </c>
      <c r="H125" s="26">
        <v>24.2074</v>
      </c>
      <c r="I125" s="13">
        <v>1.6603</v>
      </c>
      <c r="J125" s="8" t="s">
        <v>4798</v>
      </c>
      <c r="K125" s="11">
        <v>-0.625</v>
      </c>
      <c r="L125" s="13">
        <v>397384.5</v>
      </c>
      <c r="M125" s="8">
        <v>3.603424E7</v>
      </c>
      <c r="N125" s="8">
        <v>8.0844E7</v>
      </c>
      <c r="O125" s="8">
        <v>4.8691E7</v>
      </c>
      <c r="P125" s="13">
        <v>4.8564</v>
      </c>
      <c r="Q125" s="13">
        <v>5.0186</v>
      </c>
      <c r="R125" s="13">
        <v>5.1886</v>
      </c>
      <c r="S125" s="13">
        <v>5.5455</v>
      </c>
      <c r="T125" s="13">
        <v>6.2302</v>
      </c>
      <c r="U125" s="14">
        <f>IFERROR(__xludf.DUMMYFUNCTION("IFERROR(GOOGLEFINANCE(B125,""price""),"""")"),3.61)</f>
        <v>3.61</v>
      </c>
    </row>
    <row r="126">
      <c r="A126" s="15">
        <v>46052.89183122724</v>
      </c>
      <c r="B126" s="16" t="s">
        <v>4781</v>
      </c>
      <c r="C126" s="16" t="s">
        <v>4782</v>
      </c>
      <c r="D126" s="17">
        <v>46054.0</v>
      </c>
      <c r="E126" s="18">
        <v>28.88</v>
      </c>
      <c r="F126" s="20">
        <v>2.33756013E8</v>
      </c>
      <c r="G126" s="27">
        <v>33.5301</v>
      </c>
      <c r="H126" s="27">
        <v>30.7392</v>
      </c>
      <c r="I126" s="21">
        <v>0.4459</v>
      </c>
      <c r="J126" s="16" t="s">
        <v>4783</v>
      </c>
      <c r="K126" s="19">
        <v>-1.8688</v>
      </c>
      <c r="L126" s="21">
        <v>102110.2</v>
      </c>
      <c r="M126" s="16">
        <v>1.2268E7</v>
      </c>
      <c r="N126" s="16">
        <v>1.4151E7</v>
      </c>
      <c r="O126" s="16">
        <v>3.1737E7</v>
      </c>
      <c r="P126" s="21">
        <v>29.778</v>
      </c>
      <c r="Q126" s="21">
        <v>30.4471</v>
      </c>
      <c r="R126" s="21">
        <v>30.2948</v>
      </c>
      <c r="S126" s="21">
        <v>29.664</v>
      </c>
      <c r="T126" s="21">
        <v>28.508</v>
      </c>
      <c r="U126" s="22">
        <f>IFERROR(__xludf.DUMMYFUNCTION("IFERROR(GOOGLEFINANCE(B126,""price""),"""")"),33.55)</f>
        <v>33.55</v>
      </c>
    </row>
    <row r="127">
      <c r="A127" s="7">
        <v>46052.89183122724</v>
      </c>
      <c r="B127" s="8" t="s">
        <v>4778</v>
      </c>
      <c r="C127" s="8" t="s">
        <v>4779</v>
      </c>
      <c r="D127" s="9">
        <v>46054.0</v>
      </c>
      <c r="E127" s="10">
        <v>5.85</v>
      </c>
      <c r="F127" s="12">
        <v>3.79646429E8</v>
      </c>
      <c r="G127" s="26">
        <v>87.9451</v>
      </c>
      <c r="H127" s="26">
        <v>78.0444</v>
      </c>
      <c r="I127" s="13">
        <v>0.0632</v>
      </c>
      <c r="J127" s="8" t="s">
        <v>4780</v>
      </c>
      <c r="K127" s="11">
        <v>-0.6791</v>
      </c>
      <c r="L127" s="13">
        <v>608338.5</v>
      </c>
      <c r="M127" s="8">
        <v>1.5074E7</v>
      </c>
      <c r="N127" s="8">
        <v>4488000.0</v>
      </c>
      <c r="O127" s="8">
        <v>7.1049E7</v>
      </c>
      <c r="P127" s="13">
        <v>5.8387</v>
      </c>
      <c r="Q127" s="13">
        <v>5.7422</v>
      </c>
      <c r="R127" s="13">
        <v>5.679</v>
      </c>
      <c r="S127" s="13">
        <v>5.6086</v>
      </c>
      <c r="T127" s="13">
        <v>5.5245</v>
      </c>
      <c r="U127" s="14">
        <f>IFERROR(__xludf.DUMMYFUNCTION("IFERROR(GOOGLEFINANCE(B127,""price""),"""")"),5.45)</f>
        <v>5.45</v>
      </c>
    </row>
    <row r="128">
      <c r="A128" s="15">
        <v>46052.89183122724</v>
      </c>
      <c r="B128" s="16" t="s">
        <v>4799</v>
      </c>
      <c r="C128" s="16" t="s">
        <v>4800</v>
      </c>
      <c r="D128" s="17">
        <v>46054.0</v>
      </c>
      <c r="E128" s="18">
        <v>9.39</v>
      </c>
      <c r="F128" s="20">
        <v>5.24094825E8</v>
      </c>
      <c r="G128" s="27">
        <v>91.3388</v>
      </c>
      <c r="H128" s="27">
        <v>30.1381</v>
      </c>
      <c r="I128" s="21">
        <v>1.2149</v>
      </c>
      <c r="J128" s="16" t="s">
        <v>4801</v>
      </c>
      <c r="K128" s="19">
        <v>1.5135</v>
      </c>
      <c r="L128" s="21">
        <v>174761.3</v>
      </c>
      <c r="M128" s="16">
        <v>1.691388E7</v>
      </c>
      <c r="N128" s="16">
        <v>1.25076693E8</v>
      </c>
      <c r="O128" s="16">
        <v>1.0295438E8</v>
      </c>
      <c r="P128" s="21">
        <v>9.0622</v>
      </c>
      <c r="Q128" s="21">
        <v>8.8218</v>
      </c>
      <c r="R128" s="21">
        <v>8.7169</v>
      </c>
      <c r="S128" s="21">
        <v>8.6363</v>
      </c>
      <c r="T128" s="21">
        <v>8.5904</v>
      </c>
      <c r="U128" s="22">
        <f>IFERROR(__xludf.DUMMYFUNCTION("IFERROR(GOOGLEFINANCE(B128,""price""),"""")"),10.09)</f>
        <v>10.09</v>
      </c>
    </row>
    <row r="129">
      <c r="A129" s="7">
        <v>46052.89183122724</v>
      </c>
      <c r="B129" s="8" t="s">
        <v>4784</v>
      </c>
      <c r="C129" s="8" t="s">
        <v>4785</v>
      </c>
      <c r="D129" s="9">
        <v>46054.0</v>
      </c>
      <c r="E129" s="10">
        <v>7.4</v>
      </c>
      <c r="F129" s="12">
        <v>6.93638795E8</v>
      </c>
      <c r="G129" s="26">
        <v>92.9391</v>
      </c>
      <c r="H129" s="26">
        <v>188.9999</v>
      </c>
      <c r="I129" s="13">
        <v>0.794</v>
      </c>
      <c r="J129" s="8" t="s">
        <v>4786</v>
      </c>
      <c r="K129" s="11">
        <v>-0.4038</v>
      </c>
      <c r="L129" s="13">
        <v>320193.0</v>
      </c>
      <c r="M129" s="8">
        <v>5.3903E7</v>
      </c>
      <c r="N129" s="8">
        <v>7.8663E7</v>
      </c>
      <c r="O129" s="8">
        <v>9.9078E7</v>
      </c>
      <c r="P129" s="13">
        <v>7.4287</v>
      </c>
      <c r="Q129" s="13">
        <v>7.4369</v>
      </c>
      <c r="R129" s="13">
        <v>7.438</v>
      </c>
      <c r="S129" s="13">
        <v>7.444</v>
      </c>
      <c r="T129" s="13">
        <v>7.4519</v>
      </c>
      <c r="U129" s="14">
        <f>IFERROR(__xludf.DUMMYFUNCTION("IFERROR(GOOGLEFINANCE(B129,""price""),"""")"),7.06)</f>
        <v>7.06</v>
      </c>
    </row>
    <row r="130">
      <c r="A130" s="15">
        <v>46052.89183122724</v>
      </c>
      <c r="B130" s="16" t="s">
        <v>4802</v>
      </c>
      <c r="C130" s="16" t="s">
        <v>4803</v>
      </c>
      <c r="D130" s="17">
        <v>46054.0</v>
      </c>
      <c r="E130" s="18">
        <v>8.41</v>
      </c>
      <c r="F130" s="20">
        <v>3.767442E8</v>
      </c>
      <c r="G130" s="27">
        <v>91.4242</v>
      </c>
      <c r="H130" s="27">
        <v>351.6546</v>
      </c>
      <c r="I130" s="21">
        <v>0.1285</v>
      </c>
      <c r="J130" s="16" t="s">
        <v>4804</v>
      </c>
      <c r="K130" s="19">
        <v>0.119</v>
      </c>
      <c r="L130" s="21">
        <v>193232.7</v>
      </c>
      <c r="M130" s="16">
        <v>3.8991E7</v>
      </c>
      <c r="N130" s="16">
        <v>6542000.0</v>
      </c>
      <c r="O130" s="16">
        <v>5.0894E7</v>
      </c>
      <c r="P130" s="21">
        <v>8.4018</v>
      </c>
      <c r="Q130" s="21">
        <v>8.4088</v>
      </c>
      <c r="R130" s="21">
        <v>8.4122</v>
      </c>
      <c r="S130" s="21">
        <v>8.4165</v>
      </c>
      <c r="T130" s="21">
        <v>8.4195</v>
      </c>
      <c r="U130" s="22">
        <f>IFERROR(__xludf.DUMMYFUNCTION("IFERROR(GOOGLEFINANCE(B130,""price""),"""")"),8.09)</f>
        <v>8.09</v>
      </c>
    </row>
    <row r="131">
      <c r="A131" s="7">
        <v>46052.89183122724</v>
      </c>
      <c r="B131" s="8" t="s">
        <v>4793</v>
      </c>
      <c r="C131" s="8" t="s">
        <v>4794</v>
      </c>
      <c r="D131" s="9">
        <v>46054.0</v>
      </c>
      <c r="E131" s="10">
        <v>7.67</v>
      </c>
      <c r="F131" s="12">
        <v>2.91597341E8</v>
      </c>
      <c r="G131" s="26">
        <v>57.3216</v>
      </c>
      <c r="H131" s="26">
        <v>18.8954</v>
      </c>
      <c r="I131" s="13">
        <v>0.2964</v>
      </c>
      <c r="J131" s="8" t="s">
        <v>4795</v>
      </c>
      <c r="K131" s="11">
        <v>2.5401</v>
      </c>
      <c r="L131" s="13">
        <v>142847.4</v>
      </c>
      <c r="M131" s="8">
        <v>5385000.0</v>
      </c>
      <c r="N131" s="8">
        <v>1.3575E7</v>
      </c>
      <c r="O131" s="8">
        <v>4.5803E7</v>
      </c>
      <c r="P131" s="13">
        <v>7.4688</v>
      </c>
      <c r="Q131" s="13">
        <v>7.3788</v>
      </c>
      <c r="R131" s="13">
        <v>7.2966</v>
      </c>
      <c r="S131" s="13">
        <v>7.1854</v>
      </c>
      <c r="T131" s="13">
        <v>7.0807</v>
      </c>
      <c r="U131" s="14">
        <f>IFERROR(__xludf.DUMMYFUNCTION("IFERROR(GOOGLEFINANCE(B131,""price""),"""")"),9.51)</f>
        <v>9.51</v>
      </c>
    </row>
    <row r="132">
      <c r="A132" s="15">
        <v>46052.89183122724</v>
      </c>
      <c r="B132" s="16" t="s">
        <v>4787</v>
      </c>
      <c r="C132" s="16" t="s">
        <v>4788</v>
      </c>
      <c r="D132" s="17">
        <v>46054.0</v>
      </c>
      <c r="E132" s="18">
        <v>15.99</v>
      </c>
      <c r="F132" s="20">
        <v>3.63753595E8</v>
      </c>
      <c r="G132" s="27">
        <v>93.5373</v>
      </c>
      <c r="H132" s="27">
        <v>235.6763</v>
      </c>
      <c r="I132" s="21">
        <v>1.1757</v>
      </c>
      <c r="J132" s="16" t="s">
        <v>4789</v>
      </c>
      <c r="K132" s="19">
        <v>-0.6832</v>
      </c>
      <c r="L132" s="21">
        <v>148083.4</v>
      </c>
      <c r="M132" s="16">
        <v>1153000.0</v>
      </c>
      <c r="N132" s="16">
        <v>8.1709E7</v>
      </c>
      <c r="O132" s="16">
        <v>6.9496E7</v>
      </c>
      <c r="P132" s="21">
        <v>15.9684</v>
      </c>
      <c r="Q132" s="21">
        <v>15.7718</v>
      </c>
      <c r="R132" s="21">
        <v>15.6495</v>
      </c>
      <c r="S132" s="21">
        <v>15.5207</v>
      </c>
      <c r="T132" s="21">
        <v>15.3406</v>
      </c>
      <c r="U132" s="22">
        <f>IFERROR(__xludf.DUMMYFUNCTION("IFERROR(GOOGLEFINANCE(B132,""price""),"""")"),16.44)</f>
        <v>16.44</v>
      </c>
    </row>
    <row r="133">
      <c r="A133" s="7">
        <v>46052.89183122724</v>
      </c>
      <c r="B133" s="8" t="s">
        <v>4808</v>
      </c>
      <c r="C133" s="8" t="s">
        <v>4809</v>
      </c>
      <c r="D133" s="9">
        <v>46054.0</v>
      </c>
      <c r="E133" s="10">
        <v>5.0</v>
      </c>
      <c r="F133" s="12">
        <v>1.53813879E8</v>
      </c>
      <c r="G133" s="26">
        <v>91.6155</v>
      </c>
      <c r="H133" s="26">
        <v>149.1122</v>
      </c>
      <c r="I133" s="13">
        <v>1.6542</v>
      </c>
      <c r="J133" s="8" t="s">
        <v>4810</v>
      </c>
      <c r="K133" s="11">
        <v>-0.5964</v>
      </c>
      <c r="L133" s="13">
        <v>155371.1</v>
      </c>
      <c r="M133" s="8">
        <v>8389000.0</v>
      </c>
      <c r="N133" s="8">
        <v>3.8418E7</v>
      </c>
      <c r="O133" s="8">
        <v>2.3224E7</v>
      </c>
      <c r="P133" s="13">
        <v>4.9655</v>
      </c>
      <c r="Q133" s="13">
        <v>4.9327</v>
      </c>
      <c r="R133" s="13">
        <v>4.9216</v>
      </c>
      <c r="S133" s="13">
        <v>4.9227</v>
      </c>
      <c r="T133" s="13">
        <v>4.9368</v>
      </c>
      <c r="U133" s="14">
        <f>IFERROR(__xludf.DUMMYFUNCTION("IFERROR(GOOGLEFINANCE(B133,""price""),"""")"),5.11)</f>
        <v>5.11</v>
      </c>
    </row>
    <row r="134">
      <c r="A134" s="7">
        <v>46055.62747351087</v>
      </c>
      <c r="B134" s="8" t="s">
        <v>4772</v>
      </c>
      <c r="C134" s="8" t="s">
        <v>4773</v>
      </c>
      <c r="D134" s="9">
        <v>46061.0</v>
      </c>
      <c r="E134" s="10">
        <v>44.43</v>
      </c>
      <c r="F134" s="12">
        <v>9.41105385E8</v>
      </c>
      <c r="G134" s="26">
        <v>93.0719</v>
      </c>
      <c r="H134" s="26">
        <v>227.9908</v>
      </c>
      <c r="I134" s="13">
        <v>1.8204</v>
      </c>
      <c r="J134" s="8" t="s">
        <v>4774</v>
      </c>
      <c r="K134" s="11">
        <v>-0.2694</v>
      </c>
      <c r="L134" s="13">
        <v>155550.0</v>
      </c>
      <c r="M134" s="8">
        <v>2.480306E7</v>
      </c>
      <c r="N134" s="8">
        <v>1.85414791E8</v>
      </c>
      <c r="O134" s="8">
        <v>1.0185301E8</v>
      </c>
      <c r="P134" s="13">
        <v>44.1781</v>
      </c>
      <c r="Q134" s="13">
        <v>43.6022</v>
      </c>
      <c r="R134" s="13">
        <v>43.2632</v>
      </c>
      <c r="S134" s="13">
        <v>43.0453</v>
      </c>
      <c r="T134" s="13">
        <v>42.9042</v>
      </c>
      <c r="U134" s="14">
        <f>IFERROR(__xludf.DUMMYFUNCTION("IFERROR(GOOGLEFINANCE(B134,""price""),"""")"),48.35)</f>
        <v>48.35</v>
      </c>
    </row>
    <row r="135">
      <c r="A135" s="15">
        <v>46055.62747351087</v>
      </c>
      <c r="B135" s="16" t="s">
        <v>4769</v>
      </c>
      <c r="C135" s="16" t="s">
        <v>4770</v>
      </c>
      <c r="D135" s="17">
        <v>46061.0</v>
      </c>
      <c r="E135" s="18">
        <v>19.4</v>
      </c>
      <c r="F135" s="20">
        <v>3.44899854E8</v>
      </c>
      <c r="G135" s="27">
        <v>45.431</v>
      </c>
      <c r="H135" s="27">
        <v>78.6026</v>
      </c>
      <c r="I135" s="21">
        <v>0.9008</v>
      </c>
      <c r="J135" s="16" t="s">
        <v>4771</v>
      </c>
      <c r="K135" s="19">
        <v>4.9216</v>
      </c>
      <c r="L135" s="21">
        <v>424501.4</v>
      </c>
      <c r="M135" s="16">
        <v>6791210.0</v>
      </c>
      <c r="N135" s="16">
        <v>2.1445212E7</v>
      </c>
      <c r="O135" s="16">
        <v>2.380571E7</v>
      </c>
      <c r="P135" s="21">
        <v>19.8329</v>
      </c>
      <c r="Q135" s="21">
        <v>19.4881</v>
      </c>
      <c r="R135" s="21">
        <v>18.2854</v>
      </c>
      <c r="S135" s="21">
        <v>16.688</v>
      </c>
      <c r="T135" s="21">
        <v>15.1923</v>
      </c>
      <c r="U135" s="22">
        <f>IFERROR(__xludf.DUMMYFUNCTION("IFERROR(GOOGLEFINANCE(B135,""price""),"""")"),25.17)</f>
        <v>25.17</v>
      </c>
    </row>
    <row r="136">
      <c r="A136" s="7">
        <v>46055.62747351087</v>
      </c>
      <c r="B136" s="8" t="s">
        <v>4775</v>
      </c>
      <c r="C136" s="8" t="s">
        <v>4776</v>
      </c>
      <c r="D136" s="9">
        <v>46061.0</v>
      </c>
      <c r="E136" s="10">
        <v>1.395</v>
      </c>
      <c r="F136" s="12">
        <v>3.70185557E8</v>
      </c>
      <c r="G136" s="26">
        <v>76.5527</v>
      </c>
      <c r="H136" s="26">
        <v>32.489</v>
      </c>
      <c r="I136" s="13">
        <v>1.4008</v>
      </c>
      <c r="J136" s="8" t="s">
        <v>4777</v>
      </c>
      <c r="K136" s="11">
        <v>-1.0638</v>
      </c>
      <c r="L136" s="8">
        <v>2610525.0</v>
      </c>
      <c r="M136" s="8">
        <v>3.2174E7</v>
      </c>
      <c r="N136" s="8">
        <v>4.5155E7</v>
      </c>
      <c r="O136" s="8">
        <v>3.2236E7</v>
      </c>
      <c r="P136" s="13">
        <v>1.4219</v>
      </c>
      <c r="Q136" s="13">
        <v>1.454</v>
      </c>
      <c r="R136" s="13">
        <v>1.5191</v>
      </c>
      <c r="S136" s="13">
        <v>1.6657</v>
      </c>
      <c r="T136" s="13">
        <v>1.8986</v>
      </c>
      <c r="U136" s="14">
        <f>IFERROR(__xludf.DUMMYFUNCTION("IFERROR(GOOGLEFINANCE(B136,""price""),"""")"),1.4)</f>
        <v>1.4</v>
      </c>
    </row>
    <row r="137">
      <c r="A137" s="15">
        <v>46055.62747351087</v>
      </c>
      <c r="B137" s="16" t="s">
        <v>4784</v>
      </c>
      <c r="C137" s="16" t="s">
        <v>4785</v>
      </c>
      <c r="D137" s="17">
        <v>46061.0</v>
      </c>
      <c r="E137" s="18">
        <v>7.425</v>
      </c>
      <c r="F137" s="20">
        <v>6.908381E8</v>
      </c>
      <c r="G137" s="27">
        <v>92.9391</v>
      </c>
      <c r="H137" s="27">
        <v>188.9999</v>
      </c>
      <c r="I137" s="21">
        <v>0.794</v>
      </c>
      <c r="J137" s="16" t="s">
        <v>4786</v>
      </c>
      <c r="K137" s="19">
        <v>0.3378</v>
      </c>
      <c r="L137" s="21">
        <v>334782.0</v>
      </c>
      <c r="M137" s="16">
        <v>5.3903E7</v>
      </c>
      <c r="N137" s="16">
        <v>7.8663E7</v>
      </c>
      <c r="O137" s="16">
        <v>9.9078E7</v>
      </c>
      <c r="P137" s="21">
        <v>7.4279</v>
      </c>
      <c r="Q137" s="21">
        <v>7.4358</v>
      </c>
      <c r="R137" s="21">
        <v>7.4372</v>
      </c>
      <c r="S137" s="21">
        <v>7.4433</v>
      </c>
      <c r="T137" s="21">
        <v>7.4513</v>
      </c>
      <c r="U137" s="22">
        <f>IFERROR(__xludf.DUMMYFUNCTION("IFERROR(GOOGLEFINANCE(B137,""price""),"""")"),7.06)</f>
        <v>7.06</v>
      </c>
    </row>
    <row r="138">
      <c r="A138" s="7">
        <v>46055.62747351087</v>
      </c>
      <c r="B138" s="8" t="s">
        <v>4778</v>
      </c>
      <c r="C138" s="8" t="s">
        <v>4779</v>
      </c>
      <c r="D138" s="9">
        <v>46061.0</v>
      </c>
      <c r="E138" s="10">
        <v>5.825</v>
      </c>
      <c r="F138" s="12">
        <v>3.77068185E8</v>
      </c>
      <c r="G138" s="26">
        <v>87.9451</v>
      </c>
      <c r="H138" s="26">
        <v>78.0444</v>
      </c>
      <c r="I138" s="13">
        <v>0.0632</v>
      </c>
      <c r="J138" s="8" t="s">
        <v>4780</v>
      </c>
      <c r="K138" s="11">
        <v>-0.4274</v>
      </c>
      <c r="L138" s="13">
        <v>606316.4</v>
      </c>
      <c r="M138" s="8">
        <v>1.5074E7</v>
      </c>
      <c r="N138" s="8">
        <v>4488000.0</v>
      </c>
      <c r="O138" s="8">
        <v>7.1049E7</v>
      </c>
      <c r="P138" s="13">
        <v>5.8356</v>
      </c>
      <c r="Q138" s="13">
        <v>5.7498</v>
      </c>
      <c r="R138" s="13">
        <v>5.6874</v>
      </c>
      <c r="S138" s="13">
        <v>5.6163</v>
      </c>
      <c r="T138" s="13">
        <v>5.5312</v>
      </c>
      <c r="U138" s="14">
        <f>IFERROR(__xludf.DUMMYFUNCTION("IFERROR(GOOGLEFINANCE(B138,""price""),"""")"),5.45)</f>
        <v>5.45</v>
      </c>
    </row>
    <row r="139">
      <c r="A139" s="15">
        <v>46055.62747351087</v>
      </c>
      <c r="B139" s="16" t="s">
        <v>4796</v>
      </c>
      <c r="C139" s="16" t="s">
        <v>4797</v>
      </c>
      <c r="D139" s="17">
        <v>46061.0</v>
      </c>
      <c r="E139" s="18">
        <v>4.61</v>
      </c>
      <c r="F139" s="20">
        <v>1.64130536E8</v>
      </c>
      <c r="G139" s="27">
        <v>85.0918</v>
      </c>
      <c r="H139" s="27">
        <v>24.2074</v>
      </c>
      <c r="I139" s="21">
        <v>1.6603</v>
      </c>
      <c r="J139" s="16" t="s">
        <v>4798</v>
      </c>
      <c r="K139" s="19">
        <v>-3.3543</v>
      </c>
      <c r="L139" s="21">
        <v>416385.8</v>
      </c>
      <c r="M139" s="16">
        <v>3.603424E7</v>
      </c>
      <c r="N139" s="16">
        <v>8.0844E7</v>
      </c>
      <c r="O139" s="16">
        <v>4.8691E7</v>
      </c>
      <c r="P139" s="21">
        <v>4.8016</v>
      </c>
      <c r="Q139" s="21">
        <v>4.9815</v>
      </c>
      <c r="R139" s="21">
        <v>5.1556</v>
      </c>
      <c r="S139" s="21">
        <v>5.5121</v>
      </c>
      <c r="T139" s="21">
        <v>6.1942</v>
      </c>
      <c r="U139" s="22">
        <f>IFERROR(__xludf.DUMMYFUNCTION("IFERROR(GOOGLEFINANCE(B139,""price""),"""")"),3.61)</f>
        <v>3.61</v>
      </c>
    </row>
    <row r="140">
      <c r="A140" s="7">
        <v>46055.62747351087</v>
      </c>
      <c r="B140" s="8" t="s">
        <v>4790</v>
      </c>
      <c r="C140" s="8" t="s">
        <v>4791</v>
      </c>
      <c r="D140" s="9">
        <v>46061.0</v>
      </c>
      <c r="E140" s="10">
        <v>10.87</v>
      </c>
      <c r="F140" s="12">
        <v>2.02623889E8</v>
      </c>
      <c r="G140" s="26">
        <v>61.3449</v>
      </c>
      <c r="H140" s="26">
        <v>24.1858</v>
      </c>
      <c r="I140" s="13">
        <v>0.8187</v>
      </c>
      <c r="J140" s="8" t="s">
        <v>4792</v>
      </c>
      <c r="K140" s="11">
        <v>1.0223</v>
      </c>
      <c r="L140" s="13">
        <v>283134.5</v>
      </c>
      <c r="M140" s="8">
        <v>1.2011E7</v>
      </c>
      <c r="N140" s="8">
        <v>9089000.0</v>
      </c>
      <c r="O140" s="8">
        <v>1.1102E7</v>
      </c>
      <c r="P140" s="13">
        <v>11.2754</v>
      </c>
      <c r="Q140" s="13">
        <v>12.0141</v>
      </c>
      <c r="R140" s="13">
        <v>12.6102</v>
      </c>
      <c r="S140" s="13">
        <v>13.4297</v>
      </c>
      <c r="T140" s="13">
        <v>14.1289</v>
      </c>
      <c r="U140" s="14">
        <f>IFERROR(__xludf.DUMMYFUNCTION("IFERROR(GOOGLEFINANCE(B140,""price""),"""")"),6.13)</f>
        <v>6.13</v>
      </c>
    </row>
    <row r="141">
      <c r="A141" s="15">
        <v>46055.62747351087</v>
      </c>
      <c r="B141" s="16" t="s">
        <v>4793</v>
      </c>
      <c r="C141" s="16" t="s">
        <v>4794</v>
      </c>
      <c r="D141" s="17">
        <v>46061.0</v>
      </c>
      <c r="E141" s="18">
        <v>7.9722</v>
      </c>
      <c r="F141" s="20">
        <v>3.03086354E8</v>
      </c>
      <c r="G141" s="27">
        <v>57.3216</v>
      </c>
      <c r="H141" s="27">
        <v>18.8954</v>
      </c>
      <c r="I141" s="21">
        <v>0.2964</v>
      </c>
      <c r="J141" s="16" t="s">
        <v>4795</v>
      </c>
      <c r="K141" s="19">
        <v>3.94</v>
      </c>
      <c r="L141" s="21">
        <v>157573.9</v>
      </c>
      <c r="M141" s="16">
        <v>5385000.0</v>
      </c>
      <c r="N141" s="16">
        <v>1.3575E7</v>
      </c>
      <c r="O141" s="16">
        <v>4.5803E7</v>
      </c>
      <c r="P141" s="21">
        <v>7.5806</v>
      </c>
      <c r="Q141" s="21">
        <v>7.4328</v>
      </c>
      <c r="R141" s="21">
        <v>7.3352</v>
      </c>
      <c r="S141" s="21">
        <v>7.2135</v>
      </c>
      <c r="T141" s="21">
        <v>7.1006</v>
      </c>
      <c r="U141" s="22">
        <f>IFERROR(__xludf.DUMMYFUNCTION("IFERROR(GOOGLEFINANCE(B141,""price""),"""")"),9.51)</f>
        <v>9.51</v>
      </c>
    </row>
    <row r="142">
      <c r="A142" s="7">
        <v>46055.62747351087</v>
      </c>
      <c r="B142" s="8" t="s">
        <v>4799</v>
      </c>
      <c r="C142" s="8" t="s">
        <v>4800</v>
      </c>
      <c r="D142" s="9">
        <v>46061.0</v>
      </c>
      <c r="E142" s="10">
        <v>9.15</v>
      </c>
      <c r="F142" s="12">
        <v>5.32027071E8</v>
      </c>
      <c r="G142" s="26">
        <v>91.3388</v>
      </c>
      <c r="H142" s="26">
        <v>30.1381</v>
      </c>
      <c r="I142" s="13">
        <v>1.2149</v>
      </c>
      <c r="J142" s="8" t="s">
        <v>4801</v>
      </c>
      <c r="K142" s="11">
        <v>-2.5559</v>
      </c>
      <c r="L142" s="13">
        <v>173317.4</v>
      </c>
      <c r="M142" s="8">
        <v>1.691388E7</v>
      </c>
      <c r="N142" s="8">
        <v>1.25076693E8</v>
      </c>
      <c r="O142" s="8">
        <v>1.0295438E8</v>
      </c>
      <c r="P142" s="13">
        <v>9.0817</v>
      </c>
      <c r="Q142" s="13">
        <v>8.8516</v>
      </c>
      <c r="R142" s="13">
        <v>8.7417</v>
      </c>
      <c r="S142" s="13">
        <v>8.6547</v>
      </c>
      <c r="T142" s="13">
        <v>8.6028</v>
      </c>
      <c r="U142" s="14">
        <f>IFERROR(__xludf.DUMMYFUNCTION("IFERROR(GOOGLEFINANCE(B142,""price""),"""")"),10.09)</f>
        <v>10.09</v>
      </c>
    </row>
    <row r="143">
      <c r="A143" s="15">
        <v>46055.62747351087</v>
      </c>
      <c r="B143" s="16" t="s">
        <v>4802</v>
      </c>
      <c r="C143" s="16" t="s">
        <v>4803</v>
      </c>
      <c r="D143" s="17">
        <v>46061.0</v>
      </c>
      <c r="E143" s="18">
        <v>8.425</v>
      </c>
      <c r="F143" s="20">
        <v>3.77192705E8</v>
      </c>
      <c r="G143" s="27">
        <v>91.4242</v>
      </c>
      <c r="H143" s="27">
        <v>351.6546</v>
      </c>
      <c r="I143" s="21">
        <v>0.1285</v>
      </c>
      <c r="J143" s="16" t="s">
        <v>4804</v>
      </c>
      <c r="K143" s="19">
        <v>0.1784</v>
      </c>
      <c r="L143" s="21">
        <v>188785.6</v>
      </c>
      <c r="M143" s="16">
        <v>3.8991E7</v>
      </c>
      <c r="N143" s="16">
        <v>6542000.0</v>
      </c>
      <c r="O143" s="16">
        <v>5.0894E7</v>
      </c>
      <c r="P143" s="21">
        <v>8.407</v>
      </c>
      <c r="Q143" s="21">
        <v>8.4103</v>
      </c>
      <c r="R143" s="21">
        <v>8.4129</v>
      </c>
      <c r="S143" s="21">
        <v>8.4168</v>
      </c>
      <c r="T143" s="21">
        <v>8.4196</v>
      </c>
      <c r="U143" s="22">
        <f>IFERROR(__xludf.DUMMYFUNCTION("IFERROR(GOOGLEFINANCE(B143,""price""),"""")"),8.09)</f>
        <v>8.09</v>
      </c>
    </row>
    <row r="144">
      <c r="A144" s="7">
        <v>46055.62747351087</v>
      </c>
      <c r="B144" s="8" t="s">
        <v>4808</v>
      </c>
      <c r="C144" s="8" t="s">
        <v>4809</v>
      </c>
      <c r="D144" s="9">
        <v>46061.0</v>
      </c>
      <c r="E144" s="10">
        <v>4.955</v>
      </c>
      <c r="F144" s="12">
        <v>1.528965E8</v>
      </c>
      <c r="G144" s="26">
        <v>91.6155</v>
      </c>
      <c r="H144" s="26">
        <v>149.1122</v>
      </c>
      <c r="I144" s="13">
        <v>1.6542</v>
      </c>
      <c r="J144" s="8" t="s">
        <v>4810</v>
      </c>
      <c r="K144" s="11">
        <v>-0.9</v>
      </c>
      <c r="L144" s="13">
        <v>155752.0</v>
      </c>
      <c r="M144" s="8">
        <v>8389000.0</v>
      </c>
      <c r="N144" s="8">
        <v>3.8418E7</v>
      </c>
      <c r="O144" s="8">
        <v>2.3224E7</v>
      </c>
      <c r="P144" s="13">
        <v>4.9632</v>
      </c>
      <c r="Q144" s="13">
        <v>4.9347</v>
      </c>
      <c r="R144" s="13">
        <v>4.9235</v>
      </c>
      <c r="S144" s="13">
        <v>4.9239</v>
      </c>
      <c r="T144" s="13">
        <v>4.9372</v>
      </c>
      <c r="U144" s="14">
        <f>IFERROR(__xludf.DUMMYFUNCTION("IFERROR(GOOGLEFINANCE(B144,""price""),"""")"),5.11)</f>
        <v>5.11</v>
      </c>
    </row>
    <row r="145">
      <c r="A145" s="15">
        <v>46055.62747351087</v>
      </c>
      <c r="B145" s="16" t="s">
        <v>4787</v>
      </c>
      <c r="C145" s="16" t="s">
        <v>4788</v>
      </c>
      <c r="D145" s="17">
        <v>46061.0</v>
      </c>
      <c r="E145" s="18">
        <v>16.058</v>
      </c>
      <c r="F145" s="20">
        <v>3.61268322E8</v>
      </c>
      <c r="G145" s="27">
        <v>93.5373</v>
      </c>
      <c r="H145" s="27">
        <v>235.6763</v>
      </c>
      <c r="I145" s="21">
        <v>1.1757</v>
      </c>
      <c r="J145" s="16" t="s">
        <v>4789</v>
      </c>
      <c r="K145" s="19">
        <v>0.4253</v>
      </c>
      <c r="L145" s="21">
        <v>109652.6</v>
      </c>
      <c r="M145" s="16">
        <v>1153000.0</v>
      </c>
      <c r="N145" s="16">
        <v>8.1709E7</v>
      </c>
      <c r="O145" s="16">
        <v>6.9496E7</v>
      </c>
      <c r="P145" s="21">
        <v>15.9883</v>
      </c>
      <c r="Q145" s="21">
        <v>15.7978</v>
      </c>
      <c r="R145" s="21">
        <v>15.6729</v>
      </c>
      <c r="S145" s="21">
        <v>15.5398</v>
      </c>
      <c r="T145" s="21">
        <v>15.3565</v>
      </c>
      <c r="U145" s="22">
        <f>IFERROR(__xludf.DUMMYFUNCTION("IFERROR(GOOGLEFINANCE(B145,""price""),"""")"),16.44)</f>
        <v>16.44</v>
      </c>
    </row>
    <row r="146">
      <c r="A146" s="7">
        <v>46055.62747351087</v>
      </c>
      <c r="B146" s="8" t="s">
        <v>4805</v>
      </c>
      <c r="C146" s="8" t="s">
        <v>4806</v>
      </c>
      <c r="D146" s="9">
        <v>46061.0</v>
      </c>
      <c r="E146" s="10">
        <v>6.0</v>
      </c>
      <c r="F146" s="12">
        <v>2.53176022E8</v>
      </c>
      <c r="G146" s="26">
        <v>79.064</v>
      </c>
      <c r="H146" s="26">
        <v>30.0646</v>
      </c>
      <c r="I146" s="13">
        <v>1.3011</v>
      </c>
      <c r="J146" s="8" t="s">
        <v>4807</v>
      </c>
      <c r="K146" s="11">
        <v>1.3514</v>
      </c>
      <c r="L146" s="13">
        <v>274849.1</v>
      </c>
      <c r="M146" s="8">
        <v>2473190.0</v>
      </c>
      <c r="N146" s="8">
        <v>6.6572298E7</v>
      </c>
      <c r="O146" s="8">
        <v>5.116682E7</v>
      </c>
      <c r="P146" s="13">
        <v>5.9392</v>
      </c>
      <c r="Q146" s="13">
        <v>5.8878</v>
      </c>
      <c r="R146" s="13">
        <v>5.8438</v>
      </c>
      <c r="S146" s="13">
        <v>5.7964</v>
      </c>
      <c r="T146" s="13">
        <v>5.7359</v>
      </c>
      <c r="U146" s="14">
        <f>IFERROR(__xludf.DUMMYFUNCTION("IFERROR(GOOGLEFINANCE(B146,""price""),"""")"),5.78)</f>
        <v>5.78</v>
      </c>
    </row>
    <row r="147">
      <c r="A147" s="7">
        <v>46056.62624989303</v>
      </c>
      <c r="B147" s="8" t="s">
        <v>4811</v>
      </c>
      <c r="C147" s="8" t="s">
        <v>4812</v>
      </c>
      <c r="D147" s="9">
        <v>46061.0</v>
      </c>
      <c r="E147" s="10">
        <v>10.77</v>
      </c>
      <c r="F147" s="12">
        <v>9.73797735E8</v>
      </c>
      <c r="G147" s="26">
        <v>32.9951</v>
      </c>
      <c r="H147" s="26">
        <v>19.8769</v>
      </c>
      <c r="I147" s="13">
        <v>0.5293</v>
      </c>
      <c r="J147" s="8" t="s">
        <v>4813</v>
      </c>
      <c r="K147" s="11">
        <v>-3.0603</v>
      </c>
      <c r="L147" s="13">
        <v>361668.1</v>
      </c>
      <c r="M147" s="8">
        <v>8.4171E7</v>
      </c>
      <c r="N147" s="8">
        <v>9.7672E7</v>
      </c>
      <c r="O147" s="8">
        <v>1.84534E8</v>
      </c>
      <c r="P147" s="13">
        <v>10.9795</v>
      </c>
      <c r="Q147" s="13">
        <v>11.2455</v>
      </c>
      <c r="R147" s="13">
        <v>11.4577</v>
      </c>
      <c r="S147" s="13">
        <v>11.8858</v>
      </c>
      <c r="T147" s="13">
        <v>12.5988</v>
      </c>
      <c r="U147" s="14" t="str">
        <f>IFERROR(__xludf.DUMMYFUNCTION("IFERROR(GOOGLEFINANCE(B147,""price""),"""")"),"")</f>
        <v/>
      </c>
    </row>
    <row r="148">
      <c r="A148" s="15">
        <v>46056.62624989303</v>
      </c>
      <c r="B148" s="16" t="s">
        <v>4769</v>
      </c>
      <c r="C148" s="16" t="s">
        <v>4770</v>
      </c>
      <c r="D148" s="17">
        <v>46061.0</v>
      </c>
      <c r="E148" s="18">
        <v>20.245</v>
      </c>
      <c r="F148" s="20">
        <v>3.59922549E8</v>
      </c>
      <c r="G148" s="27">
        <v>45.431</v>
      </c>
      <c r="H148" s="27">
        <v>78.6026</v>
      </c>
      <c r="I148" s="21">
        <v>0.9008</v>
      </c>
      <c r="J148" s="16" t="s">
        <v>4771</v>
      </c>
      <c r="K148" s="19">
        <v>3.9271</v>
      </c>
      <c r="L148" s="21">
        <v>414244.9</v>
      </c>
      <c r="M148" s="16">
        <v>6791210.0</v>
      </c>
      <c r="N148" s="16">
        <v>2.1445212E7</v>
      </c>
      <c r="O148" s="16">
        <v>2.380571E7</v>
      </c>
      <c r="P148" s="21">
        <v>19.9383</v>
      </c>
      <c r="Q148" s="21">
        <v>19.5635</v>
      </c>
      <c r="R148" s="21">
        <v>18.4016</v>
      </c>
      <c r="S148" s="21">
        <v>16.8178</v>
      </c>
      <c r="T148" s="21">
        <v>15.3063</v>
      </c>
      <c r="U148" s="22">
        <f>IFERROR(__xludf.DUMMYFUNCTION("IFERROR(GOOGLEFINANCE(B148,""price""),"""")"),25.17)</f>
        <v>25.17</v>
      </c>
    </row>
    <row r="149">
      <c r="A149" s="7">
        <v>46056.62624989303</v>
      </c>
      <c r="B149" s="8" t="s">
        <v>4790</v>
      </c>
      <c r="C149" s="8" t="s">
        <v>4791</v>
      </c>
      <c r="D149" s="9">
        <v>46061.0</v>
      </c>
      <c r="E149" s="10">
        <v>10.17</v>
      </c>
      <c r="F149" s="12">
        <v>1.89575429E8</v>
      </c>
      <c r="G149" s="26">
        <v>61.3449</v>
      </c>
      <c r="H149" s="26">
        <v>24.1858</v>
      </c>
      <c r="I149" s="13">
        <v>0.8187</v>
      </c>
      <c r="J149" s="8" t="s">
        <v>4792</v>
      </c>
      <c r="K149" s="11">
        <v>-6.8681</v>
      </c>
      <c r="L149" s="13">
        <v>310349.6</v>
      </c>
      <c r="M149" s="8">
        <v>1.2011E7</v>
      </c>
      <c r="N149" s="8">
        <v>9089000.0</v>
      </c>
      <c r="O149" s="8">
        <v>1.1102E7</v>
      </c>
      <c r="P149" s="13">
        <v>11.0384</v>
      </c>
      <c r="Q149" s="13">
        <v>11.8506</v>
      </c>
      <c r="R149" s="13">
        <v>12.4734</v>
      </c>
      <c r="S149" s="13">
        <v>13.315</v>
      </c>
      <c r="T149" s="13">
        <v>14.0421</v>
      </c>
      <c r="U149" s="14">
        <f>IFERROR(__xludf.DUMMYFUNCTION("IFERROR(GOOGLEFINANCE(B149,""price""),"""")"),6.13)</f>
        <v>6.13</v>
      </c>
    </row>
    <row r="150">
      <c r="A150" s="15">
        <v>46056.62624989303</v>
      </c>
      <c r="B150" s="16" t="s">
        <v>4772</v>
      </c>
      <c r="C150" s="16" t="s">
        <v>4773</v>
      </c>
      <c r="D150" s="17">
        <v>46061.0</v>
      </c>
      <c r="E150" s="18">
        <v>44.01</v>
      </c>
      <c r="F150" s="20">
        <v>9.33500493E8</v>
      </c>
      <c r="G150" s="27">
        <v>93.0719</v>
      </c>
      <c r="H150" s="27">
        <v>227.9908</v>
      </c>
      <c r="I150" s="21">
        <v>1.8204</v>
      </c>
      <c r="J150" s="16" t="s">
        <v>4774</v>
      </c>
      <c r="K150" s="19">
        <v>-0.4073</v>
      </c>
      <c r="L150" s="21">
        <v>150222.7</v>
      </c>
      <c r="M150" s="16">
        <v>2.480306E7</v>
      </c>
      <c r="N150" s="16">
        <v>1.85414791E8</v>
      </c>
      <c r="O150" s="16">
        <v>1.0185301E8</v>
      </c>
      <c r="P150" s="21">
        <v>44.0992</v>
      </c>
      <c r="Q150" s="21">
        <v>43.6194</v>
      </c>
      <c r="R150" s="21">
        <v>43.2929</v>
      </c>
      <c r="S150" s="21">
        <v>43.0715</v>
      </c>
      <c r="T150" s="21">
        <v>42.9236</v>
      </c>
      <c r="U150" s="22">
        <f>IFERROR(__xludf.DUMMYFUNCTION("IFERROR(GOOGLEFINANCE(B150,""price""),"""")"),48.35)</f>
        <v>48.35</v>
      </c>
    </row>
    <row r="151">
      <c r="A151" s="7">
        <v>46056.62624989303</v>
      </c>
      <c r="B151" s="8" t="s">
        <v>4796</v>
      </c>
      <c r="C151" s="8" t="s">
        <v>4797</v>
      </c>
      <c r="D151" s="9">
        <v>46061.0</v>
      </c>
      <c r="E151" s="10">
        <v>4.535</v>
      </c>
      <c r="F151" s="12">
        <v>1.61460296E8</v>
      </c>
      <c r="G151" s="26">
        <v>85.0918</v>
      </c>
      <c r="H151" s="26">
        <v>24.2074</v>
      </c>
      <c r="I151" s="13">
        <v>1.6603</v>
      </c>
      <c r="J151" s="8" t="s">
        <v>4798</v>
      </c>
      <c r="K151" s="11">
        <v>-1.8398</v>
      </c>
      <c r="L151" s="13">
        <v>456819.0</v>
      </c>
      <c r="M151" s="8">
        <v>3.603424E7</v>
      </c>
      <c r="N151" s="8">
        <v>8.0844E7</v>
      </c>
      <c r="O151" s="8">
        <v>4.8691E7</v>
      </c>
      <c r="P151" s="13">
        <v>4.7441</v>
      </c>
      <c r="Q151" s="13">
        <v>4.9417</v>
      </c>
      <c r="R151" s="13">
        <v>5.1207</v>
      </c>
      <c r="S151" s="13">
        <v>5.4775</v>
      </c>
      <c r="T151" s="13">
        <v>6.1576</v>
      </c>
      <c r="U151" s="14">
        <f>IFERROR(__xludf.DUMMYFUNCTION("IFERROR(GOOGLEFINANCE(B151,""price""),"""")"),3.61)</f>
        <v>3.61</v>
      </c>
    </row>
    <row r="152">
      <c r="A152" s="15">
        <v>46056.62624989303</v>
      </c>
      <c r="B152" s="16" t="s">
        <v>4775</v>
      </c>
      <c r="C152" s="16" t="s">
        <v>4776</v>
      </c>
      <c r="D152" s="17">
        <v>46061.0</v>
      </c>
      <c r="E152" s="18">
        <v>1.42</v>
      </c>
      <c r="F152" s="20">
        <v>3.76819715E8</v>
      </c>
      <c r="G152" s="27">
        <v>76.5527</v>
      </c>
      <c r="H152" s="27">
        <v>32.489</v>
      </c>
      <c r="I152" s="21">
        <v>1.4008</v>
      </c>
      <c r="J152" s="16" t="s">
        <v>4777</v>
      </c>
      <c r="K152" s="19">
        <v>2.8986</v>
      </c>
      <c r="L152" s="16">
        <v>2665246.0</v>
      </c>
      <c r="M152" s="16">
        <v>3.2174E7</v>
      </c>
      <c r="N152" s="16">
        <v>4.5155E7</v>
      </c>
      <c r="O152" s="16">
        <v>3.2236E7</v>
      </c>
      <c r="P152" s="21">
        <v>1.4189</v>
      </c>
      <c r="Q152" s="21">
        <v>1.4497</v>
      </c>
      <c r="R152" s="21">
        <v>1.5126</v>
      </c>
      <c r="S152" s="21">
        <v>1.6564</v>
      </c>
      <c r="T152" s="21">
        <v>1.8876</v>
      </c>
      <c r="U152" s="22">
        <f>IFERROR(__xludf.DUMMYFUNCTION("IFERROR(GOOGLEFINANCE(B152,""price""),"""")"),1.4)</f>
        <v>1.4</v>
      </c>
    </row>
    <row r="153">
      <c r="A153" s="7">
        <v>46056.62624989303</v>
      </c>
      <c r="B153" s="8" t="s">
        <v>4778</v>
      </c>
      <c r="C153" s="8" t="s">
        <v>4779</v>
      </c>
      <c r="D153" s="9">
        <v>46061.0</v>
      </c>
      <c r="E153" s="10">
        <v>5.9</v>
      </c>
      <c r="F153" s="12">
        <v>3.76423624E8</v>
      </c>
      <c r="G153" s="26">
        <v>87.9451</v>
      </c>
      <c r="H153" s="26">
        <v>78.0444</v>
      </c>
      <c r="I153" s="13">
        <v>0.0632</v>
      </c>
      <c r="J153" s="8" t="s">
        <v>4780</v>
      </c>
      <c r="K153" s="11">
        <v>1.0274</v>
      </c>
      <c r="L153" s="13">
        <v>609099.5</v>
      </c>
      <c r="M153" s="8">
        <v>1.5074E7</v>
      </c>
      <c r="N153" s="8">
        <v>4488000.0</v>
      </c>
      <c r="O153" s="8">
        <v>7.1049E7</v>
      </c>
      <c r="P153" s="13">
        <v>5.8525</v>
      </c>
      <c r="Q153" s="13">
        <v>5.7647</v>
      </c>
      <c r="R153" s="13">
        <v>5.7003</v>
      </c>
      <c r="S153" s="13">
        <v>5.627</v>
      </c>
      <c r="T153" s="13">
        <v>5.5397</v>
      </c>
      <c r="U153" s="14">
        <f>IFERROR(__xludf.DUMMYFUNCTION("IFERROR(GOOGLEFINANCE(B153,""price""),"""")"),5.45)</f>
        <v>5.45</v>
      </c>
    </row>
    <row r="154">
      <c r="A154" s="15">
        <v>46056.62624989303</v>
      </c>
      <c r="B154" s="16" t="s">
        <v>4787</v>
      </c>
      <c r="C154" s="16" t="s">
        <v>4788</v>
      </c>
      <c r="D154" s="17">
        <v>46061.0</v>
      </c>
      <c r="E154" s="18">
        <v>16.045</v>
      </c>
      <c r="F154" s="20">
        <v>3.63301727E8</v>
      </c>
      <c r="G154" s="27">
        <v>93.5373</v>
      </c>
      <c r="H154" s="27">
        <v>235.6763</v>
      </c>
      <c r="I154" s="21">
        <v>1.1757</v>
      </c>
      <c r="J154" s="16" t="s">
        <v>4789</v>
      </c>
      <c r="K154" s="19">
        <v>-0.2177</v>
      </c>
      <c r="L154" s="21">
        <v>110210.9</v>
      </c>
      <c r="M154" s="16">
        <v>1153000.0</v>
      </c>
      <c r="N154" s="16">
        <v>8.1709E7</v>
      </c>
      <c r="O154" s="16">
        <v>6.9496E7</v>
      </c>
      <c r="P154" s="21">
        <v>16.0047</v>
      </c>
      <c r="Q154" s="21">
        <v>15.8221</v>
      </c>
      <c r="R154" s="21">
        <v>15.6953</v>
      </c>
      <c r="S154" s="21">
        <v>15.5586</v>
      </c>
      <c r="T154" s="21">
        <v>15.3723</v>
      </c>
      <c r="U154" s="22">
        <f>IFERROR(__xludf.DUMMYFUNCTION("IFERROR(GOOGLEFINANCE(B154,""price""),"""")"),16.44)</f>
        <v>16.44</v>
      </c>
    </row>
    <row r="155">
      <c r="A155" s="7">
        <v>46056.62624989303</v>
      </c>
      <c r="B155" s="8" t="s">
        <v>4784</v>
      </c>
      <c r="C155" s="8" t="s">
        <v>4785</v>
      </c>
      <c r="D155" s="9">
        <v>46061.0</v>
      </c>
      <c r="E155" s="10">
        <v>7.44</v>
      </c>
      <c r="F155" s="12">
        <v>6.93638795E8</v>
      </c>
      <c r="G155" s="26">
        <v>92.9391</v>
      </c>
      <c r="H155" s="26">
        <v>188.9999</v>
      </c>
      <c r="I155" s="13">
        <v>0.794</v>
      </c>
      <c r="J155" s="8" t="s">
        <v>4786</v>
      </c>
      <c r="K155" s="11">
        <v>0.1346</v>
      </c>
      <c r="L155" s="13">
        <v>319162.1</v>
      </c>
      <c r="M155" s="8">
        <v>5.3903E7</v>
      </c>
      <c r="N155" s="8">
        <v>7.8663E7</v>
      </c>
      <c r="O155" s="8">
        <v>9.9078E7</v>
      </c>
      <c r="P155" s="13">
        <v>7.4314</v>
      </c>
      <c r="Q155" s="13">
        <v>7.4366</v>
      </c>
      <c r="R155" s="13">
        <v>7.4376</v>
      </c>
      <c r="S155" s="13">
        <v>7.4433</v>
      </c>
      <c r="T155" s="13">
        <v>7.4512</v>
      </c>
      <c r="U155" s="14">
        <f>IFERROR(__xludf.DUMMYFUNCTION("IFERROR(GOOGLEFINANCE(B155,""price""),"""")"),7.06)</f>
        <v>7.06</v>
      </c>
    </row>
    <row r="156">
      <c r="A156" s="15">
        <v>46056.62624989303</v>
      </c>
      <c r="B156" s="16" t="s">
        <v>4799</v>
      </c>
      <c r="C156" s="16" t="s">
        <v>4800</v>
      </c>
      <c r="D156" s="17">
        <v>46061.0</v>
      </c>
      <c r="E156" s="18">
        <v>9.32</v>
      </c>
      <c r="F156" s="20">
        <v>5.16162579E8</v>
      </c>
      <c r="G156" s="27">
        <v>91.3388</v>
      </c>
      <c r="H156" s="27">
        <v>30.1381</v>
      </c>
      <c r="I156" s="21">
        <v>1.2149</v>
      </c>
      <c r="J156" s="16" t="s">
        <v>4801</v>
      </c>
      <c r="K156" s="19">
        <v>2.3052</v>
      </c>
      <c r="L156" s="21">
        <v>173366.8</v>
      </c>
      <c r="M156" s="16">
        <v>1.691388E7</v>
      </c>
      <c r="N156" s="16">
        <v>1.25076693E8</v>
      </c>
      <c r="O156" s="16">
        <v>1.0295438E8</v>
      </c>
      <c r="P156" s="21">
        <v>9.1278</v>
      </c>
      <c r="Q156" s="21">
        <v>8.8909</v>
      </c>
      <c r="R156" s="21">
        <v>8.7726</v>
      </c>
      <c r="S156" s="21">
        <v>8.6771</v>
      </c>
      <c r="T156" s="21">
        <v>8.6179</v>
      </c>
      <c r="U156" s="22">
        <f>IFERROR(__xludf.DUMMYFUNCTION("IFERROR(GOOGLEFINANCE(B156,""price""),"""")"),10.09)</f>
        <v>10.09</v>
      </c>
    </row>
    <row r="157">
      <c r="A157" s="7">
        <v>46056.62624989303</v>
      </c>
      <c r="B157" s="8" t="s">
        <v>4805</v>
      </c>
      <c r="C157" s="8" t="s">
        <v>4806</v>
      </c>
      <c r="D157" s="9">
        <v>46061.0</v>
      </c>
      <c r="E157" s="10">
        <v>5.965</v>
      </c>
      <c r="F157" s="12">
        <v>2.56169658E8</v>
      </c>
      <c r="G157" s="26">
        <v>79.064</v>
      </c>
      <c r="H157" s="26">
        <v>30.0646</v>
      </c>
      <c r="I157" s="13">
        <v>1.3011</v>
      </c>
      <c r="J157" s="8" t="s">
        <v>4807</v>
      </c>
      <c r="K157" s="11">
        <v>-0.4174</v>
      </c>
      <c r="L157" s="13">
        <v>266065.1</v>
      </c>
      <c r="M157" s="8">
        <v>2473190.0</v>
      </c>
      <c r="N157" s="8">
        <v>6.6572298E7</v>
      </c>
      <c r="O157" s="8">
        <v>5.116682E7</v>
      </c>
      <c r="P157" s="13">
        <v>5.9432</v>
      </c>
      <c r="Q157" s="13">
        <v>5.894</v>
      </c>
      <c r="R157" s="13">
        <v>5.8502</v>
      </c>
      <c r="S157" s="13">
        <v>5.8021</v>
      </c>
      <c r="T157" s="13">
        <v>5.7408</v>
      </c>
      <c r="U157" s="14">
        <f>IFERROR(__xludf.DUMMYFUNCTION("IFERROR(GOOGLEFINANCE(B157,""price""),"""")"),5.78)</f>
        <v>5.78</v>
      </c>
    </row>
    <row r="158">
      <c r="A158" s="15">
        <v>46056.62624989303</v>
      </c>
      <c r="B158" s="16" t="s">
        <v>4802</v>
      </c>
      <c r="C158" s="16" t="s">
        <v>4803</v>
      </c>
      <c r="D158" s="17">
        <v>46061.0</v>
      </c>
      <c r="E158" s="18">
        <v>8.425</v>
      </c>
      <c r="F158" s="20">
        <v>3.78089715E8</v>
      </c>
      <c r="G158" s="27">
        <v>91.4242</v>
      </c>
      <c r="H158" s="27">
        <v>351.6546</v>
      </c>
      <c r="I158" s="21">
        <v>0.1285</v>
      </c>
      <c r="J158" s="16" t="s">
        <v>4804</v>
      </c>
      <c r="K158" s="19">
        <v>-0.0593</v>
      </c>
      <c r="L158" s="21">
        <v>164301.3</v>
      </c>
      <c r="M158" s="16">
        <v>3.8991E7</v>
      </c>
      <c r="N158" s="16">
        <v>6542000.0</v>
      </c>
      <c r="O158" s="16">
        <v>5.0894E7</v>
      </c>
      <c r="P158" s="21">
        <v>8.4118</v>
      </c>
      <c r="Q158" s="21">
        <v>8.4121</v>
      </c>
      <c r="R158" s="21">
        <v>8.4139</v>
      </c>
      <c r="S158" s="21">
        <v>8.4172</v>
      </c>
      <c r="T158" s="21">
        <v>8.4199</v>
      </c>
      <c r="U158" s="22">
        <f>IFERROR(__xludf.DUMMYFUNCTION("IFERROR(GOOGLEFINANCE(B158,""price""),"""")"),8.09)</f>
        <v>8.09</v>
      </c>
    </row>
    <row r="159">
      <c r="A159" s="7">
        <v>46056.62624989303</v>
      </c>
      <c r="B159" s="8" t="s">
        <v>4793</v>
      </c>
      <c r="C159" s="8" t="s">
        <v>4794</v>
      </c>
      <c r="D159" s="9">
        <v>46061.0</v>
      </c>
      <c r="E159" s="10">
        <v>7.92</v>
      </c>
      <c r="F159" s="12">
        <v>3.01101818E8</v>
      </c>
      <c r="G159" s="26">
        <v>57.3216</v>
      </c>
      <c r="H159" s="26">
        <v>18.8954</v>
      </c>
      <c r="I159" s="13">
        <v>0.2964</v>
      </c>
      <c r="J159" s="8" t="s">
        <v>4795</v>
      </c>
      <c r="K159" s="11">
        <v>-1.0</v>
      </c>
      <c r="L159" s="13">
        <v>151512.1</v>
      </c>
      <c r="M159" s="8">
        <v>5385000.0</v>
      </c>
      <c r="N159" s="8">
        <v>1.3575E7</v>
      </c>
      <c r="O159" s="8">
        <v>4.5803E7</v>
      </c>
      <c r="P159" s="13">
        <v>7.6609</v>
      </c>
      <c r="Q159" s="13">
        <v>7.4794</v>
      </c>
      <c r="R159" s="13">
        <v>7.3701</v>
      </c>
      <c r="S159" s="13">
        <v>7.2397</v>
      </c>
      <c r="T159" s="13">
        <v>7.1194</v>
      </c>
      <c r="U159" s="14">
        <f>IFERROR(__xludf.DUMMYFUNCTION("IFERROR(GOOGLEFINANCE(B159,""price""),"""")"),9.51)</f>
        <v>9.51</v>
      </c>
    </row>
    <row r="160">
      <c r="A160" s="15">
        <v>46056.62624989303</v>
      </c>
      <c r="B160" s="16" t="s">
        <v>4808</v>
      </c>
      <c r="C160" s="16" t="s">
        <v>4809</v>
      </c>
      <c r="D160" s="17">
        <v>46061.0</v>
      </c>
      <c r="E160" s="18">
        <v>4.985</v>
      </c>
      <c r="F160" s="20">
        <v>1.51367535E8</v>
      </c>
      <c r="G160" s="27">
        <v>91.6155</v>
      </c>
      <c r="H160" s="27">
        <v>149.1122</v>
      </c>
      <c r="I160" s="21">
        <v>1.6542</v>
      </c>
      <c r="J160" s="16" t="s">
        <v>4810</v>
      </c>
      <c r="K160" s="19">
        <v>0.7071</v>
      </c>
      <c r="L160" s="21">
        <v>153525.6</v>
      </c>
      <c r="M160" s="16">
        <v>8389000.0</v>
      </c>
      <c r="N160" s="16">
        <v>3.8418E7</v>
      </c>
      <c r="O160" s="16">
        <v>2.3224E7</v>
      </c>
      <c r="P160" s="21">
        <v>4.9672</v>
      </c>
      <c r="Q160" s="21">
        <v>4.9389</v>
      </c>
      <c r="R160" s="21">
        <v>4.9268</v>
      </c>
      <c r="S160" s="21">
        <v>4.9259</v>
      </c>
      <c r="T160" s="21">
        <v>4.9382</v>
      </c>
      <c r="U160" s="22">
        <f>IFERROR(__xludf.DUMMYFUNCTION("IFERROR(GOOGLEFINANCE(B160,""price""),"""")"),5.11)</f>
        <v>5.11</v>
      </c>
    </row>
    <row r="161">
      <c r="A161" s="7">
        <v>46057.454385257566</v>
      </c>
      <c r="B161" s="8" t="s">
        <v>4814</v>
      </c>
      <c r="C161" s="8" t="s">
        <v>4815</v>
      </c>
      <c r="D161" s="9">
        <v>46061.0</v>
      </c>
      <c r="E161" s="10">
        <v>140.38</v>
      </c>
      <c r="F161" s="12">
        <v>9.9275559E8</v>
      </c>
      <c r="G161" s="26">
        <v>55.0114</v>
      </c>
      <c r="H161" s="26">
        <v>236.0255</v>
      </c>
      <c r="I161" s="13">
        <v>0.5072</v>
      </c>
      <c r="J161" s="8" t="s">
        <v>4816</v>
      </c>
      <c r="K161" s="11">
        <v>-9.1215</v>
      </c>
      <c r="L161" s="13">
        <v>176576.6</v>
      </c>
      <c r="M161" s="8">
        <v>1.7627722E8</v>
      </c>
      <c r="N161" s="8">
        <v>1.92553E8</v>
      </c>
      <c r="O161" s="8">
        <v>3.7960525E8</v>
      </c>
      <c r="P161" s="13">
        <v>151.7129</v>
      </c>
      <c r="Q161" s="13">
        <v>157.1644</v>
      </c>
      <c r="R161" s="13">
        <v>157.2535</v>
      </c>
      <c r="S161" s="13">
        <v>152.4705</v>
      </c>
      <c r="T161" s="13">
        <v>143.5227</v>
      </c>
      <c r="U161" s="14">
        <f>IFERROR(__xludf.DUMMYFUNCTION("IFERROR(GOOGLEFINANCE(B161,""price""),"""")"),101.05)</f>
        <v>101.05</v>
      </c>
    </row>
    <row r="162">
      <c r="A162" s="15">
        <v>46057.454385257566</v>
      </c>
      <c r="B162" s="16" t="s">
        <v>4790</v>
      </c>
      <c r="C162" s="16" t="s">
        <v>4791</v>
      </c>
      <c r="D162" s="17">
        <v>46061.0</v>
      </c>
      <c r="E162" s="18">
        <v>11.185</v>
      </c>
      <c r="F162" s="20">
        <v>2.08495689E8</v>
      </c>
      <c r="G162" s="27">
        <v>61.3449</v>
      </c>
      <c r="H162" s="27">
        <v>24.1858</v>
      </c>
      <c r="I162" s="21">
        <v>0.8187</v>
      </c>
      <c r="J162" s="16" t="s">
        <v>4792</v>
      </c>
      <c r="K162" s="19">
        <v>9.122</v>
      </c>
      <c r="L162" s="21">
        <v>321522.4</v>
      </c>
      <c r="M162" s="16">
        <v>1.2011E7</v>
      </c>
      <c r="N162" s="16">
        <v>9089000.0</v>
      </c>
      <c r="O162" s="16">
        <v>1.1102E7</v>
      </c>
      <c r="P162" s="21">
        <v>11.0848</v>
      </c>
      <c r="Q162" s="21">
        <v>11.7967</v>
      </c>
      <c r="R162" s="21">
        <v>12.4041</v>
      </c>
      <c r="S162" s="21">
        <v>13.2417</v>
      </c>
      <c r="T162" s="21">
        <v>13.9803</v>
      </c>
      <c r="U162" s="22">
        <f>IFERROR(__xludf.DUMMYFUNCTION("IFERROR(GOOGLEFINANCE(B162,""price""),"""")"),6.13)</f>
        <v>6.13</v>
      </c>
    </row>
    <row r="163">
      <c r="A163" s="7">
        <v>46057.454385257566</v>
      </c>
      <c r="B163" s="8" t="s">
        <v>4811</v>
      </c>
      <c r="C163" s="8" t="s">
        <v>4812</v>
      </c>
      <c r="D163" s="9">
        <v>46061.0</v>
      </c>
      <c r="E163" s="10">
        <v>10.86</v>
      </c>
      <c r="F163" s="12">
        <v>9.8193531E8</v>
      </c>
      <c r="G163" s="26">
        <v>32.9951</v>
      </c>
      <c r="H163" s="26">
        <v>19.8769</v>
      </c>
      <c r="I163" s="13">
        <v>0.5293</v>
      </c>
      <c r="J163" s="8" t="s">
        <v>4813</v>
      </c>
      <c r="K163" s="11">
        <v>1.2116</v>
      </c>
      <c r="L163" s="13">
        <v>392961.4</v>
      </c>
      <c r="M163" s="8">
        <v>8.4171E7</v>
      </c>
      <c r="N163" s="8">
        <v>9.7672E7</v>
      </c>
      <c r="O163" s="8">
        <v>1.84534E8</v>
      </c>
      <c r="P163" s="13">
        <v>10.9461</v>
      </c>
      <c r="Q163" s="13">
        <v>11.2071</v>
      </c>
      <c r="R163" s="13">
        <v>11.4214</v>
      </c>
      <c r="S163" s="13">
        <v>11.8478</v>
      </c>
      <c r="T163" s="13">
        <v>12.5592</v>
      </c>
      <c r="U163" s="14" t="str">
        <f>IFERROR(__xludf.DUMMYFUNCTION("IFERROR(GOOGLEFINANCE(B163,""price""),"""")"),"")</f>
        <v/>
      </c>
    </row>
    <row r="164">
      <c r="A164" s="15">
        <v>46057.454385257566</v>
      </c>
      <c r="B164" s="16" t="s">
        <v>4769</v>
      </c>
      <c r="C164" s="16" t="s">
        <v>4770</v>
      </c>
      <c r="D164" s="17">
        <v>46061.0</v>
      </c>
      <c r="E164" s="18">
        <v>18.94</v>
      </c>
      <c r="F164" s="20">
        <v>3.36721819E8</v>
      </c>
      <c r="G164" s="27">
        <v>45.431</v>
      </c>
      <c r="H164" s="27">
        <v>78.6026</v>
      </c>
      <c r="I164" s="21">
        <v>0.9008</v>
      </c>
      <c r="J164" s="16" t="s">
        <v>4771</v>
      </c>
      <c r="K164" s="19">
        <v>-6.8372</v>
      </c>
      <c r="L164" s="21">
        <v>392911.5</v>
      </c>
      <c r="M164" s="16">
        <v>6791210.0</v>
      </c>
      <c r="N164" s="16">
        <v>2.1445212E7</v>
      </c>
      <c r="O164" s="16">
        <v>2.380571E7</v>
      </c>
      <c r="P164" s="21">
        <v>19.7312</v>
      </c>
      <c r="Q164" s="21">
        <v>19.5138</v>
      </c>
      <c r="R164" s="21">
        <v>18.437</v>
      </c>
      <c r="S164" s="21">
        <v>16.8965</v>
      </c>
      <c r="T164" s="21">
        <v>15.3889</v>
      </c>
      <c r="U164" s="22">
        <f>IFERROR(__xludf.DUMMYFUNCTION("IFERROR(GOOGLEFINANCE(B164,""price""),"""")"),25.17)</f>
        <v>25.17</v>
      </c>
    </row>
    <row r="165">
      <c r="A165" s="7">
        <v>46057.454385257566</v>
      </c>
      <c r="B165" s="8" t="s">
        <v>4772</v>
      </c>
      <c r="C165" s="8" t="s">
        <v>4773</v>
      </c>
      <c r="D165" s="9">
        <v>46061.0</v>
      </c>
      <c r="E165" s="10">
        <v>43.6251</v>
      </c>
      <c r="F165" s="12">
        <v>9.32444258E8</v>
      </c>
      <c r="G165" s="26">
        <v>93.0719</v>
      </c>
      <c r="H165" s="26">
        <v>227.9908</v>
      </c>
      <c r="I165" s="13">
        <v>1.8204</v>
      </c>
      <c r="J165" s="8" t="s">
        <v>4774</v>
      </c>
      <c r="K165" s="11">
        <v>-1.1665</v>
      </c>
      <c r="L165" s="13">
        <v>139881.3</v>
      </c>
      <c r="M165" s="8">
        <v>2.480306E7</v>
      </c>
      <c r="N165" s="8">
        <v>1.85414791E8</v>
      </c>
      <c r="O165" s="8">
        <v>1.0185301E8</v>
      </c>
      <c r="P165" s="13">
        <v>44.0163</v>
      </c>
      <c r="Q165" s="13">
        <v>43.6307</v>
      </c>
      <c r="R165" s="13">
        <v>43.3189</v>
      </c>
      <c r="S165" s="13">
        <v>43.0957</v>
      </c>
      <c r="T165" s="13">
        <v>42.942</v>
      </c>
      <c r="U165" s="14">
        <f>IFERROR(__xludf.DUMMYFUNCTION("IFERROR(GOOGLEFINANCE(B165,""price""),"""")"),48.35)</f>
        <v>48.35</v>
      </c>
    </row>
    <row r="166">
      <c r="A166" s="15">
        <v>46057.454385257566</v>
      </c>
      <c r="B166" s="16" t="s">
        <v>4775</v>
      </c>
      <c r="C166" s="16" t="s">
        <v>4776</v>
      </c>
      <c r="D166" s="17">
        <v>46061.0</v>
      </c>
      <c r="E166" s="18">
        <v>1.37</v>
      </c>
      <c r="F166" s="20">
        <v>3.63551407E8</v>
      </c>
      <c r="G166" s="27">
        <v>76.5527</v>
      </c>
      <c r="H166" s="27">
        <v>32.489</v>
      </c>
      <c r="I166" s="21">
        <v>1.4008</v>
      </c>
      <c r="J166" s="16" t="s">
        <v>4777</v>
      </c>
      <c r="K166" s="19">
        <v>-2.8369</v>
      </c>
      <c r="L166" s="16">
        <v>2607594.0</v>
      </c>
      <c r="M166" s="16">
        <v>3.2174E7</v>
      </c>
      <c r="N166" s="16">
        <v>4.5155E7</v>
      </c>
      <c r="O166" s="16">
        <v>3.2236E7</v>
      </c>
      <c r="P166" s="21">
        <v>1.4063</v>
      </c>
      <c r="Q166" s="21">
        <v>1.4416</v>
      </c>
      <c r="R166" s="21">
        <v>1.5039</v>
      </c>
      <c r="S166" s="21">
        <v>1.6458</v>
      </c>
      <c r="T166" s="21">
        <v>1.8759</v>
      </c>
      <c r="U166" s="22">
        <f>IFERROR(__xludf.DUMMYFUNCTION("IFERROR(GOOGLEFINANCE(B166,""price""),"""")"),1.4)</f>
        <v>1.4</v>
      </c>
    </row>
    <row r="167">
      <c r="A167" s="7">
        <v>46057.454385257566</v>
      </c>
      <c r="B167" s="8" t="s">
        <v>4796</v>
      </c>
      <c r="C167" s="8" t="s">
        <v>4797</v>
      </c>
      <c r="D167" s="9">
        <v>46061.0</v>
      </c>
      <c r="E167" s="10">
        <v>4.69</v>
      </c>
      <c r="F167" s="12">
        <v>1.66978786E8</v>
      </c>
      <c r="G167" s="26">
        <v>85.0918</v>
      </c>
      <c r="H167" s="26">
        <v>24.2074</v>
      </c>
      <c r="I167" s="13">
        <v>1.6603</v>
      </c>
      <c r="J167" s="8" t="s">
        <v>4798</v>
      </c>
      <c r="K167" s="11">
        <v>2.4017</v>
      </c>
      <c r="L167" s="13">
        <v>455585.5</v>
      </c>
      <c r="M167" s="8">
        <v>3.603424E7</v>
      </c>
      <c r="N167" s="8">
        <v>8.0844E7</v>
      </c>
      <c r="O167" s="8">
        <v>4.8691E7</v>
      </c>
      <c r="P167" s="13">
        <v>4.7399</v>
      </c>
      <c r="Q167" s="13">
        <v>4.9225</v>
      </c>
      <c r="R167" s="13">
        <v>5.0985</v>
      </c>
      <c r="S167" s="13">
        <v>5.4509</v>
      </c>
      <c r="T167" s="13">
        <v>6.1259</v>
      </c>
      <c r="U167" s="14">
        <f>IFERROR(__xludf.DUMMYFUNCTION("IFERROR(GOOGLEFINANCE(B167,""price""),"""")"),3.61)</f>
        <v>3.61</v>
      </c>
    </row>
    <row r="168">
      <c r="A168" s="15">
        <v>46057.454385257566</v>
      </c>
      <c r="B168" s="16" t="s">
        <v>4778</v>
      </c>
      <c r="C168" s="16" t="s">
        <v>4779</v>
      </c>
      <c r="D168" s="17">
        <v>46061.0</v>
      </c>
      <c r="E168" s="18">
        <v>5.905</v>
      </c>
      <c r="F168" s="20">
        <v>3.80935551E8</v>
      </c>
      <c r="G168" s="27">
        <v>87.9451</v>
      </c>
      <c r="H168" s="27">
        <v>78.0444</v>
      </c>
      <c r="I168" s="21">
        <v>0.0632</v>
      </c>
      <c r="J168" s="16" t="s">
        <v>4780</v>
      </c>
      <c r="K168" s="19">
        <v>-0.0846</v>
      </c>
      <c r="L168" s="21">
        <v>547066.2</v>
      </c>
      <c r="M168" s="16">
        <v>1.5074E7</v>
      </c>
      <c r="N168" s="16">
        <v>4488000.0</v>
      </c>
      <c r="O168" s="16">
        <v>7.1049E7</v>
      </c>
      <c r="P168" s="21">
        <v>5.8659</v>
      </c>
      <c r="Q168" s="21">
        <v>5.7782</v>
      </c>
      <c r="R168" s="21">
        <v>5.7126</v>
      </c>
      <c r="S168" s="21">
        <v>5.6372</v>
      </c>
      <c r="T168" s="21">
        <v>5.548</v>
      </c>
      <c r="U168" s="22">
        <f>IFERROR(__xludf.DUMMYFUNCTION("IFERROR(GOOGLEFINANCE(B168,""price""),"""")"),5.45)</f>
        <v>5.45</v>
      </c>
    </row>
    <row r="169">
      <c r="A169" s="7">
        <v>46057.454385257566</v>
      </c>
      <c r="B169" s="8" t="s">
        <v>4805</v>
      </c>
      <c r="C169" s="8" t="s">
        <v>4806</v>
      </c>
      <c r="D169" s="9">
        <v>46061.0</v>
      </c>
      <c r="E169" s="10">
        <v>5.965</v>
      </c>
      <c r="F169" s="12">
        <v>2.54886671E8</v>
      </c>
      <c r="G169" s="26">
        <v>79.064</v>
      </c>
      <c r="H169" s="26">
        <v>30.0646</v>
      </c>
      <c r="I169" s="13">
        <v>1.3011</v>
      </c>
      <c r="J169" s="8" t="s">
        <v>4807</v>
      </c>
      <c r="K169" s="11">
        <v>0.0839</v>
      </c>
      <c r="L169" s="13">
        <v>245344.5</v>
      </c>
      <c r="M169" s="8">
        <v>2473190.0</v>
      </c>
      <c r="N169" s="8">
        <v>6.6572298E7</v>
      </c>
      <c r="O169" s="8">
        <v>5.116682E7</v>
      </c>
      <c r="P169" s="13">
        <v>5.9472</v>
      </c>
      <c r="Q169" s="13">
        <v>5.9001</v>
      </c>
      <c r="R169" s="13">
        <v>5.8565</v>
      </c>
      <c r="S169" s="13">
        <v>5.8077</v>
      </c>
      <c r="T169" s="13">
        <v>5.7456</v>
      </c>
      <c r="U169" s="14">
        <f>IFERROR(__xludf.DUMMYFUNCTION("IFERROR(GOOGLEFINANCE(B169,""price""),"""")"),5.78)</f>
        <v>5.78</v>
      </c>
    </row>
    <row r="170">
      <c r="A170" s="15">
        <v>46057.454385257566</v>
      </c>
      <c r="B170" s="16" t="s">
        <v>4784</v>
      </c>
      <c r="C170" s="16" t="s">
        <v>4785</v>
      </c>
      <c r="D170" s="17">
        <v>46061.0</v>
      </c>
      <c r="E170" s="18">
        <v>7.45</v>
      </c>
      <c r="F170" s="20">
        <v>6.9643949E8</v>
      </c>
      <c r="G170" s="27">
        <v>92.9391</v>
      </c>
      <c r="H170" s="27">
        <v>188.9999</v>
      </c>
      <c r="I170" s="21">
        <v>0.794</v>
      </c>
      <c r="J170" s="16" t="s">
        <v>4786</v>
      </c>
      <c r="K170" s="19">
        <v>-0.134</v>
      </c>
      <c r="L170" s="21">
        <v>293595.9</v>
      </c>
      <c r="M170" s="16">
        <v>5.3903E7</v>
      </c>
      <c r="N170" s="16">
        <v>7.8663E7</v>
      </c>
      <c r="O170" s="16">
        <v>9.9078E7</v>
      </c>
      <c r="P170" s="21">
        <v>7.439</v>
      </c>
      <c r="Q170" s="21">
        <v>7.4395</v>
      </c>
      <c r="R170" s="21">
        <v>7.4394</v>
      </c>
      <c r="S170" s="21">
        <v>7.4443</v>
      </c>
      <c r="T170" s="21">
        <v>7.4516</v>
      </c>
      <c r="U170" s="22">
        <f>IFERROR(__xludf.DUMMYFUNCTION("IFERROR(GOOGLEFINANCE(B170,""price""),"""")"),7.06)</f>
        <v>7.06</v>
      </c>
    </row>
    <row r="171">
      <c r="A171" s="7">
        <v>46057.454385257566</v>
      </c>
      <c r="B171" s="8" t="s">
        <v>4802</v>
      </c>
      <c r="C171" s="8" t="s">
        <v>4803</v>
      </c>
      <c r="D171" s="9">
        <v>46061.0</v>
      </c>
      <c r="E171" s="10">
        <v>8.4275</v>
      </c>
      <c r="F171" s="12">
        <v>3.78089715E8</v>
      </c>
      <c r="G171" s="26">
        <v>91.4242</v>
      </c>
      <c r="H171" s="26">
        <v>351.6546</v>
      </c>
      <c r="I171" s="13">
        <v>0.1285</v>
      </c>
      <c r="J171" s="8" t="s">
        <v>4804</v>
      </c>
      <c r="K171" s="11">
        <v>-0.0297</v>
      </c>
      <c r="L171" s="13">
        <v>149519.3</v>
      </c>
      <c r="M171" s="8">
        <v>3.8991E7</v>
      </c>
      <c r="N171" s="8">
        <v>6542000.0</v>
      </c>
      <c r="O171" s="8">
        <v>5.0894E7</v>
      </c>
      <c r="P171" s="13">
        <v>8.4162</v>
      </c>
      <c r="Q171" s="13">
        <v>8.4139</v>
      </c>
      <c r="R171" s="13">
        <v>8.4149</v>
      </c>
      <c r="S171" s="13">
        <v>8.4178</v>
      </c>
      <c r="T171" s="13">
        <v>8.4201</v>
      </c>
      <c r="U171" s="14">
        <f>IFERROR(__xludf.DUMMYFUNCTION("IFERROR(GOOGLEFINANCE(B171,""price""),"""")"),8.09)</f>
        <v>8.09</v>
      </c>
    </row>
    <row r="172">
      <c r="A172" s="15">
        <v>46057.454385257566</v>
      </c>
      <c r="B172" s="16" t="s">
        <v>4808</v>
      </c>
      <c r="C172" s="16" t="s">
        <v>4809</v>
      </c>
      <c r="D172" s="17">
        <v>46061.0</v>
      </c>
      <c r="E172" s="18">
        <v>5.0</v>
      </c>
      <c r="F172" s="20">
        <v>1.52590707E8</v>
      </c>
      <c r="G172" s="27">
        <v>91.6155</v>
      </c>
      <c r="H172" s="27">
        <v>149.1122</v>
      </c>
      <c r="I172" s="21">
        <v>1.6542</v>
      </c>
      <c r="J172" s="16" t="s">
        <v>4810</v>
      </c>
      <c r="K172" s="19">
        <v>0.2004</v>
      </c>
      <c r="L172" s="21">
        <v>149060.2</v>
      </c>
      <c r="M172" s="16">
        <v>8389000.0</v>
      </c>
      <c r="N172" s="16">
        <v>3.8418E7</v>
      </c>
      <c r="O172" s="16">
        <v>2.3224E7</v>
      </c>
      <c r="P172" s="21">
        <v>4.9753</v>
      </c>
      <c r="Q172" s="21">
        <v>4.9449</v>
      </c>
      <c r="R172" s="21">
        <v>4.9312</v>
      </c>
      <c r="S172" s="21">
        <v>4.9287</v>
      </c>
      <c r="T172" s="21">
        <v>4.9397</v>
      </c>
      <c r="U172" s="22">
        <f>IFERROR(__xludf.DUMMYFUNCTION("IFERROR(GOOGLEFINANCE(B172,""price""),"""")"),5.11)</f>
        <v>5.11</v>
      </c>
    </row>
    <row r="173">
      <c r="A173" s="7">
        <v>46057.454385257566</v>
      </c>
      <c r="B173" s="8" t="s">
        <v>4793</v>
      </c>
      <c r="C173" s="8" t="s">
        <v>4794</v>
      </c>
      <c r="D173" s="9">
        <v>46061.0</v>
      </c>
      <c r="E173" s="10">
        <v>7.9</v>
      </c>
      <c r="F173" s="12">
        <v>3.00341453E8</v>
      </c>
      <c r="G173" s="26">
        <v>57.3216</v>
      </c>
      <c r="H173" s="26">
        <v>18.8954</v>
      </c>
      <c r="I173" s="13">
        <v>0.2964</v>
      </c>
      <c r="J173" s="8" t="s">
        <v>4795</v>
      </c>
      <c r="K173" s="11">
        <v>-0.3783</v>
      </c>
      <c r="L173" s="13">
        <v>147897.3</v>
      </c>
      <c r="M173" s="8">
        <v>5385000.0</v>
      </c>
      <c r="N173" s="8">
        <v>1.3575E7</v>
      </c>
      <c r="O173" s="8">
        <v>4.5803E7</v>
      </c>
      <c r="P173" s="13">
        <v>7.7157</v>
      </c>
      <c r="Q173" s="13">
        <v>7.5184</v>
      </c>
      <c r="R173" s="13">
        <v>7.4009</v>
      </c>
      <c r="S173" s="13">
        <v>7.2636</v>
      </c>
      <c r="T173" s="13">
        <v>7.1369</v>
      </c>
      <c r="U173" s="14">
        <f>IFERROR(__xludf.DUMMYFUNCTION("IFERROR(GOOGLEFINANCE(B173,""price""),"""")"),9.51)</f>
        <v>9.51</v>
      </c>
    </row>
    <row r="174">
      <c r="A174" s="7">
        <v>46057.62670326768</v>
      </c>
      <c r="B174" s="8" t="s">
        <v>4814</v>
      </c>
      <c r="C174" s="8" t="s">
        <v>4815</v>
      </c>
      <c r="D174" s="9">
        <v>46061.0</v>
      </c>
      <c r="E174" s="10">
        <v>126.37</v>
      </c>
      <c r="F174" s="12">
        <v>8.93678045E8</v>
      </c>
      <c r="G174" s="26">
        <v>55.0114</v>
      </c>
      <c r="H174" s="26">
        <v>236.0255</v>
      </c>
      <c r="I174" s="13">
        <v>0.5072</v>
      </c>
      <c r="J174" s="8" t="s">
        <v>4816</v>
      </c>
      <c r="K174" s="11">
        <v>-18.1912</v>
      </c>
      <c r="L174" s="13">
        <v>196588.4</v>
      </c>
      <c r="M174" s="8">
        <v>1.7627722E8</v>
      </c>
      <c r="N174" s="8">
        <v>1.92553E8</v>
      </c>
      <c r="O174" s="8">
        <v>3.7960525E8</v>
      </c>
      <c r="P174" s="13">
        <v>148.5995</v>
      </c>
      <c r="Q174" s="13">
        <v>155.8908</v>
      </c>
      <c r="R174" s="13">
        <v>156.4529</v>
      </c>
      <c r="S174" s="13">
        <v>151.9701</v>
      </c>
      <c r="T174" s="13">
        <v>143.2114</v>
      </c>
      <c r="U174" s="14">
        <f>IFERROR(__xludf.DUMMYFUNCTION("IFERROR(GOOGLEFINANCE(B174,""price""),"""")"),101.05)</f>
        <v>101.05</v>
      </c>
    </row>
    <row r="175">
      <c r="A175" s="15">
        <v>46057.62670326768</v>
      </c>
      <c r="B175" s="16" t="s">
        <v>4790</v>
      </c>
      <c r="C175" s="16" t="s">
        <v>4791</v>
      </c>
      <c r="D175" s="17">
        <v>46061.0</v>
      </c>
      <c r="E175" s="18">
        <v>11.015</v>
      </c>
      <c r="F175" s="20">
        <v>2.05326779E8</v>
      </c>
      <c r="G175" s="27">
        <v>61.3449</v>
      </c>
      <c r="H175" s="27">
        <v>24.1858</v>
      </c>
      <c r="I175" s="21">
        <v>0.8187</v>
      </c>
      <c r="J175" s="16" t="s">
        <v>4792</v>
      </c>
      <c r="K175" s="19">
        <v>7.4634</v>
      </c>
      <c r="L175" s="21">
        <v>354835.4</v>
      </c>
      <c r="M175" s="16">
        <v>1.2011E7</v>
      </c>
      <c r="N175" s="16">
        <v>9089000.0</v>
      </c>
      <c r="O175" s="16">
        <v>1.1102E7</v>
      </c>
      <c r="P175" s="21">
        <v>11.047</v>
      </c>
      <c r="Q175" s="21">
        <v>11.7813</v>
      </c>
      <c r="R175" s="21">
        <v>12.3944</v>
      </c>
      <c r="S175" s="21">
        <v>13.2356</v>
      </c>
      <c r="T175" s="21">
        <v>13.9765</v>
      </c>
      <c r="U175" s="22">
        <f>IFERROR(__xludf.DUMMYFUNCTION("IFERROR(GOOGLEFINANCE(B175,""price""),"""")"),6.13)</f>
        <v>6.13</v>
      </c>
    </row>
    <row r="176">
      <c r="A176" s="7">
        <v>46057.62670326768</v>
      </c>
      <c r="B176" s="8" t="s">
        <v>4769</v>
      </c>
      <c r="C176" s="8" t="s">
        <v>4770</v>
      </c>
      <c r="D176" s="9">
        <v>46061.0</v>
      </c>
      <c r="E176" s="10">
        <v>18.655</v>
      </c>
      <c r="F176" s="12">
        <v>3.31654991E8</v>
      </c>
      <c r="G176" s="26">
        <v>45.431</v>
      </c>
      <c r="H176" s="26">
        <v>78.6026</v>
      </c>
      <c r="I176" s="13">
        <v>0.9008</v>
      </c>
      <c r="J176" s="8" t="s">
        <v>4771</v>
      </c>
      <c r="K176" s="11">
        <v>-8.2391</v>
      </c>
      <c r="L176" s="13">
        <v>409721.7</v>
      </c>
      <c r="M176" s="8">
        <v>6791210.0</v>
      </c>
      <c r="N176" s="8">
        <v>2.1445212E7</v>
      </c>
      <c r="O176" s="8">
        <v>2.380571E7</v>
      </c>
      <c r="P176" s="13">
        <v>19.6678</v>
      </c>
      <c r="Q176" s="13">
        <v>19.4879</v>
      </c>
      <c r="R176" s="13">
        <v>18.4207</v>
      </c>
      <c r="S176" s="13">
        <v>16.8864</v>
      </c>
      <c r="T176" s="13">
        <v>15.3826</v>
      </c>
      <c r="U176" s="14">
        <f>IFERROR(__xludf.DUMMYFUNCTION("IFERROR(GOOGLEFINANCE(B176,""price""),"""")"),25.17)</f>
        <v>25.17</v>
      </c>
    </row>
    <row r="177">
      <c r="A177" s="15">
        <v>46057.62670326768</v>
      </c>
      <c r="B177" s="16" t="s">
        <v>4811</v>
      </c>
      <c r="C177" s="16" t="s">
        <v>4812</v>
      </c>
      <c r="D177" s="17">
        <v>46061.0</v>
      </c>
      <c r="E177" s="18">
        <v>10.88</v>
      </c>
      <c r="F177" s="20">
        <v>9.83743662E8</v>
      </c>
      <c r="G177" s="27">
        <v>32.9951</v>
      </c>
      <c r="H177" s="27">
        <v>19.8769</v>
      </c>
      <c r="I177" s="21">
        <v>0.5293</v>
      </c>
      <c r="J177" s="16" t="s">
        <v>4813</v>
      </c>
      <c r="K177" s="19">
        <v>1.3979</v>
      </c>
      <c r="L177" s="21">
        <v>407301.1</v>
      </c>
      <c r="M177" s="16">
        <v>8.4171E7</v>
      </c>
      <c r="N177" s="16">
        <v>9.7672E7</v>
      </c>
      <c r="O177" s="16">
        <v>1.84534E8</v>
      </c>
      <c r="P177" s="21">
        <v>10.9505</v>
      </c>
      <c r="Q177" s="21">
        <v>11.209</v>
      </c>
      <c r="R177" s="21">
        <v>11.4226</v>
      </c>
      <c r="S177" s="21">
        <v>11.8485</v>
      </c>
      <c r="T177" s="21">
        <v>12.5597</v>
      </c>
      <c r="U177" s="22" t="str">
        <f>IFERROR(__xludf.DUMMYFUNCTION("IFERROR(GOOGLEFINANCE(B177,""price""),"""")"),"")</f>
        <v/>
      </c>
    </row>
    <row r="178">
      <c r="A178" s="7">
        <v>46057.62670326768</v>
      </c>
      <c r="B178" s="8" t="s">
        <v>4772</v>
      </c>
      <c r="C178" s="8" t="s">
        <v>4773</v>
      </c>
      <c r="D178" s="9">
        <v>46061.0</v>
      </c>
      <c r="E178" s="10">
        <v>44.37</v>
      </c>
      <c r="F178" s="12">
        <v>9.32444258E8</v>
      </c>
      <c r="G178" s="26">
        <v>93.0719</v>
      </c>
      <c r="H178" s="26">
        <v>227.9908</v>
      </c>
      <c r="I178" s="13">
        <v>1.8204</v>
      </c>
      <c r="J178" s="8" t="s">
        <v>4774</v>
      </c>
      <c r="K178" s="11">
        <v>0.5211</v>
      </c>
      <c r="L178" s="13">
        <v>145211.4</v>
      </c>
      <c r="M178" s="8">
        <v>2.480306E7</v>
      </c>
      <c r="N178" s="8">
        <v>1.85414791E8</v>
      </c>
      <c r="O178" s="8">
        <v>1.0185301E8</v>
      </c>
      <c r="P178" s="13">
        <v>44.1819</v>
      </c>
      <c r="Q178" s="13">
        <v>43.6984</v>
      </c>
      <c r="R178" s="13">
        <v>43.3615</v>
      </c>
      <c r="S178" s="13">
        <v>43.1223</v>
      </c>
      <c r="T178" s="13">
        <v>42.9585</v>
      </c>
      <c r="U178" s="14">
        <f>IFERROR(__xludf.DUMMYFUNCTION("IFERROR(GOOGLEFINANCE(B178,""price""),"""")"),48.35)</f>
        <v>48.35</v>
      </c>
    </row>
    <row r="179">
      <c r="A179" s="15">
        <v>46057.62670326768</v>
      </c>
      <c r="B179" s="16" t="s">
        <v>4796</v>
      </c>
      <c r="C179" s="16" t="s">
        <v>4797</v>
      </c>
      <c r="D179" s="17">
        <v>46061.0</v>
      </c>
      <c r="E179" s="18">
        <v>4.715</v>
      </c>
      <c r="F179" s="20">
        <v>1.67868865E8</v>
      </c>
      <c r="G179" s="27">
        <v>85.0918</v>
      </c>
      <c r="H179" s="27">
        <v>24.2074</v>
      </c>
      <c r="I179" s="21">
        <v>1.6603</v>
      </c>
      <c r="J179" s="16" t="s">
        <v>4798</v>
      </c>
      <c r="K179" s="19">
        <v>2.9476</v>
      </c>
      <c r="L179" s="21">
        <v>507491.1</v>
      </c>
      <c r="M179" s="16">
        <v>3.603424E7</v>
      </c>
      <c r="N179" s="16">
        <v>8.0844E7</v>
      </c>
      <c r="O179" s="16">
        <v>4.8691E7</v>
      </c>
      <c r="P179" s="21">
        <v>4.7454</v>
      </c>
      <c r="Q179" s="21">
        <v>4.9248</v>
      </c>
      <c r="R179" s="21">
        <v>5.0999</v>
      </c>
      <c r="S179" s="21">
        <v>5.4518</v>
      </c>
      <c r="T179" s="21">
        <v>6.1265</v>
      </c>
      <c r="U179" s="22">
        <f>IFERROR(__xludf.DUMMYFUNCTION("IFERROR(GOOGLEFINANCE(B179,""price""),"""")"),3.61)</f>
        <v>3.61</v>
      </c>
    </row>
    <row r="180">
      <c r="A180" s="7">
        <v>46057.62670326768</v>
      </c>
      <c r="B180" s="8" t="s">
        <v>4775</v>
      </c>
      <c r="C180" s="8" t="s">
        <v>4776</v>
      </c>
      <c r="D180" s="9">
        <v>46061.0</v>
      </c>
      <c r="E180" s="10">
        <v>1.37</v>
      </c>
      <c r="F180" s="12">
        <v>3.63551407E8</v>
      </c>
      <c r="G180" s="26">
        <v>76.5527</v>
      </c>
      <c r="H180" s="26">
        <v>32.489</v>
      </c>
      <c r="I180" s="13">
        <v>1.4008</v>
      </c>
      <c r="J180" s="8" t="s">
        <v>4777</v>
      </c>
      <c r="K180" s="11">
        <v>-2.8369</v>
      </c>
      <c r="L180" s="8">
        <v>2726849.0</v>
      </c>
      <c r="M180" s="8">
        <v>3.2174E7</v>
      </c>
      <c r="N180" s="8">
        <v>4.5155E7</v>
      </c>
      <c r="O180" s="8">
        <v>3.2236E7</v>
      </c>
      <c r="P180" s="13">
        <v>1.4063</v>
      </c>
      <c r="Q180" s="13">
        <v>1.4416</v>
      </c>
      <c r="R180" s="13">
        <v>1.5039</v>
      </c>
      <c r="S180" s="13">
        <v>1.6458</v>
      </c>
      <c r="T180" s="13">
        <v>1.8759</v>
      </c>
      <c r="U180" s="14">
        <f>IFERROR(__xludf.DUMMYFUNCTION("IFERROR(GOOGLEFINANCE(B180,""price""),"""")"),1.4)</f>
        <v>1.4</v>
      </c>
    </row>
    <row r="181">
      <c r="A181" s="15">
        <v>46057.62670326768</v>
      </c>
      <c r="B181" s="16" t="s">
        <v>4805</v>
      </c>
      <c r="C181" s="16" t="s">
        <v>4806</v>
      </c>
      <c r="D181" s="17">
        <v>46061.0</v>
      </c>
      <c r="E181" s="18">
        <v>5.9899</v>
      </c>
      <c r="F181" s="20">
        <v>2.54886671E8</v>
      </c>
      <c r="G181" s="27">
        <v>79.064</v>
      </c>
      <c r="H181" s="27">
        <v>30.0646</v>
      </c>
      <c r="I181" s="21">
        <v>1.3011</v>
      </c>
      <c r="J181" s="16" t="s">
        <v>4807</v>
      </c>
      <c r="K181" s="19">
        <v>0.5017</v>
      </c>
      <c r="L181" s="21">
        <v>270007.5</v>
      </c>
      <c r="M181" s="16">
        <v>2473190.0</v>
      </c>
      <c r="N181" s="16">
        <v>6.6572298E7</v>
      </c>
      <c r="O181" s="16">
        <v>5.116682E7</v>
      </c>
      <c r="P181" s="21">
        <v>5.9527</v>
      </c>
      <c r="Q181" s="21">
        <v>5.9023</v>
      </c>
      <c r="R181" s="21">
        <v>5.8579</v>
      </c>
      <c r="S181" s="21">
        <v>5.8086</v>
      </c>
      <c r="T181" s="21">
        <v>5.7462</v>
      </c>
      <c r="U181" s="22">
        <f>IFERROR(__xludf.DUMMYFUNCTION("IFERROR(GOOGLEFINANCE(B181,""price""),"""")"),5.78)</f>
        <v>5.78</v>
      </c>
    </row>
    <row r="182">
      <c r="A182" s="7">
        <v>46057.62670326768</v>
      </c>
      <c r="B182" s="8" t="s">
        <v>4778</v>
      </c>
      <c r="C182" s="8" t="s">
        <v>4779</v>
      </c>
      <c r="D182" s="9">
        <v>46061.0</v>
      </c>
      <c r="E182" s="10">
        <v>5.93</v>
      </c>
      <c r="F182" s="12">
        <v>3.80935551E8</v>
      </c>
      <c r="G182" s="26">
        <v>87.9451</v>
      </c>
      <c r="H182" s="26">
        <v>78.0444</v>
      </c>
      <c r="I182" s="13">
        <v>0.0632</v>
      </c>
      <c r="J182" s="8" t="s">
        <v>4780</v>
      </c>
      <c r="K182" s="11">
        <v>0.3384</v>
      </c>
      <c r="L182" s="13">
        <v>569394.8</v>
      </c>
      <c r="M182" s="8">
        <v>1.5074E7</v>
      </c>
      <c r="N182" s="8">
        <v>4488000.0</v>
      </c>
      <c r="O182" s="8">
        <v>7.1049E7</v>
      </c>
      <c r="P182" s="13">
        <v>5.8715</v>
      </c>
      <c r="Q182" s="13">
        <v>5.7805</v>
      </c>
      <c r="R182" s="13">
        <v>5.714</v>
      </c>
      <c r="S182" s="13">
        <v>5.6381</v>
      </c>
      <c r="T182" s="13">
        <v>5.5486</v>
      </c>
      <c r="U182" s="14">
        <f>IFERROR(__xludf.DUMMYFUNCTION("IFERROR(GOOGLEFINANCE(B182,""price""),"""")"),5.45)</f>
        <v>5.45</v>
      </c>
    </row>
    <row r="183">
      <c r="A183" s="15">
        <v>46057.62670326768</v>
      </c>
      <c r="B183" s="16" t="s">
        <v>4787</v>
      </c>
      <c r="C183" s="16" t="s">
        <v>4788</v>
      </c>
      <c r="D183" s="17">
        <v>46061.0</v>
      </c>
      <c r="E183" s="18">
        <v>15.93</v>
      </c>
      <c r="F183" s="20">
        <v>3.63301727E8</v>
      </c>
      <c r="G183" s="27">
        <v>93.5373</v>
      </c>
      <c r="H183" s="27">
        <v>235.6763</v>
      </c>
      <c r="I183" s="21">
        <v>1.1757</v>
      </c>
      <c r="J183" s="16" t="s">
        <v>4789</v>
      </c>
      <c r="K183" s="19">
        <v>-0.9328</v>
      </c>
      <c r="L183" s="21">
        <v>104620.6</v>
      </c>
      <c r="M183" s="16">
        <v>1153000.0</v>
      </c>
      <c r="N183" s="16">
        <v>8.1709E7</v>
      </c>
      <c r="O183" s="16">
        <v>6.9496E7</v>
      </c>
      <c r="P183" s="21">
        <v>15.9941</v>
      </c>
      <c r="Q183" s="21">
        <v>15.8348</v>
      </c>
      <c r="R183" s="21">
        <v>15.7106</v>
      </c>
      <c r="S183" s="21">
        <v>15.5731</v>
      </c>
      <c r="T183" s="21">
        <v>15.3854</v>
      </c>
      <c r="U183" s="22">
        <f>IFERROR(__xludf.DUMMYFUNCTION("IFERROR(GOOGLEFINANCE(B183,""price""),"""")"),16.44)</f>
        <v>16.44</v>
      </c>
    </row>
    <row r="184">
      <c r="A184" s="7">
        <v>46057.62670326768</v>
      </c>
      <c r="B184" s="8" t="s">
        <v>4784</v>
      </c>
      <c r="C184" s="8" t="s">
        <v>4785</v>
      </c>
      <c r="D184" s="9">
        <v>46061.0</v>
      </c>
      <c r="E184" s="10">
        <v>7.44</v>
      </c>
      <c r="F184" s="12">
        <v>6.9643949E8</v>
      </c>
      <c r="G184" s="26">
        <v>92.9391</v>
      </c>
      <c r="H184" s="26">
        <v>188.9999</v>
      </c>
      <c r="I184" s="13">
        <v>0.794</v>
      </c>
      <c r="J184" s="8" t="s">
        <v>4786</v>
      </c>
      <c r="K184" s="11">
        <v>-0.2681</v>
      </c>
      <c r="L184" s="13">
        <v>309309.3</v>
      </c>
      <c r="M184" s="8">
        <v>5.3903E7</v>
      </c>
      <c r="N184" s="8">
        <v>7.8663E7</v>
      </c>
      <c r="O184" s="8">
        <v>9.9078E7</v>
      </c>
      <c r="P184" s="13">
        <v>7.4368</v>
      </c>
      <c r="Q184" s="13">
        <v>7.4385</v>
      </c>
      <c r="R184" s="13">
        <v>7.4389</v>
      </c>
      <c r="S184" s="13">
        <v>7.4439</v>
      </c>
      <c r="T184" s="13">
        <v>7.4514</v>
      </c>
      <c r="U184" s="14">
        <f>IFERROR(__xludf.DUMMYFUNCTION("IFERROR(GOOGLEFINANCE(B184,""price""),"""")"),7.06)</f>
        <v>7.06</v>
      </c>
    </row>
    <row r="185">
      <c r="A185" s="15">
        <v>46057.62670326768</v>
      </c>
      <c r="B185" s="16" t="s">
        <v>4793</v>
      </c>
      <c r="C185" s="16" t="s">
        <v>4794</v>
      </c>
      <c r="D185" s="17">
        <v>46061.0</v>
      </c>
      <c r="E185" s="18">
        <v>8.07</v>
      </c>
      <c r="F185" s="20">
        <v>3.06804497E8</v>
      </c>
      <c r="G185" s="27">
        <v>57.3216</v>
      </c>
      <c r="H185" s="27">
        <v>18.8954</v>
      </c>
      <c r="I185" s="21">
        <v>0.2964</v>
      </c>
      <c r="J185" s="16" t="s">
        <v>4795</v>
      </c>
      <c r="K185" s="19">
        <v>1.7654</v>
      </c>
      <c r="L185" s="21">
        <v>156303.2</v>
      </c>
      <c r="M185" s="16">
        <v>5385000.0</v>
      </c>
      <c r="N185" s="16">
        <v>1.3575E7</v>
      </c>
      <c r="O185" s="16">
        <v>4.5803E7</v>
      </c>
      <c r="P185" s="21">
        <v>7.7535</v>
      </c>
      <c r="Q185" s="21">
        <v>7.5339</v>
      </c>
      <c r="R185" s="21">
        <v>7.4106</v>
      </c>
      <c r="S185" s="21">
        <v>7.2697</v>
      </c>
      <c r="T185" s="21">
        <v>7.1407</v>
      </c>
      <c r="U185" s="22">
        <f>IFERROR(__xludf.DUMMYFUNCTION("IFERROR(GOOGLEFINANCE(B185,""price""),"""")"),9.51)</f>
        <v>9.51</v>
      </c>
    </row>
    <row r="186">
      <c r="A186" s="7">
        <v>46057.62670326768</v>
      </c>
      <c r="B186" s="8" t="s">
        <v>4802</v>
      </c>
      <c r="C186" s="8" t="s">
        <v>4803</v>
      </c>
      <c r="D186" s="9">
        <v>46061.0</v>
      </c>
      <c r="E186" s="10">
        <v>8.425</v>
      </c>
      <c r="F186" s="12">
        <v>3.78089715E8</v>
      </c>
      <c r="G186" s="26">
        <v>91.4242</v>
      </c>
      <c r="H186" s="26">
        <v>351.6546</v>
      </c>
      <c r="I186" s="13">
        <v>0.1285</v>
      </c>
      <c r="J186" s="8" t="s">
        <v>4804</v>
      </c>
      <c r="K186" s="11">
        <v>-0.0593</v>
      </c>
      <c r="L186" s="13">
        <v>155146.4</v>
      </c>
      <c r="M186" s="8">
        <v>3.8991E7</v>
      </c>
      <c r="N186" s="8">
        <v>6542000.0</v>
      </c>
      <c r="O186" s="8">
        <v>5.0894E7</v>
      </c>
      <c r="P186" s="13">
        <v>8.4156</v>
      </c>
      <c r="Q186" s="13">
        <v>8.4136</v>
      </c>
      <c r="R186" s="13">
        <v>8.4148</v>
      </c>
      <c r="S186" s="13">
        <v>8.4177</v>
      </c>
      <c r="T186" s="13">
        <v>8.4201</v>
      </c>
      <c r="U186" s="14">
        <f>IFERROR(__xludf.DUMMYFUNCTION("IFERROR(GOOGLEFINANCE(B186,""price""),"""")"),8.09)</f>
        <v>8.09</v>
      </c>
    </row>
    <row r="187">
      <c r="A187" s="15">
        <v>46057.62670326768</v>
      </c>
      <c r="B187" s="16" t="s">
        <v>4808</v>
      </c>
      <c r="C187" s="16" t="s">
        <v>4809</v>
      </c>
      <c r="D187" s="17">
        <v>46061.0</v>
      </c>
      <c r="E187" s="18">
        <v>5.005</v>
      </c>
      <c r="F187" s="20">
        <v>1.52590707E8</v>
      </c>
      <c r="G187" s="27">
        <v>91.6155</v>
      </c>
      <c r="H187" s="27">
        <v>149.1122</v>
      </c>
      <c r="I187" s="21">
        <v>1.6542</v>
      </c>
      <c r="J187" s="16" t="s">
        <v>4810</v>
      </c>
      <c r="K187" s="19">
        <v>0.3006</v>
      </c>
      <c r="L187" s="21">
        <v>158514.3</v>
      </c>
      <c r="M187" s="16">
        <v>8389000.0</v>
      </c>
      <c r="N187" s="16">
        <v>3.8418E7</v>
      </c>
      <c r="O187" s="16">
        <v>2.3224E7</v>
      </c>
      <c r="P187" s="21">
        <v>4.9764</v>
      </c>
      <c r="Q187" s="21">
        <v>4.9453</v>
      </c>
      <c r="R187" s="21">
        <v>4.9315</v>
      </c>
      <c r="S187" s="21">
        <v>4.9289</v>
      </c>
      <c r="T187" s="21">
        <v>4.9398</v>
      </c>
      <c r="U187" s="22">
        <f>IFERROR(__xludf.DUMMYFUNCTION("IFERROR(GOOGLEFINANCE(B187,""price""),"""")"),5.11)</f>
        <v>5.11</v>
      </c>
    </row>
    <row r="188">
      <c r="A188" s="7">
        <v>46058.44410175151</v>
      </c>
      <c r="B188" s="8" t="s">
        <v>4817</v>
      </c>
      <c r="C188" s="8" t="s">
        <v>4818</v>
      </c>
      <c r="D188" s="9">
        <v>46061.0</v>
      </c>
      <c r="E188" s="10">
        <v>6.99</v>
      </c>
      <c r="F188" s="12">
        <v>3.14662091E8</v>
      </c>
      <c r="G188" s="26">
        <v>78.5856</v>
      </c>
      <c r="H188" s="26">
        <v>29.4577</v>
      </c>
      <c r="I188" s="13">
        <v>1.4113</v>
      </c>
      <c r="J188" s="8" t="s">
        <v>4819</v>
      </c>
      <c r="K188" s="11">
        <v>-35.1577</v>
      </c>
      <c r="L188" s="8">
        <v>1103473.0</v>
      </c>
      <c r="M188" s="8">
        <v>7.4568E7</v>
      </c>
      <c r="N188" s="8">
        <v>9.3698E7</v>
      </c>
      <c r="O188" s="8">
        <v>6.639E7</v>
      </c>
      <c r="P188" s="13">
        <v>10.2379</v>
      </c>
      <c r="Q188" s="13">
        <v>11.025</v>
      </c>
      <c r="R188" s="13">
        <v>11.1619</v>
      </c>
      <c r="S188" s="13">
        <v>11.155</v>
      </c>
      <c r="T188" s="13">
        <v>11.0294</v>
      </c>
      <c r="U188" s="14">
        <f>IFERROR(__xludf.DUMMYFUNCTION("IFERROR(GOOGLEFINANCE(B188,""price""),"""")"),7.45)</f>
        <v>7.45</v>
      </c>
    </row>
    <row r="189">
      <c r="A189" s="15">
        <v>46058.44410175151</v>
      </c>
      <c r="B189" s="16" t="s">
        <v>4814</v>
      </c>
      <c r="C189" s="16" t="s">
        <v>4815</v>
      </c>
      <c r="D189" s="17">
        <v>46061.0</v>
      </c>
      <c r="E189" s="18">
        <v>106.8935</v>
      </c>
      <c r="F189" s="20">
        <v>7.55941855E8</v>
      </c>
      <c r="G189" s="27">
        <v>55.0114</v>
      </c>
      <c r="H189" s="27">
        <v>236.0255</v>
      </c>
      <c r="I189" s="21">
        <v>0.5072</v>
      </c>
      <c r="J189" s="16" t="s">
        <v>4816</v>
      </c>
      <c r="K189" s="19">
        <v>-14.5536</v>
      </c>
      <c r="L189" s="21">
        <v>195508.6</v>
      </c>
      <c r="M189" s="16">
        <v>1.7627722E8</v>
      </c>
      <c r="N189" s="16">
        <v>1.92553E8</v>
      </c>
      <c r="O189" s="16">
        <v>3.7960525E8</v>
      </c>
      <c r="P189" s="21">
        <v>139.112</v>
      </c>
      <c r="Q189" s="21">
        <v>151.3315</v>
      </c>
      <c r="R189" s="21">
        <v>153.5525</v>
      </c>
      <c r="S189" s="21">
        <v>150.3165</v>
      </c>
      <c r="T189" s="21">
        <v>142.3768</v>
      </c>
      <c r="U189" s="22">
        <f>IFERROR(__xludf.DUMMYFUNCTION("IFERROR(GOOGLEFINANCE(B189,""price""),"""")"),101.05)</f>
        <v>101.05</v>
      </c>
    </row>
    <row r="190">
      <c r="A190" s="7">
        <v>46058.44410175151</v>
      </c>
      <c r="B190" s="8" t="s">
        <v>4769</v>
      </c>
      <c r="C190" s="8" t="s">
        <v>4770</v>
      </c>
      <c r="D190" s="9">
        <v>46061.0</v>
      </c>
      <c r="E190" s="10">
        <v>18.07</v>
      </c>
      <c r="F190" s="12">
        <v>3.21254655E8</v>
      </c>
      <c r="G190" s="26">
        <v>45.431</v>
      </c>
      <c r="H190" s="26">
        <v>78.6026</v>
      </c>
      <c r="I190" s="13">
        <v>0.9008</v>
      </c>
      <c r="J190" s="8" t="s">
        <v>4771</v>
      </c>
      <c r="K190" s="11">
        <v>-3.1099</v>
      </c>
      <c r="L190" s="13">
        <v>378323.5</v>
      </c>
      <c r="M190" s="8">
        <v>6791210.0</v>
      </c>
      <c r="N190" s="8">
        <v>2.1445212E7</v>
      </c>
      <c r="O190" s="8">
        <v>2.380571E7</v>
      </c>
      <c r="P190" s="13">
        <v>19.3119</v>
      </c>
      <c r="Q190" s="13">
        <v>19.3586</v>
      </c>
      <c r="R190" s="13">
        <v>18.4004</v>
      </c>
      <c r="S190" s="13">
        <v>16.9285</v>
      </c>
      <c r="T190" s="13">
        <v>15.4422</v>
      </c>
      <c r="U190" s="14">
        <f>IFERROR(__xludf.DUMMYFUNCTION("IFERROR(GOOGLEFINANCE(B190,""price""),"""")"),25.17)</f>
        <v>25.17</v>
      </c>
    </row>
    <row r="191">
      <c r="A191" s="15">
        <v>46058.44410175151</v>
      </c>
      <c r="B191" s="16" t="s">
        <v>4778</v>
      </c>
      <c r="C191" s="16" t="s">
        <v>4779</v>
      </c>
      <c r="D191" s="17">
        <v>46061.0</v>
      </c>
      <c r="E191" s="18">
        <v>5.985</v>
      </c>
      <c r="F191" s="20">
        <v>3.82869234E8</v>
      </c>
      <c r="G191" s="27">
        <v>87.9451</v>
      </c>
      <c r="H191" s="27">
        <v>78.0444</v>
      </c>
      <c r="I191" s="21">
        <v>0.0632</v>
      </c>
      <c r="J191" s="16" t="s">
        <v>4780</v>
      </c>
      <c r="K191" s="19">
        <v>0.7576</v>
      </c>
      <c r="L191" s="21">
        <v>544812.4</v>
      </c>
      <c r="M191" s="16">
        <v>1.5074E7</v>
      </c>
      <c r="N191" s="16">
        <v>4488000.0</v>
      </c>
      <c r="O191" s="16">
        <v>7.1049E7</v>
      </c>
      <c r="P191" s="21">
        <v>5.8984</v>
      </c>
      <c r="Q191" s="21">
        <v>5.7999</v>
      </c>
      <c r="R191" s="21">
        <v>5.73</v>
      </c>
      <c r="S191" s="21">
        <v>5.6509</v>
      </c>
      <c r="T191" s="21">
        <v>5.5585</v>
      </c>
      <c r="U191" s="22">
        <f>IFERROR(__xludf.DUMMYFUNCTION("IFERROR(GOOGLEFINANCE(B191,""price""),"""")"),5.45)</f>
        <v>5.45</v>
      </c>
    </row>
    <row r="192">
      <c r="A192" s="7">
        <v>46058.44410175151</v>
      </c>
      <c r="B192" s="8" t="s">
        <v>4772</v>
      </c>
      <c r="C192" s="8" t="s">
        <v>4773</v>
      </c>
      <c r="D192" s="9">
        <v>46061.0</v>
      </c>
      <c r="E192" s="10">
        <v>44.395</v>
      </c>
      <c r="F192" s="12">
        <v>9.38781668E8</v>
      </c>
      <c r="G192" s="26">
        <v>93.0719</v>
      </c>
      <c r="H192" s="26">
        <v>227.9908</v>
      </c>
      <c r="I192" s="13">
        <v>1.8204</v>
      </c>
      <c r="J192" s="8" t="s">
        <v>4774</v>
      </c>
      <c r="K192" s="11">
        <v>-0.1013</v>
      </c>
      <c r="L192" s="13">
        <v>120594.5</v>
      </c>
      <c r="M192" s="8">
        <v>2.480306E7</v>
      </c>
      <c r="N192" s="8">
        <v>1.85414791E8</v>
      </c>
      <c r="O192" s="8">
        <v>1.0185301E8</v>
      </c>
      <c r="P192" s="13">
        <v>44.2413</v>
      </c>
      <c r="Q192" s="13">
        <v>43.7675</v>
      </c>
      <c r="R192" s="13">
        <v>43.4243</v>
      </c>
      <c r="S192" s="13">
        <v>43.1702</v>
      </c>
      <c r="T192" s="13">
        <v>42.992</v>
      </c>
      <c r="U192" s="14">
        <f>IFERROR(__xludf.DUMMYFUNCTION("IFERROR(GOOGLEFINANCE(B192,""price""),"""")"),48.35)</f>
        <v>48.35</v>
      </c>
    </row>
    <row r="193">
      <c r="A193" s="15">
        <v>46058.44410175151</v>
      </c>
      <c r="B193" s="16" t="s">
        <v>4796</v>
      </c>
      <c r="C193" s="16" t="s">
        <v>4797</v>
      </c>
      <c r="D193" s="17">
        <v>46061.0</v>
      </c>
      <c r="E193" s="18">
        <v>4.41</v>
      </c>
      <c r="F193" s="20">
        <v>1.57009906E8</v>
      </c>
      <c r="G193" s="27">
        <v>85.0918</v>
      </c>
      <c r="H193" s="27">
        <v>24.2074</v>
      </c>
      <c r="I193" s="21">
        <v>1.6603</v>
      </c>
      <c r="J193" s="16" t="s">
        <v>4798</v>
      </c>
      <c r="K193" s="19">
        <v>-6.7653</v>
      </c>
      <c r="L193" s="21">
        <v>501228.1</v>
      </c>
      <c r="M193" s="16">
        <v>3.603424E7</v>
      </c>
      <c r="N193" s="16">
        <v>8.0844E7</v>
      </c>
      <c r="O193" s="16">
        <v>4.8691E7</v>
      </c>
      <c r="P193" s="21">
        <v>4.6735</v>
      </c>
      <c r="Q193" s="21">
        <v>4.8793</v>
      </c>
      <c r="R193" s="21">
        <v>5.0613</v>
      </c>
      <c r="S193" s="21">
        <v>5.4152</v>
      </c>
      <c r="T193" s="21">
        <v>6.0887</v>
      </c>
      <c r="U193" s="22">
        <f>IFERROR(__xludf.DUMMYFUNCTION("IFERROR(GOOGLEFINANCE(B193,""price""),"""")"),3.61)</f>
        <v>3.61</v>
      </c>
    </row>
    <row r="194">
      <c r="A194" s="7">
        <v>46058.44410175151</v>
      </c>
      <c r="B194" s="8" t="s">
        <v>4784</v>
      </c>
      <c r="C194" s="8" t="s">
        <v>4785</v>
      </c>
      <c r="D194" s="9">
        <v>46061.0</v>
      </c>
      <c r="E194" s="10">
        <v>7.445</v>
      </c>
      <c r="F194" s="12">
        <v>6.9270523E8</v>
      </c>
      <c r="G194" s="26">
        <v>92.9391</v>
      </c>
      <c r="H194" s="26">
        <v>188.9999</v>
      </c>
      <c r="I194" s="13">
        <v>0.794</v>
      </c>
      <c r="J194" s="8" t="s">
        <v>4786</v>
      </c>
      <c r="K194" s="11">
        <v>0.3369</v>
      </c>
      <c r="L194" s="13">
        <v>296418.9</v>
      </c>
      <c r="M194" s="8">
        <v>5.3903E7</v>
      </c>
      <c r="N194" s="8">
        <v>7.8663E7</v>
      </c>
      <c r="O194" s="8">
        <v>9.9078E7</v>
      </c>
      <c r="P194" s="13">
        <v>7.4352</v>
      </c>
      <c r="Q194" s="13">
        <v>7.4375</v>
      </c>
      <c r="R194" s="13">
        <v>7.4381</v>
      </c>
      <c r="S194" s="13">
        <v>7.4433</v>
      </c>
      <c r="T194" s="13">
        <v>7.4508</v>
      </c>
      <c r="U194" s="14">
        <f>IFERROR(__xludf.DUMMYFUNCTION("IFERROR(GOOGLEFINANCE(B194,""price""),"""")"),7.06)</f>
        <v>7.06</v>
      </c>
    </row>
    <row r="195">
      <c r="A195" s="15">
        <v>46058.44410175151</v>
      </c>
      <c r="B195" s="16" t="s">
        <v>4811</v>
      </c>
      <c r="C195" s="16" t="s">
        <v>4812</v>
      </c>
      <c r="D195" s="17">
        <v>46061.0</v>
      </c>
      <c r="E195" s="18">
        <v>10.65</v>
      </c>
      <c r="F195" s="20">
        <v>9.62947685E8</v>
      </c>
      <c r="G195" s="27">
        <v>32.9951</v>
      </c>
      <c r="H195" s="27">
        <v>19.8769</v>
      </c>
      <c r="I195" s="21">
        <v>0.5293</v>
      </c>
      <c r="J195" s="16" t="s">
        <v>4813</v>
      </c>
      <c r="K195" s="19">
        <v>-1.8433</v>
      </c>
      <c r="L195" s="21">
        <v>391586.5</v>
      </c>
      <c r="M195" s="16">
        <v>8.4171E7</v>
      </c>
      <c r="N195" s="16">
        <v>9.7672E7</v>
      </c>
      <c r="O195" s="16">
        <v>1.84534E8</v>
      </c>
      <c r="P195" s="21">
        <v>10.8785</v>
      </c>
      <c r="Q195" s="21">
        <v>11.1557</v>
      </c>
      <c r="R195" s="21">
        <v>11.3768</v>
      </c>
      <c r="S195" s="21">
        <v>11.8047</v>
      </c>
      <c r="T195" s="21">
        <v>12.5166</v>
      </c>
      <c r="U195" s="22" t="str">
        <f>IFERROR(__xludf.DUMMYFUNCTION("IFERROR(GOOGLEFINANCE(B195,""price""),"""")"),"")</f>
        <v/>
      </c>
    </row>
    <row r="196">
      <c r="A196" s="7">
        <v>46058.44410175151</v>
      </c>
      <c r="B196" s="8" t="s">
        <v>4775</v>
      </c>
      <c r="C196" s="8" t="s">
        <v>4776</v>
      </c>
      <c r="D196" s="9">
        <v>46061.0</v>
      </c>
      <c r="E196" s="10">
        <v>1.3635</v>
      </c>
      <c r="F196" s="12">
        <v>3.61826539E8</v>
      </c>
      <c r="G196" s="26">
        <v>76.5527</v>
      </c>
      <c r="H196" s="26">
        <v>32.489</v>
      </c>
      <c r="I196" s="13">
        <v>1.4008</v>
      </c>
      <c r="J196" s="8" t="s">
        <v>4777</v>
      </c>
      <c r="K196" s="11">
        <v>-0.4745</v>
      </c>
      <c r="L196" s="8">
        <v>2642391.0</v>
      </c>
      <c r="M196" s="8">
        <v>3.2174E7</v>
      </c>
      <c r="N196" s="8">
        <v>4.5155E7</v>
      </c>
      <c r="O196" s="8">
        <v>3.2236E7</v>
      </c>
      <c r="P196" s="13">
        <v>1.3968</v>
      </c>
      <c r="Q196" s="13">
        <v>1.4345</v>
      </c>
      <c r="R196" s="13">
        <v>1.4959</v>
      </c>
      <c r="S196" s="13">
        <v>1.6357</v>
      </c>
      <c r="T196" s="13">
        <v>1.8645</v>
      </c>
      <c r="U196" s="14">
        <f>IFERROR(__xludf.DUMMYFUNCTION("IFERROR(GOOGLEFINANCE(B196,""price""),"""")"),1.4)</f>
        <v>1.4</v>
      </c>
    </row>
    <row r="197">
      <c r="A197" s="15">
        <v>46058.44410175151</v>
      </c>
      <c r="B197" s="16" t="s">
        <v>4790</v>
      </c>
      <c r="C197" s="16" t="s">
        <v>4791</v>
      </c>
      <c r="D197" s="17">
        <v>46061.0</v>
      </c>
      <c r="E197" s="18">
        <v>10.5601</v>
      </c>
      <c r="F197" s="20">
        <v>1.96847154E8</v>
      </c>
      <c r="G197" s="27">
        <v>61.3449</v>
      </c>
      <c r="H197" s="27">
        <v>24.1858</v>
      </c>
      <c r="I197" s="21">
        <v>0.8187</v>
      </c>
      <c r="J197" s="16" t="s">
        <v>4792</v>
      </c>
      <c r="K197" s="19">
        <v>-4.1733</v>
      </c>
      <c r="L197" s="21">
        <v>341553.6</v>
      </c>
      <c r="M197" s="16">
        <v>1.2011E7</v>
      </c>
      <c r="N197" s="16">
        <v>9089000.0</v>
      </c>
      <c r="O197" s="16">
        <v>1.1102E7</v>
      </c>
      <c r="P197" s="21">
        <v>10.9397</v>
      </c>
      <c r="Q197" s="21">
        <v>11.6707</v>
      </c>
      <c r="R197" s="21">
        <v>12.2899</v>
      </c>
      <c r="S197" s="21">
        <v>13.1403</v>
      </c>
      <c r="T197" s="21">
        <v>13.9007</v>
      </c>
      <c r="U197" s="22">
        <f>IFERROR(__xludf.DUMMYFUNCTION("IFERROR(GOOGLEFINANCE(B197,""price""),"""")"),6.13)</f>
        <v>6.13</v>
      </c>
    </row>
    <row r="198">
      <c r="A198" s="7">
        <v>46058.44410175151</v>
      </c>
      <c r="B198" s="8" t="s">
        <v>4808</v>
      </c>
      <c r="C198" s="8" t="s">
        <v>4809</v>
      </c>
      <c r="D198" s="9">
        <v>46061.0</v>
      </c>
      <c r="E198" s="10">
        <v>5.02</v>
      </c>
      <c r="F198" s="12">
        <v>1.528965E8</v>
      </c>
      <c r="G198" s="26">
        <v>91.6155</v>
      </c>
      <c r="H198" s="26">
        <v>149.1122</v>
      </c>
      <c r="I198" s="13">
        <v>1.6542</v>
      </c>
      <c r="J198" s="8" t="s">
        <v>4810</v>
      </c>
      <c r="K198" s="11">
        <v>0.4</v>
      </c>
      <c r="L198" s="13">
        <v>168213.9</v>
      </c>
      <c r="M198" s="8">
        <v>8389000.0</v>
      </c>
      <c r="N198" s="8">
        <v>3.8418E7</v>
      </c>
      <c r="O198" s="8">
        <v>2.3224E7</v>
      </c>
      <c r="P198" s="13">
        <v>4.9853</v>
      </c>
      <c r="Q198" s="13">
        <v>4.9517</v>
      </c>
      <c r="R198" s="13">
        <v>4.9363</v>
      </c>
      <c r="S198" s="13">
        <v>4.932</v>
      </c>
      <c r="T198" s="13">
        <v>4.9415</v>
      </c>
      <c r="U198" s="14">
        <f>IFERROR(__xludf.DUMMYFUNCTION("IFERROR(GOOGLEFINANCE(B198,""price""),"""")"),5.11)</f>
        <v>5.11</v>
      </c>
    </row>
    <row r="199">
      <c r="A199" s="15">
        <v>46058.44410175151</v>
      </c>
      <c r="B199" s="16" t="s">
        <v>4793</v>
      </c>
      <c r="C199" s="16" t="s">
        <v>4794</v>
      </c>
      <c r="D199" s="17">
        <v>46061.0</v>
      </c>
      <c r="E199" s="18">
        <v>8.33</v>
      </c>
      <c r="F199" s="20">
        <v>3.16689174E8</v>
      </c>
      <c r="G199" s="27">
        <v>57.3216</v>
      </c>
      <c r="H199" s="27">
        <v>18.8954</v>
      </c>
      <c r="I199" s="21">
        <v>0.2964</v>
      </c>
      <c r="J199" s="16" t="s">
        <v>4795</v>
      </c>
      <c r="K199" s="19">
        <v>2.8395</v>
      </c>
      <c r="L199" s="21">
        <v>166028.2</v>
      </c>
      <c r="M199" s="16">
        <v>5385000.0</v>
      </c>
      <c r="N199" s="16">
        <v>1.3575E7</v>
      </c>
      <c r="O199" s="16">
        <v>4.5803E7</v>
      </c>
      <c r="P199" s="21">
        <v>7.8868</v>
      </c>
      <c r="Q199" s="21">
        <v>7.6087</v>
      </c>
      <c r="R199" s="21">
        <v>7.4648</v>
      </c>
      <c r="S199" s="21">
        <v>7.3086</v>
      </c>
      <c r="T199" s="21">
        <v>7.1678</v>
      </c>
      <c r="U199" s="22">
        <f>IFERROR(__xludf.DUMMYFUNCTION("IFERROR(GOOGLEFINANCE(B199,""price""),"""")"),9.51)</f>
        <v>9.51</v>
      </c>
    </row>
    <row r="200">
      <c r="A200" s="7">
        <v>46058.44410175151</v>
      </c>
      <c r="B200" s="8" t="s">
        <v>4805</v>
      </c>
      <c r="C200" s="8" t="s">
        <v>4806</v>
      </c>
      <c r="D200" s="9">
        <v>46061.0</v>
      </c>
      <c r="E200" s="10">
        <v>5.9686</v>
      </c>
      <c r="F200" s="12">
        <v>2.5659732E8</v>
      </c>
      <c r="G200" s="26">
        <v>79.064</v>
      </c>
      <c r="H200" s="26">
        <v>30.0646</v>
      </c>
      <c r="I200" s="13">
        <v>1.3011</v>
      </c>
      <c r="J200" s="8" t="s">
        <v>4807</v>
      </c>
      <c r="K200" s="11">
        <v>-0.5233</v>
      </c>
      <c r="L200" s="13">
        <v>255892.4</v>
      </c>
      <c r="M200" s="8">
        <v>2473190.0</v>
      </c>
      <c r="N200" s="8">
        <v>6.6572298E7</v>
      </c>
      <c r="O200" s="8">
        <v>5.116682E7</v>
      </c>
      <c r="P200" s="13">
        <v>5.958</v>
      </c>
      <c r="Q200" s="13">
        <v>5.9092</v>
      </c>
      <c r="R200" s="13">
        <v>5.8648</v>
      </c>
      <c r="S200" s="13">
        <v>5.8147</v>
      </c>
      <c r="T200" s="13">
        <v>5.7514</v>
      </c>
      <c r="U200" s="14">
        <f>IFERROR(__xludf.DUMMYFUNCTION("IFERROR(GOOGLEFINANCE(B200,""price""),"""")"),5.78)</f>
        <v>5.78</v>
      </c>
    </row>
    <row r="201">
      <c r="A201" s="15">
        <v>46058.44410175151</v>
      </c>
      <c r="B201" s="16" t="s">
        <v>4802</v>
      </c>
      <c r="C201" s="16" t="s">
        <v>4803</v>
      </c>
      <c r="D201" s="17">
        <v>46061.0</v>
      </c>
      <c r="E201" s="18">
        <v>8.43</v>
      </c>
      <c r="F201" s="20">
        <v>3.77865462E8</v>
      </c>
      <c r="G201" s="27">
        <v>91.4242</v>
      </c>
      <c r="H201" s="27">
        <v>351.6546</v>
      </c>
      <c r="I201" s="21">
        <v>0.1285</v>
      </c>
      <c r="J201" s="16" t="s">
        <v>4804</v>
      </c>
      <c r="K201" s="19">
        <v>0.0593</v>
      </c>
      <c r="L201" s="21">
        <v>143356.4</v>
      </c>
      <c r="M201" s="16">
        <v>3.8991E7</v>
      </c>
      <c r="N201" s="16">
        <v>6542000.0</v>
      </c>
      <c r="O201" s="16">
        <v>5.0894E7</v>
      </c>
      <c r="P201" s="21">
        <v>8.4188</v>
      </c>
      <c r="Q201" s="21">
        <v>8.4151</v>
      </c>
      <c r="R201" s="21">
        <v>8.4156</v>
      </c>
      <c r="S201" s="21">
        <v>8.4181</v>
      </c>
      <c r="T201" s="21">
        <v>8.4203</v>
      </c>
      <c r="U201" s="22">
        <f>IFERROR(__xludf.DUMMYFUNCTION("IFERROR(GOOGLEFINANCE(B201,""price""),"""")"),8.09)</f>
        <v>8.09</v>
      </c>
    </row>
    <row r="202">
      <c r="A202" s="7">
        <v>46058.628243097766</v>
      </c>
      <c r="B202" s="8" t="s">
        <v>4817</v>
      </c>
      <c r="C202" s="8" t="s">
        <v>4818</v>
      </c>
      <c r="D202" s="9">
        <v>46061.0</v>
      </c>
      <c r="E202" s="10">
        <v>7.5</v>
      </c>
      <c r="F202" s="12">
        <v>3.37620269E8</v>
      </c>
      <c r="G202" s="26">
        <v>78.5856</v>
      </c>
      <c r="H202" s="26">
        <v>29.4577</v>
      </c>
      <c r="I202" s="13">
        <v>1.4113</v>
      </c>
      <c r="J202" s="8" t="s">
        <v>4819</v>
      </c>
      <c r="K202" s="11">
        <v>-30.4267</v>
      </c>
      <c r="L202" s="8">
        <v>1395635.0</v>
      </c>
      <c r="M202" s="8">
        <v>7.4568E7</v>
      </c>
      <c r="N202" s="8">
        <v>9.3698E7</v>
      </c>
      <c r="O202" s="8">
        <v>6.639E7</v>
      </c>
      <c r="P202" s="13">
        <v>10.3512</v>
      </c>
      <c r="Q202" s="13">
        <v>11.0713</v>
      </c>
      <c r="R202" s="13">
        <v>11.1911</v>
      </c>
      <c r="S202" s="13">
        <v>11.1732</v>
      </c>
      <c r="T202" s="13">
        <v>11.0407</v>
      </c>
      <c r="U202" s="14">
        <f>IFERROR(__xludf.DUMMYFUNCTION("IFERROR(GOOGLEFINANCE(B202,""price""),"""")"),7.45)</f>
        <v>7.45</v>
      </c>
    </row>
    <row r="203">
      <c r="A203" s="15">
        <v>46058.628243097766</v>
      </c>
      <c r="B203" s="16" t="s">
        <v>4814</v>
      </c>
      <c r="C203" s="16" t="s">
        <v>4815</v>
      </c>
      <c r="D203" s="17">
        <v>46061.0</v>
      </c>
      <c r="E203" s="18">
        <v>100.545</v>
      </c>
      <c r="F203" s="20">
        <v>7.11045796E8</v>
      </c>
      <c r="G203" s="27">
        <v>55.0114</v>
      </c>
      <c r="H203" s="27">
        <v>236.0255</v>
      </c>
      <c r="I203" s="21">
        <v>0.5072</v>
      </c>
      <c r="J203" s="16" t="s">
        <v>4816</v>
      </c>
      <c r="K203" s="19">
        <v>-19.6283</v>
      </c>
      <c r="L203" s="21">
        <v>223048.2</v>
      </c>
      <c r="M203" s="16">
        <v>1.7627722E8</v>
      </c>
      <c r="N203" s="16">
        <v>1.92553E8</v>
      </c>
      <c r="O203" s="16">
        <v>3.7960525E8</v>
      </c>
      <c r="P203" s="21">
        <v>137.7012</v>
      </c>
      <c r="Q203" s="21">
        <v>150.7544</v>
      </c>
      <c r="R203" s="21">
        <v>153.1897</v>
      </c>
      <c r="S203" s="21">
        <v>150.0898</v>
      </c>
      <c r="T203" s="21">
        <v>142.2357</v>
      </c>
      <c r="U203" s="22">
        <f>IFERROR(__xludf.DUMMYFUNCTION("IFERROR(GOOGLEFINANCE(B203,""price""),"""")"),101.05)</f>
        <v>101.05</v>
      </c>
    </row>
    <row r="204">
      <c r="A204" s="7">
        <v>46058.628243097766</v>
      </c>
      <c r="B204" s="8" t="s">
        <v>4796</v>
      </c>
      <c r="C204" s="8" t="s">
        <v>4797</v>
      </c>
      <c r="D204" s="9">
        <v>46061.0</v>
      </c>
      <c r="E204" s="10">
        <v>4.515</v>
      </c>
      <c r="F204" s="12">
        <v>1.60748237E8</v>
      </c>
      <c r="G204" s="26">
        <v>85.0918</v>
      </c>
      <c r="H204" s="26">
        <v>24.2074</v>
      </c>
      <c r="I204" s="13">
        <v>1.6603</v>
      </c>
      <c r="J204" s="8" t="s">
        <v>4798</v>
      </c>
      <c r="K204" s="11">
        <v>-4.5455</v>
      </c>
      <c r="L204" s="13">
        <v>607727.9</v>
      </c>
      <c r="M204" s="8">
        <v>3.603424E7</v>
      </c>
      <c r="N204" s="8">
        <v>8.0844E7</v>
      </c>
      <c r="O204" s="8">
        <v>4.8691E7</v>
      </c>
      <c r="P204" s="13">
        <v>4.6968</v>
      </c>
      <c r="Q204" s="13">
        <v>4.8888</v>
      </c>
      <c r="R204" s="13">
        <v>5.0673</v>
      </c>
      <c r="S204" s="13">
        <v>5.4189</v>
      </c>
      <c r="T204" s="13">
        <v>6.091</v>
      </c>
      <c r="U204" s="14">
        <f>IFERROR(__xludf.DUMMYFUNCTION("IFERROR(GOOGLEFINANCE(B204,""price""),"""")"),3.61)</f>
        <v>3.61</v>
      </c>
    </row>
    <row r="205">
      <c r="A205" s="15">
        <v>46058.628243097766</v>
      </c>
      <c r="B205" s="16" t="s">
        <v>4811</v>
      </c>
      <c r="C205" s="16" t="s">
        <v>4812</v>
      </c>
      <c r="D205" s="17">
        <v>46061.0</v>
      </c>
      <c r="E205" s="18">
        <v>10.605</v>
      </c>
      <c r="F205" s="20">
        <v>9.58878892E8</v>
      </c>
      <c r="G205" s="27">
        <v>32.9951</v>
      </c>
      <c r="H205" s="27">
        <v>19.8769</v>
      </c>
      <c r="I205" s="21">
        <v>0.5293</v>
      </c>
      <c r="J205" s="16" t="s">
        <v>4813</v>
      </c>
      <c r="K205" s="19">
        <v>-2.2581</v>
      </c>
      <c r="L205" s="21">
        <v>427851.7</v>
      </c>
      <c r="M205" s="16">
        <v>8.4171E7</v>
      </c>
      <c r="N205" s="16">
        <v>9.7672E7</v>
      </c>
      <c r="O205" s="16">
        <v>1.84534E8</v>
      </c>
      <c r="P205" s="21">
        <v>10.8685</v>
      </c>
      <c r="Q205" s="21">
        <v>11.1516</v>
      </c>
      <c r="R205" s="21">
        <v>11.3742</v>
      </c>
      <c r="S205" s="21">
        <v>11.8031</v>
      </c>
      <c r="T205" s="21">
        <v>12.5156</v>
      </c>
      <c r="U205" s="22" t="str">
        <f>IFERROR(__xludf.DUMMYFUNCTION("IFERROR(GOOGLEFINANCE(B205,""price""),"""")"),"")</f>
        <v/>
      </c>
    </row>
    <row r="206">
      <c r="A206" s="7">
        <v>46058.628243097766</v>
      </c>
      <c r="B206" s="8" t="s">
        <v>4769</v>
      </c>
      <c r="C206" s="8" t="s">
        <v>4770</v>
      </c>
      <c r="D206" s="9">
        <v>46061.0</v>
      </c>
      <c r="E206" s="10">
        <v>18.115</v>
      </c>
      <c r="F206" s="12">
        <v>3.22054681E8</v>
      </c>
      <c r="G206" s="26">
        <v>45.431</v>
      </c>
      <c r="H206" s="26">
        <v>78.6026</v>
      </c>
      <c r="I206" s="13">
        <v>0.9008</v>
      </c>
      <c r="J206" s="8" t="s">
        <v>4771</v>
      </c>
      <c r="K206" s="11">
        <v>-2.8686</v>
      </c>
      <c r="L206" s="13">
        <v>393515.1</v>
      </c>
      <c r="M206" s="8">
        <v>6791210.0</v>
      </c>
      <c r="N206" s="8">
        <v>2.1445212E7</v>
      </c>
      <c r="O206" s="8">
        <v>2.380571E7</v>
      </c>
      <c r="P206" s="13">
        <v>19.3219</v>
      </c>
      <c r="Q206" s="13">
        <v>19.3627</v>
      </c>
      <c r="R206" s="13">
        <v>18.403</v>
      </c>
      <c r="S206" s="13">
        <v>16.9301</v>
      </c>
      <c r="T206" s="13">
        <v>15.4432</v>
      </c>
      <c r="U206" s="14">
        <f>IFERROR(__xludf.DUMMYFUNCTION("IFERROR(GOOGLEFINANCE(B206,""price""),"""")"),25.17)</f>
        <v>25.17</v>
      </c>
    </row>
    <row r="207">
      <c r="A207" s="15">
        <v>46058.628243097766</v>
      </c>
      <c r="B207" s="16" t="s">
        <v>4772</v>
      </c>
      <c r="C207" s="16" t="s">
        <v>4773</v>
      </c>
      <c r="D207" s="17">
        <v>46061.0</v>
      </c>
      <c r="E207" s="18">
        <v>44.23</v>
      </c>
      <c r="F207" s="20">
        <v>9.38781668E8</v>
      </c>
      <c r="G207" s="27">
        <v>93.0719</v>
      </c>
      <c r="H207" s="27">
        <v>227.9908</v>
      </c>
      <c r="I207" s="21">
        <v>1.8204</v>
      </c>
      <c r="J207" s="16" t="s">
        <v>4774</v>
      </c>
      <c r="K207" s="19">
        <v>-0.4725</v>
      </c>
      <c r="L207" s="21">
        <v>127443.8</v>
      </c>
      <c r="M207" s="16">
        <v>2.480306E7</v>
      </c>
      <c r="N207" s="16">
        <v>1.85414791E8</v>
      </c>
      <c r="O207" s="16">
        <v>1.0185301E8</v>
      </c>
      <c r="P207" s="21">
        <v>44.2047</v>
      </c>
      <c r="Q207" s="21">
        <v>43.7525</v>
      </c>
      <c r="R207" s="21">
        <v>43.4149</v>
      </c>
      <c r="S207" s="21">
        <v>43.1643</v>
      </c>
      <c r="T207" s="21">
        <v>42.9883</v>
      </c>
      <c r="U207" s="22">
        <f>IFERROR(__xludf.DUMMYFUNCTION("IFERROR(GOOGLEFINANCE(B207,""price""),"""")"),48.35)</f>
        <v>48.35</v>
      </c>
    </row>
    <row r="208">
      <c r="A208" s="7">
        <v>46058.628243097766</v>
      </c>
      <c r="B208" s="8" t="s">
        <v>4775</v>
      </c>
      <c r="C208" s="8" t="s">
        <v>4776</v>
      </c>
      <c r="D208" s="9">
        <v>46061.0</v>
      </c>
      <c r="E208" s="10">
        <v>1.365</v>
      </c>
      <c r="F208" s="12">
        <v>3.62224588E8</v>
      </c>
      <c r="G208" s="26">
        <v>76.5527</v>
      </c>
      <c r="H208" s="26">
        <v>32.489</v>
      </c>
      <c r="I208" s="13">
        <v>1.4008</v>
      </c>
      <c r="J208" s="8" t="s">
        <v>4777</v>
      </c>
      <c r="K208" s="11">
        <v>-0.365</v>
      </c>
      <c r="L208" s="8">
        <v>2780058.0</v>
      </c>
      <c r="M208" s="8">
        <v>3.2174E7</v>
      </c>
      <c r="N208" s="8">
        <v>4.5155E7</v>
      </c>
      <c r="O208" s="8">
        <v>3.2236E7</v>
      </c>
      <c r="P208" s="13">
        <v>1.3971</v>
      </c>
      <c r="Q208" s="13">
        <v>1.4347</v>
      </c>
      <c r="R208" s="13">
        <v>1.496</v>
      </c>
      <c r="S208" s="13">
        <v>1.6358</v>
      </c>
      <c r="T208" s="13">
        <v>1.8646</v>
      </c>
      <c r="U208" s="14">
        <f>IFERROR(__xludf.DUMMYFUNCTION("IFERROR(GOOGLEFINANCE(B208,""price""),"""")"),1.4)</f>
        <v>1.4</v>
      </c>
    </row>
    <row r="209">
      <c r="A209" s="15">
        <v>46058.628243097766</v>
      </c>
      <c r="B209" s="16" t="s">
        <v>4790</v>
      </c>
      <c r="C209" s="16" t="s">
        <v>4791</v>
      </c>
      <c r="D209" s="17">
        <v>46061.0</v>
      </c>
      <c r="E209" s="18">
        <v>10.56</v>
      </c>
      <c r="F209" s="20">
        <v>1.9684529E8</v>
      </c>
      <c r="G209" s="27">
        <v>61.3449</v>
      </c>
      <c r="H209" s="27">
        <v>24.1858</v>
      </c>
      <c r="I209" s="21">
        <v>0.8187</v>
      </c>
      <c r="J209" s="16" t="s">
        <v>4792</v>
      </c>
      <c r="K209" s="19">
        <v>-4.1742</v>
      </c>
      <c r="L209" s="21">
        <v>358926.6</v>
      </c>
      <c r="M209" s="16">
        <v>1.2011E7</v>
      </c>
      <c r="N209" s="16">
        <v>9089000.0</v>
      </c>
      <c r="O209" s="16">
        <v>1.1102E7</v>
      </c>
      <c r="P209" s="21">
        <v>10.9397</v>
      </c>
      <c r="Q209" s="21">
        <v>11.6706</v>
      </c>
      <c r="R209" s="21">
        <v>12.2898</v>
      </c>
      <c r="S209" s="21">
        <v>13.1402</v>
      </c>
      <c r="T209" s="21">
        <v>13.9007</v>
      </c>
      <c r="U209" s="22">
        <f>IFERROR(__xludf.DUMMYFUNCTION("IFERROR(GOOGLEFINANCE(B209,""price""),"""")"),6.13)</f>
        <v>6.13</v>
      </c>
    </row>
    <row r="210">
      <c r="A210" s="7">
        <v>46058.628243097766</v>
      </c>
      <c r="B210" s="8" t="s">
        <v>4793</v>
      </c>
      <c r="C210" s="8" t="s">
        <v>4794</v>
      </c>
      <c r="D210" s="9">
        <v>46061.0</v>
      </c>
      <c r="E210" s="10">
        <v>8.6375</v>
      </c>
      <c r="F210" s="12">
        <v>3.28379681E8</v>
      </c>
      <c r="G210" s="26">
        <v>57.3216</v>
      </c>
      <c r="H210" s="26">
        <v>18.8954</v>
      </c>
      <c r="I210" s="13">
        <v>0.2964</v>
      </c>
      <c r="J210" s="8" t="s">
        <v>4795</v>
      </c>
      <c r="K210" s="11">
        <v>6.6358</v>
      </c>
      <c r="L210" s="13">
        <v>188010.7</v>
      </c>
      <c r="M210" s="8">
        <v>5385000.0</v>
      </c>
      <c r="N210" s="8">
        <v>1.3575E7</v>
      </c>
      <c r="O210" s="8">
        <v>4.5803E7</v>
      </c>
      <c r="P210" s="13">
        <v>7.9551</v>
      </c>
      <c r="Q210" s="13">
        <v>7.6367</v>
      </c>
      <c r="R210" s="13">
        <v>7.4824</v>
      </c>
      <c r="S210" s="13">
        <v>7.3196</v>
      </c>
      <c r="T210" s="13">
        <v>7.1746</v>
      </c>
      <c r="U210" s="14">
        <f>IFERROR(__xludf.DUMMYFUNCTION("IFERROR(GOOGLEFINANCE(B210,""price""),"""")"),9.51)</f>
        <v>9.51</v>
      </c>
    </row>
    <row r="211">
      <c r="A211" s="15">
        <v>46058.628243097766</v>
      </c>
      <c r="B211" s="16" t="s">
        <v>4778</v>
      </c>
      <c r="C211" s="16" t="s">
        <v>4779</v>
      </c>
      <c r="D211" s="17">
        <v>46061.0</v>
      </c>
      <c r="E211" s="18">
        <v>5.99</v>
      </c>
      <c r="F211" s="20">
        <v>3.82869234E8</v>
      </c>
      <c r="G211" s="27">
        <v>87.9451</v>
      </c>
      <c r="H211" s="27">
        <v>78.0444</v>
      </c>
      <c r="I211" s="21">
        <v>0.0632</v>
      </c>
      <c r="J211" s="16" t="s">
        <v>4780</v>
      </c>
      <c r="K211" s="19">
        <v>0.8418</v>
      </c>
      <c r="L211" s="21">
        <v>566700.4</v>
      </c>
      <c r="M211" s="16">
        <v>1.5074E7</v>
      </c>
      <c r="N211" s="16">
        <v>4488000.0</v>
      </c>
      <c r="O211" s="16">
        <v>7.1049E7</v>
      </c>
      <c r="P211" s="21">
        <v>5.8995</v>
      </c>
      <c r="Q211" s="21">
        <v>5.8004</v>
      </c>
      <c r="R211" s="21">
        <v>5.7303</v>
      </c>
      <c r="S211" s="21">
        <v>5.651</v>
      </c>
      <c r="T211" s="21">
        <v>5.5586</v>
      </c>
      <c r="U211" s="22">
        <f>IFERROR(__xludf.DUMMYFUNCTION("IFERROR(GOOGLEFINANCE(B211,""price""),"""")"),5.45)</f>
        <v>5.45</v>
      </c>
    </row>
    <row r="212">
      <c r="A212" s="7">
        <v>46058.628243097766</v>
      </c>
      <c r="B212" s="8" t="s">
        <v>4784</v>
      </c>
      <c r="C212" s="8" t="s">
        <v>4785</v>
      </c>
      <c r="D212" s="9">
        <v>46061.0</v>
      </c>
      <c r="E212" s="10">
        <v>7.43</v>
      </c>
      <c r="F212" s="12">
        <v>6.9270523E8</v>
      </c>
      <c r="G212" s="26">
        <v>92.9391</v>
      </c>
      <c r="H212" s="26">
        <v>188.9999</v>
      </c>
      <c r="I212" s="13">
        <v>0.794</v>
      </c>
      <c r="J212" s="8" t="s">
        <v>4786</v>
      </c>
      <c r="K212" s="11">
        <v>0.1348</v>
      </c>
      <c r="L212" s="13">
        <v>308970.9</v>
      </c>
      <c r="M212" s="8">
        <v>5.3903E7</v>
      </c>
      <c r="N212" s="8">
        <v>7.8663E7</v>
      </c>
      <c r="O212" s="8">
        <v>9.9078E7</v>
      </c>
      <c r="P212" s="13">
        <v>7.4318</v>
      </c>
      <c r="Q212" s="13">
        <v>7.4361</v>
      </c>
      <c r="R212" s="13">
        <v>7.4373</v>
      </c>
      <c r="S212" s="13">
        <v>7.4427</v>
      </c>
      <c r="T212" s="13">
        <v>7.4505</v>
      </c>
      <c r="U212" s="14">
        <f>IFERROR(__xludf.DUMMYFUNCTION("IFERROR(GOOGLEFINANCE(B212,""price""),"""")"),7.06)</f>
        <v>7.06</v>
      </c>
    </row>
    <row r="213">
      <c r="A213" s="15">
        <v>46058.628243097766</v>
      </c>
      <c r="B213" s="16" t="s">
        <v>4787</v>
      </c>
      <c r="C213" s="16" t="s">
        <v>4788</v>
      </c>
      <c r="D213" s="17">
        <v>46061.0</v>
      </c>
      <c r="E213" s="18">
        <v>15.68</v>
      </c>
      <c r="F213" s="20">
        <v>3.60138653E8</v>
      </c>
      <c r="G213" s="27">
        <v>93.5373</v>
      </c>
      <c r="H213" s="27">
        <v>235.6763</v>
      </c>
      <c r="I213" s="21">
        <v>1.1757</v>
      </c>
      <c r="J213" s="16" t="s">
        <v>4789</v>
      </c>
      <c r="K213" s="19">
        <v>-1.6311</v>
      </c>
      <c r="L213" s="21">
        <v>101691.3</v>
      </c>
      <c r="M213" s="16">
        <v>1153000.0</v>
      </c>
      <c r="N213" s="16">
        <v>8.1709E7</v>
      </c>
      <c r="O213" s="16">
        <v>6.9496E7</v>
      </c>
      <c r="P213" s="21">
        <v>15.9261</v>
      </c>
      <c r="Q213" s="21">
        <v>15.8216</v>
      </c>
      <c r="R213" s="21">
        <v>15.7094</v>
      </c>
      <c r="S213" s="21">
        <v>15.5773</v>
      </c>
      <c r="T213" s="21">
        <v>15.3922</v>
      </c>
      <c r="U213" s="22">
        <f>IFERROR(__xludf.DUMMYFUNCTION("IFERROR(GOOGLEFINANCE(B213,""price""),"""")"),16.44)</f>
        <v>16.44</v>
      </c>
    </row>
    <row r="214">
      <c r="A214" s="7">
        <v>46058.628243097766</v>
      </c>
      <c r="B214" s="8" t="s">
        <v>4808</v>
      </c>
      <c r="C214" s="8" t="s">
        <v>4809</v>
      </c>
      <c r="D214" s="9">
        <v>46061.0</v>
      </c>
      <c r="E214" s="10">
        <v>5.0475</v>
      </c>
      <c r="F214" s="12">
        <v>1.528965E8</v>
      </c>
      <c r="G214" s="26">
        <v>91.6155</v>
      </c>
      <c r="H214" s="26">
        <v>149.1122</v>
      </c>
      <c r="I214" s="13">
        <v>1.6542</v>
      </c>
      <c r="J214" s="8" t="s">
        <v>4810</v>
      </c>
      <c r="K214" s="11">
        <v>0.95</v>
      </c>
      <c r="L214" s="13">
        <v>183032.4</v>
      </c>
      <c r="M214" s="8">
        <v>8389000.0</v>
      </c>
      <c r="N214" s="8">
        <v>3.8418E7</v>
      </c>
      <c r="O214" s="8">
        <v>2.3224E7</v>
      </c>
      <c r="P214" s="13">
        <v>4.9914</v>
      </c>
      <c r="Q214" s="13">
        <v>4.9542</v>
      </c>
      <c r="R214" s="13">
        <v>4.9379</v>
      </c>
      <c r="S214" s="13">
        <v>4.9329</v>
      </c>
      <c r="T214" s="13">
        <v>4.9421</v>
      </c>
      <c r="U214" s="14">
        <f>IFERROR(__xludf.DUMMYFUNCTION("IFERROR(GOOGLEFINANCE(B214,""price""),"""")"),5.11)</f>
        <v>5.11</v>
      </c>
    </row>
    <row r="215">
      <c r="A215" s="15">
        <v>46058.628243097766</v>
      </c>
      <c r="B215" s="16" t="s">
        <v>4802</v>
      </c>
      <c r="C215" s="16" t="s">
        <v>4803</v>
      </c>
      <c r="D215" s="17">
        <v>46061.0</v>
      </c>
      <c r="E215" s="18">
        <v>8.43</v>
      </c>
      <c r="F215" s="20">
        <v>3.77865462E8</v>
      </c>
      <c r="G215" s="27">
        <v>91.4242</v>
      </c>
      <c r="H215" s="27">
        <v>351.6546</v>
      </c>
      <c r="I215" s="21">
        <v>0.1285</v>
      </c>
      <c r="J215" s="16" t="s">
        <v>4804</v>
      </c>
      <c r="K215" s="19">
        <v>0.0593</v>
      </c>
      <c r="L215" s="21">
        <v>151631.9</v>
      </c>
      <c r="M215" s="16">
        <v>3.8991E7</v>
      </c>
      <c r="N215" s="16">
        <v>6542000.0</v>
      </c>
      <c r="O215" s="16">
        <v>5.0894E7</v>
      </c>
      <c r="P215" s="21">
        <v>8.4188</v>
      </c>
      <c r="Q215" s="21">
        <v>8.4151</v>
      </c>
      <c r="R215" s="21">
        <v>8.4156</v>
      </c>
      <c r="S215" s="21">
        <v>8.4181</v>
      </c>
      <c r="T215" s="21">
        <v>8.4203</v>
      </c>
      <c r="U215" s="22">
        <f>IFERROR(__xludf.DUMMYFUNCTION("IFERROR(GOOGLEFINANCE(B215,""price""),"""")"),8.09)</f>
        <v>8.09</v>
      </c>
    </row>
    <row r="216">
      <c r="A216" s="7">
        <v>46058.628243097766</v>
      </c>
      <c r="B216" s="8" t="s">
        <v>4805</v>
      </c>
      <c r="C216" s="8" t="s">
        <v>4806</v>
      </c>
      <c r="D216" s="9">
        <v>46061.0</v>
      </c>
      <c r="E216" s="10">
        <v>5.975</v>
      </c>
      <c r="F216" s="12">
        <v>2.5659732E8</v>
      </c>
      <c r="G216" s="26">
        <v>79.064</v>
      </c>
      <c r="H216" s="26">
        <v>30.0646</v>
      </c>
      <c r="I216" s="13">
        <v>1.3011</v>
      </c>
      <c r="J216" s="8" t="s">
        <v>4807</v>
      </c>
      <c r="K216" s="11">
        <v>-0.4167</v>
      </c>
      <c r="L216" s="13">
        <v>266048.2</v>
      </c>
      <c r="M216" s="8">
        <v>2473190.0</v>
      </c>
      <c r="N216" s="8">
        <v>6.6572298E7</v>
      </c>
      <c r="O216" s="8">
        <v>5.116682E7</v>
      </c>
      <c r="P216" s="13">
        <v>5.9594</v>
      </c>
      <c r="Q216" s="13">
        <v>5.9098</v>
      </c>
      <c r="R216" s="13">
        <v>5.8651</v>
      </c>
      <c r="S216" s="13">
        <v>5.8149</v>
      </c>
      <c r="T216" s="13">
        <v>5.7515</v>
      </c>
      <c r="U216" s="14">
        <f>IFERROR(__xludf.DUMMYFUNCTION("IFERROR(GOOGLEFINANCE(B216,""price""),"""")"),5.78)</f>
        <v>5.78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6.63"/>
    <col customWidth="1" min="3" max="3" width="38.63"/>
    <col customWidth="1" min="4" max="4" width="10.0"/>
    <col customWidth="1" min="5" max="5" width="8.13"/>
    <col customWidth="1" min="6" max="6" width="18.63"/>
    <col customWidth="1" min="7" max="7" width="11.0"/>
    <col customWidth="1" min="8" max="8" width="20.25"/>
    <col customWidth="1" min="9" max="10" width="6.25"/>
    <col customWidth="1" min="11" max="11" width="19.63"/>
    <col customWidth="1" min="12" max="12" width="13.38"/>
    <col customWidth="1" min="13" max="13" width="6.25"/>
    <col customWidth="1" min="14" max="14" width="8.88"/>
    <col customWidth="1" min="15" max="15" width="7.75"/>
    <col customWidth="1" min="16" max="18" width="6.88"/>
    <col customWidth="1" min="19" max="19" width="7.0"/>
    <col customWidth="1" min="20" max="20" width="20.0"/>
    <col customWidth="1" min="21" max="21" width="14.13"/>
    <col customWidth="1" min="22" max="23" width="6.88"/>
    <col customWidth="1" min="24" max="25" width="7.75"/>
    <col customWidth="1" min="26" max="27" width="8.63"/>
    <col customWidth="1" min="28" max="30" width="7.75"/>
    <col customWidth="1" min="31" max="31" width="15.63"/>
    <col customWidth="1" min="32" max="32" width="11.38"/>
    <col customWidth="1" min="33" max="40" width="10.25"/>
  </cols>
  <sheetData>
    <row r="1">
      <c r="A1" s="6" t="s">
        <v>0</v>
      </c>
      <c r="B1" s="6" t="s">
        <v>57</v>
      </c>
      <c r="C1" s="6" t="s">
        <v>58</v>
      </c>
      <c r="D1" s="6" t="s">
        <v>59</v>
      </c>
      <c r="E1" s="6" t="s">
        <v>61</v>
      </c>
      <c r="F1" s="6" t="s">
        <v>63</v>
      </c>
      <c r="G1" s="6" t="s">
        <v>78</v>
      </c>
      <c r="H1" s="6" t="s">
        <v>84</v>
      </c>
      <c r="I1" s="6" t="s">
        <v>68</v>
      </c>
      <c r="J1" s="6" t="s">
        <v>76</v>
      </c>
      <c r="K1" s="6" t="s">
        <v>72</v>
      </c>
      <c r="L1" s="6" t="s">
        <v>60</v>
      </c>
      <c r="M1" s="6" t="s">
        <v>62</v>
      </c>
      <c r="N1" s="6" t="s">
        <v>64</v>
      </c>
      <c r="O1" s="6" t="s">
        <v>65</v>
      </c>
      <c r="P1" s="6" t="s">
        <v>66</v>
      </c>
      <c r="Q1" s="6" t="s">
        <v>67</v>
      </c>
      <c r="R1" s="6" t="s">
        <v>69</v>
      </c>
      <c r="S1" s="6" t="s">
        <v>1066</v>
      </c>
      <c r="T1" s="6" t="s">
        <v>71</v>
      </c>
      <c r="U1" s="6" t="s">
        <v>73</v>
      </c>
      <c r="V1" s="6" t="s">
        <v>1065</v>
      </c>
      <c r="W1" s="6" t="s">
        <v>1067</v>
      </c>
      <c r="X1" s="6" t="s">
        <v>74</v>
      </c>
      <c r="Y1" s="6" t="s">
        <v>75</v>
      </c>
      <c r="Z1" s="6" t="s">
        <v>1068</v>
      </c>
      <c r="AA1" s="6" t="s">
        <v>1069</v>
      </c>
      <c r="AB1" s="6" t="s">
        <v>1070</v>
      </c>
      <c r="AC1" s="6" t="s">
        <v>1071</v>
      </c>
      <c r="AD1" s="6" t="s">
        <v>1072</v>
      </c>
      <c r="AE1" s="6" t="s">
        <v>77</v>
      </c>
      <c r="AF1" s="6" t="s">
        <v>4820</v>
      </c>
      <c r="AG1" s="6" t="s">
        <v>7</v>
      </c>
      <c r="AH1" s="6"/>
      <c r="AI1" s="6"/>
      <c r="AJ1" s="6"/>
      <c r="AK1" s="6"/>
      <c r="AL1" s="6"/>
      <c r="AM1" s="6"/>
      <c r="AN1" s="6"/>
    </row>
    <row r="2">
      <c r="A2" s="7">
        <v>46048.660940189526</v>
      </c>
      <c r="B2" s="8" t="s">
        <v>1272</v>
      </c>
      <c r="C2" s="8" t="s">
        <v>1273</v>
      </c>
      <c r="D2" s="9">
        <v>46054.0</v>
      </c>
      <c r="E2" s="10">
        <v>31.86</v>
      </c>
      <c r="F2" s="8" t="s">
        <v>102</v>
      </c>
      <c r="G2" s="11">
        <v>0.14</v>
      </c>
      <c r="H2" s="8" t="s">
        <v>4821</v>
      </c>
      <c r="I2" s="11">
        <v>34.1235</v>
      </c>
      <c r="J2" s="11">
        <v>61.0598</v>
      </c>
      <c r="K2" s="13">
        <v>2.0309</v>
      </c>
      <c r="L2" s="8" t="s">
        <v>1274</v>
      </c>
      <c r="M2" s="11">
        <v>-0.0941</v>
      </c>
      <c r="N2" s="12">
        <v>1274194.0</v>
      </c>
      <c r="O2" s="13">
        <v>31.89</v>
      </c>
      <c r="P2" s="13">
        <v>31.855</v>
      </c>
      <c r="Q2" s="13">
        <v>31.86</v>
      </c>
      <c r="R2" s="13">
        <v>0.0724</v>
      </c>
      <c r="S2" s="13">
        <v>1.0529</v>
      </c>
      <c r="T2" s="13">
        <v>680479.6</v>
      </c>
      <c r="U2" s="12">
        <v>2.246405844E9</v>
      </c>
      <c r="V2" s="11">
        <v>89.8148</v>
      </c>
      <c r="W2" s="13">
        <v>85.571</v>
      </c>
      <c r="X2" s="13">
        <v>31.7618</v>
      </c>
      <c r="Y2" s="13">
        <v>28.717</v>
      </c>
      <c r="Z2" s="13">
        <v>31.848</v>
      </c>
      <c r="AA2" s="13">
        <v>31.8033</v>
      </c>
      <c r="AB2" s="13">
        <v>31.6823</v>
      </c>
      <c r="AC2" s="13">
        <v>31.2097</v>
      </c>
      <c r="AD2" s="13">
        <v>30.1912</v>
      </c>
      <c r="AE2" s="13">
        <v>35.48</v>
      </c>
      <c r="AF2" s="13">
        <v>10.2029</v>
      </c>
      <c r="AG2" s="14">
        <f>IFERROR(__xludf.DUMMYFUNCTION("IFERROR(GOOGLEFINANCE(B2,""price""),"""")"),0.16)</f>
        <v>0.16</v>
      </c>
      <c r="AH2" s="14"/>
      <c r="AI2" s="14"/>
      <c r="AJ2" s="14"/>
      <c r="AK2" s="14"/>
      <c r="AL2" s="14"/>
      <c r="AM2" s="14"/>
      <c r="AN2" s="14"/>
    </row>
    <row r="3">
      <c r="A3" s="15">
        <v>46048.660940189526</v>
      </c>
      <c r="B3" s="16" t="s">
        <v>2300</v>
      </c>
      <c r="C3" s="16" t="s">
        <v>2301</v>
      </c>
      <c r="D3" s="17">
        <v>46054.0</v>
      </c>
      <c r="E3" s="18">
        <v>24.13</v>
      </c>
      <c r="F3" s="16" t="s">
        <v>88</v>
      </c>
      <c r="G3" s="19">
        <v>0.4</v>
      </c>
      <c r="H3" s="16" t="s">
        <v>4822</v>
      </c>
      <c r="I3" s="19">
        <v>53.1576</v>
      </c>
      <c r="J3" s="19">
        <v>65.8944</v>
      </c>
      <c r="K3" s="21">
        <v>2.533</v>
      </c>
      <c r="L3" s="16" t="s">
        <v>2302</v>
      </c>
      <c r="M3" s="19">
        <v>-0.2068</v>
      </c>
      <c r="N3" s="20">
        <v>3.2722411E7</v>
      </c>
      <c r="O3" s="21">
        <v>24.17</v>
      </c>
      <c r="P3" s="21">
        <v>24.1</v>
      </c>
      <c r="Q3" s="21">
        <v>24.15</v>
      </c>
      <c r="R3" s="21">
        <v>0.2539</v>
      </c>
      <c r="S3" s="21">
        <v>1.2548</v>
      </c>
      <c r="T3" s="16">
        <v>1.5506336E7</v>
      </c>
      <c r="U3" s="20">
        <v>7.061896608E9</v>
      </c>
      <c r="V3" s="19">
        <v>44.9151</v>
      </c>
      <c r="W3" s="21">
        <v>64.5845</v>
      </c>
      <c r="X3" s="21">
        <v>22.5754</v>
      </c>
      <c r="Y3" s="21">
        <v>21.8792</v>
      </c>
      <c r="Z3" s="21">
        <v>24.1989</v>
      </c>
      <c r="AA3" s="21">
        <v>23.8572</v>
      </c>
      <c r="AB3" s="21">
        <v>23.2956</v>
      </c>
      <c r="AC3" s="21">
        <v>22.5111</v>
      </c>
      <c r="AD3" s="21">
        <v>21.8557</v>
      </c>
      <c r="AE3" s="21">
        <v>32.0</v>
      </c>
      <c r="AF3" s="21">
        <v>24.5938</v>
      </c>
      <c r="AG3" s="22">
        <f>IFERROR(__xludf.DUMMYFUNCTION("IFERROR(GOOGLEFINANCE(B3,""price""),"""")"),24.0)</f>
        <v>24</v>
      </c>
      <c r="AH3" s="22"/>
      <c r="AI3" s="22"/>
      <c r="AJ3" s="22"/>
      <c r="AK3" s="22"/>
      <c r="AL3" s="22"/>
      <c r="AM3" s="22"/>
      <c r="AN3" s="22"/>
    </row>
    <row r="4">
      <c r="A4" s="7">
        <v>46048.660940189526</v>
      </c>
      <c r="B4" s="8" t="s">
        <v>2177</v>
      </c>
      <c r="C4" s="8" t="s">
        <v>2178</v>
      </c>
      <c r="D4" s="9">
        <v>46054.0</v>
      </c>
      <c r="E4" s="10">
        <v>7.97</v>
      </c>
      <c r="F4" s="8" t="s">
        <v>88</v>
      </c>
      <c r="G4" s="11">
        <v>0.55</v>
      </c>
      <c r="H4" s="8" t="s">
        <v>4823</v>
      </c>
      <c r="I4" s="11">
        <v>61.3648</v>
      </c>
      <c r="J4" s="11">
        <v>79.162</v>
      </c>
      <c r="K4" s="13">
        <v>1.3131</v>
      </c>
      <c r="L4" s="8" t="s">
        <v>2179</v>
      </c>
      <c r="M4" s="11">
        <v>0.0</v>
      </c>
      <c r="N4" s="12">
        <v>574280.0</v>
      </c>
      <c r="O4" s="13">
        <v>8.0</v>
      </c>
      <c r="P4" s="13">
        <v>7.965</v>
      </c>
      <c r="Q4" s="13">
        <v>8.0</v>
      </c>
      <c r="R4" s="13">
        <v>0.1183</v>
      </c>
      <c r="S4" s="13">
        <v>0.4308</v>
      </c>
      <c r="T4" s="13">
        <v>400249.1</v>
      </c>
      <c r="U4" s="12">
        <v>3.38427588E8</v>
      </c>
      <c r="V4" s="11">
        <v>16.6667</v>
      </c>
      <c r="W4" s="13">
        <v>27.4074</v>
      </c>
      <c r="X4" s="13">
        <v>6.5272</v>
      </c>
      <c r="Y4" s="13">
        <v>6.0051</v>
      </c>
      <c r="Z4" s="13">
        <v>7.9515</v>
      </c>
      <c r="AA4" s="13">
        <v>7.5813</v>
      </c>
      <c r="AB4" s="13">
        <v>7.1964</v>
      </c>
      <c r="AC4" s="13">
        <v>6.7741</v>
      </c>
      <c r="AD4" s="13">
        <v>6.3909</v>
      </c>
      <c r="AE4" s="13">
        <v>8.1</v>
      </c>
      <c r="AF4" s="13">
        <v>1.6049</v>
      </c>
      <c r="AG4" s="14">
        <f>IFERROR(__xludf.DUMMYFUNCTION("IFERROR(GOOGLEFINANCE(B4,""price""),"""")"),8.1)</f>
        <v>8.1</v>
      </c>
      <c r="AH4" s="14"/>
      <c r="AI4" s="14"/>
      <c r="AJ4" s="14"/>
      <c r="AK4" s="14"/>
      <c r="AL4" s="14"/>
      <c r="AM4" s="14"/>
      <c r="AN4" s="14"/>
    </row>
    <row r="5">
      <c r="A5" s="15">
        <v>46048.660940189526</v>
      </c>
      <c r="B5" s="16" t="s">
        <v>4824</v>
      </c>
      <c r="C5" s="16" t="s">
        <v>4825</v>
      </c>
      <c r="D5" s="17">
        <v>46054.0</v>
      </c>
      <c r="E5" s="18">
        <v>3.23</v>
      </c>
      <c r="F5" s="16" t="s">
        <v>117</v>
      </c>
      <c r="G5" s="19">
        <v>0.66</v>
      </c>
      <c r="H5" s="16" t="s">
        <v>4826</v>
      </c>
      <c r="I5" s="19">
        <v>34.5063</v>
      </c>
      <c r="J5" s="19">
        <v>60.1475</v>
      </c>
      <c r="K5" s="21">
        <v>3.1123</v>
      </c>
      <c r="L5" s="16" t="s">
        <v>4827</v>
      </c>
      <c r="M5" s="19">
        <v>9.1216</v>
      </c>
      <c r="N5" s="20">
        <v>1249124.0</v>
      </c>
      <c r="O5" s="21">
        <v>3.33</v>
      </c>
      <c r="P5" s="21">
        <v>2.96</v>
      </c>
      <c r="Q5" s="21">
        <v>3.06</v>
      </c>
      <c r="R5" s="21">
        <v>0.2523</v>
      </c>
      <c r="S5" s="21">
        <v>0.7689</v>
      </c>
      <c r="T5" s="21">
        <v>492094.6</v>
      </c>
      <c r="U5" s="20">
        <v>1.27681405E8</v>
      </c>
      <c r="V5" s="19">
        <v>51.1372</v>
      </c>
      <c r="W5" s="21">
        <v>33.0078</v>
      </c>
      <c r="X5" s="21">
        <v>2.7106</v>
      </c>
      <c r="Y5" s="21">
        <v>3.3354</v>
      </c>
      <c r="Z5" s="21">
        <v>3.0036</v>
      </c>
      <c r="AA5" s="21">
        <v>2.9153</v>
      </c>
      <c r="AB5" s="21">
        <v>2.8681</v>
      </c>
      <c r="AC5" s="21">
        <v>2.8451</v>
      </c>
      <c r="AD5" s="21">
        <v>2.7972</v>
      </c>
      <c r="AE5" s="21">
        <v>9.08</v>
      </c>
      <c r="AF5" s="21">
        <v>64.4273</v>
      </c>
      <c r="AG5" s="22" t="str">
        <f>IFERROR(__xludf.DUMMYFUNCTION("IFERROR(GOOGLEFINANCE(B5,""price""),"""")"),"")</f>
        <v/>
      </c>
      <c r="AH5" s="22"/>
      <c r="AI5" s="22"/>
      <c r="AJ5" s="22"/>
      <c r="AK5" s="22"/>
      <c r="AL5" s="22"/>
      <c r="AM5" s="22"/>
      <c r="AN5" s="22"/>
    </row>
    <row r="6">
      <c r="A6" s="7">
        <v>46048.660940189526</v>
      </c>
      <c r="B6" s="8" t="s">
        <v>4828</v>
      </c>
      <c r="C6" s="8" t="s">
        <v>4829</v>
      </c>
      <c r="D6" s="9">
        <v>46054.0</v>
      </c>
      <c r="E6" s="10">
        <v>2.88</v>
      </c>
      <c r="F6" s="8" t="s">
        <v>335</v>
      </c>
      <c r="G6" s="11">
        <v>0.73</v>
      </c>
      <c r="H6" s="8" t="s">
        <v>4830</v>
      </c>
      <c r="I6" s="11">
        <v>20.8297</v>
      </c>
      <c r="J6" s="11">
        <v>49.2991</v>
      </c>
      <c r="K6" s="13">
        <v>2.0965</v>
      </c>
      <c r="L6" s="8" t="s">
        <v>4831</v>
      </c>
      <c r="M6" s="11">
        <v>-5.8824</v>
      </c>
      <c r="N6" s="12">
        <v>1848531.0</v>
      </c>
      <c r="O6" s="13">
        <v>3.22</v>
      </c>
      <c r="P6" s="13">
        <v>2.87</v>
      </c>
      <c r="Q6" s="13">
        <v>3.2</v>
      </c>
      <c r="R6" s="13">
        <v>0.1861</v>
      </c>
      <c r="S6" s="13">
        <v>0.5079</v>
      </c>
      <c r="T6" s="8">
        <v>1017373.0</v>
      </c>
      <c r="U6" s="12">
        <v>4.38913982E8</v>
      </c>
      <c r="V6" s="11">
        <v>61.3255</v>
      </c>
      <c r="W6" s="13">
        <v>69.037</v>
      </c>
      <c r="X6" s="13">
        <v>2.8402</v>
      </c>
      <c r="Y6" s="13">
        <v>2.4457</v>
      </c>
      <c r="Z6" s="13">
        <v>2.9816</v>
      </c>
      <c r="AA6" s="13">
        <v>2.9149</v>
      </c>
      <c r="AB6" s="13">
        <v>2.8801</v>
      </c>
      <c r="AC6" s="13">
        <v>2.8355</v>
      </c>
      <c r="AD6" s="13">
        <v>2.7376</v>
      </c>
      <c r="AE6" s="13">
        <v>6.06</v>
      </c>
      <c r="AF6" s="13">
        <v>52.4752</v>
      </c>
      <c r="AG6" s="14">
        <f>IFERROR(__xludf.DUMMYFUNCTION("IFERROR(GOOGLEFINANCE(B6,""price""),"""")"),1.83)</f>
        <v>1.83</v>
      </c>
      <c r="AH6" s="14"/>
      <c r="AI6" s="14"/>
      <c r="AJ6" s="14"/>
      <c r="AK6" s="14"/>
      <c r="AL6" s="14"/>
      <c r="AM6" s="14"/>
      <c r="AN6" s="14"/>
    </row>
    <row r="7">
      <c r="A7" s="15">
        <v>46048.660940189526</v>
      </c>
      <c r="B7" s="16" t="s">
        <v>4832</v>
      </c>
      <c r="C7" s="16" t="s">
        <v>4833</v>
      </c>
      <c r="D7" s="17">
        <v>46054.0</v>
      </c>
      <c r="E7" s="18">
        <v>263.63</v>
      </c>
      <c r="F7" s="16" t="s">
        <v>190</v>
      </c>
      <c r="G7" s="19">
        <v>0.8</v>
      </c>
      <c r="H7" s="16" t="s">
        <v>4834</v>
      </c>
      <c r="I7" s="19">
        <v>22.9281</v>
      </c>
      <c r="J7" s="19">
        <v>46.411</v>
      </c>
      <c r="K7" s="21">
        <v>1.4906</v>
      </c>
      <c r="L7" s="16" t="s">
        <v>4835</v>
      </c>
      <c r="M7" s="19">
        <v>-1.0769</v>
      </c>
      <c r="N7" s="20">
        <v>1450815.0</v>
      </c>
      <c r="O7" s="21">
        <v>269.0886</v>
      </c>
      <c r="P7" s="21">
        <v>261.47</v>
      </c>
      <c r="Q7" s="21">
        <v>264.85</v>
      </c>
      <c r="R7" s="21">
        <v>8.1889</v>
      </c>
      <c r="S7" s="21">
        <v>20.3692</v>
      </c>
      <c r="T7" s="16">
        <v>1057301.0</v>
      </c>
      <c r="U7" s="20">
        <v>3.1707589784E10</v>
      </c>
      <c r="V7" s="19">
        <v>19.3411</v>
      </c>
      <c r="W7" s="21">
        <v>31.2431</v>
      </c>
      <c r="X7" s="21">
        <v>257.146</v>
      </c>
      <c r="Y7" s="21">
        <v>266.8526</v>
      </c>
      <c r="Z7" s="21">
        <v>268.8795</v>
      </c>
      <c r="AA7" s="21">
        <v>268.4095</v>
      </c>
      <c r="AB7" s="21">
        <v>266.2691</v>
      </c>
      <c r="AC7" s="21">
        <v>264.7134</v>
      </c>
      <c r="AD7" s="21">
        <v>263.9284</v>
      </c>
      <c r="AE7" s="21">
        <v>315.3482</v>
      </c>
      <c r="AF7" s="21">
        <v>16.4003</v>
      </c>
      <c r="AG7" s="22">
        <f>IFERROR(__xludf.DUMMYFUNCTION("IFERROR(GOOGLEFINANCE(B7,""price""),"""")"),192.15)</f>
        <v>192.15</v>
      </c>
      <c r="AH7" s="22"/>
      <c r="AI7" s="22"/>
      <c r="AJ7" s="22"/>
      <c r="AK7" s="22"/>
      <c r="AL7" s="22"/>
      <c r="AM7" s="22"/>
      <c r="AN7" s="22"/>
    </row>
    <row r="8">
      <c r="A8" s="7">
        <v>46048.660940189526</v>
      </c>
      <c r="B8" s="8" t="s">
        <v>1905</v>
      </c>
      <c r="C8" s="8" t="s">
        <v>1906</v>
      </c>
      <c r="D8" s="9">
        <v>46054.0</v>
      </c>
      <c r="E8" s="10">
        <v>65.75</v>
      </c>
      <c r="F8" s="8" t="s">
        <v>308</v>
      </c>
      <c r="G8" s="11">
        <v>0.82</v>
      </c>
      <c r="H8" s="8" t="s">
        <v>4836</v>
      </c>
      <c r="I8" s="11">
        <v>34.5498</v>
      </c>
      <c r="J8" s="11">
        <v>57.2214</v>
      </c>
      <c r="K8" s="13">
        <v>2.1848</v>
      </c>
      <c r="L8" s="8" t="s">
        <v>1907</v>
      </c>
      <c r="M8" s="11">
        <v>-0.3486</v>
      </c>
      <c r="N8" s="12">
        <v>2489943.0</v>
      </c>
      <c r="O8" s="13">
        <v>66.23</v>
      </c>
      <c r="P8" s="13">
        <v>64.965</v>
      </c>
      <c r="Q8" s="13">
        <v>66.0</v>
      </c>
      <c r="R8" s="13">
        <v>1.7237</v>
      </c>
      <c r="S8" s="13">
        <v>4.1994</v>
      </c>
      <c r="T8" s="8">
        <v>1366566.0</v>
      </c>
      <c r="U8" s="12">
        <v>4.03767828E10</v>
      </c>
      <c r="V8" s="11">
        <v>57.7451</v>
      </c>
      <c r="W8" s="13">
        <v>71.5881</v>
      </c>
      <c r="X8" s="13">
        <v>59.2447</v>
      </c>
      <c r="Y8" s="13">
        <v>58.8976</v>
      </c>
      <c r="Z8" s="13">
        <v>66.1771</v>
      </c>
      <c r="AA8" s="13">
        <v>64.5182</v>
      </c>
      <c r="AB8" s="13">
        <v>62.9145</v>
      </c>
      <c r="AC8" s="13">
        <v>61.4163</v>
      </c>
      <c r="AD8" s="13">
        <v>60.2096</v>
      </c>
      <c r="AE8" s="13">
        <v>70.7999</v>
      </c>
      <c r="AF8" s="13">
        <v>7.1326</v>
      </c>
      <c r="AG8" s="14">
        <f>IFERROR(__xludf.DUMMYFUNCTION("IFERROR(GOOGLEFINANCE(B8,""price""),"""")"),62.44)</f>
        <v>62.44</v>
      </c>
      <c r="AH8" s="14"/>
      <c r="AI8" s="14"/>
      <c r="AJ8" s="14"/>
      <c r="AK8" s="14"/>
      <c r="AL8" s="14"/>
      <c r="AM8" s="14"/>
      <c r="AN8" s="14"/>
    </row>
    <row r="9">
      <c r="A9" s="15">
        <v>46048.660940189526</v>
      </c>
      <c r="B9" s="16" t="s">
        <v>4837</v>
      </c>
      <c r="C9" s="16" t="s">
        <v>4838</v>
      </c>
      <c r="D9" s="17">
        <v>46054.0</v>
      </c>
      <c r="E9" s="18">
        <v>11.01</v>
      </c>
      <c r="F9" s="16" t="s">
        <v>286</v>
      </c>
      <c r="G9" s="19">
        <v>0.83</v>
      </c>
      <c r="H9" s="16" t="s">
        <v>4839</v>
      </c>
      <c r="I9" s="19">
        <v>23.7866</v>
      </c>
      <c r="J9" s="19">
        <v>59.9745</v>
      </c>
      <c r="K9" s="21">
        <v>1.6141</v>
      </c>
      <c r="L9" s="16" t="s">
        <v>4840</v>
      </c>
      <c r="M9" s="19">
        <v>-0.4521</v>
      </c>
      <c r="N9" s="20">
        <v>705365.0</v>
      </c>
      <c r="O9" s="21">
        <v>11.19</v>
      </c>
      <c r="P9" s="21">
        <v>10.98</v>
      </c>
      <c r="Q9" s="21">
        <v>11.04</v>
      </c>
      <c r="R9" s="21">
        <v>0.3821</v>
      </c>
      <c r="S9" s="21">
        <v>0.9159</v>
      </c>
      <c r="T9" s="21">
        <v>484912.8</v>
      </c>
      <c r="U9" s="20">
        <v>5.36738318E8</v>
      </c>
      <c r="V9" s="19">
        <v>69.8615</v>
      </c>
      <c r="W9" s="21">
        <v>71.2519</v>
      </c>
      <c r="X9" s="21">
        <v>10.192</v>
      </c>
      <c r="Y9" s="21">
        <v>9.9302</v>
      </c>
      <c r="Z9" s="21">
        <v>10.9865</v>
      </c>
      <c r="AA9" s="21">
        <v>10.6679</v>
      </c>
      <c r="AB9" s="21">
        <v>10.5212</v>
      </c>
      <c r="AC9" s="21">
        <v>10.4501</v>
      </c>
      <c r="AD9" s="21">
        <v>10.3521</v>
      </c>
      <c r="AE9" s="21">
        <v>14.62</v>
      </c>
      <c r="AF9" s="21">
        <v>24.6922</v>
      </c>
      <c r="AG9" s="22">
        <f>IFERROR(__xludf.DUMMYFUNCTION("IFERROR(GOOGLEFINANCE(B9,""price""),"""")"),7.52)</f>
        <v>7.52</v>
      </c>
      <c r="AH9" s="22"/>
      <c r="AI9" s="22"/>
      <c r="AJ9" s="22"/>
      <c r="AK9" s="22"/>
      <c r="AL9" s="22"/>
      <c r="AM9" s="22"/>
      <c r="AN9" s="22"/>
    </row>
    <row r="10">
      <c r="A10" s="7">
        <v>46048.660940189526</v>
      </c>
      <c r="B10" s="8" t="s">
        <v>1230</v>
      </c>
      <c r="C10" s="8" t="s">
        <v>1231</v>
      </c>
      <c r="D10" s="9">
        <v>46054.0</v>
      </c>
      <c r="E10" s="10">
        <v>65.34</v>
      </c>
      <c r="F10" s="8" t="s">
        <v>149</v>
      </c>
      <c r="G10" s="11">
        <v>0.86</v>
      </c>
      <c r="H10" s="8" t="s">
        <v>4841</v>
      </c>
      <c r="I10" s="11">
        <v>22.5778</v>
      </c>
      <c r="J10" s="11">
        <v>53.6135</v>
      </c>
      <c r="K10" s="13">
        <v>1.3039</v>
      </c>
      <c r="L10" s="8" t="s">
        <v>1232</v>
      </c>
      <c r="M10" s="11">
        <v>-0.2899</v>
      </c>
      <c r="N10" s="12">
        <v>1751650.0</v>
      </c>
      <c r="O10" s="13">
        <v>65.99</v>
      </c>
      <c r="P10" s="13">
        <v>65.26</v>
      </c>
      <c r="Q10" s="13">
        <v>65.53</v>
      </c>
      <c r="R10" s="13">
        <v>1.0955</v>
      </c>
      <c r="S10" s="13">
        <v>2.5519</v>
      </c>
      <c r="T10" s="8">
        <v>1385216.0</v>
      </c>
      <c r="U10" s="12">
        <v>3.0534235567E10</v>
      </c>
      <c r="V10" s="11">
        <v>20.4821</v>
      </c>
      <c r="W10" s="13">
        <v>21.695</v>
      </c>
      <c r="X10" s="13">
        <v>62.9006</v>
      </c>
      <c r="Y10" s="13">
        <v>55.7089</v>
      </c>
      <c r="Z10" s="13">
        <v>65.5453</v>
      </c>
      <c r="AA10" s="13">
        <v>65.3046</v>
      </c>
      <c r="AB10" s="13">
        <v>64.3647</v>
      </c>
      <c r="AC10" s="13">
        <v>62.7371</v>
      </c>
      <c r="AD10" s="13">
        <v>60.5585</v>
      </c>
      <c r="AE10" s="13">
        <v>68.175</v>
      </c>
      <c r="AF10" s="13">
        <v>4.1584</v>
      </c>
      <c r="AG10" s="14">
        <f>IFERROR(__xludf.DUMMYFUNCTION("IFERROR(GOOGLEFINANCE(B10,""price""),"""")"),54.93)</f>
        <v>54.93</v>
      </c>
      <c r="AH10" s="14"/>
      <c r="AI10" s="14"/>
      <c r="AJ10" s="14"/>
      <c r="AK10" s="14"/>
      <c r="AL10" s="14"/>
      <c r="AM10" s="14"/>
      <c r="AN10" s="14"/>
    </row>
    <row r="11">
      <c r="A11" s="15">
        <v>46048.660940189526</v>
      </c>
      <c r="B11" s="16" t="s">
        <v>4842</v>
      </c>
      <c r="C11" s="16" t="s">
        <v>4843</v>
      </c>
      <c r="D11" s="17">
        <v>46054.0</v>
      </c>
      <c r="E11" s="18">
        <v>106.97</v>
      </c>
      <c r="F11" s="16" t="s">
        <v>162</v>
      </c>
      <c r="G11" s="19">
        <v>0.86</v>
      </c>
      <c r="H11" s="16" t="s">
        <v>4844</v>
      </c>
      <c r="I11" s="19">
        <v>39.745</v>
      </c>
      <c r="J11" s="19">
        <v>59.1911</v>
      </c>
      <c r="K11" s="21">
        <v>1.834</v>
      </c>
      <c r="L11" s="16" t="s">
        <v>4845</v>
      </c>
      <c r="M11" s="19">
        <v>-0.9354</v>
      </c>
      <c r="N11" s="20">
        <v>8157637.0</v>
      </c>
      <c r="O11" s="21">
        <v>108.62</v>
      </c>
      <c r="P11" s="21">
        <v>106.78</v>
      </c>
      <c r="Q11" s="21">
        <v>108.21</v>
      </c>
      <c r="R11" s="21">
        <v>2.013</v>
      </c>
      <c r="S11" s="21">
        <v>4.6923</v>
      </c>
      <c r="T11" s="16">
        <v>4713312.0</v>
      </c>
      <c r="U11" s="20">
        <v>9.0751810054E10</v>
      </c>
      <c r="V11" s="19">
        <v>77.7647</v>
      </c>
      <c r="W11" s="21">
        <v>83.3146</v>
      </c>
      <c r="X11" s="21">
        <v>100.3222</v>
      </c>
      <c r="Y11" s="21">
        <v>99.9858</v>
      </c>
      <c r="Z11" s="21">
        <v>107.4861</v>
      </c>
      <c r="AA11" s="21">
        <v>105.3894</v>
      </c>
      <c r="AB11" s="21">
        <v>103.3018</v>
      </c>
      <c r="AC11" s="21">
        <v>100.6486</v>
      </c>
      <c r="AD11" s="21">
        <v>98.3317</v>
      </c>
      <c r="AE11" s="21">
        <v>136.99</v>
      </c>
      <c r="AF11" s="21">
        <v>21.914</v>
      </c>
      <c r="AG11" s="22">
        <f>IFERROR(__xludf.DUMMYFUNCTION("IFERROR(GOOGLEFINANCE(B11,""price""),"""")"),101.7)</f>
        <v>101.7</v>
      </c>
      <c r="AH11" s="22"/>
      <c r="AI11" s="22"/>
      <c r="AJ11" s="22"/>
      <c r="AK11" s="22"/>
      <c r="AL11" s="22"/>
      <c r="AM11" s="22"/>
      <c r="AN11" s="22"/>
    </row>
    <row r="12">
      <c r="A12" s="7">
        <v>46048.660940189526</v>
      </c>
      <c r="B12" s="8" t="s">
        <v>4846</v>
      </c>
      <c r="C12" s="8" t="s">
        <v>4847</v>
      </c>
      <c r="D12" s="9">
        <v>46054.0</v>
      </c>
      <c r="E12" s="10">
        <v>6.2</v>
      </c>
      <c r="F12" s="8" t="s">
        <v>149</v>
      </c>
      <c r="G12" s="11">
        <v>0.86</v>
      </c>
      <c r="H12" s="8" t="s">
        <v>4848</v>
      </c>
      <c r="I12" s="11">
        <v>31.2318</v>
      </c>
      <c r="J12" s="11">
        <v>70.2409</v>
      </c>
      <c r="K12" s="13">
        <v>1.4224</v>
      </c>
      <c r="L12" s="8" t="s">
        <v>4849</v>
      </c>
      <c r="M12" s="11">
        <v>-2.3622</v>
      </c>
      <c r="N12" s="12">
        <v>1521153.0</v>
      </c>
      <c r="O12" s="13">
        <v>6.32</v>
      </c>
      <c r="P12" s="13">
        <v>5.9</v>
      </c>
      <c r="Q12" s="13">
        <v>6.27</v>
      </c>
      <c r="R12" s="13">
        <v>0.3182</v>
      </c>
      <c r="S12" s="13">
        <v>0.7418</v>
      </c>
      <c r="T12" s="8">
        <v>1136825.0</v>
      </c>
      <c r="U12" s="12">
        <v>7.21025667E8</v>
      </c>
      <c r="V12" s="11">
        <v>91.3446</v>
      </c>
      <c r="W12" s="13">
        <v>92.4252</v>
      </c>
      <c r="X12" s="13">
        <v>4.8746</v>
      </c>
      <c r="Y12" s="13">
        <v>5.3749</v>
      </c>
      <c r="Z12" s="13">
        <v>5.9194</v>
      </c>
      <c r="AA12" s="13">
        <v>5.4675</v>
      </c>
      <c r="AB12" s="13">
        <v>5.2681</v>
      </c>
      <c r="AC12" s="13">
        <v>5.1395</v>
      </c>
      <c r="AD12" s="13">
        <v>5.1107</v>
      </c>
      <c r="AE12" s="13">
        <v>7.935</v>
      </c>
      <c r="AF12" s="13">
        <v>21.8652</v>
      </c>
      <c r="AG12" s="14">
        <f>IFERROR(__xludf.DUMMYFUNCTION("IFERROR(GOOGLEFINANCE(B12,""price""),"""")"),5.59)</f>
        <v>5.59</v>
      </c>
      <c r="AH12" s="14"/>
      <c r="AI12" s="14"/>
      <c r="AJ12" s="14"/>
      <c r="AK12" s="14"/>
      <c r="AL12" s="14"/>
      <c r="AM12" s="14"/>
      <c r="AN12" s="14"/>
    </row>
    <row r="13">
      <c r="A13" s="15">
        <v>46048.660940189526</v>
      </c>
      <c r="B13" s="16" t="s">
        <v>4850</v>
      </c>
      <c r="C13" s="16" t="s">
        <v>4851</v>
      </c>
      <c r="D13" s="17">
        <v>46054.0</v>
      </c>
      <c r="E13" s="18">
        <v>96.33</v>
      </c>
      <c r="F13" s="16" t="s">
        <v>149</v>
      </c>
      <c r="G13" s="19">
        <v>0.88</v>
      </c>
      <c r="H13" s="16" t="s">
        <v>4841</v>
      </c>
      <c r="I13" s="19">
        <v>30.2497</v>
      </c>
      <c r="J13" s="19">
        <v>67.8072</v>
      </c>
      <c r="K13" s="21">
        <v>1.3412</v>
      </c>
      <c r="L13" s="16" t="s">
        <v>4852</v>
      </c>
      <c r="M13" s="19">
        <v>-1.3215</v>
      </c>
      <c r="N13" s="20">
        <v>1.3996999E7</v>
      </c>
      <c r="O13" s="21">
        <v>97.97</v>
      </c>
      <c r="P13" s="21">
        <v>95.79</v>
      </c>
      <c r="Q13" s="21">
        <v>97.21</v>
      </c>
      <c r="R13" s="21">
        <v>2.3426</v>
      </c>
      <c r="S13" s="21">
        <v>5.3533</v>
      </c>
      <c r="T13" s="16">
        <v>1.1076542E7</v>
      </c>
      <c r="U13" s="20">
        <v>1.0953684373E11</v>
      </c>
      <c r="V13" s="19">
        <v>90.5131</v>
      </c>
      <c r="W13" s="21">
        <v>93.0123</v>
      </c>
      <c r="X13" s="21">
        <v>87.1376</v>
      </c>
      <c r="Y13" s="21">
        <v>88.3737</v>
      </c>
      <c r="Z13" s="21">
        <v>94.6609</v>
      </c>
      <c r="AA13" s="21">
        <v>91.2607</v>
      </c>
      <c r="AB13" s="21">
        <v>89.5198</v>
      </c>
      <c r="AC13" s="21">
        <v>88.1387</v>
      </c>
      <c r="AD13" s="21">
        <v>87.4833</v>
      </c>
      <c r="AE13" s="21">
        <v>117.46</v>
      </c>
      <c r="AF13" s="21">
        <v>17.9891</v>
      </c>
      <c r="AG13" s="22">
        <f>IFERROR(__xludf.DUMMYFUNCTION("IFERROR(GOOGLEFINANCE(B13,""price""),"""")"),96.6)</f>
        <v>96.6</v>
      </c>
      <c r="AH13" s="22"/>
      <c r="AI13" s="22"/>
      <c r="AJ13" s="22"/>
      <c r="AK13" s="22"/>
      <c r="AL13" s="22"/>
      <c r="AM13" s="22"/>
      <c r="AN13" s="22"/>
    </row>
    <row r="14">
      <c r="A14" s="7">
        <v>46048.660940189526</v>
      </c>
      <c r="B14" s="8" t="s">
        <v>4853</v>
      </c>
      <c r="C14" s="8" t="s">
        <v>4854</v>
      </c>
      <c r="D14" s="9">
        <v>46054.0</v>
      </c>
      <c r="E14" s="10">
        <v>29.92</v>
      </c>
      <c r="F14" s="8" t="s">
        <v>162</v>
      </c>
      <c r="G14" s="11">
        <v>0.88</v>
      </c>
      <c r="H14" s="8" t="s">
        <v>4841</v>
      </c>
      <c r="I14" s="11">
        <v>49.7029</v>
      </c>
      <c r="J14" s="11">
        <v>65.2863</v>
      </c>
      <c r="K14" s="13">
        <v>1.3323</v>
      </c>
      <c r="L14" s="8" t="s">
        <v>4855</v>
      </c>
      <c r="M14" s="11">
        <v>-0.2001</v>
      </c>
      <c r="N14" s="12">
        <v>943460.0</v>
      </c>
      <c r="O14" s="13">
        <v>30.05</v>
      </c>
      <c r="P14" s="13">
        <v>29.44</v>
      </c>
      <c r="Q14" s="13">
        <v>29.99</v>
      </c>
      <c r="R14" s="13">
        <v>0.7089</v>
      </c>
      <c r="S14" s="13">
        <v>1.6092</v>
      </c>
      <c r="T14" s="13">
        <v>720964.5</v>
      </c>
      <c r="U14" s="12">
        <v>5.244963827E9</v>
      </c>
      <c r="V14" s="11">
        <v>86.9686</v>
      </c>
      <c r="W14" s="13">
        <v>89.0648</v>
      </c>
      <c r="X14" s="13">
        <v>26.0742</v>
      </c>
      <c r="Y14" s="13">
        <v>25.0893</v>
      </c>
      <c r="Z14" s="13">
        <v>29.6702</v>
      </c>
      <c r="AA14" s="13">
        <v>28.6589</v>
      </c>
      <c r="AB14" s="13">
        <v>27.7359</v>
      </c>
      <c r="AC14" s="13">
        <v>26.6593</v>
      </c>
      <c r="AD14" s="13">
        <v>25.7343</v>
      </c>
      <c r="AE14" s="13">
        <v>30.84</v>
      </c>
      <c r="AF14" s="13">
        <v>2.9831</v>
      </c>
      <c r="AG14" s="14">
        <f>IFERROR(__xludf.DUMMYFUNCTION("IFERROR(GOOGLEFINANCE(B14,""price""),"""")"),28.29)</f>
        <v>28.29</v>
      </c>
      <c r="AH14" s="14"/>
      <c r="AI14" s="14"/>
      <c r="AJ14" s="14"/>
      <c r="AK14" s="14"/>
      <c r="AL14" s="14"/>
      <c r="AM14" s="14"/>
      <c r="AN14" s="14"/>
    </row>
    <row r="15">
      <c r="A15" s="15">
        <v>46048.660940189526</v>
      </c>
      <c r="B15" s="16" t="s">
        <v>4856</v>
      </c>
      <c r="C15" s="16" t="s">
        <v>4857</v>
      </c>
      <c r="D15" s="17">
        <v>46054.0</v>
      </c>
      <c r="E15" s="18">
        <v>17.64</v>
      </c>
      <c r="F15" s="16" t="s">
        <v>149</v>
      </c>
      <c r="G15" s="19">
        <v>0.89</v>
      </c>
      <c r="H15" s="16" t="s">
        <v>4858</v>
      </c>
      <c r="I15" s="19">
        <v>26.6972</v>
      </c>
      <c r="J15" s="19">
        <v>72.0292</v>
      </c>
      <c r="K15" s="21">
        <v>2.0333</v>
      </c>
      <c r="L15" s="16" t="s">
        <v>4859</v>
      </c>
      <c r="M15" s="19">
        <v>2.7373</v>
      </c>
      <c r="N15" s="20">
        <v>639716.0</v>
      </c>
      <c r="O15" s="21">
        <v>17.99</v>
      </c>
      <c r="P15" s="21">
        <v>17.25</v>
      </c>
      <c r="Q15" s="21">
        <v>17.3</v>
      </c>
      <c r="R15" s="21">
        <v>0.4425</v>
      </c>
      <c r="S15" s="21">
        <v>0.9982</v>
      </c>
      <c r="T15" s="21">
        <v>349153.8</v>
      </c>
      <c r="U15" s="20">
        <v>3.04164513E9</v>
      </c>
      <c r="V15" s="19">
        <v>83.5628</v>
      </c>
      <c r="W15" s="21">
        <v>80.8102</v>
      </c>
      <c r="X15" s="21">
        <v>15.9346</v>
      </c>
      <c r="Y15" s="21">
        <v>16.2017</v>
      </c>
      <c r="Z15" s="21">
        <v>16.9504</v>
      </c>
      <c r="AA15" s="21">
        <v>16.5435</v>
      </c>
      <c r="AB15" s="21">
        <v>16.3537</v>
      </c>
      <c r="AC15" s="21">
        <v>16.2565</v>
      </c>
      <c r="AD15" s="21">
        <v>16.2357</v>
      </c>
      <c r="AE15" s="21">
        <v>19.65</v>
      </c>
      <c r="AF15" s="21">
        <v>10.229</v>
      </c>
      <c r="AG15" s="22">
        <f>IFERROR(__xludf.DUMMYFUNCTION("IFERROR(GOOGLEFINANCE(B15,""price""),"""")"),17.64)</f>
        <v>17.64</v>
      </c>
      <c r="AH15" s="22"/>
      <c r="AI15" s="22"/>
      <c r="AJ15" s="22"/>
      <c r="AK15" s="22"/>
      <c r="AL15" s="22"/>
      <c r="AM15" s="22"/>
      <c r="AN15" s="22"/>
    </row>
    <row r="16">
      <c r="A16" s="7">
        <v>46048.660940189526</v>
      </c>
      <c r="B16" s="8" t="s">
        <v>4860</v>
      </c>
      <c r="C16" s="8" t="s">
        <v>4861</v>
      </c>
      <c r="D16" s="9">
        <v>46054.0</v>
      </c>
      <c r="E16" s="10">
        <v>61.21</v>
      </c>
      <c r="F16" s="8" t="s">
        <v>93</v>
      </c>
      <c r="G16" s="11">
        <v>0.9</v>
      </c>
      <c r="H16" s="8" t="s">
        <v>4862</v>
      </c>
      <c r="I16" s="11">
        <v>28.7376</v>
      </c>
      <c r="J16" s="11">
        <v>46.8981</v>
      </c>
      <c r="K16" s="13">
        <v>1.5593</v>
      </c>
      <c r="L16" s="8" t="s">
        <v>4863</v>
      </c>
      <c r="M16" s="11">
        <v>-0.1142</v>
      </c>
      <c r="N16" s="12">
        <v>3452275.0</v>
      </c>
      <c r="O16" s="13">
        <v>61.41</v>
      </c>
      <c r="P16" s="13">
        <v>60.77</v>
      </c>
      <c r="Q16" s="13">
        <v>61.23</v>
      </c>
      <c r="R16" s="13">
        <v>1.7852</v>
      </c>
      <c r="S16" s="13">
        <v>3.9762</v>
      </c>
      <c r="T16" s="8">
        <v>2397799.0</v>
      </c>
      <c r="U16" s="12">
        <v>2.2060725772E10</v>
      </c>
      <c r="V16" s="11">
        <v>19.2349</v>
      </c>
      <c r="W16" s="13">
        <v>28.9644</v>
      </c>
      <c r="X16" s="13">
        <v>58.7924</v>
      </c>
      <c r="Y16" s="13">
        <v>56.5098</v>
      </c>
      <c r="Z16" s="13">
        <v>62.6541</v>
      </c>
      <c r="AA16" s="13">
        <v>62.433</v>
      </c>
      <c r="AB16" s="13">
        <v>61.419</v>
      </c>
      <c r="AC16" s="13">
        <v>60.3765</v>
      </c>
      <c r="AD16" s="13">
        <v>59.4121</v>
      </c>
      <c r="AE16" s="13">
        <v>69.848</v>
      </c>
      <c r="AF16" s="13">
        <v>12.3669</v>
      </c>
      <c r="AG16" s="14">
        <f>IFERROR(__xludf.DUMMYFUNCTION("IFERROR(GOOGLEFINANCE(B16,""price""),"""")"),47.29)</f>
        <v>47.29</v>
      </c>
      <c r="AH16" s="14"/>
      <c r="AI16" s="14"/>
      <c r="AJ16" s="14"/>
      <c r="AK16" s="14"/>
      <c r="AL16" s="14"/>
      <c r="AM16" s="14"/>
      <c r="AN16" s="14"/>
    </row>
    <row r="17">
      <c r="A17" s="15">
        <v>46048.660940189526</v>
      </c>
      <c r="B17" s="16" t="s">
        <v>1400</v>
      </c>
      <c r="C17" s="16" t="s">
        <v>1401</v>
      </c>
      <c r="D17" s="17">
        <v>46054.0</v>
      </c>
      <c r="E17" s="18">
        <v>88.42</v>
      </c>
      <c r="F17" s="16" t="s">
        <v>93</v>
      </c>
      <c r="G17" s="19">
        <v>0.91</v>
      </c>
      <c r="H17" s="16" t="s">
        <v>4864</v>
      </c>
      <c r="I17" s="19">
        <v>21.5596</v>
      </c>
      <c r="J17" s="19">
        <v>52.9958</v>
      </c>
      <c r="K17" s="21">
        <v>1.4758</v>
      </c>
      <c r="L17" s="16" t="s">
        <v>1402</v>
      </c>
      <c r="M17" s="19">
        <v>1.6322</v>
      </c>
      <c r="N17" s="20">
        <v>1155867.0</v>
      </c>
      <c r="O17" s="21">
        <v>88.83</v>
      </c>
      <c r="P17" s="21">
        <v>86.79</v>
      </c>
      <c r="Q17" s="21">
        <v>87.35</v>
      </c>
      <c r="R17" s="21">
        <v>2.5406</v>
      </c>
      <c r="S17" s="21">
        <v>5.561</v>
      </c>
      <c r="T17" s="21">
        <v>812477.2</v>
      </c>
      <c r="U17" s="20">
        <v>9.730945074E9</v>
      </c>
      <c r="V17" s="19">
        <v>50.8532</v>
      </c>
      <c r="W17" s="21">
        <v>62.4036</v>
      </c>
      <c r="X17" s="21">
        <v>84.6616</v>
      </c>
      <c r="Y17" s="21">
        <v>82.1717</v>
      </c>
      <c r="Z17" s="21">
        <v>88.5117</v>
      </c>
      <c r="AA17" s="21">
        <v>87.702</v>
      </c>
      <c r="AB17" s="21">
        <v>86.6841</v>
      </c>
      <c r="AC17" s="21">
        <v>85.4642</v>
      </c>
      <c r="AD17" s="21">
        <v>84.284</v>
      </c>
      <c r="AE17" s="21">
        <v>94.4</v>
      </c>
      <c r="AF17" s="21">
        <v>6.3347</v>
      </c>
      <c r="AG17" s="22">
        <f>IFERROR(__xludf.DUMMYFUNCTION("IFERROR(GOOGLEFINANCE(B17,""price""),"""")"),76.21)</f>
        <v>76.21</v>
      </c>
      <c r="AH17" s="22"/>
      <c r="AI17" s="22"/>
      <c r="AJ17" s="22"/>
      <c r="AK17" s="22"/>
      <c r="AL17" s="22"/>
      <c r="AM17" s="22"/>
      <c r="AN17" s="22"/>
    </row>
    <row r="18">
      <c r="A18" s="7">
        <v>46048.660940189526</v>
      </c>
      <c r="B18" s="8" t="s">
        <v>4865</v>
      </c>
      <c r="C18" s="8" t="s">
        <v>4866</v>
      </c>
      <c r="D18" s="9">
        <v>46054.0</v>
      </c>
      <c r="E18" s="10">
        <v>40.93</v>
      </c>
      <c r="F18" s="8" t="s">
        <v>270</v>
      </c>
      <c r="G18" s="11">
        <v>0.91</v>
      </c>
      <c r="H18" s="8" t="s">
        <v>4848</v>
      </c>
      <c r="I18" s="11">
        <v>24.8848</v>
      </c>
      <c r="J18" s="11">
        <v>72.4339</v>
      </c>
      <c r="K18" s="13">
        <v>1.3509</v>
      </c>
      <c r="L18" s="8" t="s">
        <v>4867</v>
      </c>
      <c r="M18" s="11">
        <v>2.325</v>
      </c>
      <c r="N18" s="12">
        <v>1722129.0</v>
      </c>
      <c r="O18" s="13">
        <v>41.38</v>
      </c>
      <c r="P18" s="13">
        <v>40.3</v>
      </c>
      <c r="Q18" s="13">
        <v>40.5</v>
      </c>
      <c r="R18" s="13">
        <v>1.1276</v>
      </c>
      <c r="S18" s="13">
        <v>2.4791</v>
      </c>
      <c r="T18" s="8">
        <v>1348492.0</v>
      </c>
      <c r="U18" s="12">
        <v>3.507040422E9</v>
      </c>
      <c r="V18" s="11">
        <v>89.2918</v>
      </c>
      <c r="W18" s="13">
        <v>89.8903</v>
      </c>
      <c r="X18" s="13">
        <v>36.229</v>
      </c>
      <c r="Y18" s="13">
        <v>35.4214</v>
      </c>
      <c r="Z18" s="13">
        <v>39.1024</v>
      </c>
      <c r="AA18" s="13">
        <v>37.8003</v>
      </c>
      <c r="AB18" s="13">
        <v>37.2035</v>
      </c>
      <c r="AC18" s="13">
        <v>36.6145</v>
      </c>
      <c r="AD18" s="13">
        <v>36.0869</v>
      </c>
      <c r="AE18" s="13">
        <v>50.43</v>
      </c>
      <c r="AF18" s="13">
        <v>18.838</v>
      </c>
      <c r="AG18" s="14">
        <f>IFERROR(__xludf.DUMMYFUNCTION("IFERROR(GOOGLEFINANCE(B18,""price""),"""")"),60.77)</f>
        <v>60.77</v>
      </c>
      <c r="AH18" s="14"/>
      <c r="AI18" s="14"/>
      <c r="AJ18" s="14"/>
      <c r="AK18" s="14"/>
      <c r="AL18" s="14"/>
      <c r="AM18" s="14"/>
      <c r="AN18" s="14"/>
    </row>
    <row r="19">
      <c r="A19" s="15">
        <v>46048.660940189526</v>
      </c>
      <c r="B19" s="16" t="s">
        <v>1616</v>
      </c>
      <c r="C19" s="16" t="s">
        <v>1617</v>
      </c>
      <c r="D19" s="17">
        <v>46054.0</v>
      </c>
      <c r="E19" s="18">
        <v>281.54</v>
      </c>
      <c r="F19" s="16" t="s">
        <v>129</v>
      </c>
      <c r="G19" s="19">
        <v>0.92</v>
      </c>
      <c r="H19" s="16" t="s">
        <v>4868</v>
      </c>
      <c r="I19" s="19">
        <v>22.1475</v>
      </c>
      <c r="J19" s="19">
        <v>63.7823</v>
      </c>
      <c r="K19" s="21">
        <v>1.6803</v>
      </c>
      <c r="L19" s="16" t="s">
        <v>1618</v>
      </c>
      <c r="M19" s="19">
        <v>0.4998</v>
      </c>
      <c r="N19" s="20">
        <v>526738.0</v>
      </c>
      <c r="O19" s="21">
        <v>283.45</v>
      </c>
      <c r="P19" s="21">
        <v>278.98</v>
      </c>
      <c r="Q19" s="21">
        <v>281.67</v>
      </c>
      <c r="R19" s="21">
        <v>5.8336</v>
      </c>
      <c r="S19" s="21">
        <v>12.6553</v>
      </c>
      <c r="T19" s="21">
        <v>340287.0</v>
      </c>
      <c r="U19" s="20">
        <v>1.0619101153E10</v>
      </c>
      <c r="V19" s="19">
        <v>82.5572</v>
      </c>
      <c r="W19" s="21">
        <v>84.3944</v>
      </c>
      <c r="X19" s="21">
        <v>262.1968</v>
      </c>
      <c r="Y19" s="21">
        <v>253.9816</v>
      </c>
      <c r="Z19" s="21">
        <v>279.5733</v>
      </c>
      <c r="AA19" s="21">
        <v>273.3309</v>
      </c>
      <c r="AB19" s="21">
        <v>269.3024</v>
      </c>
      <c r="AC19" s="21">
        <v>265.5744</v>
      </c>
      <c r="AD19" s="21">
        <v>262.1345</v>
      </c>
      <c r="AE19" s="21">
        <v>286.66</v>
      </c>
      <c r="AF19" s="21">
        <v>1.7861</v>
      </c>
      <c r="AG19" s="22">
        <f>IFERROR(__xludf.DUMMYFUNCTION("IFERROR(GOOGLEFINANCE(B19,""price""),"""")"),289.01)</f>
        <v>289.01</v>
      </c>
      <c r="AH19" s="22"/>
      <c r="AI19" s="22"/>
      <c r="AJ19" s="22"/>
      <c r="AK19" s="22"/>
      <c r="AL19" s="22"/>
      <c r="AM19" s="22"/>
      <c r="AN19" s="22"/>
    </row>
    <row r="20">
      <c r="A20" s="7">
        <v>46048.660940189526</v>
      </c>
      <c r="B20" s="8" t="s">
        <v>4869</v>
      </c>
      <c r="C20" s="8" t="s">
        <v>4870</v>
      </c>
      <c r="D20" s="9">
        <v>46054.0</v>
      </c>
      <c r="E20" s="10">
        <v>1068.14</v>
      </c>
      <c r="F20" s="8" t="s">
        <v>308</v>
      </c>
      <c r="G20" s="11">
        <v>0.93</v>
      </c>
      <c r="H20" s="8" t="s">
        <v>4848</v>
      </c>
      <c r="I20" s="11">
        <v>21.1528</v>
      </c>
      <c r="J20" s="11">
        <v>68.5462</v>
      </c>
      <c r="K20" s="13">
        <v>1.4225</v>
      </c>
      <c r="L20" s="8" t="s">
        <v>4871</v>
      </c>
      <c r="M20" s="11">
        <v>0.4136</v>
      </c>
      <c r="N20" s="12">
        <v>683259.0</v>
      </c>
      <c r="O20" s="13">
        <v>1077.25</v>
      </c>
      <c r="P20" s="13">
        <v>1051.96</v>
      </c>
      <c r="Q20" s="13">
        <v>1062.26</v>
      </c>
      <c r="R20" s="13">
        <v>36.0864</v>
      </c>
      <c r="S20" s="13">
        <v>77.5192</v>
      </c>
      <c r="T20" s="13">
        <v>495710.5</v>
      </c>
      <c r="U20" s="12">
        <v>5.1171384108E10</v>
      </c>
      <c r="V20" s="11">
        <v>82.1445</v>
      </c>
      <c r="W20" s="13">
        <v>85.6639</v>
      </c>
      <c r="X20" s="13">
        <v>954.6113</v>
      </c>
      <c r="Y20" s="13">
        <v>867.5837</v>
      </c>
      <c r="Z20" s="13">
        <v>1044.2134</v>
      </c>
      <c r="AA20" s="13">
        <v>1004.5926</v>
      </c>
      <c r="AB20" s="13">
        <v>987.0146</v>
      </c>
      <c r="AC20" s="13">
        <v>970.1941</v>
      </c>
      <c r="AD20" s="13">
        <v>943.732</v>
      </c>
      <c r="AE20" s="13">
        <v>1123.38</v>
      </c>
      <c r="AF20" s="13">
        <v>4.9173</v>
      </c>
      <c r="AG20" s="14">
        <f>IFERROR(__xludf.DUMMYFUNCTION("IFERROR(GOOGLEFINANCE(B20,""price""),"""")"),1353.85)</f>
        <v>1353.85</v>
      </c>
      <c r="AH20" s="14"/>
      <c r="AI20" s="14"/>
      <c r="AJ20" s="14"/>
      <c r="AK20" s="14"/>
      <c r="AL20" s="14"/>
      <c r="AM20" s="14"/>
      <c r="AN20" s="14"/>
    </row>
    <row r="21">
      <c r="A21" s="15">
        <v>46048.660940189526</v>
      </c>
      <c r="B21" s="16" t="s">
        <v>4872</v>
      </c>
      <c r="C21" s="16" t="s">
        <v>4873</v>
      </c>
      <c r="D21" s="17">
        <v>46054.0</v>
      </c>
      <c r="E21" s="18">
        <v>72.63</v>
      </c>
      <c r="F21" s="16" t="s">
        <v>107</v>
      </c>
      <c r="G21" s="19">
        <v>0.94</v>
      </c>
      <c r="H21" s="16" t="s">
        <v>4841</v>
      </c>
      <c r="I21" s="19">
        <v>27.9448</v>
      </c>
      <c r="J21" s="19">
        <v>68.9292</v>
      </c>
      <c r="K21" s="21">
        <v>1.3028</v>
      </c>
      <c r="L21" s="16" t="s">
        <v>4874</v>
      </c>
      <c r="M21" s="19">
        <v>1.2971</v>
      </c>
      <c r="N21" s="20">
        <v>5176190.0</v>
      </c>
      <c r="O21" s="21">
        <v>72.65</v>
      </c>
      <c r="P21" s="21">
        <v>71.79</v>
      </c>
      <c r="Q21" s="21">
        <v>72.38</v>
      </c>
      <c r="R21" s="21">
        <v>1.3818</v>
      </c>
      <c r="S21" s="21">
        <v>2.9471</v>
      </c>
      <c r="T21" s="16">
        <v>4156635.0</v>
      </c>
      <c r="U21" s="20">
        <v>4.9078412681E10</v>
      </c>
      <c r="V21" s="19">
        <v>92.1667</v>
      </c>
      <c r="W21" s="21">
        <v>86.9818</v>
      </c>
      <c r="X21" s="21">
        <v>67.2706</v>
      </c>
      <c r="Y21" s="21">
        <v>66.7226</v>
      </c>
      <c r="Z21" s="21">
        <v>70.9624</v>
      </c>
      <c r="AA21" s="21">
        <v>69.4687</v>
      </c>
      <c r="AB21" s="21">
        <v>68.5645</v>
      </c>
      <c r="AC21" s="21">
        <v>67.8472</v>
      </c>
      <c r="AD21" s="21">
        <v>67.5632</v>
      </c>
      <c r="AE21" s="21">
        <v>77.41</v>
      </c>
      <c r="AF21" s="21">
        <v>6.1749</v>
      </c>
      <c r="AG21" s="22">
        <f>IFERROR(__xludf.DUMMYFUNCTION("IFERROR(GOOGLEFINANCE(B21,""price""),"""")"),83.83)</f>
        <v>83.83</v>
      </c>
      <c r="AH21" s="22"/>
      <c r="AI21" s="22"/>
      <c r="AJ21" s="22"/>
      <c r="AK21" s="22"/>
      <c r="AL21" s="22"/>
      <c r="AM21" s="22"/>
      <c r="AN21" s="22"/>
    </row>
    <row r="22">
      <c r="A22" s="7">
        <v>46048.660940189526</v>
      </c>
      <c r="B22" s="8" t="s">
        <v>4875</v>
      </c>
      <c r="C22" s="8" t="s">
        <v>4876</v>
      </c>
      <c r="D22" s="9">
        <v>46054.0</v>
      </c>
      <c r="E22" s="10">
        <v>34.9</v>
      </c>
      <c r="F22" s="8" t="s">
        <v>917</v>
      </c>
      <c r="G22" s="11">
        <v>0.94</v>
      </c>
      <c r="H22" s="8" t="s">
        <v>4868</v>
      </c>
      <c r="I22" s="11">
        <v>45.4893</v>
      </c>
      <c r="J22" s="11">
        <v>74.6293</v>
      </c>
      <c r="K22" s="13">
        <v>1.6929</v>
      </c>
      <c r="L22" s="8" t="s">
        <v>4877</v>
      </c>
      <c r="M22" s="11">
        <v>-3.2169</v>
      </c>
      <c r="N22" s="12">
        <v>759305.0</v>
      </c>
      <c r="O22" s="13">
        <v>36.45</v>
      </c>
      <c r="P22" s="13">
        <v>34.89</v>
      </c>
      <c r="Q22" s="13">
        <v>36.45</v>
      </c>
      <c r="R22" s="13">
        <v>1.08</v>
      </c>
      <c r="S22" s="13">
        <v>2.2936</v>
      </c>
      <c r="T22" s="13">
        <v>493198.7</v>
      </c>
      <c r="U22" s="12">
        <v>3.979680924E9</v>
      </c>
      <c r="V22" s="11">
        <v>93.8681</v>
      </c>
      <c r="W22" s="13">
        <v>95.7125</v>
      </c>
      <c r="X22" s="13">
        <v>28.816</v>
      </c>
      <c r="Y22" s="13">
        <v>27.3181</v>
      </c>
      <c r="Z22" s="13">
        <v>33.9604</v>
      </c>
      <c r="AA22" s="13">
        <v>31.6851</v>
      </c>
      <c r="AB22" s="13">
        <v>30.4639</v>
      </c>
      <c r="AC22" s="13">
        <v>29.3391</v>
      </c>
      <c r="AD22" s="13">
        <v>28.4095</v>
      </c>
      <c r="AE22" s="13">
        <v>36.45</v>
      </c>
      <c r="AF22" s="13">
        <v>4.2524</v>
      </c>
      <c r="AG22" s="14">
        <f>IFERROR(__xludf.DUMMYFUNCTION("IFERROR(GOOGLEFINANCE(B22,""price""),"""")"),34.38)</f>
        <v>34.38</v>
      </c>
      <c r="AH22" s="14"/>
      <c r="AI22" s="14"/>
      <c r="AJ22" s="14"/>
      <c r="AK22" s="14"/>
      <c r="AL22" s="14"/>
      <c r="AM22" s="14"/>
      <c r="AN22" s="14"/>
    </row>
    <row r="23">
      <c r="A23" s="15">
        <v>46048.660940189526</v>
      </c>
      <c r="B23" s="16" t="s">
        <v>4878</v>
      </c>
      <c r="C23" s="16" t="s">
        <v>4879</v>
      </c>
      <c r="D23" s="17">
        <v>46054.0</v>
      </c>
      <c r="E23" s="18">
        <v>57.03</v>
      </c>
      <c r="F23" s="16" t="s">
        <v>162</v>
      </c>
      <c r="G23" s="19">
        <v>0.94</v>
      </c>
      <c r="H23" s="16" t="s">
        <v>4841</v>
      </c>
      <c r="I23" s="19">
        <v>22.6471</v>
      </c>
      <c r="J23" s="19">
        <v>58.4138</v>
      </c>
      <c r="K23" s="21">
        <v>1.3031</v>
      </c>
      <c r="L23" s="16" t="s">
        <v>4880</v>
      </c>
      <c r="M23" s="19">
        <v>-0.6619</v>
      </c>
      <c r="N23" s="20">
        <v>1209365.0</v>
      </c>
      <c r="O23" s="21">
        <v>57.7292</v>
      </c>
      <c r="P23" s="21">
        <v>56.49</v>
      </c>
      <c r="Q23" s="21">
        <v>57.68</v>
      </c>
      <c r="R23" s="21">
        <v>1.482</v>
      </c>
      <c r="S23" s="21">
        <v>3.138</v>
      </c>
      <c r="T23" s="21">
        <v>921223.4</v>
      </c>
      <c r="U23" s="20">
        <v>6.52955209E9</v>
      </c>
      <c r="V23" s="19">
        <v>81.7178</v>
      </c>
      <c r="W23" s="21">
        <v>80.1161</v>
      </c>
      <c r="X23" s="21">
        <v>53.0516</v>
      </c>
      <c r="Y23" s="21">
        <v>50.9451</v>
      </c>
      <c r="Z23" s="21">
        <v>56.8579</v>
      </c>
      <c r="AA23" s="21">
        <v>55.8335</v>
      </c>
      <c r="AB23" s="21">
        <v>54.9934</v>
      </c>
      <c r="AC23" s="21">
        <v>54.133</v>
      </c>
      <c r="AD23" s="21">
        <v>53.125</v>
      </c>
      <c r="AE23" s="21">
        <v>58.11</v>
      </c>
      <c r="AF23" s="21">
        <v>1.8585</v>
      </c>
      <c r="AG23" s="22">
        <f>IFERROR(__xludf.DUMMYFUNCTION("IFERROR(GOOGLEFINANCE(B23,""price""),"""")"),56.07)</f>
        <v>56.07</v>
      </c>
      <c r="AH23" s="22"/>
      <c r="AI23" s="22"/>
      <c r="AJ23" s="22"/>
      <c r="AK23" s="22"/>
      <c r="AL23" s="22"/>
      <c r="AM23" s="22"/>
      <c r="AN23" s="22"/>
    </row>
    <row r="24">
      <c r="A24" s="7">
        <v>46048.660940189526</v>
      </c>
      <c r="B24" s="8" t="s">
        <v>2505</v>
      </c>
      <c r="C24" s="8" t="s">
        <v>2506</v>
      </c>
      <c r="D24" s="9">
        <v>46054.0</v>
      </c>
      <c r="E24" s="10">
        <v>177.66</v>
      </c>
      <c r="F24" s="8" t="s">
        <v>335</v>
      </c>
      <c r="G24" s="11">
        <v>0.95</v>
      </c>
      <c r="H24" s="8" t="s">
        <v>4864</v>
      </c>
      <c r="I24" s="11">
        <v>29.8935</v>
      </c>
      <c r="J24" s="11">
        <v>63.2266</v>
      </c>
      <c r="K24" s="13">
        <v>1.471</v>
      </c>
      <c r="L24" s="8" t="s">
        <v>2507</v>
      </c>
      <c r="M24" s="11">
        <v>-2.1965</v>
      </c>
      <c r="N24" s="12">
        <v>2456863.0</v>
      </c>
      <c r="O24" s="13">
        <v>183.32</v>
      </c>
      <c r="P24" s="13">
        <v>177.13</v>
      </c>
      <c r="Q24" s="13">
        <v>182.63</v>
      </c>
      <c r="R24" s="13">
        <v>4.4448</v>
      </c>
      <c r="S24" s="13">
        <v>9.373</v>
      </c>
      <c r="T24" s="8">
        <v>1723909.0</v>
      </c>
      <c r="U24" s="12">
        <v>4.0659027785E10</v>
      </c>
      <c r="V24" s="11">
        <v>85.072</v>
      </c>
      <c r="W24" s="13">
        <v>88.8535</v>
      </c>
      <c r="X24" s="13">
        <v>162.9486</v>
      </c>
      <c r="Y24" s="13">
        <v>147.7479</v>
      </c>
      <c r="Z24" s="13">
        <v>176.695</v>
      </c>
      <c r="AA24" s="13">
        <v>171.4841</v>
      </c>
      <c r="AB24" s="13">
        <v>167.6883</v>
      </c>
      <c r="AC24" s="13">
        <v>162.785</v>
      </c>
      <c r="AD24" s="13">
        <v>156.9471</v>
      </c>
      <c r="AE24" s="13">
        <v>183.32</v>
      </c>
      <c r="AF24" s="13">
        <v>3.0875</v>
      </c>
      <c r="AG24" s="14">
        <f>IFERROR(__xludf.DUMMYFUNCTION("IFERROR(GOOGLEFINANCE(B24,""price""),"""")"),186.12)</f>
        <v>186.12</v>
      </c>
      <c r="AH24" s="14"/>
      <c r="AI24" s="14"/>
      <c r="AJ24" s="14"/>
      <c r="AK24" s="14"/>
      <c r="AL24" s="14"/>
      <c r="AM24" s="14"/>
      <c r="AN24" s="14"/>
    </row>
    <row r="25">
      <c r="A25" s="15">
        <v>46048.660940189526</v>
      </c>
      <c r="B25" s="16" t="s">
        <v>4881</v>
      </c>
      <c r="C25" s="16" t="s">
        <v>4882</v>
      </c>
      <c r="D25" s="17">
        <v>46054.0</v>
      </c>
      <c r="E25" s="18">
        <v>661.34</v>
      </c>
      <c r="F25" s="16" t="s">
        <v>137</v>
      </c>
      <c r="G25" s="19">
        <v>0.95</v>
      </c>
      <c r="H25" s="16" t="s">
        <v>4848</v>
      </c>
      <c r="I25" s="19">
        <v>50.5902</v>
      </c>
      <c r="J25" s="19">
        <v>60.6273</v>
      </c>
      <c r="K25" s="21">
        <v>1.4083</v>
      </c>
      <c r="L25" s="16" t="s">
        <v>4883</v>
      </c>
      <c r="M25" s="19">
        <v>-3.6116</v>
      </c>
      <c r="N25" s="20">
        <v>708258.0</v>
      </c>
      <c r="O25" s="21">
        <v>684.535</v>
      </c>
      <c r="P25" s="21">
        <v>660.42</v>
      </c>
      <c r="Q25" s="21">
        <v>684.03</v>
      </c>
      <c r="R25" s="21">
        <v>15.3758</v>
      </c>
      <c r="S25" s="21">
        <v>32.3607</v>
      </c>
      <c r="T25" s="21">
        <v>507765.7</v>
      </c>
      <c r="U25" s="20">
        <v>2.9338478075E10</v>
      </c>
      <c r="V25" s="19">
        <v>73.4792</v>
      </c>
      <c r="W25" s="21">
        <v>83.1775</v>
      </c>
      <c r="X25" s="21">
        <v>595.8666</v>
      </c>
      <c r="Y25" s="21">
        <v>526.2892</v>
      </c>
      <c r="Z25" s="21">
        <v>670.7771</v>
      </c>
      <c r="AA25" s="21">
        <v>650.0171</v>
      </c>
      <c r="AB25" s="21">
        <v>630.1703</v>
      </c>
      <c r="AC25" s="21">
        <v>606.5076</v>
      </c>
      <c r="AD25" s="21">
        <v>580.0751</v>
      </c>
      <c r="AE25" s="21">
        <v>695.34</v>
      </c>
      <c r="AF25" s="21">
        <v>4.8897</v>
      </c>
      <c r="AG25" s="22">
        <f>IFERROR(__xludf.DUMMYFUNCTION("IFERROR(GOOGLEFINANCE(B25,""price""),"""")"),520.38)</f>
        <v>520.38</v>
      </c>
      <c r="AH25" s="22"/>
      <c r="AI25" s="22"/>
      <c r="AJ25" s="22"/>
      <c r="AK25" s="22"/>
      <c r="AL25" s="22"/>
      <c r="AM25" s="22"/>
      <c r="AN25" s="22"/>
    </row>
    <row r="26">
      <c r="A26" s="7">
        <v>46048.660940189526</v>
      </c>
      <c r="B26" s="8" t="s">
        <v>4884</v>
      </c>
      <c r="C26" s="8" t="s">
        <v>4885</v>
      </c>
      <c r="D26" s="9">
        <v>46054.0</v>
      </c>
      <c r="E26" s="10">
        <v>19.05</v>
      </c>
      <c r="F26" s="8" t="s">
        <v>88</v>
      </c>
      <c r="G26" s="11">
        <v>0.95</v>
      </c>
      <c r="H26" s="8" t="s">
        <v>4848</v>
      </c>
      <c r="I26" s="11">
        <v>20.1332</v>
      </c>
      <c r="J26" s="11">
        <v>65.1374</v>
      </c>
      <c r="K26" s="13">
        <v>1.4081</v>
      </c>
      <c r="L26" s="8" t="s">
        <v>4886</v>
      </c>
      <c r="M26" s="11">
        <v>1.3837</v>
      </c>
      <c r="N26" s="12">
        <v>1.473083E7</v>
      </c>
      <c r="O26" s="13">
        <v>19.83</v>
      </c>
      <c r="P26" s="13">
        <v>18.75</v>
      </c>
      <c r="Q26" s="13">
        <v>19.03</v>
      </c>
      <c r="R26" s="13">
        <v>1.0518</v>
      </c>
      <c r="S26" s="13">
        <v>2.2089</v>
      </c>
      <c r="T26" s="8">
        <v>1.1075584E7</v>
      </c>
      <c r="U26" s="12">
        <v>5.906668239E9</v>
      </c>
      <c r="V26" s="11">
        <v>81.5302</v>
      </c>
      <c r="W26" s="13">
        <v>81.6618</v>
      </c>
      <c r="X26" s="13">
        <v>16.3712</v>
      </c>
      <c r="Y26" s="13">
        <v>15.1599</v>
      </c>
      <c r="Z26" s="13">
        <v>18.3422</v>
      </c>
      <c r="AA26" s="13">
        <v>17.4924</v>
      </c>
      <c r="AB26" s="13">
        <v>17.1751</v>
      </c>
      <c r="AC26" s="13">
        <v>16.9948</v>
      </c>
      <c r="AD26" s="13">
        <v>16.6619</v>
      </c>
      <c r="AE26" s="13">
        <v>23.63</v>
      </c>
      <c r="AF26" s="13">
        <v>19.3821</v>
      </c>
      <c r="AG26" s="14">
        <f>IFERROR(__xludf.DUMMYFUNCTION("IFERROR(GOOGLEFINANCE(B26,""price""),"""")"),18.32)</f>
        <v>18.32</v>
      </c>
      <c r="AH26" s="14"/>
      <c r="AI26" s="14"/>
      <c r="AJ26" s="14"/>
      <c r="AK26" s="14"/>
      <c r="AL26" s="14"/>
      <c r="AM26" s="14"/>
      <c r="AN26" s="14"/>
    </row>
    <row r="27">
      <c r="A27" s="15">
        <v>46048.660940189526</v>
      </c>
      <c r="B27" s="16" t="s">
        <v>4887</v>
      </c>
      <c r="C27" s="16" t="s">
        <v>4888</v>
      </c>
      <c r="D27" s="17">
        <v>46054.0</v>
      </c>
      <c r="E27" s="18">
        <v>6.05</v>
      </c>
      <c r="F27" s="16" t="s">
        <v>335</v>
      </c>
      <c r="G27" s="19">
        <v>0.96</v>
      </c>
      <c r="H27" s="16" t="s">
        <v>4868</v>
      </c>
      <c r="I27" s="19">
        <v>27.1842</v>
      </c>
      <c r="J27" s="19">
        <v>65.4034</v>
      </c>
      <c r="K27" s="21">
        <v>1.659</v>
      </c>
      <c r="L27" s="16" t="s">
        <v>4889</v>
      </c>
      <c r="M27" s="19">
        <v>-1.9449</v>
      </c>
      <c r="N27" s="20">
        <v>1169085.0</v>
      </c>
      <c r="O27" s="21">
        <v>6.72</v>
      </c>
      <c r="P27" s="21">
        <v>6.02</v>
      </c>
      <c r="Q27" s="21">
        <v>6.705</v>
      </c>
      <c r="R27" s="21">
        <v>0.474</v>
      </c>
      <c r="S27" s="21">
        <v>0.9914</v>
      </c>
      <c r="T27" s="21">
        <v>768076.6</v>
      </c>
      <c r="U27" s="20">
        <v>1.60653703E8</v>
      </c>
      <c r="V27" s="19">
        <v>82.6874</v>
      </c>
      <c r="W27" s="21">
        <v>80.5197</v>
      </c>
      <c r="X27" s="21">
        <v>4.8756</v>
      </c>
      <c r="Y27" s="21">
        <v>5.4114</v>
      </c>
      <c r="Z27" s="21">
        <v>5.766</v>
      </c>
      <c r="AA27" s="21">
        <v>5.3619</v>
      </c>
      <c r="AB27" s="21">
        <v>5.177</v>
      </c>
      <c r="AC27" s="21">
        <v>5.076</v>
      </c>
      <c r="AD27" s="21">
        <v>5.038</v>
      </c>
      <c r="AE27" s="21">
        <v>8.25</v>
      </c>
      <c r="AF27" s="21">
        <v>26.6667</v>
      </c>
      <c r="AG27" s="22">
        <f>IFERROR(__xludf.DUMMYFUNCTION("IFERROR(GOOGLEFINANCE(B27,""price""),"""")"),4.35)</f>
        <v>4.35</v>
      </c>
      <c r="AH27" s="22"/>
      <c r="AI27" s="22"/>
      <c r="AJ27" s="22"/>
      <c r="AK27" s="22"/>
      <c r="AL27" s="22"/>
      <c r="AM27" s="22"/>
      <c r="AN27" s="22"/>
    </row>
    <row r="28">
      <c r="A28" s="7">
        <v>46048.660940189526</v>
      </c>
      <c r="B28" s="8" t="s">
        <v>4890</v>
      </c>
      <c r="C28" s="8" t="s">
        <v>4891</v>
      </c>
      <c r="D28" s="9">
        <v>46054.0</v>
      </c>
      <c r="E28" s="10">
        <v>4.5</v>
      </c>
      <c r="F28" s="8" t="s">
        <v>335</v>
      </c>
      <c r="G28" s="11">
        <v>0.96</v>
      </c>
      <c r="H28" s="8" t="s">
        <v>4848</v>
      </c>
      <c r="I28" s="11">
        <v>33.4758</v>
      </c>
      <c r="J28" s="11">
        <v>62.5645</v>
      </c>
      <c r="K28" s="13">
        <v>1.4445</v>
      </c>
      <c r="L28" s="8" t="s">
        <v>4892</v>
      </c>
      <c r="M28" s="11">
        <v>-1.3158</v>
      </c>
      <c r="N28" s="12">
        <v>4643509.0</v>
      </c>
      <c r="O28" s="13">
        <v>4.83</v>
      </c>
      <c r="P28" s="13">
        <v>4.47</v>
      </c>
      <c r="Q28" s="13">
        <v>4.64</v>
      </c>
      <c r="R28" s="13">
        <v>0.2439</v>
      </c>
      <c r="S28" s="13">
        <v>0.5108</v>
      </c>
      <c r="T28" s="8">
        <v>3305836.0</v>
      </c>
      <c r="U28" s="12">
        <v>6.22587179E8</v>
      </c>
      <c r="V28" s="11">
        <v>73.3427</v>
      </c>
      <c r="W28" s="13">
        <v>82.8002</v>
      </c>
      <c r="X28" s="13">
        <v>3.8588</v>
      </c>
      <c r="Y28" s="13">
        <v>3.3733</v>
      </c>
      <c r="Z28" s="13">
        <v>4.4656</v>
      </c>
      <c r="AA28" s="13">
        <v>4.2149</v>
      </c>
      <c r="AB28" s="13">
        <v>4.0892</v>
      </c>
      <c r="AC28" s="13">
        <v>3.9793</v>
      </c>
      <c r="AD28" s="13">
        <v>3.8217</v>
      </c>
      <c r="AE28" s="13">
        <v>5.37</v>
      </c>
      <c r="AF28" s="13">
        <v>16.2011</v>
      </c>
      <c r="AG28" s="14">
        <f>IFERROR(__xludf.DUMMYFUNCTION("IFERROR(GOOGLEFINANCE(B28,""price""),"""")"),3.58)</f>
        <v>3.58</v>
      </c>
      <c r="AH28" s="14"/>
      <c r="AI28" s="14"/>
      <c r="AJ28" s="14"/>
      <c r="AK28" s="14"/>
      <c r="AL28" s="14"/>
      <c r="AM28" s="14"/>
      <c r="AN28" s="14"/>
    </row>
    <row r="29">
      <c r="A29" s="15">
        <v>46048.660940189526</v>
      </c>
      <c r="B29" s="16" t="s">
        <v>4893</v>
      </c>
      <c r="C29" s="16" t="s">
        <v>4894</v>
      </c>
      <c r="D29" s="17">
        <v>46054.0</v>
      </c>
      <c r="E29" s="18">
        <v>5.99</v>
      </c>
      <c r="F29" s="16" t="s">
        <v>335</v>
      </c>
      <c r="G29" s="19">
        <v>0.96</v>
      </c>
      <c r="H29" s="16" t="s">
        <v>4862</v>
      </c>
      <c r="I29" s="19">
        <v>23.3039</v>
      </c>
      <c r="J29" s="19">
        <v>57.7742</v>
      </c>
      <c r="K29" s="21">
        <v>1.563</v>
      </c>
      <c r="L29" s="16" t="s">
        <v>4895</v>
      </c>
      <c r="M29" s="19">
        <v>-6.9876</v>
      </c>
      <c r="N29" s="20">
        <v>3.3875406E7</v>
      </c>
      <c r="O29" s="21">
        <v>6.96</v>
      </c>
      <c r="P29" s="21">
        <v>5.9</v>
      </c>
      <c r="Q29" s="21">
        <v>6.88</v>
      </c>
      <c r="R29" s="21">
        <v>0.4615</v>
      </c>
      <c r="S29" s="21">
        <v>0.9593</v>
      </c>
      <c r="T29" s="16">
        <v>2.407192E7</v>
      </c>
      <c r="U29" s="20">
        <v>1.682467427E9</v>
      </c>
      <c r="V29" s="19">
        <v>75.1659</v>
      </c>
      <c r="W29" s="21">
        <v>81.0348</v>
      </c>
      <c r="X29" s="21">
        <v>5.1891</v>
      </c>
      <c r="Y29" s="21">
        <v>4.5418</v>
      </c>
      <c r="Z29" s="21">
        <v>5.9585</v>
      </c>
      <c r="AA29" s="21">
        <v>5.623</v>
      </c>
      <c r="AB29" s="21">
        <v>5.4755</v>
      </c>
      <c r="AC29" s="21">
        <v>5.356</v>
      </c>
      <c r="AD29" s="21">
        <v>5.1397</v>
      </c>
      <c r="AE29" s="21">
        <v>10.52</v>
      </c>
      <c r="AF29" s="21">
        <v>43.0608</v>
      </c>
      <c r="AG29" s="22">
        <f>IFERROR(__xludf.DUMMYFUNCTION("IFERROR(GOOGLEFINANCE(B29,""price""),"""")"),4.07)</f>
        <v>4.07</v>
      </c>
      <c r="AH29" s="22"/>
      <c r="AI29" s="22"/>
      <c r="AJ29" s="22"/>
      <c r="AK29" s="22"/>
      <c r="AL29" s="22"/>
      <c r="AM29" s="22"/>
      <c r="AN29" s="22"/>
    </row>
    <row r="30">
      <c r="A30" s="7">
        <v>46048.660940189526</v>
      </c>
      <c r="B30" s="8" t="s">
        <v>4896</v>
      </c>
      <c r="C30" s="8" t="s">
        <v>4897</v>
      </c>
      <c r="D30" s="9">
        <v>46054.0</v>
      </c>
      <c r="E30" s="10">
        <v>20.12</v>
      </c>
      <c r="F30" s="8" t="s">
        <v>93</v>
      </c>
      <c r="G30" s="11">
        <v>0.96</v>
      </c>
      <c r="H30" s="8" t="s">
        <v>4864</v>
      </c>
      <c r="I30" s="11">
        <v>20.618</v>
      </c>
      <c r="J30" s="11">
        <v>62.9115</v>
      </c>
      <c r="K30" s="13">
        <v>1.4523</v>
      </c>
      <c r="L30" s="8" t="s">
        <v>4898</v>
      </c>
      <c r="M30" s="11">
        <v>0.3491</v>
      </c>
      <c r="N30" s="12">
        <v>2881475.0</v>
      </c>
      <c r="O30" s="13">
        <v>20.29</v>
      </c>
      <c r="P30" s="13">
        <v>19.75</v>
      </c>
      <c r="Q30" s="13">
        <v>20.07</v>
      </c>
      <c r="R30" s="13">
        <v>0.5232</v>
      </c>
      <c r="S30" s="13">
        <v>1.0871</v>
      </c>
      <c r="T30" s="8">
        <v>2098916.0</v>
      </c>
      <c r="U30" s="12">
        <v>4.797625423E9</v>
      </c>
      <c r="V30" s="11">
        <v>70.9988</v>
      </c>
      <c r="W30" s="13">
        <v>78.1644</v>
      </c>
      <c r="X30" s="13">
        <v>18.9156</v>
      </c>
      <c r="Y30" s="13">
        <v>17.5759</v>
      </c>
      <c r="Z30" s="13">
        <v>19.8355</v>
      </c>
      <c r="AA30" s="13">
        <v>19.4497</v>
      </c>
      <c r="AB30" s="13">
        <v>19.2136</v>
      </c>
      <c r="AC30" s="13">
        <v>18.8966</v>
      </c>
      <c r="AD30" s="13">
        <v>18.4583</v>
      </c>
      <c r="AE30" s="13">
        <v>20.89</v>
      </c>
      <c r="AF30" s="13">
        <v>3.686</v>
      </c>
      <c r="AG30" s="14">
        <f>IFERROR(__xludf.DUMMYFUNCTION("IFERROR(GOOGLEFINANCE(B30,""price""),"""")"),20.83)</f>
        <v>20.83</v>
      </c>
      <c r="AH30" s="14"/>
      <c r="AI30" s="14"/>
      <c r="AJ30" s="14"/>
      <c r="AK30" s="14"/>
      <c r="AL30" s="14"/>
      <c r="AM30" s="14"/>
      <c r="AN30" s="14"/>
    </row>
    <row r="31">
      <c r="A31" s="15">
        <v>46048.660940189526</v>
      </c>
      <c r="B31" s="16" t="s">
        <v>1310</v>
      </c>
      <c r="C31" s="16" t="s">
        <v>1311</v>
      </c>
      <c r="D31" s="17">
        <v>46054.0</v>
      </c>
      <c r="E31" s="18">
        <v>75.31</v>
      </c>
      <c r="F31" s="16" t="s">
        <v>270</v>
      </c>
      <c r="G31" s="19">
        <v>0.97</v>
      </c>
      <c r="H31" s="16" t="s">
        <v>4848</v>
      </c>
      <c r="I31" s="19">
        <v>20.4445</v>
      </c>
      <c r="J31" s="19">
        <v>57.7765</v>
      </c>
      <c r="K31" s="21">
        <v>1.3668</v>
      </c>
      <c r="L31" s="16" t="s">
        <v>1312</v>
      </c>
      <c r="M31" s="19">
        <v>1.414</v>
      </c>
      <c r="N31" s="20">
        <v>413396.0</v>
      </c>
      <c r="O31" s="21">
        <v>76.93</v>
      </c>
      <c r="P31" s="21">
        <v>74.71</v>
      </c>
      <c r="Q31" s="21">
        <v>75.13</v>
      </c>
      <c r="R31" s="21">
        <v>1.8746</v>
      </c>
      <c r="S31" s="21">
        <v>3.8481</v>
      </c>
      <c r="T31" s="21">
        <v>305361.2</v>
      </c>
      <c r="U31" s="20">
        <v>3.757007106E9</v>
      </c>
      <c r="V31" s="19">
        <v>73.6487</v>
      </c>
      <c r="W31" s="21">
        <v>76.1647</v>
      </c>
      <c r="X31" s="21">
        <v>72.4255</v>
      </c>
      <c r="Y31" s="21">
        <v>74.747</v>
      </c>
      <c r="Z31" s="21">
        <v>74.4928</v>
      </c>
      <c r="AA31" s="21">
        <v>73.6716</v>
      </c>
      <c r="AB31" s="21">
        <v>73.1181</v>
      </c>
      <c r="AC31" s="21">
        <v>72.4913</v>
      </c>
      <c r="AD31" s="21">
        <v>72.2096</v>
      </c>
      <c r="AE31" s="21">
        <v>97.565</v>
      </c>
      <c r="AF31" s="21">
        <v>22.8104</v>
      </c>
      <c r="AG31" s="22">
        <f>IFERROR(__xludf.DUMMYFUNCTION("IFERROR(GOOGLEFINANCE(B31,""price""),"""")"),65.37)</f>
        <v>65.37</v>
      </c>
      <c r="AH31" s="22"/>
      <c r="AI31" s="22"/>
      <c r="AJ31" s="22"/>
      <c r="AK31" s="22"/>
      <c r="AL31" s="22"/>
      <c r="AM31" s="22"/>
      <c r="AN31" s="22"/>
    </row>
    <row r="32">
      <c r="A32" s="7">
        <v>46048.660940189526</v>
      </c>
      <c r="B32" s="8" t="s">
        <v>4899</v>
      </c>
      <c r="C32" s="8" t="s">
        <v>4900</v>
      </c>
      <c r="D32" s="9">
        <v>46054.0</v>
      </c>
      <c r="E32" s="10">
        <v>82.02</v>
      </c>
      <c r="F32" s="8" t="s">
        <v>308</v>
      </c>
      <c r="G32" s="11">
        <v>0.97</v>
      </c>
      <c r="H32" s="8" t="s">
        <v>4864</v>
      </c>
      <c r="I32" s="11">
        <v>26.4514</v>
      </c>
      <c r="J32" s="11">
        <v>58.9104</v>
      </c>
      <c r="K32" s="13">
        <v>1.4599</v>
      </c>
      <c r="L32" s="8" t="s">
        <v>4901</v>
      </c>
      <c r="M32" s="11">
        <v>-2.5312</v>
      </c>
      <c r="N32" s="12">
        <v>1524089.0</v>
      </c>
      <c r="O32" s="13">
        <v>84.14</v>
      </c>
      <c r="P32" s="13">
        <v>81.3</v>
      </c>
      <c r="Q32" s="13">
        <v>84.14</v>
      </c>
      <c r="R32" s="13">
        <v>1.9457</v>
      </c>
      <c r="S32" s="13">
        <v>4.016</v>
      </c>
      <c r="T32" s="8">
        <v>1076664.0</v>
      </c>
      <c r="U32" s="12">
        <v>6.52927383E9</v>
      </c>
      <c r="V32" s="11">
        <v>83.2895</v>
      </c>
      <c r="W32" s="13">
        <v>83.4179</v>
      </c>
      <c r="X32" s="13">
        <v>76.2942</v>
      </c>
      <c r="Y32" s="13">
        <v>67.7385</v>
      </c>
      <c r="Z32" s="13">
        <v>82.4603</v>
      </c>
      <c r="AA32" s="13">
        <v>80.3492</v>
      </c>
      <c r="AB32" s="13">
        <v>78.5456</v>
      </c>
      <c r="AC32" s="13">
        <v>76.1289</v>
      </c>
      <c r="AD32" s="13">
        <v>73.0451</v>
      </c>
      <c r="AE32" s="13">
        <v>84.64</v>
      </c>
      <c r="AF32" s="13">
        <v>3.0955</v>
      </c>
      <c r="AG32" s="14">
        <f>IFERROR(__xludf.DUMMYFUNCTION("IFERROR(GOOGLEFINANCE(B32,""price""),"""")"),83.59)</f>
        <v>83.59</v>
      </c>
      <c r="AH32" s="14"/>
      <c r="AI32" s="14"/>
      <c r="AJ32" s="14"/>
      <c r="AK32" s="14"/>
      <c r="AL32" s="14"/>
      <c r="AM32" s="14"/>
      <c r="AN32" s="14"/>
    </row>
    <row r="33">
      <c r="A33" s="15">
        <v>46048.660940189526</v>
      </c>
      <c r="B33" s="16" t="s">
        <v>2107</v>
      </c>
      <c r="C33" s="16" t="s">
        <v>2108</v>
      </c>
      <c r="D33" s="17">
        <v>46054.0</v>
      </c>
      <c r="E33" s="18">
        <v>6.54</v>
      </c>
      <c r="F33" s="16" t="s">
        <v>107</v>
      </c>
      <c r="G33" s="19">
        <v>0.97</v>
      </c>
      <c r="H33" s="16" t="s">
        <v>4841</v>
      </c>
      <c r="I33" s="19">
        <v>45.825</v>
      </c>
      <c r="J33" s="19">
        <v>74.7914</v>
      </c>
      <c r="K33" s="21">
        <v>1.3145</v>
      </c>
      <c r="L33" s="16" t="s">
        <v>2109</v>
      </c>
      <c r="M33" s="19">
        <v>3.9746</v>
      </c>
      <c r="N33" s="20">
        <v>4640763.0</v>
      </c>
      <c r="O33" s="21">
        <v>6.955</v>
      </c>
      <c r="P33" s="21">
        <v>6.29</v>
      </c>
      <c r="Q33" s="21">
        <v>6.54</v>
      </c>
      <c r="R33" s="21">
        <v>0.3689</v>
      </c>
      <c r="S33" s="21">
        <v>0.7575</v>
      </c>
      <c r="T33" s="16">
        <v>3427578.0</v>
      </c>
      <c r="U33" s="20">
        <v>1.036932182E9</v>
      </c>
      <c r="V33" s="19">
        <v>87.377</v>
      </c>
      <c r="W33" s="21">
        <v>90.3089</v>
      </c>
      <c r="X33" s="21">
        <v>4.4804</v>
      </c>
      <c r="Y33" s="21">
        <v>5.3716</v>
      </c>
      <c r="Z33" s="21">
        <v>6.0726</v>
      </c>
      <c r="AA33" s="21">
        <v>5.4701</v>
      </c>
      <c r="AB33" s="21">
        <v>5.0958</v>
      </c>
      <c r="AC33" s="21">
        <v>4.7635</v>
      </c>
      <c r="AD33" s="21">
        <v>4.6043</v>
      </c>
      <c r="AE33" s="21">
        <v>10.6</v>
      </c>
      <c r="AF33" s="21">
        <v>38.3019</v>
      </c>
      <c r="AG33" s="22">
        <f>IFERROR(__xludf.DUMMYFUNCTION("IFERROR(GOOGLEFINANCE(B33,""price""),"""")"),9.08)</f>
        <v>9.08</v>
      </c>
      <c r="AH33" s="22"/>
      <c r="AI33" s="22"/>
      <c r="AJ33" s="22"/>
      <c r="AK33" s="22"/>
      <c r="AL33" s="22"/>
      <c r="AM33" s="22"/>
      <c r="AN33" s="22"/>
    </row>
    <row r="34">
      <c r="A34" s="7">
        <v>46048.660940189526</v>
      </c>
      <c r="B34" s="8" t="s">
        <v>1359</v>
      </c>
      <c r="C34" s="8" t="s">
        <v>1360</v>
      </c>
      <c r="D34" s="9">
        <v>46054.0</v>
      </c>
      <c r="E34" s="10">
        <v>6.05</v>
      </c>
      <c r="F34" s="8" t="s">
        <v>93</v>
      </c>
      <c r="G34" s="11">
        <v>0.97</v>
      </c>
      <c r="H34" s="8" t="s">
        <v>4864</v>
      </c>
      <c r="I34" s="11">
        <v>24.6995</v>
      </c>
      <c r="J34" s="11">
        <v>48.104</v>
      </c>
      <c r="K34" s="13">
        <v>1.4827</v>
      </c>
      <c r="L34" s="8" t="s">
        <v>1361</v>
      </c>
      <c r="M34" s="11">
        <v>0.6656</v>
      </c>
      <c r="N34" s="12">
        <v>974771.0</v>
      </c>
      <c r="O34" s="13">
        <v>6.1</v>
      </c>
      <c r="P34" s="13">
        <v>5.885</v>
      </c>
      <c r="Q34" s="13">
        <v>5.98</v>
      </c>
      <c r="R34" s="13">
        <v>0.2006</v>
      </c>
      <c r="S34" s="13">
        <v>0.4134</v>
      </c>
      <c r="T34" s="13">
        <v>723932.7</v>
      </c>
      <c r="U34" s="12">
        <v>5.01450635E8</v>
      </c>
      <c r="V34" s="11">
        <v>34.1496</v>
      </c>
      <c r="W34" s="13">
        <v>49.1283</v>
      </c>
      <c r="X34" s="13">
        <v>5.8486</v>
      </c>
      <c r="Y34" s="13">
        <v>5.7205</v>
      </c>
      <c r="Z34" s="13">
        <v>6.1669</v>
      </c>
      <c r="AA34" s="13">
        <v>6.1413</v>
      </c>
      <c r="AB34" s="13">
        <v>6.0566</v>
      </c>
      <c r="AC34" s="13">
        <v>5.9368</v>
      </c>
      <c r="AD34" s="13">
        <v>5.8124</v>
      </c>
      <c r="AE34" s="13">
        <v>6.535</v>
      </c>
      <c r="AF34" s="13">
        <v>7.4216</v>
      </c>
      <c r="AG34" s="14">
        <f>IFERROR(__xludf.DUMMYFUNCTION("IFERROR(GOOGLEFINANCE(B34,""price""),"""")"),5.9)</f>
        <v>5.9</v>
      </c>
      <c r="AH34" s="14"/>
      <c r="AI34" s="14"/>
      <c r="AJ34" s="14"/>
      <c r="AK34" s="14"/>
      <c r="AL34" s="14"/>
      <c r="AM34" s="14"/>
      <c r="AN34" s="14"/>
    </row>
    <row r="35">
      <c r="A35" s="15">
        <v>46048.660940189526</v>
      </c>
      <c r="B35" s="16" t="s">
        <v>1322</v>
      </c>
      <c r="C35" s="16" t="s">
        <v>1323</v>
      </c>
      <c r="D35" s="17">
        <v>46054.0</v>
      </c>
      <c r="E35" s="18">
        <v>12.13</v>
      </c>
      <c r="F35" s="16" t="s">
        <v>93</v>
      </c>
      <c r="G35" s="19">
        <v>0.97</v>
      </c>
      <c r="H35" s="16" t="s">
        <v>4848</v>
      </c>
      <c r="I35" s="19">
        <v>26.7658</v>
      </c>
      <c r="J35" s="19">
        <v>55.256</v>
      </c>
      <c r="K35" s="21">
        <v>1.3528</v>
      </c>
      <c r="L35" s="16" t="s">
        <v>1324</v>
      </c>
      <c r="M35" s="19">
        <v>1.8472</v>
      </c>
      <c r="N35" s="20">
        <v>9162370.0</v>
      </c>
      <c r="O35" s="21">
        <v>12.16</v>
      </c>
      <c r="P35" s="21">
        <v>11.89</v>
      </c>
      <c r="Q35" s="21">
        <v>11.92</v>
      </c>
      <c r="R35" s="21">
        <v>0.3043</v>
      </c>
      <c r="S35" s="21">
        <v>0.6259</v>
      </c>
      <c r="T35" s="16">
        <v>6862509.0</v>
      </c>
      <c r="U35" s="20">
        <v>6.764119245E9</v>
      </c>
      <c r="V35" s="19">
        <v>51.3035</v>
      </c>
      <c r="W35" s="21">
        <v>60.5932</v>
      </c>
      <c r="X35" s="21">
        <v>11.6217</v>
      </c>
      <c r="Y35" s="21">
        <v>10.5403</v>
      </c>
      <c r="Z35" s="21">
        <v>12.0528</v>
      </c>
      <c r="AA35" s="21">
        <v>11.9445</v>
      </c>
      <c r="AB35" s="21">
        <v>11.8184</v>
      </c>
      <c r="AC35" s="21">
        <v>11.6004</v>
      </c>
      <c r="AD35" s="21">
        <v>11.2731</v>
      </c>
      <c r="AE35" s="21">
        <v>12.675</v>
      </c>
      <c r="AF35" s="21">
        <v>4.2998</v>
      </c>
      <c r="AG35" s="22">
        <f>IFERROR(__xludf.DUMMYFUNCTION("IFERROR(GOOGLEFINANCE(B35,""price""),"""")"),13.06)</f>
        <v>13.06</v>
      </c>
      <c r="AH35" s="22"/>
      <c r="AI35" s="22"/>
      <c r="AJ35" s="22"/>
      <c r="AK35" s="22"/>
      <c r="AL35" s="22"/>
      <c r="AM35" s="22"/>
      <c r="AN35" s="22"/>
    </row>
    <row r="36">
      <c r="A36" s="7">
        <v>46048.660940189526</v>
      </c>
      <c r="B36" s="8" t="s">
        <v>4902</v>
      </c>
      <c r="C36" s="8" t="s">
        <v>4903</v>
      </c>
      <c r="D36" s="9">
        <v>46054.0</v>
      </c>
      <c r="E36" s="10">
        <v>16.37</v>
      </c>
      <c r="F36" s="8" t="s">
        <v>93</v>
      </c>
      <c r="G36" s="11">
        <v>0.97</v>
      </c>
      <c r="H36" s="8" t="s">
        <v>4904</v>
      </c>
      <c r="I36" s="11">
        <v>33.1273</v>
      </c>
      <c r="J36" s="11">
        <v>45.3974</v>
      </c>
      <c r="K36" s="13">
        <v>4.0521</v>
      </c>
      <c r="L36" s="8" t="s">
        <v>4905</v>
      </c>
      <c r="M36" s="11">
        <v>-4.5481</v>
      </c>
      <c r="N36" s="12">
        <v>1876282.0</v>
      </c>
      <c r="O36" s="13">
        <v>16.925</v>
      </c>
      <c r="P36" s="13">
        <v>16.17</v>
      </c>
      <c r="Q36" s="13">
        <v>16.63</v>
      </c>
      <c r="R36" s="13">
        <v>0.437</v>
      </c>
      <c r="S36" s="13">
        <v>0.9038</v>
      </c>
      <c r="T36" s="13">
        <v>611134.6</v>
      </c>
      <c r="U36" s="12">
        <v>2.610474579E9</v>
      </c>
      <c r="V36" s="11">
        <v>50.6848</v>
      </c>
      <c r="W36" s="13">
        <v>62.8559</v>
      </c>
      <c r="X36" s="13">
        <v>15.9024</v>
      </c>
      <c r="Y36" s="13">
        <v>14.4543</v>
      </c>
      <c r="Z36" s="13">
        <v>17.0069</v>
      </c>
      <c r="AA36" s="13">
        <v>16.7919</v>
      </c>
      <c r="AB36" s="13">
        <v>16.4671</v>
      </c>
      <c r="AC36" s="13">
        <v>16.0395</v>
      </c>
      <c r="AD36" s="13">
        <v>15.5198</v>
      </c>
      <c r="AE36" s="13">
        <v>17.8</v>
      </c>
      <c r="AF36" s="13">
        <v>8.0337</v>
      </c>
      <c r="AG36" s="14">
        <f>IFERROR(__xludf.DUMMYFUNCTION("IFERROR(GOOGLEFINANCE(B36,""price""),"""")"),12.31)</f>
        <v>12.31</v>
      </c>
      <c r="AH36" s="14"/>
      <c r="AI36" s="14"/>
      <c r="AJ36" s="14"/>
      <c r="AK36" s="14"/>
      <c r="AL36" s="14"/>
      <c r="AM36" s="14"/>
      <c r="AN36" s="14"/>
    </row>
    <row r="37">
      <c r="A37" s="15">
        <v>46048.660940189526</v>
      </c>
      <c r="B37" s="16" t="s">
        <v>4906</v>
      </c>
      <c r="C37" s="16" t="s">
        <v>4907</v>
      </c>
      <c r="D37" s="17">
        <v>46054.0</v>
      </c>
      <c r="E37" s="18">
        <v>11.19</v>
      </c>
      <c r="F37" s="16" t="s">
        <v>308</v>
      </c>
      <c r="G37" s="19">
        <v>0.97</v>
      </c>
      <c r="H37" s="16" t="s">
        <v>4844</v>
      </c>
      <c r="I37" s="19">
        <v>38.9201</v>
      </c>
      <c r="J37" s="19">
        <v>66.2874</v>
      </c>
      <c r="K37" s="21">
        <v>1.7772</v>
      </c>
      <c r="L37" s="16" t="s">
        <v>4908</v>
      </c>
      <c r="M37" s="19">
        <v>5.9659</v>
      </c>
      <c r="N37" s="20">
        <v>948882.0</v>
      </c>
      <c r="O37" s="21">
        <v>11.4399</v>
      </c>
      <c r="P37" s="21">
        <v>10.63</v>
      </c>
      <c r="Q37" s="21">
        <v>10.65</v>
      </c>
      <c r="R37" s="21">
        <v>0.3389</v>
      </c>
      <c r="S37" s="21">
        <v>0.6973</v>
      </c>
      <c r="T37" s="21">
        <v>509893.5</v>
      </c>
      <c r="U37" s="20">
        <v>4.97885057E8</v>
      </c>
      <c r="V37" s="19">
        <v>63.3421</v>
      </c>
      <c r="W37" s="21">
        <v>61.5293</v>
      </c>
      <c r="X37" s="21">
        <v>9.898</v>
      </c>
      <c r="Y37" s="21">
        <v>9.8688</v>
      </c>
      <c r="Z37" s="21">
        <v>10.749</v>
      </c>
      <c r="AA37" s="21">
        <v>10.5327</v>
      </c>
      <c r="AB37" s="21">
        <v>10.3402</v>
      </c>
      <c r="AC37" s="21">
        <v>10.1013</v>
      </c>
      <c r="AD37" s="21">
        <v>9.8616</v>
      </c>
      <c r="AE37" s="21">
        <v>11.5</v>
      </c>
      <c r="AF37" s="21">
        <v>2.6957</v>
      </c>
      <c r="AG37" s="22">
        <f>IFERROR(__xludf.DUMMYFUNCTION("IFERROR(GOOGLEFINANCE(B37,""price""),"""")"),14.34)</f>
        <v>14.34</v>
      </c>
      <c r="AH37" s="22"/>
      <c r="AI37" s="22"/>
      <c r="AJ37" s="22"/>
      <c r="AK37" s="22"/>
      <c r="AL37" s="22"/>
      <c r="AM37" s="22"/>
      <c r="AN37" s="22"/>
    </row>
    <row r="38">
      <c r="A38" s="7">
        <v>46048.660940189526</v>
      </c>
      <c r="B38" s="8" t="s">
        <v>2438</v>
      </c>
      <c r="C38" s="8" t="s">
        <v>2439</v>
      </c>
      <c r="D38" s="9">
        <v>46054.0</v>
      </c>
      <c r="E38" s="10">
        <v>196.59</v>
      </c>
      <c r="F38" s="8" t="s">
        <v>308</v>
      </c>
      <c r="G38" s="11">
        <v>0.98</v>
      </c>
      <c r="H38" s="8" t="s">
        <v>4841</v>
      </c>
      <c r="I38" s="11">
        <v>33.8265</v>
      </c>
      <c r="J38" s="11">
        <v>65.1008</v>
      </c>
      <c r="K38" s="13">
        <v>1.3221</v>
      </c>
      <c r="L38" s="8" t="s">
        <v>2440</v>
      </c>
      <c r="M38" s="11">
        <v>1.6968</v>
      </c>
      <c r="N38" s="12">
        <v>9159358.0</v>
      </c>
      <c r="O38" s="13">
        <v>196.84</v>
      </c>
      <c r="P38" s="13">
        <v>192.44</v>
      </c>
      <c r="Q38" s="13">
        <v>193.31</v>
      </c>
      <c r="R38" s="13">
        <v>4.9813</v>
      </c>
      <c r="S38" s="13">
        <v>10.1926</v>
      </c>
      <c r="T38" s="8">
        <v>7241743.0</v>
      </c>
      <c r="U38" s="12">
        <v>1.7862619053E11</v>
      </c>
      <c r="V38" s="11">
        <v>80.0187</v>
      </c>
      <c r="W38" s="13">
        <v>80.7863</v>
      </c>
      <c r="X38" s="13">
        <v>177.2848</v>
      </c>
      <c r="Y38" s="13">
        <v>182.2742</v>
      </c>
      <c r="Z38" s="13">
        <v>192.8115</v>
      </c>
      <c r="AA38" s="13">
        <v>187.7285</v>
      </c>
      <c r="AB38" s="13">
        <v>184.1549</v>
      </c>
      <c r="AC38" s="13">
        <v>181.2808</v>
      </c>
      <c r="AD38" s="13">
        <v>180.3937</v>
      </c>
      <c r="AE38" s="13">
        <v>221.69</v>
      </c>
      <c r="AF38" s="13">
        <v>11.3221</v>
      </c>
      <c r="AG38" s="14">
        <f>IFERROR(__xludf.DUMMYFUNCTION("IFERROR(GOOGLEFINANCE(B38,""price""),"""")"),214.73)</f>
        <v>214.73</v>
      </c>
      <c r="AH38" s="14"/>
      <c r="AI38" s="14"/>
      <c r="AJ38" s="14"/>
      <c r="AK38" s="14"/>
      <c r="AL38" s="14"/>
      <c r="AM38" s="14"/>
      <c r="AN38" s="14"/>
    </row>
    <row r="39">
      <c r="A39" s="15">
        <v>46048.660940189526</v>
      </c>
      <c r="B39" s="16" t="s">
        <v>4909</v>
      </c>
      <c r="C39" s="16" t="s">
        <v>4910</v>
      </c>
      <c r="D39" s="17">
        <v>46054.0</v>
      </c>
      <c r="E39" s="18">
        <v>25.55</v>
      </c>
      <c r="F39" s="16" t="s">
        <v>93</v>
      </c>
      <c r="G39" s="19">
        <v>0.98</v>
      </c>
      <c r="H39" s="16" t="s">
        <v>4848</v>
      </c>
      <c r="I39" s="19">
        <v>27.3261</v>
      </c>
      <c r="J39" s="19">
        <v>58.2175</v>
      </c>
      <c r="K39" s="21">
        <v>1.4037</v>
      </c>
      <c r="L39" s="16" t="s">
        <v>4911</v>
      </c>
      <c r="M39" s="19">
        <v>0.9482</v>
      </c>
      <c r="N39" s="20">
        <v>5748110.0</v>
      </c>
      <c r="O39" s="21">
        <v>25.84</v>
      </c>
      <c r="P39" s="21">
        <v>25.395</v>
      </c>
      <c r="Q39" s="21">
        <v>25.44</v>
      </c>
      <c r="R39" s="21">
        <v>0.5658</v>
      </c>
      <c r="S39" s="21">
        <v>1.1543</v>
      </c>
      <c r="T39" s="16">
        <v>4154950.0</v>
      </c>
      <c r="U39" s="20">
        <v>1.3321531747E10</v>
      </c>
      <c r="V39" s="19">
        <v>68.4362</v>
      </c>
      <c r="W39" s="21">
        <v>68.6681</v>
      </c>
      <c r="X39" s="21">
        <v>23.7726</v>
      </c>
      <c r="Y39" s="21">
        <v>23.2702</v>
      </c>
      <c r="Z39" s="21">
        <v>25.4673</v>
      </c>
      <c r="AA39" s="21">
        <v>25.0434</v>
      </c>
      <c r="AB39" s="21">
        <v>24.629</v>
      </c>
      <c r="AC39" s="21">
        <v>24.2263</v>
      </c>
      <c r="AD39" s="21">
        <v>23.8989</v>
      </c>
      <c r="AE39" s="21">
        <v>26.245</v>
      </c>
      <c r="AF39" s="21">
        <v>2.6481</v>
      </c>
      <c r="AG39" s="22">
        <f>IFERROR(__xludf.DUMMYFUNCTION("IFERROR(GOOGLEFINANCE(B39,""price""),"""")"),24.91)</f>
        <v>24.91</v>
      </c>
      <c r="AH39" s="22"/>
      <c r="AI39" s="22"/>
      <c r="AJ39" s="22"/>
      <c r="AK39" s="22"/>
      <c r="AL39" s="22"/>
      <c r="AM39" s="22"/>
      <c r="AN39" s="22"/>
    </row>
    <row r="40">
      <c r="A40" s="7">
        <v>46048.660940189526</v>
      </c>
      <c r="B40" s="8" t="s">
        <v>1047</v>
      </c>
      <c r="C40" s="8" t="s">
        <v>1048</v>
      </c>
      <c r="D40" s="9">
        <v>46054.0</v>
      </c>
      <c r="E40" s="10">
        <v>6.52</v>
      </c>
      <c r="F40" s="8" t="s">
        <v>335</v>
      </c>
      <c r="G40" s="11">
        <v>0.99</v>
      </c>
      <c r="H40" s="8" t="s">
        <v>4912</v>
      </c>
      <c r="I40" s="11">
        <v>35.2354</v>
      </c>
      <c r="J40" s="11">
        <v>74.3409</v>
      </c>
      <c r="K40" s="13">
        <v>4.387</v>
      </c>
      <c r="L40" s="8" t="s">
        <v>1049</v>
      </c>
      <c r="M40" s="11">
        <v>4.9919</v>
      </c>
      <c r="N40" s="12">
        <v>1.9557816E7</v>
      </c>
      <c r="O40" s="13">
        <v>7.15</v>
      </c>
      <c r="P40" s="13">
        <v>6.41</v>
      </c>
      <c r="Q40" s="13">
        <v>7.15</v>
      </c>
      <c r="R40" s="13">
        <v>0.4382</v>
      </c>
      <c r="S40" s="13">
        <v>0.8852</v>
      </c>
      <c r="T40" s="8">
        <v>6112948.0</v>
      </c>
      <c r="U40" s="12">
        <v>1.115310517E9</v>
      </c>
      <c r="V40" s="11">
        <v>84.8181</v>
      </c>
      <c r="W40" s="13">
        <v>84.9129</v>
      </c>
      <c r="X40" s="13">
        <v>4.7088</v>
      </c>
      <c r="Y40" s="13">
        <v>3.3501</v>
      </c>
      <c r="Z40" s="13">
        <v>5.8586</v>
      </c>
      <c r="AA40" s="13">
        <v>5.3821</v>
      </c>
      <c r="AB40" s="13">
        <v>5.1265</v>
      </c>
      <c r="AC40" s="13">
        <v>4.8274</v>
      </c>
      <c r="AD40" s="13">
        <v>4.3905</v>
      </c>
      <c r="AE40" s="13">
        <v>11.29</v>
      </c>
      <c r="AF40" s="13">
        <v>42.2498</v>
      </c>
      <c r="AG40" s="14">
        <f>IFERROR(__xludf.DUMMYFUNCTION("IFERROR(GOOGLEFINANCE(B40,""price""),"""")"),3.88)</f>
        <v>3.88</v>
      </c>
      <c r="AH40" s="14"/>
      <c r="AI40" s="14"/>
      <c r="AJ40" s="14"/>
      <c r="AK40" s="14"/>
      <c r="AL40" s="14"/>
      <c r="AM40" s="14"/>
      <c r="AN40" s="14"/>
    </row>
    <row r="41">
      <c r="A41" s="15">
        <v>46048.660940189526</v>
      </c>
      <c r="B41" s="16" t="s">
        <v>1301</v>
      </c>
      <c r="C41" s="16" t="s">
        <v>1302</v>
      </c>
      <c r="D41" s="17">
        <v>46054.0</v>
      </c>
      <c r="E41" s="18">
        <v>66.64</v>
      </c>
      <c r="F41" s="16" t="s">
        <v>917</v>
      </c>
      <c r="G41" s="19">
        <v>0.99</v>
      </c>
      <c r="H41" s="16" t="s">
        <v>4864</v>
      </c>
      <c r="I41" s="19">
        <v>21.8946</v>
      </c>
      <c r="J41" s="19">
        <v>51.441</v>
      </c>
      <c r="K41" s="21">
        <v>1.4735</v>
      </c>
      <c r="L41" s="16" t="s">
        <v>1303</v>
      </c>
      <c r="M41" s="19">
        <v>0.2256</v>
      </c>
      <c r="N41" s="20">
        <v>708113.0</v>
      </c>
      <c r="O41" s="21">
        <v>67.485</v>
      </c>
      <c r="P41" s="21">
        <v>66.17</v>
      </c>
      <c r="Q41" s="21">
        <v>66.66</v>
      </c>
      <c r="R41" s="21">
        <v>1.4371</v>
      </c>
      <c r="S41" s="21">
        <v>2.8977</v>
      </c>
      <c r="T41" s="21">
        <v>509875.2</v>
      </c>
      <c r="U41" s="20">
        <v>4.092164228E9</v>
      </c>
      <c r="V41" s="19">
        <v>60.5873</v>
      </c>
      <c r="W41" s="21">
        <v>71.3921</v>
      </c>
      <c r="X41" s="21">
        <v>66.1746</v>
      </c>
      <c r="Y41" s="21">
        <v>60.2239</v>
      </c>
      <c r="Z41" s="21">
        <v>67.184</v>
      </c>
      <c r="AA41" s="21">
        <v>66.6255</v>
      </c>
      <c r="AB41" s="21">
        <v>66.1236</v>
      </c>
      <c r="AC41" s="21">
        <v>65.1755</v>
      </c>
      <c r="AD41" s="21">
        <v>63.6015</v>
      </c>
      <c r="AE41" s="21">
        <v>69.23</v>
      </c>
      <c r="AF41" s="21">
        <v>3.7412</v>
      </c>
      <c r="AG41" s="22">
        <f>IFERROR(__xludf.DUMMYFUNCTION("IFERROR(GOOGLEFINANCE(B41,""price""),"""")"),70.61)</f>
        <v>70.61</v>
      </c>
      <c r="AH41" s="22"/>
      <c r="AI41" s="22"/>
      <c r="AJ41" s="22"/>
      <c r="AK41" s="22"/>
      <c r="AL41" s="22"/>
      <c r="AM41" s="22"/>
      <c r="AN41" s="22"/>
    </row>
    <row r="42">
      <c r="A42" s="7">
        <v>46048.660940189526</v>
      </c>
      <c r="B42" s="8" t="s">
        <v>4913</v>
      </c>
      <c r="C42" s="8" t="s">
        <v>4914</v>
      </c>
      <c r="D42" s="9">
        <v>46054.0</v>
      </c>
      <c r="E42" s="10">
        <v>22.07</v>
      </c>
      <c r="F42" s="8" t="s">
        <v>117</v>
      </c>
      <c r="G42" s="11">
        <v>0.99</v>
      </c>
      <c r="H42" s="8" t="s">
        <v>4915</v>
      </c>
      <c r="I42" s="11">
        <v>48.8636</v>
      </c>
      <c r="J42" s="11">
        <v>54.8152</v>
      </c>
      <c r="K42" s="13">
        <v>1.8751</v>
      </c>
      <c r="L42" s="8" t="s">
        <v>4916</v>
      </c>
      <c r="M42" s="11">
        <v>-1.0758</v>
      </c>
      <c r="N42" s="12">
        <v>600981.0</v>
      </c>
      <c r="O42" s="13">
        <v>22.87</v>
      </c>
      <c r="P42" s="13">
        <v>21.65</v>
      </c>
      <c r="Q42" s="13">
        <v>22.35</v>
      </c>
      <c r="R42" s="13">
        <v>0.9726</v>
      </c>
      <c r="S42" s="13">
        <v>1.9667</v>
      </c>
      <c r="T42" s="13">
        <v>350377.8</v>
      </c>
      <c r="U42" s="12">
        <v>8.18701896E8</v>
      </c>
      <c r="V42" s="11">
        <v>48.6194</v>
      </c>
      <c r="W42" s="13">
        <v>47.5658</v>
      </c>
      <c r="X42" s="13">
        <v>19.666</v>
      </c>
      <c r="Y42" s="13">
        <v>17.982</v>
      </c>
      <c r="Z42" s="13">
        <v>22.2884</v>
      </c>
      <c r="AA42" s="13">
        <v>21.9051</v>
      </c>
      <c r="AB42" s="13">
        <v>21.0144</v>
      </c>
      <c r="AC42" s="13">
        <v>19.594</v>
      </c>
      <c r="AD42" s="13">
        <v>18.1675</v>
      </c>
      <c r="AE42" s="13">
        <v>26.04</v>
      </c>
      <c r="AF42" s="13">
        <v>15.2458</v>
      </c>
      <c r="AG42" s="14">
        <f>IFERROR(__xludf.DUMMYFUNCTION("IFERROR(GOOGLEFINANCE(B42,""price""),"""")"),18.15)</f>
        <v>18.15</v>
      </c>
      <c r="AH42" s="14"/>
      <c r="AI42" s="14"/>
      <c r="AJ42" s="14"/>
      <c r="AK42" s="14"/>
      <c r="AL42" s="14"/>
      <c r="AM42" s="14"/>
      <c r="AN42" s="14"/>
    </row>
    <row r="43">
      <c r="A43" s="7">
        <v>46048.69737079648</v>
      </c>
      <c r="B43" s="8" t="s">
        <v>1272</v>
      </c>
      <c r="C43" s="8" t="s">
        <v>1273</v>
      </c>
      <c r="D43" s="9">
        <v>46054.0</v>
      </c>
      <c r="E43" s="10">
        <v>31.86</v>
      </c>
      <c r="F43" s="8" t="s">
        <v>102</v>
      </c>
      <c r="G43" s="11">
        <v>0.14</v>
      </c>
      <c r="H43" s="8" t="s">
        <v>4821</v>
      </c>
      <c r="I43" s="11">
        <v>34.1235</v>
      </c>
      <c r="J43" s="11">
        <v>61.0598</v>
      </c>
      <c r="K43" s="13">
        <v>2.0309</v>
      </c>
      <c r="L43" s="8" t="s">
        <v>1274</v>
      </c>
      <c r="M43" s="11">
        <v>-0.0941</v>
      </c>
      <c r="N43" s="12">
        <v>1274194.0</v>
      </c>
      <c r="O43" s="13">
        <v>31.89</v>
      </c>
      <c r="P43" s="13">
        <v>31.855</v>
      </c>
      <c r="Q43" s="13">
        <v>31.86</v>
      </c>
      <c r="R43" s="13">
        <v>0.0724</v>
      </c>
      <c r="S43" s="13">
        <v>1.0529</v>
      </c>
      <c r="T43" s="13">
        <v>680479.6</v>
      </c>
      <c r="U43" s="12">
        <v>2.246405844E9</v>
      </c>
      <c r="V43" s="11">
        <v>89.8148</v>
      </c>
      <c r="W43" s="13">
        <v>85.571</v>
      </c>
      <c r="X43" s="13">
        <v>31.7618</v>
      </c>
      <c r="Y43" s="13">
        <v>28.717</v>
      </c>
      <c r="Z43" s="13">
        <v>31.848</v>
      </c>
      <c r="AA43" s="13">
        <v>31.8033</v>
      </c>
      <c r="AB43" s="13">
        <v>31.6823</v>
      </c>
      <c r="AC43" s="13">
        <v>31.2097</v>
      </c>
      <c r="AD43" s="13">
        <v>30.1912</v>
      </c>
      <c r="AE43" s="13">
        <v>35.48</v>
      </c>
      <c r="AF43" s="13">
        <v>10.2029</v>
      </c>
      <c r="AG43" s="14">
        <f>IFERROR(__xludf.DUMMYFUNCTION("IFERROR(GOOGLEFINANCE(B43,""price""),"""")"),0.16)</f>
        <v>0.16</v>
      </c>
      <c r="AH43" s="14"/>
      <c r="AI43" s="14"/>
      <c r="AJ43" s="14"/>
      <c r="AK43" s="14"/>
      <c r="AL43" s="14"/>
      <c r="AM43" s="14"/>
      <c r="AN43" s="14"/>
    </row>
    <row r="44">
      <c r="A44" s="15">
        <v>46048.69737079648</v>
      </c>
      <c r="B44" s="16" t="s">
        <v>2300</v>
      </c>
      <c r="C44" s="16" t="s">
        <v>2301</v>
      </c>
      <c r="D44" s="17">
        <v>46054.0</v>
      </c>
      <c r="E44" s="18">
        <v>24.13</v>
      </c>
      <c r="F44" s="16" t="s">
        <v>88</v>
      </c>
      <c r="G44" s="19">
        <v>0.4</v>
      </c>
      <c r="H44" s="16" t="s">
        <v>4822</v>
      </c>
      <c r="I44" s="19">
        <v>53.1576</v>
      </c>
      <c r="J44" s="19">
        <v>65.8944</v>
      </c>
      <c r="K44" s="21">
        <v>2.533</v>
      </c>
      <c r="L44" s="16" t="s">
        <v>2302</v>
      </c>
      <c r="M44" s="19">
        <v>-0.2068</v>
      </c>
      <c r="N44" s="20">
        <v>3.2722421E7</v>
      </c>
      <c r="O44" s="21">
        <v>24.17</v>
      </c>
      <c r="P44" s="21">
        <v>24.1</v>
      </c>
      <c r="Q44" s="21">
        <v>24.15</v>
      </c>
      <c r="R44" s="21">
        <v>0.2539</v>
      </c>
      <c r="S44" s="21">
        <v>1.2548</v>
      </c>
      <c r="T44" s="16">
        <v>1.5506336E7</v>
      </c>
      <c r="U44" s="20">
        <v>7.061896608E9</v>
      </c>
      <c r="V44" s="19">
        <v>44.9151</v>
      </c>
      <c r="W44" s="21">
        <v>64.5845</v>
      </c>
      <c r="X44" s="21">
        <v>22.5754</v>
      </c>
      <c r="Y44" s="21">
        <v>21.8792</v>
      </c>
      <c r="Z44" s="21">
        <v>24.1989</v>
      </c>
      <c r="AA44" s="21">
        <v>23.8572</v>
      </c>
      <c r="AB44" s="21">
        <v>23.2956</v>
      </c>
      <c r="AC44" s="21">
        <v>22.5111</v>
      </c>
      <c r="AD44" s="21">
        <v>21.8557</v>
      </c>
      <c r="AE44" s="21">
        <v>32.0</v>
      </c>
      <c r="AF44" s="21">
        <v>24.5938</v>
      </c>
      <c r="AG44" s="22">
        <f>IFERROR(__xludf.DUMMYFUNCTION("IFERROR(GOOGLEFINANCE(B44,""price""),"""")"),24.0)</f>
        <v>24</v>
      </c>
      <c r="AH44" s="22"/>
      <c r="AI44" s="22"/>
      <c r="AJ44" s="22"/>
      <c r="AK44" s="22"/>
      <c r="AL44" s="22"/>
      <c r="AM44" s="22"/>
      <c r="AN44" s="22"/>
    </row>
    <row r="45">
      <c r="A45" s="7">
        <v>46048.69737079648</v>
      </c>
      <c r="B45" s="8" t="s">
        <v>2177</v>
      </c>
      <c r="C45" s="8" t="s">
        <v>2178</v>
      </c>
      <c r="D45" s="9">
        <v>46054.0</v>
      </c>
      <c r="E45" s="10">
        <v>7.97</v>
      </c>
      <c r="F45" s="8" t="s">
        <v>88</v>
      </c>
      <c r="G45" s="11">
        <v>0.55</v>
      </c>
      <c r="H45" s="8" t="s">
        <v>4823</v>
      </c>
      <c r="I45" s="11">
        <v>61.3648</v>
      </c>
      <c r="J45" s="11">
        <v>79.162</v>
      </c>
      <c r="K45" s="13">
        <v>1.3132</v>
      </c>
      <c r="L45" s="8" t="s">
        <v>2179</v>
      </c>
      <c r="M45" s="11">
        <v>0.0</v>
      </c>
      <c r="N45" s="12">
        <v>574285.0</v>
      </c>
      <c r="O45" s="13">
        <v>8.0</v>
      </c>
      <c r="P45" s="13">
        <v>7.965</v>
      </c>
      <c r="Q45" s="13">
        <v>8.0</v>
      </c>
      <c r="R45" s="13">
        <v>0.1183</v>
      </c>
      <c r="S45" s="13">
        <v>0.4308</v>
      </c>
      <c r="T45" s="13">
        <v>400249.6</v>
      </c>
      <c r="U45" s="12">
        <v>3.38427588E8</v>
      </c>
      <c r="V45" s="11">
        <v>16.6667</v>
      </c>
      <c r="W45" s="13">
        <v>27.4074</v>
      </c>
      <c r="X45" s="13">
        <v>6.5272</v>
      </c>
      <c r="Y45" s="13">
        <v>6.0051</v>
      </c>
      <c r="Z45" s="13">
        <v>7.9515</v>
      </c>
      <c r="AA45" s="13">
        <v>7.5813</v>
      </c>
      <c r="AB45" s="13">
        <v>7.1964</v>
      </c>
      <c r="AC45" s="13">
        <v>6.7741</v>
      </c>
      <c r="AD45" s="13">
        <v>6.3909</v>
      </c>
      <c r="AE45" s="13">
        <v>8.1</v>
      </c>
      <c r="AF45" s="13">
        <v>1.6049</v>
      </c>
      <c r="AG45" s="14">
        <f>IFERROR(__xludf.DUMMYFUNCTION("IFERROR(GOOGLEFINANCE(B45,""price""),"""")"),8.1)</f>
        <v>8.1</v>
      </c>
      <c r="AH45" s="14"/>
      <c r="AI45" s="14"/>
      <c r="AJ45" s="14"/>
      <c r="AK45" s="14"/>
      <c r="AL45" s="14"/>
      <c r="AM45" s="14"/>
      <c r="AN45" s="14"/>
    </row>
    <row r="46">
      <c r="A46" s="15">
        <v>46048.69737079648</v>
      </c>
      <c r="B46" s="16" t="s">
        <v>4824</v>
      </c>
      <c r="C46" s="16" t="s">
        <v>4825</v>
      </c>
      <c r="D46" s="17">
        <v>46054.0</v>
      </c>
      <c r="E46" s="18">
        <v>3.23</v>
      </c>
      <c r="F46" s="16" t="s">
        <v>117</v>
      </c>
      <c r="G46" s="19">
        <v>0.66</v>
      </c>
      <c r="H46" s="16" t="s">
        <v>4826</v>
      </c>
      <c r="I46" s="19">
        <v>34.5063</v>
      </c>
      <c r="J46" s="19">
        <v>60.1475</v>
      </c>
      <c r="K46" s="21">
        <v>3.1268</v>
      </c>
      <c r="L46" s="16" t="s">
        <v>4827</v>
      </c>
      <c r="M46" s="19">
        <v>9.1216</v>
      </c>
      <c r="N46" s="20">
        <v>1254934.0</v>
      </c>
      <c r="O46" s="21">
        <v>3.33</v>
      </c>
      <c r="P46" s="21">
        <v>2.96</v>
      </c>
      <c r="Q46" s="21">
        <v>3.06</v>
      </c>
      <c r="R46" s="21">
        <v>0.2523</v>
      </c>
      <c r="S46" s="21">
        <v>0.7689</v>
      </c>
      <c r="T46" s="21">
        <v>492675.6</v>
      </c>
      <c r="U46" s="20">
        <v>1.27681405E8</v>
      </c>
      <c r="V46" s="19">
        <v>51.1372</v>
      </c>
      <c r="W46" s="21">
        <v>33.0078</v>
      </c>
      <c r="X46" s="21">
        <v>2.7106</v>
      </c>
      <c r="Y46" s="21">
        <v>3.3354</v>
      </c>
      <c r="Z46" s="21">
        <v>3.0036</v>
      </c>
      <c r="AA46" s="21">
        <v>2.9153</v>
      </c>
      <c r="AB46" s="21">
        <v>2.8681</v>
      </c>
      <c r="AC46" s="21">
        <v>2.8451</v>
      </c>
      <c r="AD46" s="21">
        <v>2.7972</v>
      </c>
      <c r="AE46" s="21">
        <v>9.08</v>
      </c>
      <c r="AF46" s="21">
        <v>64.4273</v>
      </c>
      <c r="AG46" s="22" t="str">
        <f>IFERROR(__xludf.DUMMYFUNCTION("IFERROR(GOOGLEFINANCE(B46,""price""),"""")"),"")</f>
        <v/>
      </c>
      <c r="AH46" s="22"/>
      <c r="AI46" s="22"/>
      <c r="AJ46" s="22"/>
      <c r="AK46" s="22"/>
      <c r="AL46" s="22"/>
      <c r="AM46" s="22"/>
      <c r="AN46" s="22"/>
    </row>
    <row r="47">
      <c r="A47" s="7">
        <v>46048.69737079648</v>
      </c>
      <c r="B47" s="8" t="s">
        <v>4828</v>
      </c>
      <c r="C47" s="8" t="s">
        <v>4829</v>
      </c>
      <c r="D47" s="9">
        <v>46054.0</v>
      </c>
      <c r="E47" s="10">
        <v>2.88</v>
      </c>
      <c r="F47" s="8" t="s">
        <v>335</v>
      </c>
      <c r="G47" s="11">
        <v>0.73</v>
      </c>
      <c r="H47" s="8" t="s">
        <v>4917</v>
      </c>
      <c r="I47" s="11">
        <v>20.8297</v>
      </c>
      <c r="J47" s="11">
        <v>49.2991</v>
      </c>
      <c r="K47" s="13">
        <v>2.1635</v>
      </c>
      <c r="L47" s="8" t="s">
        <v>4831</v>
      </c>
      <c r="M47" s="11">
        <v>-5.8824</v>
      </c>
      <c r="N47" s="12">
        <v>1907596.0</v>
      </c>
      <c r="O47" s="13">
        <v>3.22</v>
      </c>
      <c r="P47" s="13">
        <v>2.87</v>
      </c>
      <c r="Q47" s="13">
        <v>3.2</v>
      </c>
      <c r="R47" s="13">
        <v>0.1861</v>
      </c>
      <c r="S47" s="13">
        <v>0.5079</v>
      </c>
      <c r="T47" s="8">
        <v>1023280.0</v>
      </c>
      <c r="U47" s="12">
        <v>4.38913982E8</v>
      </c>
      <c r="V47" s="11">
        <v>61.3255</v>
      </c>
      <c r="W47" s="13">
        <v>69.037</v>
      </c>
      <c r="X47" s="13">
        <v>2.8402</v>
      </c>
      <c r="Y47" s="13">
        <v>2.4457</v>
      </c>
      <c r="Z47" s="13">
        <v>2.9816</v>
      </c>
      <c r="AA47" s="13">
        <v>2.9149</v>
      </c>
      <c r="AB47" s="13">
        <v>2.8801</v>
      </c>
      <c r="AC47" s="13">
        <v>2.8355</v>
      </c>
      <c r="AD47" s="13">
        <v>2.7376</v>
      </c>
      <c r="AE47" s="13">
        <v>6.06</v>
      </c>
      <c r="AF47" s="13">
        <v>52.4752</v>
      </c>
      <c r="AG47" s="14">
        <f>IFERROR(__xludf.DUMMYFUNCTION("IFERROR(GOOGLEFINANCE(B47,""price""),"""")"),1.83)</f>
        <v>1.83</v>
      </c>
      <c r="AH47" s="14"/>
      <c r="AI47" s="14"/>
      <c r="AJ47" s="14"/>
      <c r="AK47" s="14"/>
      <c r="AL47" s="14"/>
      <c r="AM47" s="14"/>
      <c r="AN47" s="14"/>
    </row>
    <row r="48">
      <c r="A48" s="15">
        <v>46048.69737079648</v>
      </c>
      <c r="B48" s="16" t="s">
        <v>4832</v>
      </c>
      <c r="C48" s="16" t="s">
        <v>4833</v>
      </c>
      <c r="D48" s="17">
        <v>46054.0</v>
      </c>
      <c r="E48" s="18">
        <v>263.63</v>
      </c>
      <c r="F48" s="16" t="s">
        <v>190</v>
      </c>
      <c r="G48" s="19">
        <v>0.8</v>
      </c>
      <c r="H48" s="16" t="s">
        <v>4918</v>
      </c>
      <c r="I48" s="19">
        <v>22.9281</v>
      </c>
      <c r="J48" s="19">
        <v>46.411</v>
      </c>
      <c r="K48" s="21">
        <v>1.6804</v>
      </c>
      <c r="L48" s="16" t="s">
        <v>4835</v>
      </c>
      <c r="M48" s="19">
        <v>-1.0769</v>
      </c>
      <c r="N48" s="20">
        <v>1635541.0</v>
      </c>
      <c r="O48" s="21">
        <v>269.0886</v>
      </c>
      <c r="P48" s="21">
        <v>261.47</v>
      </c>
      <c r="Q48" s="21">
        <v>264.85</v>
      </c>
      <c r="R48" s="21">
        <v>8.1889</v>
      </c>
      <c r="S48" s="21">
        <v>20.3692</v>
      </c>
      <c r="T48" s="16">
        <v>1075774.0</v>
      </c>
      <c r="U48" s="20">
        <v>3.1707589784E10</v>
      </c>
      <c r="V48" s="19">
        <v>19.3411</v>
      </c>
      <c r="W48" s="21">
        <v>31.2431</v>
      </c>
      <c r="X48" s="21">
        <v>257.146</v>
      </c>
      <c r="Y48" s="21">
        <v>266.8526</v>
      </c>
      <c r="Z48" s="21">
        <v>268.8795</v>
      </c>
      <c r="AA48" s="21">
        <v>268.4095</v>
      </c>
      <c r="AB48" s="21">
        <v>266.2691</v>
      </c>
      <c r="AC48" s="21">
        <v>264.7134</v>
      </c>
      <c r="AD48" s="21">
        <v>263.9284</v>
      </c>
      <c r="AE48" s="21">
        <v>315.3482</v>
      </c>
      <c r="AF48" s="21">
        <v>16.4003</v>
      </c>
      <c r="AG48" s="22">
        <f>IFERROR(__xludf.DUMMYFUNCTION("IFERROR(GOOGLEFINANCE(B48,""price""),"""")"),192.15)</f>
        <v>192.15</v>
      </c>
      <c r="AH48" s="22"/>
      <c r="AI48" s="22"/>
      <c r="AJ48" s="22"/>
      <c r="AK48" s="22"/>
      <c r="AL48" s="22"/>
      <c r="AM48" s="22"/>
      <c r="AN48" s="22"/>
    </row>
    <row r="49">
      <c r="A49" s="7">
        <v>46048.69737079648</v>
      </c>
      <c r="B49" s="8" t="s">
        <v>1905</v>
      </c>
      <c r="C49" s="8" t="s">
        <v>1906</v>
      </c>
      <c r="D49" s="9">
        <v>46054.0</v>
      </c>
      <c r="E49" s="10">
        <v>65.75</v>
      </c>
      <c r="F49" s="8" t="s">
        <v>308</v>
      </c>
      <c r="G49" s="11">
        <v>0.82</v>
      </c>
      <c r="H49" s="8" t="s">
        <v>4836</v>
      </c>
      <c r="I49" s="11">
        <v>34.5498</v>
      </c>
      <c r="J49" s="11">
        <v>57.2214</v>
      </c>
      <c r="K49" s="13">
        <v>2.1848</v>
      </c>
      <c r="L49" s="8" t="s">
        <v>1907</v>
      </c>
      <c r="M49" s="11">
        <v>-0.3486</v>
      </c>
      <c r="N49" s="12">
        <v>2489943.0</v>
      </c>
      <c r="O49" s="13">
        <v>66.23</v>
      </c>
      <c r="P49" s="13">
        <v>64.965</v>
      </c>
      <c r="Q49" s="13">
        <v>66.0</v>
      </c>
      <c r="R49" s="13">
        <v>1.7237</v>
      </c>
      <c r="S49" s="13">
        <v>4.1994</v>
      </c>
      <c r="T49" s="8">
        <v>1366566.0</v>
      </c>
      <c r="U49" s="12">
        <v>4.03767828E10</v>
      </c>
      <c r="V49" s="11">
        <v>57.7451</v>
      </c>
      <c r="W49" s="13">
        <v>71.5881</v>
      </c>
      <c r="X49" s="13">
        <v>59.2447</v>
      </c>
      <c r="Y49" s="13">
        <v>58.8976</v>
      </c>
      <c r="Z49" s="13">
        <v>66.1771</v>
      </c>
      <c r="AA49" s="13">
        <v>64.5182</v>
      </c>
      <c r="AB49" s="13">
        <v>62.9145</v>
      </c>
      <c r="AC49" s="13">
        <v>61.4163</v>
      </c>
      <c r="AD49" s="13">
        <v>60.2096</v>
      </c>
      <c r="AE49" s="13">
        <v>70.7999</v>
      </c>
      <c r="AF49" s="13">
        <v>7.1326</v>
      </c>
      <c r="AG49" s="14">
        <f>IFERROR(__xludf.DUMMYFUNCTION("IFERROR(GOOGLEFINANCE(B49,""price""),"""")"),62.44)</f>
        <v>62.44</v>
      </c>
      <c r="AH49" s="14"/>
      <c r="AI49" s="14"/>
      <c r="AJ49" s="14"/>
      <c r="AK49" s="14"/>
      <c r="AL49" s="14"/>
      <c r="AM49" s="14"/>
      <c r="AN49" s="14"/>
    </row>
    <row r="50">
      <c r="A50" s="15">
        <v>46048.69737079648</v>
      </c>
      <c r="B50" s="16" t="s">
        <v>4837</v>
      </c>
      <c r="C50" s="16" t="s">
        <v>4838</v>
      </c>
      <c r="D50" s="17">
        <v>46054.0</v>
      </c>
      <c r="E50" s="18">
        <v>11.01</v>
      </c>
      <c r="F50" s="16" t="s">
        <v>286</v>
      </c>
      <c r="G50" s="19">
        <v>0.83</v>
      </c>
      <c r="H50" s="16" t="s">
        <v>4839</v>
      </c>
      <c r="I50" s="19">
        <v>23.7866</v>
      </c>
      <c r="J50" s="19">
        <v>59.9745</v>
      </c>
      <c r="K50" s="21">
        <v>1.6141</v>
      </c>
      <c r="L50" s="16" t="s">
        <v>4840</v>
      </c>
      <c r="M50" s="19">
        <v>-0.4521</v>
      </c>
      <c r="N50" s="20">
        <v>705365.0</v>
      </c>
      <c r="O50" s="21">
        <v>11.19</v>
      </c>
      <c r="P50" s="21">
        <v>10.98</v>
      </c>
      <c r="Q50" s="21">
        <v>11.04</v>
      </c>
      <c r="R50" s="21">
        <v>0.3821</v>
      </c>
      <c r="S50" s="21">
        <v>0.9159</v>
      </c>
      <c r="T50" s="21">
        <v>484912.8</v>
      </c>
      <c r="U50" s="20">
        <v>5.36738318E8</v>
      </c>
      <c r="V50" s="19">
        <v>69.8615</v>
      </c>
      <c r="W50" s="21">
        <v>71.2519</v>
      </c>
      <c r="X50" s="21">
        <v>10.192</v>
      </c>
      <c r="Y50" s="21">
        <v>9.9302</v>
      </c>
      <c r="Z50" s="21">
        <v>10.9865</v>
      </c>
      <c r="AA50" s="21">
        <v>10.6679</v>
      </c>
      <c r="AB50" s="21">
        <v>10.5212</v>
      </c>
      <c r="AC50" s="21">
        <v>10.4501</v>
      </c>
      <c r="AD50" s="21">
        <v>10.3521</v>
      </c>
      <c r="AE50" s="21">
        <v>14.62</v>
      </c>
      <c r="AF50" s="21">
        <v>24.6922</v>
      </c>
      <c r="AG50" s="22">
        <f>IFERROR(__xludf.DUMMYFUNCTION("IFERROR(GOOGLEFINANCE(B50,""price""),"""")"),7.52)</f>
        <v>7.52</v>
      </c>
      <c r="AH50" s="22"/>
      <c r="AI50" s="22"/>
      <c r="AJ50" s="22"/>
      <c r="AK50" s="22"/>
      <c r="AL50" s="22"/>
      <c r="AM50" s="22"/>
      <c r="AN50" s="22"/>
    </row>
    <row r="51">
      <c r="A51" s="7">
        <v>46048.69737079648</v>
      </c>
      <c r="B51" s="8" t="s">
        <v>1230</v>
      </c>
      <c r="C51" s="8" t="s">
        <v>1231</v>
      </c>
      <c r="D51" s="9">
        <v>46054.0</v>
      </c>
      <c r="E51" s="10">
        <v>65.34</v>
      </c>
      <c r="F51" s="8" t="s">
        <v>149</v>
      </c>
      <c r="G51" s="11">
        <v>0.86</v>
      </c>
      <c r="H51" s="8" t="s">
        <v>4841</v>
      </c>
      <c r="I51" s="11">
        <v>22.5778</v>
      </c>
      <c r="J51" s="11">
        <v>53.6135</v>
      </c>
      <c r="K51" s="13">
        <v>1.3427</v>
      </c>
      <c r="L51" s="8" t="s">
        <v>1232</v>
      </c>
      <c r="M51" s="11">
        <v>-0.2899</v>
      </c>
      <c r="N51" s="12">
        <v>1803862.0</v>
      </c>
      <c r="O51" s="13">
        <v>65.99</v>
      </c>
      <c r="P51" s="13">
        <v>65.26</v>
      </c>
      <c r="Q51" s="13">
        <v>65.53</v>
      </c>
      <c r="R51" s="13">
        <v>1.0955</v>
      </c>
      <c r="S51" s="13">
        <v>2.5519</v>
      </c>
      <c r="T51" s="8">
        <v>1390437.0</v>
      </c>
      <c r="U51" s="12">
        <v>3.0534235567E10</v>
      </c>
      <c r="V51" s="11">
        <v>20.4821</v>
      </c>
      <c r="W51" s="13">
        <v>21.695</v>
      </c>
      <c r="X51" s="13">
        <v>62.9006</v>
      </c>
      <c r="Y51" s="13">
        <v>55.7089</v>
      </c>
      <c r="Z51" s="13">
        <v>65.5453</v>
      </c>
      <c r="AA51" s="13">
        <v>65.3046</v>
      </c>
      <c r="AB51" s="13">
        <v>64.3647</v>
      </c>
      <c r="AC51" s="13">
        <v>62.7371</v>
      </c>
      <c r="AD51" s="13">
        <v>60.5585</v>
      </c>
      <c r="AE51" s="13">
        <v>68.175</v>
      </c>
      <c r="AF51" s="13">
        <v>4.1584</v>
      </c>
      <c r="AG51" s="14">
        <f>IFERROR(__xludf.DUMMYFUNCTION("IFERROR(GOOGLEFINANCE(B51,""price""),"""")"),54.93)</f>
        <v>54.93</v>
      </c>
      <c r="AH51" s="14"/>
      <c r="AI51" s="14"/>
      <c r="AJ51" s="14"/>
      <c r="AK51" s="14"/>
      <c r="AL51" s="14"/>
      <c r="AM51" s="14"/>
      <c r="AN51" s="14"/>
    </row>
    <row r="52">
      <c r="A52" s="15">
        <v>46048.69737079648</v>
      </c>
      <c r="B52" s="16" t="s">
        <v>4842</v>
      </c>
      <c r="C52" s="16" t="s">
        <v>4843</v>
      </c>
      <c r="D52" s="17">
        <v>46054.0</v>
      </c>
      <c r="E52" s="18">
        <v>106.97</v>
      </c>
      <c r="F52" s="16" t="s">
        <v>162</v>
      </c>
      <c r="G52" s="19">
        <v>0.86</v>
      </c>
      <c r="H52" s="16" t="s">
        <v>4844</v>
      </c>
      <c r="I52" s="19">
        <v>39.745</v>
      </c>
      <c r="J52" s="19">
        <v>59.1911</v>
      </c>
      <c r="K52" s="21">
        <v>1.8374</v>
      </c>
      <c r="L52" s="16" t="s">
        <v>4845</v>
      </c>
      <c r="M52" s="19">
        <v>-0.9354</v>
      </c>
      <c r="N52" s="20">
        <v>8172716.0</v>
      </c>
      <c r="O52" s="21">
        <v>108.62</v>
      </c>
      <c r="P52" s="21">
        <v>106.78</v>
      </c>
      <c r="Q52" s="21">
        <v>108.21</v>
      </c>
      <c r="R52" s="21">
        <v>2.013</v>
      </c>
      <c r="S52" s="21">
        <v>4.6923</v>
      </c>
      <c r="T52" s="16">
        <v>4714820.0</v>
      </c>
      <c r="U52" s="20">
        <v>9.0751810054E10</v>
      </c>
      <c r="V52" s="19">
        <v>77.7647</v>
      </c>
      <c r="W52" s="21">
        <v>83.3146</v>
      </c>
      <c r="X52" s="21">
        <v>100.3222</v>
      </c>
      <c r="Y52" s="21">
        <v>99.9858</v>
      </c>
      <c r="Z52" s="21">
        <v>107.4861</v>
      </c>
      <c r="AA52" s="21">
        <v>105.3894</v>
      </c>
      <c r="AB52" s="21">
        <v>103.3018</v>
      </c>
      <c r="AC52" s="21">
        <v>100.6486</v>
      </c>
      <c r="AD52" s="21">
        <v>98.3317</v>
      </c>
      <c r="AE52" s="21">
        <v>136.99</v>
      </c>
      <c r="AF52" s="21">
        <v>21.914</v>
      </c>
      <c r="AG52" s="22">
        <f>IFERROR(__xludf.DUMMYFUNCTION("IFERROR(GOOGLEFINANCE(B52,""price""),"""")"),101.7)</f>
        <v>101.7</v>
      </c>
      <c r="AH52" s="22"/>
      <c r="AI52" s="22"/>
      <c r="AJ52" s="22"/>
      <c r="AK52" s="22"/>
      <c r="AL52" s="22"/>
      <c r="AM52" s="22"/>
      <c r="AN52" s="22"/>
    </row>
    <row r="53">
      <c r="A53" s="7">
        <v>46048.69737079648</v>
      </c>
      <c r="B53" s="8" t="s">
        <v>4846</v>
      </c>
      <c r="C53" s="8" t="s">
        <v>4847</v>
      </c>
      <c r="D53" s="9">
        <v>46054.0</v>
      </c>
      <c r="E53" s="10">
        <v>6.2</v>
      </c>
      <c r="F53" s="8" t="s">
        <v>149</v>
      </c>
      <c r="G53" s="11">
        <v>0.86</v>
      </c>
      <c r="H53" s="8" t="s">
        <v>4848</v>
      </c>
      <c r="I53" s="11">
        <v>31.2318</v>
      </c>
      <c r="J53" s="11">
        <v>70.2409</v>
      </c>
      <c r="K53" s="13">
        <v>1.4224</v>
      </c>
      <c r="L53" s="8" t="s">
        <v>4849</v>
      </c>
      <c r="M53" s="11">
        <v>-2.3622</v>
      </c>
      <c r="N53" s="12">
        <v>1521163.0</v>
      </c>
      <c r="O53" s="13">
        <v>6.32</v>
      </c>
      <c r="P53" s="13">
        <v>5.9</v>
      </c>
      <c r="Q53" s="13">
        <v>6.27</v>
      </c>
      <c r="R53" s="13">
        <v>0.3182</v>
      </c>
      <c r="S53" s="13">
        <v>0.7418</v>
      </c>
      <c r="T53" s="8">
        <v>1136826.0</v>
      </c>
      <c r="U53" s="12">
        <v>7.21025667E8</v>
      </c>
      <c r="V53" s="11">
        <v>91.3446</v>
      </c>
      <c r="W53" s="13">
        <v>92.4252</v>
      </c>
      <c r="X53" s="13">
        <v>4.8746</v>
      </c>
      <c r="Y53" s="13">
        <v>5.3749</v>
      </c>
      <c r="Z53" s="13">
        <v>5.9194</v>
      </c>
      <c r="AA53" s="13">
        <v>5.4675</v>
      </c>
      <c r="AB53" s="13">
        <v>5.2681</v>
      </c>
      <c r="AC53" s="13">
        <v>5.1395</v>
      </c>
      <c r="AD53" s="13">
        <v>5.1107</v>
      </c>
      <c r="AE53" s="13">
        <v>7.935</v>
      </c>
      <c r="AF53" s="13">
        <v>21.8652</v>
      </c>
      <c r="AG53" s="14">
        <f>IFERROR(__xludf.DUMMYFUNCTION("IFERROR(GOOGLEFINANCE(B53,""price""),"""")"),5.59)</f>
        <v>5.59</v>
      </c>
      <c r="AH53" s="14"/>
      <c r="AI53" s="14"/>
      <c r="AJ53" s="14"/>
      <c r="AK53" s="14"/>
      <c r="AL53" s="14"/>
      <c r="AM53" s="14"/>
      <c r="AN53" s="14"/>
    </row>
    <row r="54">
      <c r="A54" s="15">
        <v>46048.69737079648</v>
      </c>
      <c r="B54" s="16" t="s">
        <v>4850</v>
      </c>
      <c r="C54" s="16" t="s">
        <v>4851</v>
      </c>
      <c r="D54" s="17">
        <v>46054.0</v>
      </c>
      <c r="E54" s="18">
        <v>96.33</v>
      </c>
      <c r="F54" s="16" t="s">
        <v>149</v>
      </c>
      <c r="G54" s="19">
        <v>0.88</v>
      </c>
      <c r="H54" s="16" t="s">
        <v>4848</v>
      </c>
      <c r="I54" s="19">
        <v>30.2497</v>
      </c>
      <c r="J54" s="19">
        <v>67.8072</v>
      </c>
      <c r="K54" s="21">
        <v>1.3513</v>
      </c>
      <c r="L54" s="16" t="s">
        <v>4852</v>
      </c>
      <c r="M54" s="19">
        <v>-1.3215</v>
      </c>
      <c r="N54" s="20">
        <v>1.4102794E7</v>
      </c>
      <c r="O54" s="21">
        <v>97.97</v>
      </c>
      <c r="P54" s="21">
        <v>95.79</v>
      </c>
      <c r="Q54" s="21">
        <v>97.21</v>
      </c>
      <c r="R54" s="21">
        <v>2.3426</v>
      </c>
      <c r="S54" s="21">
        <v>5.3533</v>
      </c>
      <c r="T54" s="16">
        <v>1.1087121E7</v>
      </c>
      <c r="U54" s="20">
        <v>1.0953684373E11</v>
      </c>
      <c r="V54" s="19">
        <v>90.5131</v>
      </c>
      <c r="W54" s="21">
        <v>93.0123</v>
      </c>
      <c r="X54" s="21">
        <v>87.1376</v>
      </c>
      <c r="Y54" s="21">
        <v>88.3737</v>
      </c>
      <c r="Z54" s="21">
        <v>94.6609</v>
      </c>
      <c r="AA54" s="21">
        <v>91.2607</v>
      </c>
      <c r="AB54" s="21">
        <v>89.5198</v>
      </c>
      <c r="AC54" s="21">
        <v>88.1387</v>
      </c>
      <c r="AD54" s="21">
        <v>87.4833</v>
      </c>
      <c r="AE54" s="21">
        <v>117.46</v>
      </c>
      <c r="AF54" s="21">
        <v>17.9891</v>
      </c>
      <c r="AG54" s="22">
        <f>IFERROR(__xludf.DUMMYFUNCTION("IFERROR(GOOGLEFINANCE(B54,""price""),"""")"),96.6)</f>
        <v>96.6</v>
      </c>
      <c r="AH54" s="22"/>
      <c r="AI54" s="22"/>
      <c r="AJ54" s="22"/>
      <c r="AK54" s="22"/>
      <c r="AL54" s="22"/>
      <c r="AM54" s="22"/>
      <c r="AN54" s="22"/>
    </row>
    <row r="55">
      <c r="A55" s="7">
        <v>46048.69737079648</v>
      </c>
      <c r="B55" s="8" t="s">
        <v>4853</v>
      </c>
      <c r="C55" s="8" t="s">
        <v>4854</v>
      </c>
      <c r="D55" s="9">
        <v>46054.0</v>
      </c>
      <c r="E55" s="10">
        <v>29.92</v>
      </c>
      <c r="F55" s="8" t="s">
        <v>162</v>
      </c>
      <c r="G55" s="11">
        <v>0.88</v>
      </c>
      <c r="H55" s="8" t="s">
        <v>4841</v>
      </c>
      <c r="I55" s="11">
        <v>49.7029</v>
      </c>
      <c r="J55" s="11">
        <v>65.2863</v>
      </c>
      <c r="K55" s="13">
        <v>1.3323</v>
      </c>
      <c r="L55" s="8" t="s">
        <v>4855</v>
      </c>
      <c r="M55" s="11">
        <v>-0.2001</v>
      </c>
      <c r="N55" s="12">
        <v>943461.0</v>
      </c>
      <c r="O55" s="13">
        <v>30.05</v>
      </c>
      <c r="P55" s="13">
        <v>29.44</v>
      </c>
      <c r="Q55" s="13">
        <v>29.99</v>
      </c>
      <c r="R55" s="13">
        <v>0.7089</v>
      </c>
      <c r="S55" s="13">
        <v>1.6092</v>
      </c>
      <c r="T55" s="13">
        <v>720964.6</v>
      </c>
      <c r="U55" s="12">
        <v>5.244963827E9</v>
      </c>
      <c r="V55" s="11">
        <v>86.9686</v>
      </c>
      <c r="W55" s="13">
        <v>89.0648</v>
      </c>
      <c r="X55" s="13">
        <v>26.0742</v>
      </c>
      <c r="Y55" s="13">
        <v>25.0893</v>
      </c>
      <c r="Z55" s="13">
        <v>29.6702</v>
      </c>
      <c r="AA55" s="13">
        <v>28.6589</v>
      </c>
      <c r="AB55" s="13">
        <v>27.7359</v>
      </c>
      <c r="AC55" s="13">
        <v>26.6593</v>
      </c>
      <c r="AD55" s="13">
        <v>25.7343</v>
      </c>
      <c r="AE55" s="13">
        <v>30.84</v>
      </c>
      <c r="AF55" s="13">
        <v>2.9831</v>
      </c>
      <c r="AG55" s="14">
        <f>IFERROR(__xludf.DUMMYFUNCTION("IFERROR(GOOGLEFINANCE(B55,""price""),"""")"),28.29)</f>
        <v>28.29</v>
      </c>
      <c r="AH55" s="14"/>
      <c r="AI55" s="14"/>
      <c r="AJ55" s="14"/>
      <c r="AK55" s="14"/>
      <c r="AL55" s="14"/>
      <c r="AM55" s="14"/>
      <c r="AN55" s="14"/>
    </row>
    <row r="56">
      <c r="A56" s="15">
        <v>46048.69737079648</v>
      </c>
      <c r="B56" s="16" t="s">
        <v>4856</v>
      </c>
      <c r="C56" s="16" t="s">
        <v>4857</v>
      </c>
      <c r="D56" s="17">
        <v>46054.0</v>
      </c>
      <c r="E56" s="18">
        <v>17.64</v>
      </c>
      <c r="F56" s="16" t="s">
        <v>149</v>
      </c>
      <c r="G56" s="19">
        <v>0.89</v>
      </c>
      <c r="H56" s="16" t="s">
        <v>4919</v>
      </c>
      <c r="I56" s="19">
        <v>26.6972</v>
      </c>
      <c r="J56" s="19">
        <v>72.0292</v>
      </c>
      <c r="K56" s="21">
        <v>2.0553</v>
      </c>
      <c r="L56" s="16" t="s">
        <v>4859</v>
      </c>
      <c r="M56" s="19">
        <v>2.7373</v>
      </c>
      <c r="N56" s="20">
        <v>646638.0</v>
      </c>
      <c r="O56" s="21">
        <v>17.99</v>
      </c>
      <c r="P56" s="21">
        <v>17.25</v>
      </c>
      <c r="Q56" s="21">
        <v>17.3</v>
      </c>
      <c r="R56" s="21">
        <v>0.4425</v>
      </c>
      <c r="S56" s="21">
        <v>0.9982</v>
      </c>
      <c r="T56" s="21">
        <v>349846.0</v>
      </c>
      <c r="U56" s="20">
        <v>3.04164513E9</v>
      </c>
      <c r="V56" s="19">
        <v>83.5628</v>
      </c>
      <c r="W56" s="21">
        <v>80.8102</v>
      </c>
      <c r="X56" s="21">
        <v>15.9346</v>
      </c>
      <c r="Y56" s="21">
        <v>16.2017</v>
      </c>
      <c r="Z56" s="21">
        <v>16.9504</v>
      </c>
      <c r="AA56" s="21">
        <v>16.5435</v>
      </c>
      <c r="AB56" s="21">
        <v>16.3537</v>
      </c>
      <c r="AC56" s="21">
        <v>16.2565</v>
      </c>
      <c r="AD56" s="21">
        <v>16.2357</v>
      </c>
      <c r="AE56" s="21">
        <v>19.65</v>
      </c>
      <c r="AF56" s="21">
        <v>10.229</v>
      </c>
      <c r="AG56" s="22">
        <f>IFERROR(__xludf.DUMMYFUNCTION("IFERROR(GOOGLEFINANCE(B56,""price""),"""")"),17.64)</f>
        <v>17.64</v>
      </c>
      <c r="AH56" s="22"/>
      <c r="AI56" s="22"/>
      <c r="AJ56" s="22"/>
      <c r="AK56" s="22"/>
      <c r="AL56" s="22"/>
      <c r="AM56" s="22"/>
      <c r="AN56" s="22"/>
    </row>
    <row r="57">
      <c r="A57" s="7">
        <v>46048.69737079648</v>
      </c>
      <c r="B57" s="8" t="s">
        <v>4860</v>
      </c>
      <c r="C57" s="8" t="s">
        <v>4861</v>
      </c>
      <c r="D57" s="9">
        <v>46054.0</v>
      </c>
      <c r="E57" s="10">
        <v>61.21</v>
      </c>
      <c r="F57" s="8" t="s">
        <v>93</v>
      </c>
      <c r="G57" s="11">
        <v>0.9</v>
      </c>
      <c r="H57" s="8" t="s">
        <v>4862</v>
      </c>
      <c r="I57" s="11">
        <v>28.7376</v>
      </c>
      <c r="J57" s="11">
        <v>46.8981</v>
      </c>
      <c r="K57" s="13">
        <v>1.5602</v>
      </c>
      <c r="L57" s="8" t="s">
        <v>4863</v>
      </c>
      <c r="M57" s="11">
        <v>-0.1142</v>
      </c>
      <c r="N57" s="12">
        <v>3454243.0</v>
      </c>
      <c r="O57" s="13">
        <v>61.41</v>
      </c>
      <c r="P57" s="13">
        <v>60.77</v>
      </c>
      <c r="Q57" s="13">
        <v>61.23</v>
      </c>
      <c r="R57" s="13">
        <v>1.7852</v>
      </c>
      <c r="S57" s="13">
        <v>3.9762</v>
      </c>
      <c r="T57" s="8">
        <v>2397996.0</v>
      </c>
      <c r="U57" s="12">
        <v>2.2060725772E10</v>
      </c>
      <c r="V57" s="11">
        <v>19.2349</v>
      </c>
      <c r="W57" s="13">
        <v>28.9644</v>
      </c>
      <c r="X57" s="13">
        <v>58.7924</v>
      </c>
      <c r="Y57" s="13">
        <v>56.5098</v>
      </c>
      <c r="Z57" s="13">
        <v>62.6541</v>
      </c>
      <c r="AA57" s="13">
        <v>62.433</v>
      </c>
      <c r="AB57" s="13">
        <v>61.419</v>
      </c>
      <c r="AC57" s="13">
        <v>60.3765</v>
      </c>
      <c r="AD57" s="13">
        <v>59.4121</v>
      </c>
      <c r="AE57" s="13">
        <v>69.848</v>
      </c>
      <c r="AF57" s="13">
        <v>12.3669</v>
      </c>
      <c r="AG57" s="14">
        <f>IFERROR(__xludf.DUMMYFUNCTION("IFERROR(GOOGLEFINANCE(B57,""price""),"""")"),47.29)</f>
        <v>47.29</v>
      </c>
      <c r="AH57" s="14"/>
      <c r="AI57" s="14"/>
      <c r="AJ57" s="14"/>
      <c r="AK57" s="14"/>
      <c r="AL57" s="14"/>
      <c r="AM57" s="14"/>
      <c r="AN57" s="14"/>
    </row>
    <row r="58">
      <c r="A58" s="15">
        <v>46048.69737079648</v>
      </c>
      <c r="B58" s="16" t="s">
        <v>1400</v>
      </c>
      <c r="C58" s="16" t="s">
        <v>1401</v>
      </c>
      <c r="D58" s="17">
        <v>46054.0</v>
      </c>
      <c r="E58" s="18">
        <v>88.42</v>
      </c>
      <c r="F58" s="16" t="s">
        <v>93</v>
      </c>
      <c r="G58" s="19">
        <v>0.91</v>
      </c>
      <c r="H58" s="16" t="s">
        <v>4864</v>
      </c>
      <c r="I58" s="19">
        <v>21.5596</v>
      </c>
      <c r="J58" s="19">
        <v>52.9958</v>
      </c>
      <c r="K58" s="21">
        <v>1.4799</v>
      </c>
      <c r="L58" s="16" t="s">
        <v>1402</v>
      </c>
      <c r="M58" s="19">
        <v>1.6322</v>
      </c>
      <c r="N58" s="20">
        <v>1159110.0</v>
      </c>
      <c r="O58" s="21">
        <v>88.83</v>
      </c>
      <c r="P58" s="21">
        <v>86.79</v>
      </c>
      <c r="Q58" s="21">
        <v>87.35</v>
      </c>
      <c r="R58" s="21">
        <v>2.5406</v>
      </c>
      <c r="S58" s="21">
        <v>5.561</v>
      </c>
      <c r="T58" s="21">
        <v>812801.5</v>
      </c>
      <c r="U58" s="20">
        <v>9.730945074E9</v>
      </c>
      <c r="V58" s="19">
        <v>50.8532</v>
      </c>
      <c r="W58" s="21">
        <v>62.4036</v>
      </c>
      <c r="X58" s="21">
        <v>84.6616</v>
      </c>
      <c r="Y58" s="21">
        <v>82.1717</v>
      </c>
      <c r="Z58" s="21">
        <v>88.5117</v>
      </c>
      <c r="AA58" s="21">
        <v>87.702</v>
      </c>
      <c r="AB58" s="21">
        <v>86.6841</v>
      </c>
      <c r="AC58" s="21">
        <v>85.4642</v>
      </c>
      <c r="AD58" s="21">
        <v>84.284</v>
      </c>
      <c r="AE58" s="21">
        <v>94.4</v>
      </c>
      <c r="AF58" s="21">
        <v>6.3347</v>
      </c>
      <c r="AG58" s="22">
        <f>IFERROR(__xludf.DUMMYFUNCTION("IFERROR(GOOGLEFINANCE(B58,""price""),"""")"),76.21)</f>
        <v>76.21</v>
      </c>
      <c r="AH58" s="22"/>
      <c r="AI58" s="22"/>
      <c r="AJ58" s="22"/>
      <c r="AK58" s="22"/>
      <c r="AL58" s="22"/>
      <c r="AM58" s="22"/>
      <c r="AN58" s="22"/>
    </row>
    <row r="59">
      <c r="A59" s="7">
        <v>46048.69737079648</v>
      </c>
      <c r="B59" s="8" t="s">
        <v>4865</v>
      </c>
      <c r="C59" s="8" t="s">
        <v>4866</v>
      </c>
      <c r="D59" s="9">
        <v>46054.0</v>
      </c>
      <c r="E59" s="10">
        <v>40.93</v>
      </c>
      <c r="F59" s="8" t="s">
        <v>270</v>
      </c>
      <c r="G59" s="11">
        <v>0.91</v>
      </c>
      <c r="H59" s="8" t="s">
        <v>4848</v>
      </c>
      <c r="I59" s="11">
        <v>24.8848</v>
      </c>
      <c r="J59" s="11">
        <v>72.4339</v>
      </c>
      <c r="K59" s="13">
        <v>1.3509</v>
      </c>
      <c r="L59" s="8" t="s">
        <v>4867</v>
      </c>
      <c r="M59" s="11">
        <v>2.325</v>
      </c>
      <c r="N59" s="12">
        <v>1722129.0</v>
      </c>
      <c r="O59" s="13">
        <v>41.38</v>
      </c>
      <c r="P59" s="13">
        <v>40.3</v>
      </c>
      <c r="Q59" s="13">
        <v>40.5</v>
      </c>
      <c r="R59" s="13">
        <v>1.1276</v>
      </c>
      <c r="S59" s="13">
        <v>2.4791</v>
      </c>
      <c r="T59" s="8">
        <v>1348492.0</v>
      </c>
      <c r="U59" s="12">
        <v>3.507040422E9</v>
      </c>
      <c r="V59" s="11">
        <v>89.2918</v>
      </c>
      <c r="W59" s="13">
        <v>89.8903</v>
      </c>
      <c r="X59" s="13">
        <v>36.229</v>
      </c>
      <c r="Y59" s="13">
        <v>35.4214</v>
      </c>
      <c r="Z59" s="13">
        <v>39.1024</v>
      </c>
      <c r="AA59" s="13">
        <v>37.8003</v>
      </c>
      <c r="AB59" s="13">
        <v>37.2035</v>
      </c>
      <c r="AC59" s="13">
        <v>36.6145</v>
      </c>
      <c r="AD59" s="13">
        <v>36.0869</v>
      </c>
      <c r="AE59" s="13">
        <v>50.43</v>
      </c>
      <c r="AF59" s="13">
        <v>18.838</v>
      </c>
      <c r="AG59" s="14">
        <f>IFERROR(__xludf.DUMMYFUNCTION("IFERROR(GOOGLEFINANCE(B59,""price""),"""")"),60.77)</f>
        <v>60.77</v>
      </c>
      <c r="AH59" s="14"/>
      <c r="AI59" s="14"/>
      <c r="AJ59" s="14"/>
      <c r="AK59" s="14"/>
      <c r="AL59" s="14"/>
      <c r="AM59" s="14"/>
      <c r="AN59" s="14"/>
    </row>
    <row r="60">
      <c r="A60" s="15">
        <v>46048.69737079648</v>
      </c>
      <c r="B60" s="16" t="s">
        <v>1616</v>
      </c>
      <c r="C60" s="16" t="s">
        <v>1617</v>
      </c>
      <c r="D60" s="17">
        <v>46054.0</v>
      </c>
      <c r="E60" s="18">
        <v>281.54</v>
      </c>
      <c r="F60" s="16" t="s">
        <v>129</v>
      </c>
      <c r="G60" s="19">
        <v>0.92</v>
      </c>
      <c r="H60" s="16" t="s">
        <v>4858</v>
      </c>
      <c r="I60" s="19">
        <v>22.1475</v>
      </c>
      <c r="J60" s="19">
        <v>63.7823</v>
      </c>
      <c r="K60" s="21">
        <v>2.0245</v>
      </c>
      <c r="L60" s="16" t="s">
        <v>1618</v>
      </c>
      <c r="M60" s="19">
        <v>0.4998</v>
      </c>
      <c r="N60" s="20">
        <v>634625.0</v>
      </c>
      <c r="O60" s="21">
        <v>283.45</v>
      </c>
      <c r="P60" s="21">
        <v>278.98</v>
      </c>
      <c r="Q60" s="21">
        <v>281.67</v>
      </c>
      <c r="R60" s="21">
        <v>5.8336</v>
      </c>
      <c r="S60" s="21">
        <v>12.6553</v>
      </c>
      <c r="T60" s="21">
        <v>351075.7</v>
      </c>
      <c r="U60" s="20">
        <v>1.0619101153E10</v>
      </c>
      <c r="V60" s="19">
        <v>82.5572</v>
      </c>
      <c r="W60" s="21">
        <v>84.3944</v>
      </c>
      <c r="X60" s="21">
        <v>262.1968</v>
      </c>
      <c r="Y60" s="21">
        <v>253.9816</v>
      </c>
      <c r="Z60" s="21">
        <v>279.5733</v>
      </c>
      <c r="AA60" s="21">
        <v>273.3309</v>
      </c>
      <c r="AB60" s="21">
        <v>269.3024</v>
      </c>
      <c r="AC60" s="21">
        <v>265.5744</v>
      </c>
      <c r="AD60" s="21">
        <v>262.1345</v>
      </c>
      <c r="AE60" s="21">
        <v>286.66</v>
      </c>
      <c r="AF60" s="21">
        <v>1.7861</v>
      </c>
      <c r="AG60" s="22">
        <f>IFERROR(__xludf.DUMMYFUNCTION("IFERROR(GOOGLEFINANCE(B60,""price""),"""")"),289.01)</f>
        <v>289.01</v>
      </c>
      <c r="AH60" s="22"/>
      <c r="AI60" s="22"/>
      <c r="AJ60" s="22"/>
      <c r="AK60" s="22"/>
      <c r="AL60" s="22"/>
      <c r="AM60" s="22"/>
      <c r="AN60" s="22"/>
    </row>
    <row r="61">
      <c r="A61" s="7">
        <v>46048.69737079648</v>
      </c>
      <c r="B61" s="8" t="s">
        <v>4869</v>
      </c>
      <c r="C61" s="8" t="s">
        <v>4870</v>
      </c>
      <c r="D61" s="9">
        <v>46054.0</v>
      </c>
      <c r="E61" s="10">
        <v>1068.14</v>
      </c>
      <c r="F61" s="8" t="s">
        <v>308</v>
      </c>
      <c r="G61" s="11">
        <v>0.93</v>
      </c>
      <c r="H61" s="8" t="s">
        <v>4848</v>
      </c>
      <c r="I61" s="11">
        <v>21.1528</v>
      </c>
      <c r="J61" s="11">
        <v>68.5462</v>
      </c>
      <c r="K61" s="13">
        <v>1.4234</v>
      </c>
      <c r="L61" s="8" t="s">
        <v>4871</v>
      </c>
      <c r="M61" s="11">
        <v>0.4136</v>
      </c>
      <c r="N61" s="12">
        <v>683684.0</v>
      </c>
      <c r="O61" s="13">
        <v>1077.25</v>
      </c>
      <c r="P61" s="13">
        <v>1051.96</v>
      </c>
      <c r="Q61" s="13">
        <v>1062.26</v>
      </c>
      <c r="R61" s="13">
        <v>36.0864</v>
      </c>
      <c r="S61" s="13">
        <v>77.5192</v>
      </c>
      <c r="T61" s="13">
        <v>495753.0</v>
      </c>
      <c r="U61" s="12">
        <v>5.1171384108E10</v>
      </c>
      <c r="V61" s="11">
        <v>82.1445</v>
      </c>
      <c r="W61" s="13">
        <v>85.6639</v>
      </c>
      <c r="X61" s="13">
        <v>954.6113</v>
      </c>
      <c r="Y61" s="13">
        <v>867.5837</v>
      </c>
      <c r="Z61" s="13">
        <v>1044.2134</v>
      </c>
      <c r="AA61" s="13">
        <v>1004.5926</v>
      </c>
      <c r="AB61" s="13">
        <v>987.0146</v>
      </c>
      <c r="AC61" s="13">
        <v>970.1941</v>
      </c>
      <c r="AD61" s="13">
        <v>943.732</v>
      </c>
      <c r="AE61" s="13">
        <v>1123.38</v>
      </c>
      <c r="AF61" s="13">
        <v>4.9173</v>
      </c>
      <c r="AG61" s="14">
        <f>IFERROR(__xludf.DUMMYFUNCTION("IFERROR(GOOGLEFINANCE(B61,""price""),"""")"),1353.85)</f>
        <v>1353.85</v>
      </c>
      <c r="AH61" s="14"/>
      <c r="AI61" s="14"/>
      <c r="AJ61" s="14"/>
      <c r="AK61" s="14"/>
      <c r="AL61" s="14"/>
      <c r="AM61" s="14"/>
      <c r="AN61" s="14"/>
    </row>
    <row r="62">
      <c r="A62" s="15">
        <v>46048.69737079648</v>
      </c>
      <c r="B62" s="16" t="s">
        <v>4872</v>
      </c>
      <c r="C62" s="16" t="s">
        <v>4873</v>
      </c>
      <c r="D62" s="17">
        <v>46054.0</v>
      </c>
      <c r="E62" s="18">
        <v>72.63</v>
      </c>
      <c r="F62" s="16" t="s">
        <v>107</v>
      </c>
      <c r="G62" s="19">
        <v>0.94</v>
      </c>
      <c r="H62" s="16" t="s">
        <v>4841</v>
      </c>
      <c r="I62" s="19">
        <v>27.9448</v>
      </c>
      <c r="J62" s="19">
        <v>68.9292</v>
      </c>
      <c r="K62" s="21">
        <v>1.3469</v>
      </c>
      <c r="L62" s="16" t="s">
        <v>4874</v>
      </c>
      <c r="M62" s="19">
        <v>1.2971</v>
      </c>
      <c r="N62" s="20">
        <v>5351234.0</v>
      </c>
      <c r="O62" s="21">
        <v>72.65</v>
      </c>
      <c r="P62" s="21">
        <v>71.79</v>
      </c>
      <c r="Q62" s="21">
        <v>72.38</v>
      </c>
      <c r="R62" s="21">
        <v>1.3818</v>
      </c>
      <c r="S62" s="21">
        <v>2.9471</v>
      </c>
      <c r="T62" s="16">
        <v>4174139.0</v>
      </c>
      <c r="U62" s="20">
        <v>4.9078412681E10</v>
      </c>
      <c r="V62" s="19">
        <v>92.1667</v>
      </c>
      <c r="W62" s="21">
        <v>86.9818</v>
      </c>
      <c r="X62" s="21">
        <v>67.2706</v>
      </c>
      <c r="Y62" s="21">
        <v>66.7226</v>
      </c>
      <c r="Z62" s="21">
        <v>70.9624</v>
      </c>
      <c r="AA62" s="21">
        <v>69.4687</v>
      </c>
      <c r="AB62" s="21">
        <v>68.5645</v>
      </c>
      <c r="AC62" s="21">
        <v>67.8472</v>
      </c>
      <c r="AD62" s="21">
        <v>67.5632</v>
      </c>
      <c r="AE62" s="21">
        <v>77.41</v>
      </c>
      <c r="AF62" s="21">
        <v>6.1749</v>
      </c>
      <c r="AG62" s="22">
        <f>IFERROR(__xludf.DUMMYFUNCTION("IFERROR(GOOGLEFINANCE(B62,""price""),"""")"),83.83)</f>
        <v>83.83</v>
      </c>
      <c r="AH62" s="22"/>
      <c r="AI62" s="22"/>
      <c r="AJ62" s="22"/>
      <c r="AK62" s="22"/>
      <c r="AL62" s="22"/>
      <c r="AM62" s="22"/>
      <c r="AN62" s="22"/>
    </row>
    <row r="63">
      <c r="A63" s="7">
        <v>46048.69737079648</v>
      </c>
      <c r="B63" s="8" t="s">
        <v>4875</v>
      </c>
      <c r="C63" s="8" t="s">
        <v>4876</v>
      </c>
      <c r="D63" s="9">
        <v>46054.0</v>
      </c>
      <c r="E63" s="10">
        <v>34.9</v>
      </c>
      <c r="F63" s="8" t="s">
        <v>917</v>
      </c>
      <c r="G63" s="11">
        <v>0.94</v>
      </c>
      <c r="H63" s="8" t="s">
        <v>4868</v>
      </c>
      <c r="I63" s="11">
        <v>45.4893</v>
      </c>
      <c r="J63" s="11">
        <v>74.6293</v>
      </c>
      <c r="K63" s="13">
        <v>1.7153</v>
      </c>
      <c r="L63" s="8" t="s">
        <v>4877</v>
      </c>
      <c r="M63" s="11">
        <v>-3.2169</v>
      </c>
      <c r="N63" s="12">
        <v>769348.0</v>
      </c>
      <c r="O63" s="13">
        <v>36.45</v>
      </c>
      <c r="P63" s="13">
        <v>34.89</v>
      </c>
      <c r="Q63" s="13">
        <v>36.45</v>
      </c>
      <c r="R63" s="13">
        <v>1.08</v>
      </c>
      <c r="S63" s="13">
        <v>2.2936</v>
      </c>
      <c r="T63" s="13">
        <v>494203.0</v>
      </c>
      <c r="U63" s="12">
        <v>3.979680924E9</v>
      </c>
      <c r="V63" s="11">
        <v>93.8681</v>
      </c>
      <c r="W63" s="13">
        <v>95.7125</v>
      </c>
      <c r="X63" s="13">
        <v>28.816</v>
      </c>
      <c r="Y63" s="13">
        <v>27.3181</v>
      </c>
      <c r="Z63" s="13">
        <v>33.9604</v>
      </c>
      <c r="AA63" s="13">
        <v>31.6851</v>
      </c>
      <c r="AB63" s="13">
        <v>30.4639</v>
      </c>
      <c r="AC63" s="13">
        <v>29.3391</v>
      </c>
      <c r="AD63" s="13">
        <v>28.4095</v>
      </c>
      <c r="AE63" s="13">
        <v>36.45</v>
      </c>
      <c r="AF63" s="13">
        <v>4.2524</v>
      </c>
      <c r="AG63" s="14">
        <f>IFERROR(__xludf.DUMMYFUNCTION("IFERROR(GOOGLEFINANCE(B63,""price""),"""")"),34.38)</f>
        <v>34.38</v>
      </c>
      <c r="AH63" s="14"/>
      <c r="AI63" s="14"/>
      <c r="AJ63" s="14"/>
      <c r="AK63" s="14"/>
      <c r="AL63" s="14"/>
      <c r="AM63" s="14"/>
      <c r="AN63" s="14"/>
    </row>
    <row r="64">
      <c r="A64" s="15">
        <v>46048.69737079648</v>
      </c>
      <c r="B64" s="16" t="s">
        <v>4878</v>
      </c>
      <c r="C64" s="16" t="s">
        <v>4879</v>
      </c>
      <c r="D64" s="17">
        <v>46054.0</v>
      </c>
      <c r="E64" s="18">
        <v>57.03</v>
      </c>
      <c r="F64" s="16" t="s">
        <v>162</v>
      </c>
      <c r="G64" s="19">
        <v>0.94</v>
      </c>
      <c r="H64" s="16" t="s">
        <v>4841</v>
      </c>
      <c r="I64" s="19">
        <v>22.6471</v>
      </c>
      <c r="J64" s="19">
        <v>58.4138</v>
      </c>
      <c r="K64" s="21">
        <v>1.3031</v>
      </c>
      <c r="L64" s="16" t="s">
        <v>4880</v>
      </c>
      <c r="M64" s="19">
        <v>-0.6619</v>
      </c>
      <c r="N64" s="20">
        <v>1209365.0</v>
      </c>
      <c r="O64" s="21">
        <v>57.7292</v>
      </c>
      <c r="P64" s="21">
        <v>56.49</v>
      </c>
      <c r="Q64" s="21">
        <v>57.68</v>
      </c>
      <c r="R64" s="21">
        <v>1.482</v>
      </c>
      <c r="S64" s="21">
        <v>3.138</v>
      </c>
      <c r="T64" s="21">
        <v>921223.4</v>
      </c>
      <c r="U64" s="20">
        <v>6.52955209E9</v>
      </c>
      <c r="V64" s="19">
        <v>81.7178</v>
      </c>
      <c r="W64" s="21">
        <v>80.1161</v>
      </c>
      <c r="X64" s="21">
        <v>53.0516</v>
      </c>
      <c r="Y64" s="21">
        <v>50.9451</v>
      </c>
      <c r="Z64" s="21">
        <v>56.8579</v>
      </c>
      <c r="AA64" s="21">
        <v>55.8335</v>
      </c>
      <c r="AB64" s="21">
        <v>54.9934</v>
      </c>
      <c r="AC64" s="21">
        <v>54.133</v>
      </c>
      <c r="AD64" s="21">
        <v>53.125</v>
      </c>
      <c r="AE64" s="21">
        <v>58.11</v>
      </c>
      <c r="AF64" s="21">
        <v>1.8585</v>
      </c>
      <c r="AG64" s="22">
        <f>IFERROR(__xludf.DUMMYFUNCTION("IFERROR(GOOGLEFINANCE(B64,""price""),"""")"),56.07)</f>
        <v>56.07</v>
      </c>
      <c r="AH64" s="22"/>
      <c r="AI64" s="22"/>
      <c r="AJ64" s="22"/>
      <c r="AK64" s="22"/>
      <c r="AL64" s="22"/>
      <c r="AM64" s="22"/>
      <c r="AN64" s="22"/>
    </row>
    <row r="65">
      <c r="A65" s="7">
        <v>46048.69737079648</v>
      </c>
      <c r="B65" s="8" t="s">
        <v>2505</v>
      </c>
      <c r="C65" s="8" t="s">
        <v>2506</v>
      </c>
      <c r="D65" s="9">
        <v>46054.0</v>
      </c>
      <c r="E65" s="10">
        <v>177.66</v>
      </c>
      <c r="F65" s="8" t="s">
        <v>335</v>
      </c>
      <c r="G65" s="11">
        <v>0.95</v>
      </c>
      <c r="H65" s="8" t="s">
        <v>4920</v>
      </c>
      <c r="I65" s="11">
        <v>29.8935</v>
      </c>
      <c r="J65" s="11">
        <v>63.2266</v>
      </c>
      <c r="K65" s="13">
        <v>1.5266</v>
      </c>
      <c r="L65" s="8" t="s">
        <v>2507</v>
      </c>
      <c r="M65" s="11">
        <v>-2.1965</v>
      </c>
      <c r="N65" s="12">
        <v>2549664.0</v>
      </c>
      <c r="O65" s="13">
        <v>183.32</v>
      </c>
      <c r="P65" s="13">
        <v>177.13</v>
      </c>
      <c r="Q65" s="13">
        <v>182.63</v>
      </c>
      <c r="R65" s="13">
        <v>4.4448</v>
      </c>
      <c r="S65" s="13">
        <v>9.373</v>
      </c>
      <c r="T65" s="8">
        <v>1733189.0</v>
      </c>
      <c r="U65" s="12">
        <v>4.0659027785E10</v>
      </c>
      <c r="V65" s="11">
        <v>85.072</v>
      </c>
      <c r="W65" s="13">
        <v>88.8535</v>
      </c>
      <c r="X65" s="13">
        <v>162.9486</v>
      </c>
      <c r="Y65" s="13">
        <v>147.7479</v>
      </c>
      <c r="Z65" s="13">
        <v>176.695</v>
      </c>
      <c r="AA65" s="13">
        <v>171.4841</v>
      </c>
      <c r="AB65" s="13">
        <v>167.6883</v>
      </c>
      <c r="AC65" s="13">
        <v>162.785</v>
      </c>
      <c r="AD65" s="13">
        <v>156.9471</v>
      </c>
      <c r="AE65" s="13">
        <v>183.32</v>
      </c>
      <c r="AF65" s="13">
        <v>3.0875</v>
      </c>
      <c r="AG65" s="14">
        <f>IFERROR(__xludf.DUMMYFUNCTION("IFERROR(GOOGLEFINANCE(B65,""price""),"""")"),186.12)</f>
        <v>186.12</v>
      </c>
      <c r="AH65" s="14"/>
      <c r="AI65" s="14"/>
      <c r="AJ65" s="14"/>
      <c r="AK65" s="14"/>
      <c r="AL65" s="14"/>
      <c r="AM65" s="14"/>
      <c r="AN65" s="14"/>
    </row>
    <row r="66">
      <c r="A66" s="15">
        <v>46048.69737079648</v>
      </c>
      <c r="B66" s="16" t="s">
        <v>4881</v>
      </c>
      <c r="C66" s="16" t="s">
        <v>4882</v>
      </c>
      <c r="D66" s="17">
        <v>46054.0</v>
      </c>
      <c r="E66" s="18">
        <v>661.34</v>
      </c>
      <c r="F66" s="16" t="s">
        <v>137</v>
      </c>
      <c r="G66" s="19">
        <v>0.95</v>
      </c>
      <c r="H66" s="16" t="s">
        <v>4864</v>
      </c>
      <c r="I66" s="19">
        <v>50.5902</v>
      </c>
      <c r="J66" s="19">
        <v>60.6273</v>
      </c>
      <c r="K66" s="21">
        <v>1.4547</v>
      </c>
      <c r="L66" s="16" t="s">
        <v>4883</v>
      </c>
      <c r="M66" s="19">
        <v>-3.6116</v>
      </c>
      <c r="N66" s="20">
        <v>731573.0</v>
      </c>
      <c r="O66" s="21">
        <v>684.535</v>
      </c>
      <c r="P66" s="21">
        <v>660.42</v>
      </c>
      <c r="Q66" s="21">
        <v>684.03</v>
      </c>
      <c r="R66" s="21">
        <v>15.3758</v>
      </c>
      <c r="S66" s="21">
        <v>32.3607</v>
      </c>
      <c r="T66" s="21">
        <v>510097.2</v>
      </c>
      <c r="U66" s="20">
        <v>2.9338478075E10</v>
      </c>
      <c r="V66" s="19">
        <v>73.4792</v>
      </c>
      <c r="W66" s="21">
        <v>83.1775</v>
      </c>
      <c r="X66" s="21">
        <v>595.8666</v>
      </c>
      <c r="Y66" s="21">
        <v>526.2892</v>
      </c>
      <c r="Z66" s="21">
        <v>670.7771</v>
      </c>
      <c r="AA66" s="21">
        <v>650.0171</v>
      </c>
      <c r="AB66" s="21">
        <v>630.1703</v>
      </c>
      <c r="AC66" s="21">
        <v>606.5076</v>
      </c>
      <c r="AD66" s="21">
        <v>580.0751</v>
      </c>
      <c r="AE66" s="21">
        <v>695.34</v>
      </c>
      <c r="AF66" s="21">
        <v>4.8897</v>
      </c>
      <c r="AG66" s="22">
        <f>IFERROR(__xludf.DUMMYFUNCTION("IFERROR(GOOGLEFINANCE(B66,""price""),"""")"),520.38)</f>
        <v>520.38</v>
      </c>
      <c r="AH66" s="22"/>
      <c r="AI66" s="22"/>
      <c r="AJ66" s="22"/>
      <c r="AK66" s="22"/>
      <c r="AL66" s="22"/>
      <c r="AM66" s="22"/>
      <c r="AN66" s="22"/>
    </row>
    <row r="67">
      <c r="A67" s="7">
        <v>46048.69737079648</v>
      </c>
      <c r="B67" s="8" t="s">
        <v>4884</v>
      </c>
      <c r="C67" s="8" t="s">
        <v>4885</v>
      </c>
      <c r="D67" s="9">
        <v>46054.0</v>
      </c>
      <c r="E67" s="10">
        <v>19.05</v>
      </c>
      <c r="F67" s="8" t="s">
        <v>88</v>
      </c>
      <c r="G67" s="11">
        <v>0.95</v>
      </c>
      <c r="H67" s="8" t="s">
        <v>4848</v>
      </c>
      <c r="I67" s="11">
        <v>20.1332</v>
      </c>
      <c r="J67" s="11">
        <v>65.1374</v>
      </c>
      <c r="K67" s="13">
        <v>1.4082</v>
      </c>
      <c r="L67" s="8" t="s">
        <v>4886</v>
      </c>
      <c r="M67" s="11">
        <v>1.3837</v>
      </c>
      <c r="N67" s="12">
        <v>1.473155E7</v>
      </c>
      <c r="O67" s="13">
        <v>19.83</v>
      </c>
      <c r="P67" s="13">
        <v>18.75</v>
      </c>
      <c r="Q67" s="13">
        <v>19.03</v>
      </c>
      <c r="R67" s="13">
        <v>1.0518</v>
      </c>
      <c r="S67" s="13">
        <v>2.2089</v>
      </c>
      <c r="T67" s="8">
        <v>1.1075656E7</v>
      </c>
      <c r="U67" s="12">
        <v>5.906668239E9</v>
      </c>
      <c r="V67" s="11">
        <v>81.5302</v>
      </c>
      <c r="W67" s="13">
        <v>81.6618</v>
      </c>
      <c r="X67" s="13">
        <v>16.3712</v>
      </c>
      <c r="Y67" s="13">
        <v>15.1599</v>
      </c>
      <c r="Z67" s="13">
        <v>18.3422</v>
      </c>
      <c r="AA67" s="13">
        <v>17.4924</v>
      </c>
      <c r="AB67" s="13">
        <v>17.1751</v>
      </c>
      <c r="AC67" s="13">
        <v>16.9948</v>
      </c>
      <c r="AD67" s="13">
        <v>16.6619</v>
      </c>
      <c r="AE67" s="13">
        <v>23.63</v>
      </c>
      <c r="AF67" s="13">
        <v>19.3821</v>
      </c>
      <c r="AG67" s="14">
        <f>IFERROR(__xludf.DUMMYFUNCTION("IFERROR(GOOGLEFINANCE(B67,""price""),"""")"),18.32)</f>
        <v>18.32</v>
      </c>
      <c r="AH67" s="14"/>
      <c r="AI67" s="14"/>
      <c r="AJ67" s="14"/>
      <c r="AK67" s="14"/>
      <c r="AL67" s="14"/>
      <c r="AM67" s="14"/>
      <c r="AN67" s="14"/>
    </row>
    <row r="68">
      <c r="A68" s="15">
        <v>46048.69737079648</v>
      </c>
      <c r="B68" s="16" t="s">
        <v>4887</v>
      </c>
      <c r="C68" s="16" t="s">
        <v>4888</v>
      </c>
      <c r="D68" s="17">
        <v>46054.0</v>
      </c>
      <c r="E68" s="18">
        <v>6.05</v>
      </c>
      <c r="F68" s="16" t="s">
        <v>335</v>
      </c>
      <c r="G68" s="19">
        <v>0.96</v>
      </c>
      <c r="H68" s="16" t="s">
        <v>4868</v>
      </c>
      <c r="I68" s="19">
        <v>27.1842</v>
      </c>
      <c r="J68" s="19">
        <v>65.4034</v>
      </c>
      <c r="K68" s="21">
        <v>1.6593</v>
      </c>
      <c r="L68" s="16" t="s">
        <v>4889</v>
      </c>
      <c r="M68" s="19">
        <v>-1.9449</v>
      </c>
      <c r="N68" s="20">
        <v>1169334.0</v>
      </c>
      <c r="O68" s="21">
        <v>6.72</v>
      </c>
      <c r="P68" s="21">
        <v>6.02</v>
      </c>
      <c r="Q68" s="21">
        <v>6.705</v>
      </c>
      <c r="R68" s="21">
        <v>0.474</v>
      </c>
      <c r="S68" s="21">
        <v>0.9914</v>
      </c>
      <c r="T68" s="21">
        <v>768101.5</v>
      </c>
      <c r="U68" s="20">
        <v>1.60653703E8</v>
      </c>
      <c r="V68" s="19">
        <v>82.6874</v>
      </c>
      <c r="W68" s="21">
        <v>80.5197</v>
      </c>
      <c r="X68" s="21">
        <v>4.8756</v>
      </c>
      <c r="Y68" s="21">
        <v>5.4114</v>
      </c>
      <c r="Z68" s="21">
        <v>5.766</v>
      </c>
      <c r="AA68" s="21">
        <v>5.3619</v>
      </c>
      <c r="AB68" s="21">
        <v>5.177</v>
      </c>
      <c r="AC68" s="21">
        <v>5.076</v>
      </c>
      <c r="AD68" s="21">
        <v>5.038</v>
      </c>
      <c r="AE68" s="21">
        <v>8.25</v>
      </c>
      <c r="AF68" s="21">
        <v>26.6667</v>
      </c>
      <c r="AG68" s="22">
        <f>IFERROR(__xludf.DUMMYFUNCTION("IFERROR(GOOGLEFINANCE(B68,""price""),"""")"),4.35)</f>
        <v>4.35</v>
      </c>
      <c r="AH68" s="22"/>
      <c r="AI68" s="22"/>
      <c r="AJ68" s="22"/>
      <c r="AK68" s="22"/>
      <c r="AL68" s="22"/>
      <c r="AM68" s="22"/>
      <c r="AN68" s="22"/>
    </row>
    <row r="69">
      <c r="A69" s="7">
        <v>46048.69737079648</v>
      </c>
      <c r="B69" s="8" t="s">
        <v>4921</v>
      </c>
      <c r="C69" s="8" t="s">
        <v>4922</v>
      </c>
      <c r="D69" s="9">
        <v>46054.0</v>
      </c>
      <c r="E69" s="10">
        <v>3.2</v>
      </c>
      <c r="F69" s="8" t="s">
        <v>335</v>
      </c>
      <c r="G69" s="11">
        <v>0.96</v>
      </c>
      <c r="H69" s="8" t="s">
        <v>4841</v>
      </c>
      <c r="I69" s="11">
        <v>27.4552</v>
      </c>
      <c r="J69" s="11">
        <v>63.0537</v>
      </c>
      <c r="K69" s="13">
        <v>1.3083</v>
      </c>
      <c r="L69" s="8" t="s">
        <v>4923</v>
      </c>
      <c r="M69" s="11">
        <v>-2.7356</v>
      </c>
      <c r="N69" s="12">
        <v>4539093.0</v>
      </c>
      <c r="O69" s="13">
        <v>3.58</v>
      </c>
      <c r="P69" s="13">
        <v>3.125</v>
      </c>
      <c r="Q69" s="13">
        <v>3.35</v>
      </c>
      <c r="R69" s="13">
        <v>0.2134</v>
      </c>
      <c r="S69" s="13">
        <v>0.4426</v>
      </c>
      <c r="T69" s="8">
        <v>3673261.0</v>
      </c>
      <c r="U69" s="12">
        <v>5.99198484E8</v>
      </c>
      <c r="V69" s="11">
        <v>70.8658</v>
      </c>
      <c r="W69" s="13">
        <v>79.4397</v>
      </c>
      <c r="X69" s="13">
        <v>2.7316</v>
      </c>
      <c r="Y69" s="13">
        <v>2.7533</v>
      </c>
      <c r="Z69" s="13">
        <v>3.153</v>
      </c>
      <c r="AA69" s="13">
        <v>2.9628</v>
      </c>
      <c r="AB69" s="13">
        <v>2.8813</v>
      </c>
      <c r="AC69" s="13">
        <v>2.8344</v>
      </c>
      <c r="AD69" s="13">
        <v>2.7941</v>
      </c>
      <c r="AE69" s="13">
        <v>4.185</v>
      </c>
      <c r="AF69" s="13">
        <v>23.5364</v>
      </c>
      <c r="AG69" s="14">
        <f>IFERROR(__xludf.DUMMYFUNCTION("IFERROR(GOOGLEFINANCE(B69,""price""),"""")"),1.78)</f>
        <v>1.78</v>
      </c>
      <c r="AH69" s="14"/>
      <c r="AI69" s="14"/>
      <c r="AJ69" s="14"/>
      <c r="AK69" s="14"/>
      <c r="AL69" s="14"/>
      <c r="AM69" s="14"/>
      <c r="AN69" s="14"/>
    </row>
    <row r="70">
      <c r="A70" s="15">
        <v>46048.69737079648</v>
      </c>
      <c r="B70" s="16" t="s">
        <v>4893</v>
      </c>
      <c r="C70" s="16" t="s">
        <v>4894</v>
      </c>
      <c r="D70" s="17">
        <v>46054.0</v>
      </c>
      <c r="E70" s="18">
        <v>5.99</v>
      </c>
      <c r="F70" s="16" t="s">
        <v>335</v>
      </c>
      <c r="G70" s="19">
        <v>0.96</v>
      </c>
      <c r="H70" s="16" t="s">
        <v>4862</v>
      </c>
      <c r="I70" s="19">
        <v>23.3039</v>
      </c>
      <c r="J70" s="19">
        <v>57.7742</v>
      </c>
      <c r="K70" s="21">
        <v>1.5689</v>
      </c>
      <c r="L70" s="16" t="s">
        <v>4895</v>
      </c>
      <c r="M70" s="19">
        <v>-6.9876</v>
      </c>
      <c r="N70" s="20">
        <v>3.400325E7</v>
      </c>
      <c r="O70" s="21">
        <v>6.96</v>
      </c>
      <c r="P70" s="21">
        <v>5.9</v>
      </c>
      <c r="Q70" s="21">
        <v>6.88</v>
      </c>
      <c r="R70" s="21">
        <v>0.4615</v>
      </c>
      <c r="S70" s="21">
        <v>0.9593</v>
      </c>
      <c r="T70" s="16">
        <v>2.4084704E7</v>
      </c>
      <c r="U70" s="20">
        <v>1.682467427E9</v>
      </c>
      <c r="V70" s="19">
        <v>75.1659</v>
      </c>
      <c r="W70" s="21">
        <v>81.0348</v>
      </c>
      <c r="X70" s="21">
        <v>5.1891</v>
      </c>
      <c r="Y70" s="21">
        <v>4.5418</v>
      </c>
      <c r="Z70" s="21">
        <v>5.9585</v>
      </c>
      <c r="AA70" s="21">
        <v>5.623</v>
      </c>
      <c r="AB70" s="21">
        <v>5.4755</v>
      </c>
      <c r="AC70" s="21">
        <v>5.356</v>
      </c>
      <c r="AD70" s="21">
        <v>5.1397</v>
      </c>
      <c r="AE70" s="21">
        <v>10.52</v>
      </c>
      <c r="AF70" s="21">
        <v>43.0608</v>
      </c>
      <c r="AG70" s="22">
        <f>IFERROR(__xludf.DUMMYFUNCTION("IFERROR(GOOGLEFINANCE(B70,""price""),"""")"),4.07)</f>
        <v>4.07</v>
      </c>
      <c r="AH70" s="22"/>
      <c r="AI70" s="22"/>
      <c r="AJ70" s="22"/>
      <c r="AK70" s="22"/>
      <c r="AL70" s="22"/>
      <c r="AM70" s="22"/>
      <c r="AN70" s="22"/>
    </row>
    <row r="71">
      <c r="A71" s="7">
        <v>46048.69737079648</v>
      </c>
      <c r="B71" s="8" t="s">
        <v>4890</v>
      </c>
      <c r="C71" s="8" t="s">
        <v>4891</v>
      </c>
      <c r="D71" s="9">
        <v>46054.0</v>
      </c>
      <c r="E71" s="10">
        <v>4.5</v>
      </c>
      <c r="F71" s="8" t="s">
        <v>335</v>
      </c>
      <c r="G71" s="11">
        <v>0.96</v>
      </c>
      <c r="H71" s="8" t="s">
        <v>4864</v>
      </c>
      <c r="I71" s="11">
        <v>33.4758</v>
      </c>
      <c r="J71" s="11">
        <v>62.5645</v>
      </c>
      <c r="K71" s="13">
        <v>1.4545</v>
      </c>
      <c r="L71" s="8" t="s">
        <v>4892</v>
      </c>
      <c r="M71" s="11">
        <v>-1.3158</v>
      </c>
      <c r="N71" s="12">
        <v>4675635.0</v>
      </c>
      <c r="O71" s="13">
        <v>4.83</v>
      </c>
      <c r="P71" s="13">
        <v>4.47</v>
      </c>
      <c r="Q71" s="13">
        <v>4.64</v>
      </c>
      <c r="R71" s="13">
        <v>0.2439</v>
      </c>
      <c r="S71" s="13">
        <v>0.5108</v>
      </c>
      <c r="T71" s="8">
        <v>3309048.0</v>
      </c>
      <c r="U71" s="12">
        <v>6.22587179E8</v>
      </c>
      <c r="V71" s="11">
        <v>73.3427</v>
      </c>
      <c r="W71" s="13">
        <v>82.8002</v>
      </c>
      <c r="X71" s="13">
        <v>3.8588</v>
      </c>
      <c r="Y71" s="13">
        <v>3.3733</v>
      </c>
      <c r="Z71" s="13">
        <v>4.4656</v>
      </c>
      <c r="AA71" s="13">
        <v>4.2149</v>
      </c>
      <c r="AB71" s="13">
        <v>4.0892</v>
      </c>
      <c r="AC71" s="13">
        <v>3.9793</v>
      </c>
      <c r="AD71" s="13">
        <v>3.8217</v>
      </c>
      <c r="AE71" s="13">
        <v>5.37</v>
      </c>
      <c r="AF71" s="13">
        <v>16.2011</v>
      </c>
      <c r="AG71" s="14">
        <f>IFERROR(__xludf.DUMMYFUNCTION("IFERROR(GOOGLEFINANCE(B71,""price""),"""")"),3.58)</f>
        <v>3.58</v>
      </c>
      <c r="AH71" s="14"/>
      <c r="AI71" s="14"/>
      <c r="AJ71" s="14"/>
      <c r="AK71" s="14"/>
      <c r="AL71" s="14"/>
      <c r="AM71" s="14"/>
      <c r="AN71" s="14"/>
    </row>
    <row r="72">
      <c r="A72" s="15">
        <v>46048.69737079648</v>
      </c>
      <c r="B72" s="16" t="s">
        <v>4896</v>
      </c>
      <c r="C72" s="16" t="s">
        <v>4897</v>
      </c>
      <c r="D72" s="17">
        <v>46054.0</v>
      </c>
      <c r="E72" s="18">
        <v>20.12</v>
      </c>
      <c r="F72" s="16" t="s">
        <v>93</v>
      </c>
      <c r="G72" s="19">
        <v>0.96</v>
      </c>
      <c r="H72" s="16" t="s">
        <v>4864</v>
      </c>
      <c r="I72" s="19">
        <v>20.618</v>
      </c>
      <c r="J72" s="19">
        <v>62.9115</v>
      </c>
      <c r="K72" s="21">
        <v>1.4523</v>
      </c>
      <c r="L72" s="16" t="s">
        <v>4898</v>
      </c>
      <c r="M72" s="19">
        <v>0.3491</v>
      </c>
      <c r="N72" s="20">
        <v>2881475.0</v>
      </c>
      <c r="O72" s="21">
        <v>20.29</v>
      </c>
      <c r="P72" s="21">
        <v>19.75</v>
      </c>
      <c r="Q72" s="21">
        <v>20.07</v>
      </c>
      <c r="R72" s="21">
        <v>0.5232</v>
      </c>
      <c r="S72" s="21">
        <v>1.0871</v>
      </c>
      <c r="T72" s="16">
        <v>2098916.0</v>
      </c>
      <c r="U72" s="20">
        <v>4.797625423E9</v>
      </c>
      <c r="V72" s="19">
        <v>70.9988</v>
      </c>
      <c r="W72" s="21">
        <v>78.1644</v>
      </c>
      <c r="X72" s="21">
        <v>18.9156</v>
      </c>
      <c r="Y72" s="21">
        <v>17.5759</v>
      </c>
      <c r="Z72" s="21">
        <v>19.8355</v>
      </c>
      <c r="AA72" s="21">
        <v>19.4497</v>
      </c>
      <c r="AB72" s="21">
        <v>19.2136</v>
      </c>
      <c r="AC72" s="21">
        <v>18.8966</v>
      </c>
      <c r="AD72" s="21">
        <v>18.4583</v>
      </c>
      <c r="AE72" s="21">
        <v>20.89</v>
      </c>
      <c r="AF72" s="21">
        <v>3.686</v>
      </c>
      <c r="AG72" s="22">
        <f>IFERROR(__xludf.DUMMYFUNCTION("IFERROR(GOOGLEFINANCE(B72,""price""),"""")"),20.83)</f>
        <v>20.83</v>
      </c>
      <c r="AH72" s="22"/>
      <c r="AI72" s="22"/>
      <c r="AJ72" s="22"/>
      <c r="AK72" s="22"/>
      <c r="AL72" s="22"/>
      <c r="AM72" s="22"/>
      <c r="AN72" s="22"/>
    </row>
    <row r="73">
      <c r="A73" s="7">
        <v>46048.69737079648</v>
      </c>
      <c r="B73" s="8" t="s">
        <v>4924</v>
      </c>
      <c r="C73" s="8" t="s">
        <v>4925</v>
      </c>
      <c r="D73" s="9">
        <v>46054.0</v>
      </c>
      <c r="E73" s="10">
        <v>41.36</v>
      </c>
      <c r="F73" s="8" t="s">
        <v>245</v>
      </c>
      <c r="G73" s="11">
        <v>0.97</v>
      </c>
      <c r="H73" s="8" t="s">
        <v>4841</v>
      </c>
      <c r="I73" s="11">
        <v>24.4985</v>
      </c>
      <c r="J73" s="11">
        <v>60.9748</v>
      </c>
      <c r="K73" s="13">
        <v>1.316</v>
      </c>
      <c r="L73" s="8" t="s">
        <v>4926</v>
      </c>
      <c r="M73" s="11">
        <v>0.8289</v>
      </c>
      <c r="N73" s="12">
        <v>4836308.0</v>
      </c>
      <c r="O73" s="13">
        <v>41.41</v>
      </c>
      <c r="P73" s="13">
        <v>40.04</v>
      </c>
      <c r="Q73" s="13">
        <v>41.27</v>
      </c>
      <c r="R73" s="13">
        <v>1.3192</v>
      </c>
      <c r="S73" s="13">
        <v>2.7206</v>
      </c>
      <c r="T73" s="8">
        <v>3892089.0</v>
      </c>
      <c r="U73" s="12">
        <v>1.0474774166E10</v>
      </c>
      <c r="V73" s="11">
        <v>82.8776</v>
      </c>
      <c r="W73" s="13">
        <v>79.4742</v>
      </c>
      <c r="X73" s="13">
        <v>39.5548</v>
      </c>
      <c r="Y73" s="13">
        <v>39.7368</v>
      </c>
      <c r="Z73" s="13">
        <v>40.4543</v>
      </c>
      <c r="AA73" s="13">
        <v>39.7652</v>
      </c>
      <c r="AB73" s="13">
        <v>39.5607</v>
      </c>
      <c r="AC73" s="13">
        <v>39.4508</v>
      </c>
      <c r="AD73" s="13">
        <v>39.4272</v>
      </c>
      <c r="AE73" s="13">
        <v>45.96</v>
      </c>
      <c r="AF73" s="13">
        <v>10.0087</v>
      </c>
      <c r="AG73" s="14">
        <f>IFERROR(__xludf.DUMMYFUNCTION("IFERROR(GOOGLEFINANCE(B73,""price""),"""")"),56.09)</f>
        <v>56.09</v>
      </c>
      <c r="AH73" s="14"/>
      <c r="AI73" s="14"/>
      <c r="AJ73" s="14"/>
      <c r="AK73" s="14"/>
      <c r="AL73" s="14"/>
      <c r="AM73" s="14"/>
      <c r="AN73" s="14"/>
    </row>
    <row r="74">
      <c r="A74" s="15">
        <v>46048.69737079648</v>
      </c>
      <c r="B74" s="16" t="s">
        <v>1310</v>
      </c>
      <c r="C74" s="16" t="s">
        <v>1311</v>
      </c>
      <c r="D74" s="17">
        <v>46054.0</v>
      </c>
      <c r="E74" s="18">
        <v>75.31</v>
      </c>
      <c r="F74" s="16" t="s">
        <v>270</v>
      </c>
      <c r="G74" s="19">
        <v>0.97</v>
      </c>
      <c r="H74" s="16" t="s">
        <v>4848</v>
      </c>
      <c r="I74" s="19">
        <v>20.4445</v>
      </c>
      <c r="J74" s="19">
        <v>57.7765</v>
      </c>
      <c r="K74" s="21">
        <v>1.3676</v>
      </c>
      <c r="L74" s="16" t="s">
        <v>1312</v>
      </c>
      <c r="M74" s="19">
        <v>1.414</v>
      </c>
      <c r="N74" s="20">
        <v>413623.0</v>
      </c>
      <c r="O74" s="21">
        <v>76.93</v>
      </c>
      <c r="P74" s="21">
        <v>74.71</v>
      </c>
      <c r="Q74" s="21">
        <v>75.13</v>
      </c>
      <c r="R74" s="21">
        <v>1.8746</v>
      </c>
      <c r="S74" s="21">
        <v>3.8481</v>
      </c>
      <c r="T74" s="21">
        <v>305383.9</v>
      </c>
      <c r="U74" s="20">
        <v>3.757007106E9</v>
      </c>
      <c r="V74" s="19">
        <v>73.6487</v>
      </c>
      <c r="W74" s="21">
        <v>76.1647</v>
      </c>
      <c r="X74" s="21">
        <v>72.4255</v>
      </c>
      <c r="Y74" s="21">
        <v>74.747</v>
      </c>
      <c r="Z74" s="21">
        <v>74.4928</v>
      </c>
      <c r="AA74" s="21">
        <v>73.6716</v>
      </c>
      <c r="AB74" s="21">
        <v>73.1181</v>
      </c>
      <c r="AC74" s="21">
        <v>72.4913</v>
      </c>
      <c r="AD74" s="21">
        <v>72.2096</v>
      </c>
      <c r="AE74" s="21">
        <v>97.565</v>
      </c>
      <c r="AF74" s="21">
        <v>22.8104</v>
      </c>
      <c r="AG74" s="22">
        <f>IFERROR(__xludf.DUMMYFUNCTION("IFERROR(GOOGLEFINANCE(B74,""price""),"""")"),65.37)</f>
        <v>65.37</v>
      </c>
      <c r="AH74" s="22"/>
      <c r="AI74" s="22"/>
      <c r="AJ74" s="22"/>
      <c r="AK74" s="22"/>
      <c r="AL74" s="22"/>
      <c r="AM74" s="22"/>
      <c r="AN74" s="22"/>
    </row>
    <row r="75">
      <c r="A75" s="7">
        <v>46048.69737079648</v>
      </c>
      <c r="B75" s="8" t="s">
        <v>4906</v>
      </c>
      <c r="C75" s="8" t="s">
        <v>4907</v>
      </c>
      <c r="D75" s="9">
        <v>46054.0</v>
      </c>
      <c r="E75" s="10">
        <v>11.19</v>
      </c>
      <c r="F75" s="8" t="s">
        <v>308</v>
      </c>
      <c r="G75" s="11">
        <v>0.97</v>
      </c>
      <c r="H75" s="8" t="s">
        <v>4844</v>
      </c>
      <c r="I75" s="11">
        <v>38.9201</v>
      </c>
      <c r="J75" s="11">
        <v>66.2874</v>
      </c>
      <c r="K75" s="13">
        <v>1.8035</v>
      </c>
      <c r="L75" s="8" t="s">
        <v>4908</v>
      </c>
      <c r="M75" s="11">
        <v>5.9659</v>
      </c>
      <c r="N75" s="12">
        <v>962930.0</v>
      </c>
      <c r="O75" s="13">
        <v>11.4399</v>
      </c>
      <c r="P75" s="13">
        <v>10.63</v>
      </c>
      <c r="Q75" s="13">
        <v>10.65</v>
      </c>
      <c r="R75" s="13">
        <v>0.3389</v>
      </c>
      <c r="S75" s="13">
        <v>0.6973</v>
      </c>
      <c r="T75" s="13">
        <v>511298.3</v>
      </c>
      <c r="U75" s="12">
        <v>4.97885057E8</v>
      </c>
      <c r="V75" s="11">
        <v>63.3421</v>
      </c>
      <c r="W75" s="13">
        <v>61.5293</v>
      </c>
      <c r="X75" s="13">
        <v>9.898</v>
      </c>
      <c r="Y75" s="13">
        <v>9.8688</v>
      </c>
      <c r="Z75" s="13">
        <v>10.749</v>
      </c>
      <c r="AA75" s="13">
        <v>10.5327</v>
      </c>
      <c r="AB75" s="13">
        <v>10.3402</v>
      </c>
      <c r="AC75" s="13">
        <v>10.1013</v>
      </c>
      <c r="AD75" s="13">
        <v>9.8616</v>
      </c>
      <c r="AE75" s="13">
        <v>11.5</v>
      </c>
      <c r="AF75" s="13">
        <v>2.6957</v>
      </c>
      <c r="AG75" s="14">
        <f>IFERROR(__xludf.DUMMYFUNCTION("IFERROR(GOOGLEFINANCE(B75,""price""),"""")"),14.34)</f>
        <v>14.34</v>
      </c>
      <c r="AH75" s="14"/>
      <c r="AI75" s="14"/>
      <c r="AJ75" s="14"/>
      <c r="AK75" s="14"/>
      <c r="AL75" s="14"/>
      <c r="AM75" s="14"/>
      <c r="AN75" s="14"/>
    </row>
    <row r="76">
      <c r="A76" s="15">
        <v>46048.69737079648</v>
      </c>
      <c r="B76" s="16" t="s">
        <v>1359</v>
      </c>
      <c r="C76" s="16" t="s">
        <v>1360</v>
      </c>
      <c r="D76" s="17">
        <v>46054.0</v>
      </c>
      <c r="E76" s="18">
        <v>6.05</v>
      </c>
      <c r="F76" s="16" t="s">
        <v>93</v>
      </c>
      <c r="G76" s="19">
        <v>0.97</v>
      </c>
      <c r="H76" s="16" t="s">
        <v>4864</v>
      </c>
      <c r="I76" s="19">
        <v>24.6995</v>
      </c>
      <c r="J76" s="19">
        <v>48.104</v>
      </c>
      <c r="K76" s="21">
        <v>1.4827</v>
      </c>
      <c r="L76" s="16" t="s">
        <v>1361</v>
      </c>
      <c r="M76" s="19">
        <v>0.6656</v>
      </c>
      <c r="N76" s="20">
        <v>974771.0</v>
      </c>
      <c r="O76" s="21">
        <v>6.1</v>
      </c>
      <c r="P76" s="21">
        <v>5.885</v>
      </c>
      <c r="Q76" s="21">
        <v>5.98</v>
      </c>
      <c r="R76" s="21">
        <v>0.2006</v>
      </c>
      <c r="S76" s="21">
        <v>0.4134</v>
      </c>
      <c r="T76" s="21">
        <v>723932.7</v>
      </c>
      <c r="U76" s="20">
        <v>5.01450635E8</v>
      </c>
      <c r="V76" s="19">
        <v>34.1496</v>
      </c>
      <c r="W76" s="21">
        <v>49.1283</v>
      </c>
      <c r="X76" s="21">
        <v>5.8486</v>
      </c>
      <c r="Y76" s="21">
        <v>5.7205</v>
      </c>
      <c r="Z76" s="21">
        <v>6.1669</v>
      </c>
      <c r="AA76" s="21">
        <v>6.1413</v>
      </c>
      <c r="AB76" s="21">
        <v>6.0566</v>
      </c>
      <c r="AC76" s="21">
        <v>5.9368</v>
      </c>
      <c r="AD76" s="21">
        <v>5.8124</v>
      </c>
      <c r="AE76" s="21">
        <v>6.535</v>
      </c>
      <c r="AF76" s="21">
        <v>7.4216</v>
      </c>
      <c r="AG76" s="22">
        <f>IFERROR(__xludf.DUMMYFUNCTION("IFERROR(GOOGLEFINANCE(B76,""price""),"""")"),5.9)</f>
        <v>5.9</v>
      </c>
      <c r="AH76" s="22"/>
      <c r="AI76" s="22"/>
      <c r="AJ76" s="22"/>
      <c r="AK76" s="22"/>
      <c r="AL76" s="22"/>
      <c r="AM76" s="22"/>
      <c r="AN76" s="22"/>
    </row>
    <row r="77">
      <c r="A77" s="7">
        <v>46048.69737079648</v>
      </c>
      <c r="B77" s="8" t="s">
        <v>4902</v>
      </c>
      <c r="C77" s="8" t="s">
        <v>4903</v>
      </c>
      <c r="D77" s="9">
        <v>46054.0</v>
      </c>
      <c r="E77" s="10">
        <v>16.37</v>
      </c>
      <c r="F77" s="8" t="s">
        <v>93</v>
      </c>
      <c r="G77" s="11">
        <v>0.97</v>
      </c>
      <c r="H77" s="8" t="s">
        <v>4904</v>
      </c>
      <c r="I77" s="11">
        <v>33.1273</v>
      </c>
      <c r="J77" s="11">
        <v>45.3974</v>
      </c>
      <c r="K77" s="13">
        <v>4.0541</v>
      </c>
      <c r="L77" s="8" t="s">
        <v>4905</v>
      </c>
      <c r="M77" s="11">
        <v>-4.5481</v>
      </c>
      <c r="N77" s="12">
        <v>1877212.0</v>
      </c>
      <c r="O77" s="13">
        <v>16.925</v>
      </c>
      <c r="P77" s="13">
        <v>16.17</v>
      </c>
      <c r="Q77" s="13">
        <v>16.63</v>
      </c>
      <c r="R77" s="13">
        <v>0.437</v>
      </c>
      <c r="S77" s="13">
        <v>0.9038</v>
      </c>
      <c r="T77" s="13">
        <v>611227.6</v>
      </c>
      <c r="U77" s="12">
        <v>2.610474579E9</v>
      </c>
      <c r="V77" s="11">
        <v>50.6848</v>
      </c>
      <c r="W77" s="13">
        <v>62.8559</v>
      </c>
      <c r="X77" s="13">
        <v>15.9024</v>
      </c>
      <c r="Y77" s="13">
        <v>14.4543</v>
      </c>
      <c r="Z77" s="13">
        <v>17.0069</v>
      </c>
      <c r="AA77" s="13">
        <v>16.7919</v>
      </c>
      <c r="AB77" s="13">
        <v>16.4671</v>
      </c>
      <c r="AC77" s="13">
        <v>16.0395</v>
      </c>
      <c r="AD77" s="13">
        <v>15.5198</v>
      </c>
      <c r="AE77" s="13">
        <v>17.8</v>
      </c>
      <c r="AF77" s="13">
        <v>8.0337</v>
      </c>
      <c r="AG77" s="14">
        <f>IFERROR(__xludf.DUMMYFUNCTION("IFERROR(GOOGLEFINANCE(B77,""price""),"""")"),12.31)</f>
        <v>12.31</v>
      </c>
      <c r="AH77" s="14"/>
      <c r="AI77" s="14"/>
      <c r="AJ77" s="14"/>
      <c r="AK77" s="14"/>
      <c r="AL77" s="14"/>
      <c r="AM77" s="14"/>
      <c r="AN77" s="14"/>
    </row>
    <row r="78">
      <c r="A78" s="15">
        <v>46048.69737079648</v>
      </c>
      <c r="B78" s="16" t="s">
        <v>2107</v>
      </c>
      <c r="C78" s="16" t="s">
        <v>2108</v>
      </c>
      <c r="D78" s="17">
        <v>46054.0</v>
      </c>
      <c r="E78" s="18">
        <v>6.54</v>
      </c>
      <c r="F78" s="16" t="s">
        <v>107</v>
      </c>
      <c r="G78" s="19">
        <v>0.97</v>
      </c>
      <c r="H78" s="16" t="s">
        <v>4841</v>
      </c>
      <c r="I78" s="19">
        <v>45.825</v>
      </c>
      <c r="J78" s="19">
        <v>74.7914</v>
      </c>
      <c r="K78" s="21">
        <v>1.3153</v>
      </c>
      <c r="L78" s="16" t="s">
        <v>2109</v>
      </c>
      <c r="M78" s="19">
        <v>3.9746</v>
      </c>
      <c r="N78" s="20">
        <v>4643599.0</v>
      </c>
      <c r="O78" s="21">
        <v>6.955</v>
      </c>
      <c r="P78" s="21">
        <v>6.29</v>
      </c>
      <c r="Q78" s="21">
        <v>6.54</v>
      </c>
      <c r="R78" s="21">
        <v>0.3689</v>
      </c>
      <c r="S78" s="21">
        <v>0.7575</v>
      </c>
      <c r="T78" s="16">
        <v>3427862.0</v>
      </c>
      <c r="U78" s="20">
        <v>1.036932182E9</v>
      </c>
      <c r="V78" s="19">
        <v>87.377</v>
      </c>
      <c r="W78" s="21">
        <v>90.3089</v>
      </c>
      <c r="X78" s="21">
        <v>4.4804</v>
      </c>
      <c r="Y78" s="21">
        <v>5.3716</v>
      </c>
      <c r="Z78" s="21">
        <v>6.0726</v>
      </c>
      <c r="AA78" s="21">
        <v>5.4701</v>
      </c>
      <c r="AB78" s="21">
        <v>5.0958</v>
      </c>
      <c r="AC78" s="21">
        <v>4.7635</v>
      </c>
      <c r="AD78" s="21">
        <v>4.6043</v>
      </c>
      <c r="AE78" s="21">
        <v>10.6</v>
      </c>
      <c r="AF78" s="21">
        <v>38.3019</v>
      </c>
      <c r="AG78" s="22">
        <f>IFERROR(__xludf.DUMMYFUNCTION("IFERROR(GOOGLEFINANCE(B78,""price""),"""")"),9.08)</f>
        <v>9.08</v>
      </c>
      <c r="AH78" s="22"/>
      <c r="AI78" s="22"/>
      <c r="AJ78" s="22"/>
      <c r="AK78" s="22"/>
      <c r="AL78" s="22"/>
      <c r="AM78" s="22"/>
      <c r="AN78" s="22"/>
    </row>
    <row r="79">
      <c r="A79" s="7">
        <v>46048.69737079648</v>
      </c>
      <c r="B79" s="8" t="s">
        <v>1322</v>
      </c>
      <c r="C79" s="8" t="s">
        <v>1323</v>
      </c>
      <c r="D79" s="9">
        <v>46054.0</v>
      </c>
      <c r="E79" s="10">
        <v>12.13</v>
      </c>
      <c r="F79" s="8" t="s">
        <v>93</v>
      </c>
      <c r="G79" s="11">
        <v>0.97</v>
      </c>
      <c r="H79" s="8" t="s">
        <v>4848</v>
      </c>
      <c r="I79" s="11">
        <v>26.7658</v>
      </c>
      <c r="J79" s="11">
        <v>55.256</v>
      </c>
      <c r="K79" s="13">
        <v>1.3623</v>
      </c>
      <c r="L79" s="8" t="s">
        <v>1324</v>
      </c>
      <c r="M79" s="11">
        <v>1.8472</v>
      </c>
      <c r="N79" s="12">
        <v>9226931.0</v>
      </c>
      <c r="O79" s="13">
        <v>12.16</v>
      </c>
      <c r="P79" s="13">
        <v>11.89</v>
      </c>
      <c r="Q79" s="13">
        <v>11.92</v>
      </c>
      <c r="R79" s="13">
        <v>0.3043</v>
      </c>
      <c r="S79" s="13">
        <v>0.6259</v>
      </c>
      <c r="T79" s="8">
        <v>6868965.0</v>
      </c>
      <c r="U79" s="12">
        <v>6.764119245E9</v>
      </c>
      <c r="V79" s="11">
        <v>51.3035</v>
      </c>
      <c r="W79" s="13">
        <v>60.5932</v>
      </c>
      <c r="X79" s="13">
        <v>11.6217</v>
      </c>
      <c r="Y79" s="13">
        <v>10.5403</v>
      </c>
      <c r="Z79" s="13">
        <v>12.0528</v>
      </c>
      <c r="AA79" s="13">
        <v>11.9445</v>
      </c>
      <c r="AB79" s="13">
        <v>11.8184</v>
      </c>
      <c r="AC79" s="13">
        <v>11.6004</v>
      </c>
      <c r="AD79" s="13">
        <v>11.2731</v>
      </c>
      <c r="AE79" s="13">
        <v>12.675</v>
      </c>
      <c r="AF79" s="13">
        <v>4.2998</v>
      </c>
      <c r="AG79" s="14">
        <f>IFERROR(__xludf.DUMMYFUNCTION("IFERROR(GOOGLEFINANCE(B79,""price""),"""")"),13.06)</f>
        <v>13.06</v>
      </c>
      <c r="AH79" s="14"/>
      <c r="AI79" s="14"/>
      <c r="AJ79" s="14"/>
      <c r="AK79" s="14"/>
      <c r="AL79" s="14"/>
      <c r="AM79" s="14"/>
      <c r="AN79" s="14"/>
    </row>
    <row r="80">
      <c r="A80" s="15">
        <v>46048.69737079648</v>
      </c>
      <c r="B80" s="16" t="s">
        <v>4899</v>
      </c>
      <c r="C80" s="16" t="s">
        <v>4900</v>
      </c>
      <c r="D80" s="17">
        <v>46054.0</v>
      </c>
      <c r="E80" s="18">
        <v>82.02</v>
      </c>
      <c r="F80" s="16" t="s">
        <v>308</v>
      </c>
      <c r="G80" s="19">
        <v>0.97</v>
      </c>
      <c r="H80" s="16" t="s">
        <v>4864</v>
      </c>
      <c r="I80" s="19">
        <v>26.4514</v>
      </c>
      <c r="J80" s="19">
        <v>58.9104</v>
      </c>
      <c r="K80" s="21">
        <v>1.4599</v>
      </c>
      <c r="L80" s="16" t="s">
        <v>4901</v>
      </c>
      <c r="M80" s="19">
        <v>-2.5312</v>
      </c>
      <c r="N80" s="20">
        <v>1524089.0</v>
      </c>
      <c r="O80" s="21">
        <v>84.14</v>
      </c>
      <c r="P80" s="21">
        <v>81.3</v>
      </c>
      <c r="Q80" s="21">
        <v>84.14</v>
      </c>
      <c r="R80" s="21">
        <v>1.9457</v>
      </c>
      <c r="S80" s="21">
        <v>4.016</v>
      </c>
      <c r="T80" s="16">
        <v>1076664.0</v>
      </c>
      <c r="U80" s="20">
        <v>6.52927383E9</v>
      </c>
      <c r="V80" s="19">
        <v>83.2895</v>
      </c>
      <c r="W80" s="21">
        <v>83.4179</v>
      </c>
      <c r="X80" s="21">
        <v>76.2942</v>
      </c>
      <c r="Y80" s="21">
        <v>67.7385</v>
      </c>
      <c r="Z80" s="21">
        <v>82.4603</v>
      </c>
      <c r="AA80" s="21">
        <v>80.3492</v>
      </c>
      <c r="AB80" s="21">
        <v>78.5456</v>
      </c>
      <c r="AC80" s="21">
        <v>76.1289</v>
      </c>
      <c r="AD80" s="21">
        <v>73.0451</v>
      </c>
      <c r="AE80" s="21">
        <v>84.64</v>
      </c>
      <c r="AF80" s="21">
        <v>3.0955</v>
      </c>
      <c r="AG80" s="22">
        <f>IFERROR(__xludf.DUMMYFUNCTION("IFERROR(GOOGLEFINANCE(B80,""price""),"""")"),83.59)</f>
        <v>83.59</v>
      </c>
      <c r="AH80" s="22"/>
      <c r="AI80" s="22"/>
      <c r="AJ80" s="22"/>
      <c r="AK80" s="22"/>
      <c r="AL80" s="22"/>
      <c r="AM80" s="22"/>
      <c r="AN80" s="22"/>
    </row>
    <row r="81">
      <c r="A81" s="7">
        <v>46048.69737079648</v>
      </c>
      <c r="B81" s="8" t="s">
        <v>2438</v>
      </c>
      <c r="C81" s="8" t="s">
        <v>2439</v>
      </c>
      <c r="D81" s="9">
        <v>46054.0</v>
      </c>
      <c r="E81" s="10">
        <v>196.59</v>
      </c>
      <c r="F81" s="8" t="s">
        <v>308</v>
      </c>
      <c r="G81" s="11">
        <v>0.98</v>
      </c>
      <c r="H81" s="8" t="s">
        <v>4841</v>
      </c>
      <c r="I81" s="11">
        <v>33.8265</v>
      </c>
      <c r="J81" s="11">
        <v>65.1008</v>
      </c>
      <c r="K81" s="13">
        <v>1.3234</v>
      </c>
      <c r="L81" s="8" t="s">
        <v>2440</v>
      </c>
      <c r="M81" s="11">
        <v>1.6968</v>
      </c>
      <c r="N81" s="12">
        <v>9168097.0</v>
      </c>
      <c r="O81" s="13">
        <v>196.84</v>
      </c>
      <c r="P81" s="13">
        <v>192.44</v>
      </c>
      <c r="Q81" s="13">
        <v>193.31</v>
      </c>
      <c r="R81" s="13">
        <v>4.9813</v>
      </c>
      <c r="S81" s="13">
        <v>10.1926</v>
      </c>
      <c r="T81" s="8">
        <v>7242617.0</v>
      </c>
      <c r="U81" s="12">
        <v>1.7862619053E11</v>
      </c>
      <c r="V81" s="11">
        <v>80.0187</v>
      </c>
      <c r="W81" s="13">
        <v>80.7863</v>
      </c>
      <c r="X81" s="13">
        <v>177.2848</v>
      </c>
      <c r="Y81" s="13">
        <v>182.2742</v>
      </c>
      <c r="Z81" s="13">
        <v>192.8115</v>
      </c>
      <c r="AA81" s="13">
        <v>187.7285</v>
      </c>
      <c r="AB81" s="13">
        <v>184.1549</v>
      </c>
      <c r="AC81" s="13">
        <v>181.2808</v>
      </c>
      <c r="AD81" s="13">
        <v>180.3937</v>
      </c>
      <c r="AE81" s="13">
        <v>221.69</v>
      </c>
      <c r="AF81" s="13">
        <v>11.3221</v>
      </c>
      <c r="AG81" s="14">
        <f>IFERROR(__xludf.DUMMYFUNCTION("IFERROR(GOOGLEFINANCE(B81,""price""),"""")"),214.73)</f>
        <v>214.73</v>
      </c>
      <c r="AH81" s="14"/>
      <c r="AI81" s="14"/>
      <c r="AJ81" s="14"/>
      <c r="AK81" s="14"/>
      <c r="AL81" s="14"/>
      <c r="AM81" s="14"/>
      <c r="AN81" s="14"/>
    </row>
    <row r="82">
      <c r="A82" s="15">
        <v>46048.69737079648</v>
      </c>
      <c r="B82" s="16" t="s">
        <v>4909</v>
      </c>
      <c r="C82" s="16" t="s">
        <v>4910</v>
      </c>
      <c r="D82" s="17">
        <v>46054.0</v>
      </c>
      <c r="E82" s="18">
        <v>25.55</v>
      </c>
      <c r="F82" s="16" t="s">
        <v>93</v>
      </c>
      <c r="G82" s="19">
        <v>0.98</v>
      </c>
      <c r="H82" s="16" t="s">
        <v>4848</v>
      </c>
      <c r="I82" s="19">
        <v>27.3261</v>
      </c>
      <c r="J82" s="19">
        <v>58.2175</v>
      </c>
      <c r="K82" s="21">
        <v>1.4162</v>
      </c>
      <c r="L82" s="16" t="s">
        <v>4911</v>
      </c>
      <c r="M82" s="19">
        <v>0.9482</v>
      </c>
      <c r="N82" s="20">
        <v>5799439.0</v>
      </c>
      <c r="O82" s="21">
        <v>25.84</v>
      </c>
      <c r="P82" s="21">
        <v>25.395</v>
      </c>
      <c r="Q82" s="21">
        <v>25.44</v>
      </c>
      <c r="R82" s="21">
        <v>0.5658</v>
      </c>
      <c r="S82" s="21">
        <v>1.1543</v>
      </c>
      <c r="T82" s="16">
        <v>4160083.0</v>
      </c>
      <c r="U82" s="20">
        <v>1.3321531747E10</v>
      </c>
      <c r="V82" s="19">
        <v>68.4362</v>
      </c>
      <c r="W82" s="21">
        <v>68.6681</v>
      </c>
      <c r="X82" s="21">
        <v>23.7726</v>
      </c>
      <c r="Y82" s="21">
        <v>23.2702</v>
      </c>
      <c r="Z82" s="21">
        <v>25.4673</v>
      </c>
      <c r="AA82" s="21">
        <v>25.0434</v>
      </c>
      <c r="AB82" s="21">
        <v>24.629</v>
      </c>
      <c r="AC82" s="21">
        <v>24.2263</v>
      </c>
      <c r="AD82" s="21">
        <v>23.8989</v>
      </c>
      <c r="AE82" s="21">
        <v>26.245</v>
      </c>
      <c r="AF82" s="21">
        <v>2.6481</v>
      </c>
      <c r="AG82" s="22">
        <f>IFERROR(__xludf.DUMMYFUNCTION("IFERROR(GOOGLEFINANCE(B82,""price""),"""")"),24.91)</f>
        <v>24.91</v>
      </c>
      <c r="AH82" s="22"/>
      <c r="AI82" s="22"/>
      <c r="AJ82" s="22"/>
      <c r="AK82" s="22"/>
      <c r="AL82" s="22"/>
      <c r="AM82" s="22"/>
      <c r="AN82" s="22"/>
    </row>
    <row r="83">
      <c r="A83" s="7">
        <v>46048.69737079648</v>
      </c>
      <c r="B83" s="8" t="s">
        <v>1301</v>
      </c>
      <c r="C83" s="8" t="s">
        <v>1302</v>
      </c>
      <c r="D83" s="9">
        <v>46054.0</v>
      </c>
      <c r="E83" s="10">
        <v>66.64</v>
      </c>
      <c r="F83" s="8" t="s">
        <v>917</v>
      </c>
      <c r="G83" s="11">
        <v>0.99</v>
      </c>
      <c r="H83" s="8" t="s">
        <v>4864</v>
      </c>
      <c r="I83" s="11">
        <v>21.8946</v>
      </c>
      <c r="J83" s="11">
        <v>51.441</v>
      </c>
      <c r="K83" s="13">
        <v>1.4735</v>
      </c>
      <c r="L83" s="8" t="s">
        <v>1303</v>
      </c>
      <c r="M83" s="11">
        <v>0.2256</v>
      </c>
      <c r="N83" s="12">
        <v>708113.0</v>
      </c>
      <c r="O83" s="13">
        <v>67.485</v>
      </c>
      <c r="P83" s="13">
        <v>66.17</v>
      </c>
      <c r="Q83" s="13">
        <v>66.66</v>
      </c>
      <c r="R83" s="13">
        <v>1.4371</v>
      </c>
      <c r="S83" s="13">
        <v>2.8977</v>
      </c>
      <c r="T83" s="13">
        <v>509875.2</v>
      </c>
      <c r="U83" s="12">
        <v>4.092164228E9</v>
      </c>
      <c r="V83" s="11">
        <v>60.5873</v>
      </c>
      <c r="W83" s="13">
        <v>71.3921</v>
      </c>
      <c r="X83" s="13">
        <v>66.1746</v>
      </c>
      <c r="Y83" s="13">
        <v>60.2239</v>
      </c>
      <c r="Z83" s="13">
        <v>67.184</v>
      </c>
      <c r="AA83" s="13">
        <v>66.6255</v>
      </c>
      <c r="AB83" s="13">
        <v>66.1236</v>
      </c>
      <c r="AC83" s="13">
        <v>65.1755</v>
      </c>
      <c r="AD83" s="13">
        <v>63.6015</v>
      </c>
      <c r="AE83" s="13">
        <v>69.23</v>
      </c>
      <c r="AF83" s="13">
        <v>3.7412</v>
      </c>
      <c r="AG83" s="14">
        <f>IFERROR(__xludf.DUMMYFUNCTION("IFERROR(GOOGLEFINANCE(B83,""price""),"""")"),70.61)</f>
        <v>70.61</v>
      </c>
      <c r="AH83" s="14"/>
      <c r="AI83" s="14"/>
      <c r="AJ83" s="14"/>
      <c r="AK83" s="14"/>
      <c r="AL83" s="14"/>
      <c r="AM83" s="14"/>
      <c r="AN83" s="14"/>
    </row>
    <row r="84">
      <c r="A84" s="15">
        <v>46048.69737079648</v>
      </c>
      <c r="B84" s="16" t="s">
        <v>1047</v>
      </c>
      <c r="C84" s="16" t="s">
        <v>1048</v>
      </c>
      <c r="D84" s="17">
        <v>46054.0</v>
      </c>
      <c r="E84" s="18">
        <v>6.52</v>
      </c>
      <c r="F84" s="16" t="s">
        <v>335</v>
      </c>
      <c r="G84" s="19">
        <v>0.99</v>
      </c>
      <c r="H84" s="16" t="s">
        <v>4912</v>
      </c>
      <c r="I84" s="19">
        <v>35.2354</v>
      </c>
      <c r="J84" s="19">
        <v>74.3409</v>
      </c>
      <c r="K84" s="21">
        <v>4.4036</v>
      </c>
      <c r="L84" s="16" t="s">
        <v>1049</v>
      </c>
      <c r="M84" s="19">
        <v>4.9919</v>
      </c>
      <c r="N84" s="20">
        <v>1.9631968E7</v>
      </c>
      <c r="O84" s="21">
        <v>7.15</v>
      </c>
      <c r="P84" s="21">
        <v>6.41</v>
      </c>
      <c r="Q84" s="21">
        <v>7.15</v>
      </c>
      <c r="R84" s="21">
        <v>0.4382</v>
      </c>
      <c r="S84" s="21">
        <v>0.8852</v>
      </c>
      <c r="T84" s="16">
        <v>6120363.0</v>
      </c>
      <c r="U84" s="20">
        <v>1.115310517E9</v>
      </c>
      <c r="V84" s="19">
        <v>84.8181</v>
      </c>
      <c r="W84" s="21">
        <v>84.9129</v>
      </c>
      <c r="X84" s="21">
        <v>4.7088</v>
      </c>
      <c r="Y84" s="21">
        <v>3.3501</v>
      </c>
      <c r="Z84" s="21">
        <v>5.8586</v>
      </c>
      <c r="AA84" s="21">
        <v>5.3821</v>
      </c>
      <c r="AB84" s="21">
        <v>5.1265</v>
      </c>
      <c r="AC84" s="21">
        <v>4.8274</v>
      </c>
      <c r="AD84" s="21">
        <v>4.3905</v>
      </c>
      <c r="AE84" s="21">
        <v>11.29</v>
      </c>
      <c r="AF84" s="21">
        <v>42.2498</v>
      </c>
      <c r="AG84" s="22">
        <f>IFERROR(__xludf.DUMMYFUNCTION("IFERROR(GOOGLEFINANCE(B84,""price""),"""")"),3.88)</f>
        <v>3.88</v>
      </c>
      <c r="AH84" s="22"/>
      <c r="AI84" s="22"/>
      <c r="AJ84" s="22"/>
      <c r="AK84" s="22"/>
      <c r="AL84" s="22"/>
      <c r="AM84" s="22"/>
      <c r="AN84" s="22"/>
    </row>
    <row r="85">
      <c r="A85" s="7">
        <v>46048.69737079648</v>
      </c>
      <c r="B85" s="8" t="s">
        <v>4913</v>
      </c>
      <c r="C85" s="8" t="s">
        <v>4914</v>
      </c>
      <c r="D85" s="9">
        <v>46054.0</v>
      </c>
      <c r="E85" s="10">
        <v>22.07</v>
      </c>
      <c r="F85" s="8" t="s">
        <v>117</v>
      </c>
      <c r="G85" s="11">
        <v>0.99</v>
      </c>
      <c r="H85" s="8" t="s">
        <v>4915</v>
      </c>
      <c r="I85" s="11">
        <v>48.8636</v>
      </c>
      <c r="J85" s="11">
        <v>54.8152</v>
      </c>
      <c r="K85" s="13">
        <v>1.8751</v>
      </c>
      <c r="L85" s="8" t="s">
        <v>4916</v>
      </c>
      <c r="M85" s="11">
        <v>-1.0758</v>
      </c>
      <c r="N85" s="12">
        <v>600981.0</v>
      </c>
      <c r="O85" s="13">
        <v>22.87</v>
      </c>
      <c r="P85" s="13">
        <v>21.65</v>
      </c>
      <c r="Q85" s="13">
        <v>22.35</v>
      </c>
      <c r="R85" s="13">
        <v>0.9726</v>
      </c>
      <c r="S85" s="13">
        <v>1.9667</v>
      </c>
      <c r="T85" s="13">
        <v>350377.8</v>
      </c>
      <c r="U85" s="12">
        <v>8.18701896E8</v>
      </c>
      <c r="V85" s="11">
        <v>48.6194</v>
      </c>
      <c r="W85" s="13">
        <v>47.5658</v>
      </c>
      <c r="X85" s="13">
        <v>19.666</v>
      </c>
      <c r="Y85" s="13">
        <v>17.982</v>
      </c>
      <c r="Z85" s="13">
        <v>22.2884</v>
      </c>
      <c r="AA85" s="13">
        <v>21.9051</v>
      </c>
      <c r="AB85" s="13">
        <v>21.0144</v>
      </c>
      <c r="AC85" s="13">
        <v>19.594</v>
      </c>
      <c r="AD85" s="13">
        <v>18.1675</v>
      </c>
      <c r="AE85" s="13">
        <v>26.04</v>
      </c>
      <c r="AF85" s="13">
        <v>15.2458</v>
      </c>
      <c r="AG85" s="14">
        <f>IFERROR(__xludf.DUMMYFUNCTION("IFERROR(GOOGLEFINANCE(B85,""price""),"""")"),18.15)</f>
        <v>18.15</v>
      </c>
      <c r="AH85" s="14"/>
      <c r="AI85" s="14"/>
      <c r="AJ85" s="14"/>
      <c r="AK85" s="14"/>
      <c r="AL85" s="14"/>
      <c r="AM85" s="14"/>
      <c r="AN85" s="14"/>
    </row>
    <row r="86">
      <c r="A86" s="7">
        <v>46049.62799640535</v>
      </c>
      <c r="B86" s="8" t="s">
        <v>4927</v>
      </c>
      <c r="C86" s="8" t="s">
        <v>4928</v>
      </c>
      <c r="D86" s="9">
        <v>46054.0</v>
      </c>
      <c r="E86" s="10">
        <v>10.68</v>
      </c>
      <c r="F86" s="8" t="s">
        <v>93</v>
      </c>
      <c r="G86" s="11">
        <v>0.46</v>
      </c>
      <c r="H86" s="8" t="s">
        <v>4929</v>
      </c>
      <c r="I86" s="11">
        <v>33.8927</v>
      </c>
      <c r="J86" s="11">
        <v>62.34</v>
      </c>
      <c r="K86" s="13">
        <v>1.5559</v>
      </c>
      <c r="L86" s="8" t="s">
        <v>4930</v>
      </c>
      <c r="M86" s="11">
        <v>0.0937</v>
      </c>
      <c r="N86" s="12">
        <v>1508094.0</v>
      </c>
      <c r="O86" s="13">
        <v>10.69</v>
      </c>
      <c r="P86" s="13">
        <v>10.65</v>
      </c>
      <c r="Q86" s="13">
        <v>10.65</v>
      </c>
      <c r="R86" s="13">
        <v>0.0302</v>
      </c>
      <c r="S86" s="13">
        <v>0.1305</v>
      </c>
      <c r="T86" s="8">
        <v>1107268.0</v>
      </c>
      <c r="U86" s="12">
        <v>3.915555E8</v>
      </c>
      <c r="V86" s="11">
        <v>80.5861</v>
      </c>
      <c r="W86" s="13">
        <v>78.8462</v>
      </c>
      <c r="X86" s="13">
        <v>10.6264</v>
      </c>
      <c r="Y86" s="13">
        <v>10.9218</v>
      </c>
      <c r="Z86" s="13">
        <v>10.672</v>
      </c>
      <c r="AA86" s="13">
        <v>10.6548</v>
      </c>
      <c r="AB86" s="13">
        <v>10.6455</v>
      </c>
      <c r="AC86" s="13">
        <v>10.6389</v>
      </c>
      <c r="AD86" s="13">
        <v>10.6389</v>
      </c>
      <c r="AE86" s="13">
        <v>11.66</v>
      </c>
      <c r="AF86" s="13">
        <v>8.4048</v>
      </c>
      <c r="AG86" s="14">
        <f>IFERROR(__xludf.DUMMYFUNCTION("IFERROR(GOOGLEFINANCE(B86,""price""),"""")"),10.7)</f>
        <v>10.7</v>
      </c>
      <c r="AH86" s="14"/>
      <c r="AI86" s="14"/>
      <c r="AJ86" s="14"/>
      <c r="AK86" s="14"/>
      <c r="AL86" s="14"/>
      <c r="AM86" s="14"/>
      <c r="AN86" s="14"/>
    </row>
    <row r="87">
      <c r="A87" s="15">
        <v>46049.62799640535</v>
      </c>
      <c r="B87" s="16" t="s">
        <v>4824</v>
      </c>
      <c r="C87" s="16" t="s">
        <v>4825</v>
      </c>
      <c r="D87" s="17">
        <v>46054.0</v>
      </c>
      <c r="E87" s="18">
        <v>3.5999</v>
      </c>
      <c r="F87" s="16" t="s">
        <v>117</v>
      </c>
      <c r="G87" s="19">
        <v>0.68</v>
      </c>
      <c r="H87" s="16" t="s">
        <v>4931</v>
      </c>
      <c r="I87" s="19">
        <v>35.6294</v>
      </c>
      <c r="J87" s="19">
        <v>67.3146</v>
      </c>
      <c r="K87" s="21">
        <v>4.2113</v>
      </c>
      <c r="L87" s="16" t="s">
        <v>4827</v>
      </c>
      <c r="M87" s="19">
        <v>11.452</v>
      </c>
      <c r="N87" s="20">
        <v>2083288.0</v>
      </c>
      <c r="O87" s="21">
        <v>3.74</v>
      </c>
      <c r="P87" s="21">
        <v>3.2</v>
      </c>
      <c r="Q87" s="21">
        <v>3.3</v>
      </c>
      <c r="R87" s="21">
        <v>0.2729</v>
      </c>
      <c r="S87" s="21">
        <v>0.7982</v>
      </c>
      <c r="T87" s="21">
        <v>663728.1</v>
      </c>
      <c r="U87" s="20">
        <v>1.42303494E8</v>
      </c>
      <c r="V87" s="19">
        <v>68.1719</v>
      </c>
      <c r="W87" s="21">
        <v>48.5422</v>
      </c>
      <c r="X87" s="21">
        <v>2.7182</v>
      </c>
      <c r="Y87" s="21">
        <v>3.338</v>
      </c>
      <c r="Z87" s="21">
        <v>3.1361</v>
      </c>
      <c r="AA87" s="21">
        <v>2.9775</v>
      </c>
      <c r="AB87" s="21">
        <v>2.9099</v>
      </c>
      <c r="AC87" s="21">
        <v>2.872</v>
      </c>
      <c r="AD87" s="21">
        <v>2.815</v>
      </c>
      <c r="AE87" s="21">
        <v>9.08</v>
      </c>
      <c r="AF87" s="21">
        <v>60.3535</v>
      </c>
      <c r="AG87" s="22" t="str">
        <f>IFERROR(__xludf.DUMMYFUNCTION("IFERROR(GOOGLEFINANCE(B87,""price""),"""")"),"")</f>
        <v/>
      </c>
      <c r="AH87" s="22"/>
      <c r="AI87" s="22"/>
      <c r="AJ87" s="22"/>
      <c r="AK87" s="22"/>
      <c r="AL87" s="22"/>
      <c r="AM87" s="22"/>
      <c r="AN87" s="22"/>
    </row>
    <row r="88">
      <c r="A88" s="7">
        <v>46049.62799640535</v>
      </c>
      <c r="B88" s="8" t="s">
        <v>4932</v>
      </c>
      <c r="C88" s="8" t="s">
        <v>4933</v>
      </c>
      <c r="D88" s="9">
        <v>46054.0</v>
      </c>
      <c r="E88" s="10">
        <v>20.3</v>
      </c>
      <c r="F88" s="8" t="s">
        <v>286</v>
      </c>
      <c r="G88" s="11">
        <v>0.82</v>
      </c>
      <c r="H88" s="8" t="s">
        <v>4934</v>
      </c>
      <c r="I88" s="11">
        <v>28.47</v>
      </c>
      <c r="J88" s="11">
        <v>63.6478</v>
      </c>
      <c r="K88" s="13">
        <v>1.3124</v>
      </c>
      <c r="L88" s="8" t="s">
        <v>4935</v>
      </c>
      <c r="M88" s="11">
        <v>1.4493</v>
      </c>
      <c r="N88" s="12">
        <v>8810849.0</v>
      </c>
      <c r="O88" s="13">
        <v>20.37</v>
      </c>
      <c r="P88" s="13">
        <v>19.77</v>
      </c>
      <c r="Q88" s="13">
        <v>20.04</v>
      </c>
      <c r="R88" s="13">
        <v>0.6927</v>
      </c>
      <c r="S88" s="13">
        <v>1.6878</v>
      </c>
      <c r="T88" s="8">
        <v>6960687.0</v>
      </c>
      <c r="U88" s="12">
        <v>7.931712758E9</v>
      </c>
      <c r="V88" s="11">
        <v>78.2522</v>
      </c>
      <c r="W88" s="13">
        <v>74.09</v>
      </c>
      <c r="X88" s="13">
        <v>18.2532</v>
      </c>
      <c r="Y88" s="13">
        <v>16.3415</v>
      </c>
      <c r="Z88" s="13">
        <v>19.7317</v>
      </c>
      <c r="AA88" s="13">
        <v>19.2864</v>
      </c>
      <c r="AB88" s="13">
        <v>18.8312</v>
      </c>
      <c r="AC88" s="13">
        <v>18.1114</v>
      </c>
      <c r="AD88" s="13">
        <v>17.2323</v>
      </c>
      <c r="AE88" s="13">
        <v>29.02</v>
      </c>
      <c r="AF88" s="13">
        <v>30.0482</v>
      </c>
      <c r="AG88" s="14">
        <f>IFERROR(__xludf.DUMMYFUNCTION("IFERROR(GOOGLEFINANCE(B88,""price""),"""")"),18.23)</f>
        <v>18.23</v>
      </c>
      <c r="AH88" s="14"/>
      <c r="AI88" s="14"/>
      <c r="AJ88" s="14"/>
      <c r="AK88" s="14"/>
      <c r="AL88" s="14"/>
      <c r="AM88" s="14"/>
      <c r="AN88" s="14"/>
    </row>
    <row r="89">
      <c r="A89" s="15">
        <v>46049.62799640535</v>
      </c>
      <c r="B89" s="16" t="s">
        <v>4936</v>
      </c>
      <c r="C89" s="16" t="s">
        <v>4937</v>
      </c>
      <c r="D89" s="17">
        <v>46054.0</v>
      </c>
      <c r="E89" s="18">
        <v>20.255</v>
      </c>
      <c r="F89" s="16" t="s">
        <v>93</v>
      </c>
      <c r="G89" s="19">
        <v>0.88</v>
      </c>
      <c r="H89" s="16" t="s">
        <v>4848</v>
      </c>
      <c r="I89" s="19">
        <v>26.5017</v>
      </c>
      <c r="J89" s="19">
        <v>74.2233</v>
      </c>
      <c r="K89" s="21">
        <v>1.39</v>
      </c>
      <c r="L89" s="16" t="s">
        <v>4938</v>
      </c>
      <c r="M89" s="19">
        <v>1.6307</v>
      </c>
      <c r="N89" s="20">
        <v>8543233.0</v>
      </c>
      <c r="O89" s="21">
        <v>20.82</v>
      </c>
      <c r="P89" s="21">
        <v>20.065</v>
      </c>
      <c r="Q89" s="21">
        <v>20.6</v>
      </c>
      <c r="R89" s="21">
        <v>0.6572</v>
      </c>
      <c r="S89" s="21">
        <v>1.498</v>
      </c>
      <c r="T89" s="16">
        <v>6559335.0</v>
      </c>
      <c r="U89" s="20">
        <v>1.0673213671E10</v>
      </c>
      <c r="V89" s="19">
        <v>90.1243</v>
      </c>
      <c r="W89" s="21">
        <v>91.5606</v>
      </c>
      <c r="X89" s="21">
        <v>17.7928</v>
      </c>
      <c r="Y89" s="21">
        <v>17.5746</v>
      </c>
      <c r="Z89" s="21">
        <v>19.2519</v>
      </c>
      <c r="AA89" s="21">
        <v>18.2308</v>
      </c>
      <c r="AB89" s="21">
        <v>17.9536</v>
      </c>
      <c r="AC89" s="21">
        <v>17.8442</v>
      </c>
      <c r="AD89" s="21">
        <v>17.7887</v>
      </c>
      <c r="AE89" s="21">
        <v>20.82</v>
      </c>
      <c r="AF89" s="21">
        <v>2.7137</v>
      </c>
      <c r="AG89" s="22">
        <f>IFERROR(__xludf.DUMMYFUNCTION("IFERROR(GOOGLEFINANCE(B89,""price""),"""")"),19.99)</f>
        <v>19.99</v>
      </c>
      <c r="AH89" s="22"/>
      <c r="AI89" s="22"/>
      <c r="AJ89" s="22"/>
      <c r="AK89" s="22"/>
      <c r="AL89" s="22"/>
      <c r="AM89" s="22"/>
      <c r="AN89" s="22"/>
    </row>
    <row r="90">
      <c r="A90" s="7">
        <v>46049.62799640535</v>
      </c>
      <c r="B90" s="8" t="s">
        <v>1356</v>
      </c>
      <c r="C90" s="8" t="s">
        <v>1357</v>
      </c>
      <c r="D90" s="9">
        <v>46054.0</v>
      </c>
      <c r="E90" s="10">
        <v>26.485</v>
      </c>
      <c r="F90" s="8" t="s">
        <v>117</v>
      </c>
      <c r="G90" s="11">
        <v>0.89</v>
      </c>
      <c r="H90" s="8" t="s">
        <v>4841</v>
      </c>
      <c r="I90" s="11">
        <v>23.9329</v>
      </c>
      <c r="J90" s="11">
        <v>63.3561</v>
      </c>
      <c r="K90" s="13">
        <v>1.3112</v>
      </c>
      <c r="L90" s="8" t="s">
        <v>1358</v>
      </c>
      <c r="M90" s="11">
        <v>2.3377</v>
      </c>
      <c r="N90" s="12">
        <v>6.6318738E7</v>
      </c>
      <c r="O90" s="13">
        <v>26.83</v>
      </c>
      <c r="P90" s="13">
        <v>25.9</v>
      </c>
      <c r="Q90" s="13">
        <v>25.94</v>
      </c>
      <c r="R90" s="13">
        <v>0.5306</v>
      </c>
      <c r="S90" s="13">
        <v>1.1935</v>
      </c>
      <c r="T90" s="8">
        <v>5.2186435E7</v>
      </c>
      <c r="U90" s="12">
        <v>1.50585958772E11</v>
      </c>
      <c r="V90" s="11">
        <v>66.892</v>
      </c>
      <c r="W90" s="13">
        <v>70.3613</v>
      </c>
      <c r="X90" s="13">
        <v>25.4313</v>
      </c>
      <c r="Y90" s="13">
        <v>25.2204</v>
      </c>
      <c r="Z90" s="13">
        <v>25.8989</v>
      </c>
      <c r="AA90" s="13">
        <v>25.6247</v>
      </c>
      <c r="AB90" s="13">
        <v>25.5072</v>
      </c>
      <c r="AC90" s="13">
        <v>25.3804</v>
      </c>
      <c r="AD90" s="13">
        <v>25.2314</v>
      </c>
      <c r="AE90" s="13">
        <v>27.69</v>
      </c>
      <c r="AF90" s="13">
        <v>4.3518</v>
      </c>
      <c r="AG90" s="14">
        <f>IFERROR(__xludf.DUMMYFUNCTION("IFERROR(GOOGLEFINANCE(B90,""price""),"""")"),26.92)</f>
        <v>26.92</v>
      </c>
      <c r="AH90" s="14"/>
      <c r="AI90" s="14"/>
      <c r="AJ90" s="14"/>
      <c r="AK90" s="14"/>
      <c r="AL90" s="14"/>
      <c r="AM90" s="14"/>
      <c r="AN90" s="14"/>
    </row>
    <row r="91">
      <c r="A91" s="15">
        <v>46049.62799640535</v>
      </c>
      <c r="B91" s="16" t="s">
        <v>4939</v>
      </c>
      <c r="C91" s="16" t="s">
        <v>4940</v>
      </c>
      <c r="D91" s="17">
        <v>46054.0</v>
      </c>
      <c r="E91" s="18">
        <v>41.325</v>
      </c>
      <c r="F91" s="16" t="s">
        <v>190</v>
      </c>
      <c r="G91" s="19">
        <v>0.91</v>
      </c>
      <c r="H91" s="16" t="s">
        <v>4941</v>
      </c>
      <c r="I91" s="19">
        <v>20.5983</v>
      </c>
      <c r="J91" s="19">
        <v>40.3164</v>
      </c>
      <c r="K91" s="21">
        <v>2.2832</v>
      </c>
      <c r="L91" s="16" t="s">
        <v>4942</v>
      </c>
      <c r="M91" s="19">
        <v>-10.7066</v>
      </c>
      <c r="N91" s="20">
        <v>1.1697073E7</v>
      </c>
      <c r="O91" s="21">
        <v>45.25</v>
      </c>
      <c r="P91" s="21">
        <v>40.12</v>
      </c>
      <c r="Q91" s="21">
        <v>44.0</v>
      </c>
      <c r="R91" s="21">
        <v>1.6943</v>
      </c>
      <c r="S91" s="21">
        <v>3.7369</v>
      </c>
      <c r="T91" s="16">
        <v>5769607.0</v>
      </c>
      <c r="U91" s="20">
        <v>2.0311981037E10</v>
      </c>
      <c r="V91" s="19">
        <v>50.8993</v>
      </c>
      <c r="W91" s="21">
        <v>62.3301</v>
      </c>
      <c r="X91" s="21">
        <v>41.0331</v>
      </c>
      <c r="Y91" s="21">
        <v>42.9478</v>
      </c>
      <c r="Z91" s="21">
        <v>44.8424</v>
      </c>
      <c r="AA91" s="21">
        <v>44.2116</v>
      </c>
      <c r="AB91" s="21">
        <v>42.9942</v>
      </c>
      <c r="AC91" s="21">
        <v>41.4105</v>
      </c>
      <c r="AD91" s="21">
        <v>40.2605</v>
      </c>
      <c r="AE91" s="21">
        <v>66.81</v>
      </c>
      <c r="AF91" s="21">
        <v>38.1455</v>
      </c>
      <c r="AG91" s="22">
        <f>IFERROR(__xludf.DUMMYFUNCTION("IFERROR(GOOGLEFINANCE(B91,""price""),"""")"),37.3)</f>
        <v>37.3</v>
      </c>
      <c r="AH91" s="22"/>
      <c r="AI91" s="22"/>
      <c r="AJ91" s="22"/>
      <c r="AK91" s="22"/>
      <c r="AL91" s="22"/>
      <c r="AM91" s="22"/>
      <c r="AN91" s="22"/>
    </row>
    <row r="92">
      <c r="A92" s="7">
        <v>46049.62799640535</v>
      </c>
      <c r="B92" s="8" t="s">
        <v>4884</v>
      </c>
      <c r="C92" s="8" t="s">
        <v>4885</v>
      </c>
      <c r="D92" s="9">
        <v>46054.0</v>
      </c>
      <c r="E92" s="10">
        <v>19.81</v>
      </c>
      <c r="F92" s="8" t="s">
        <v>88</v>
      </c>
      <c r="G92" s="11">
        <v>0.94</v>
      </c>
      <c r="H92" s="8" t="s">
        <v>4841</v>
      </c>
      <c r="I92" s="11">
        <v>20.996</v>
      </c>
      <c r="J92" s="11">
        <v>69.1926</v>
      </c>
      <c r="K92" s="13">
        <v>1.3162</v>
      </c>
      <c r="L92" s="8" t="s">
        <v>4886</v>
      </c>
      <c r="M92" s="11">
        <v>3.9895</v>
      </c>
      <c r="N92" s="12">
        <v>1.458919E7</v>
      </c>
      <c r="O92" s="13">
        <v>20.01</v>
      </c>
      <c r="P92" s="13">
        <v>19.0</v>
      </c>
      <c r="Q92" s="13">
        <v>19.4</v>
      </c>
      <c r="R92" s="13">
        <v>1.0488</v>
      </c>
      <c r="S92" s="13">
        <v>2.2217</v>
      </c>
      <c r="T92" s="8">
        <v>1.1004194E7</v>
      </c>
      <c r="U92" s="12">
        <v>6.142314301E9</v>
      </c>
      <c r="V92" s="11">
        <v>87.4518</v>
      </c>
      <c r="W92" s="13">
        <v>83.6311</v>
      </c>
      <c r="X92" s="13">
        <v>16.4386</v>
      </c>
      <c r="Y92" s="13">
        <v>15.2062</v>
      </c>
      <c r="Z92" s="13">
        <v>18.6683</v>
      </c>
      <c r="AA92" s="13">
        <v>17.7031</v>
      </c>
      <c r="AB92" s="13">
        <v>17.3257</v>
      </c>
      <c r="AC92" s="13">
        <v>17.0953</v>
      </c>
      <c r="AD92" s="13">
        <v>16.7319</v>
      </c>
      <c r="AE92" s="13">
        <v>23.63</v>
      </c>
      <c r="AF92" s="13">
        <v>16.1659</v>
      </c>
      <c r="AG92" s="14">
        <f>IFERROR(__xludf.DUMMYFUNCTION("IFERROR(GOOGLEFINANCE(B92,""price""),"""")"),18.32)</f>
        <v>18.32</v>
      </c>
      <c r="AH92" s="14"/>
      <c r="AI92" s="14"/>
      <c r="AJ92" s="14"/>
      <c r="AK92" s="14"/>
      <c r="AL92" s="14"/>
      <c r="AM92" s="14"/>
      <c r="AN92" s="14"/>
    </row>
    <row r="93">
      <c r="A93" s="15">
        <v>46049.62799640535</v>
      </c>
      <c r="B93" s="16" t="s">
        <v>4943</v>
      </c>
      <c r="C93" s="16" t="s">
        <v>4944</v>
      </c>
      <c r="D93" s="17">
        <v>46054.0</v>
      </c>
      <c r="E93" s="18">
        <v>244.45</v>
      </c>
      <c r="F93" s="16" t="s">
        <v>308</v>
      </c>
      <c r="G93" s="19">
        <v>0.94</v>
      </c>
      <c r="H93" s="16" t="s">
        <v>4919</v>
      </c>
      <c r="I93" s="19">
        <v>53.6437</v>
      </c>
      <c r="J93" s="19">
        <v>65.9669</v>
      </c>
      <c r="K93" s="21">
        <v>2.1439</v>
      </c>
      <c r="L93" s="16" t="s">
        <v>4945</v>
      </c>
      <c r="M93" s="19">
        <v>-1.6021</v>
      </c>
      <c r="N93" s="20">
        <v>1.8074579E7</v>
      </c>
      <c r="O93" s="21">
        <v>254.3499</v>
      </c>
      <c r="P93" s="21">
        <v>238.75</v>
      </c>
      <c r="Q93" s="21">
        <v>242.5</v>
      </c>
      <c r="R93" s="21">
        <v>6.0579</v>
      </c>
      <c r="S93" s="21">
        <v>12.8369</v>
      </c>
      <c r="T93" s="16">
        <v>9448913.0</v>
      </c>
      <c r="U93" s="20">
        <v>1.91421756047E11</v>
      </c>
      <c r="V93" s="19">
        <v>79.8796</v>
      </c>
      <c r="W93" s="21">
        <v>87.6442</v>
      </c>
      <c r="X93" s="21">
        <v>214.342</v>
      </c>
      <c r="Y93" s="21">
        <v>209.386</v>
      </c>
      <c r="Z93" s="21">
        <v>246.6819</v>
      </c>
      <c r="AA93" s="21">
        <v>237.3216</v>
      </c>
      <c r="AB93" s="21">
        <v>229.7787</v>
      </c>
      <c r="AC93" s="21">
        <v>223.1705</v>
      </c>
      <c r="AD93" s="21">
        <v>218.4664</v>
      </c>
      <c r="AE93" s="21">
        <v>254.3499</v>
      </c>
      <c r="AF93" s="21">
        <v>3.8922</v>
      </c>
      <c r="AG93" s="22">
        <f>IFERROR(__xludf.DUMMYFUNCTION("IFERROR(GOOGLEFINANCE(B93,""price""),"""")"),217.63)</f>
        <v>217.63</v>
      </c>
      <c r="AH93" s="22"/>
      <c r="AI93" s="22"/>
      <c r="AJ93" s="22"/>
      <c r="AK93" s="22"/>
      <c r="AL93" s="22"/>
      <c r="AM93" s="22"/>
      <c r="AN93" s="22"/>
    </row>
    <row r="94">
      <c r="A94" s="7">
        <v>46049.62799640535</v>
      </c>
      <c r="B94" s="8" t="s">
        <v>4946</v>
      </c>
      <c r="C94" s="8" t="s">
        <v>4947</v>
      </c>
      <c r="D94" s="9">
        <v>46054.0</v>
      </c>
      <c r="E94" s="10">
        <v>24.3589</v>
      </c>
      <c r="F94" s="8" t="s">
        <v>186</v>
      </c>
      <c r="G94" s="11">
        <v>0.94</v>
      </c>
      <c r="H94" s="8" t="s">
        <v>4862</v>
      </c>
      <c r="I94" s="11">
        <v>37.1625</v>
      </c>
      <c r="J94" s="11">
        <v>62.9897</v>
      </c>
      <c r="K94" s="13">
        <v>1.57</v>
      </c>
      <c r="L94" s="8" t="s">
        <v>4948</v>
      </c>
      <c r="M94" s="11">
        <v>0.3663</v>
      </c>
      <c r="N94" s="12">
        <v>669338.0</v>
      </c>
      <c r="O94" s="13">
        <v>25.1</v>
      </c>
      <c r="P94" s="13">
        <v>24.24</v>
      </c>
      <c r="Q94" s="13">
        <v>24.3</v>
      </c>
      <c r="R94" s="13">
        <v>0.6851</v>
      </c>
      <c r="S94" s="13">
        <v>1.4555</v>
      </c>
      <c r="T94" s="13">
        <v>465076.0</v>
      </c>
      <c r="U94" s="12">
        <v>1.0963372E9</v>
      </c>
      <c r="V94" s="11">
        <v>76.4226</v>
      </c>
      <c r="W94" s="13">
        <v>81.2252</v>
      </c>
      <c r="X94" s="13">
        <v>21.9954</v>
      </c>
      <c r="Y94" s="13">
        <v>19.8397</v>
      </c>
      <c r="Z94" s="13">
        <v>24.184</v>
      </c>
      <c r="AA94" s="13">
        <v>23.512</v>
      </c>
      <c r="AB94" s="13">
        <v>22.9134</v>
      </c>
      <c r="AC94" s="13">
        <v>22.1316</v>
      </c>
      <c r="AD94" s="13">
        <v>21.2062</v>
      </c>
      <c r="AE94" s="13">
        <v>25.1</v>
      </c>
      <c r="AF94" s="13">
        <v>2.9526</v>
      </c>
      <c r="AG94" s="14">
        <f>IFERROR(__xludf.DUMMYFUNCTION("IFERROR(GOOGLEFINANCE(B94,""price""),"""")"),28.11)</f>
        <v>28.11</v>
      </c>
      <c r="AH94" s="14"/>
      <c r="AI94" s="14"/>
      <c r="AJ94" s="14"/>
      <c r="AK94" s="14"/>
      <c r="AL94" s="14"/>
      <c r="AM94" s="14"/>
      <c r="AN94" s="14"/>
    </row>
    <row r="95">
      <c r="A95" s="15">
        <v>46049.62799640535</v>
      </c>
      <c r="B95" s="16" t="s">
        <v>1400</v>
      </c>
      <c r="C95" s="16" t="s">
        <v>1401</v>
      </c>
      <c r="D95" s="17">
        <v>46054.0</v>
      </c>
      <c r="E95" s="18">
        <v>89.67</v>
      </c>
      <c r="F95" s="16" t="s">
        <v>93</v>
      </c>
      <c r="G95" s="19">
        <v>0.94</v>
      </c>
      <c r="H95" s="16" t="s">
        <v>4858</v>
      </c>
      <c r="I95" s="19">
        <v>21.1253</v>
      </c>
      <c r="J95" s="19">
        <v>55.7572</v>
      </c>
      <c r="K95" s="21">
        <v>1.9846</v>
      </c>
      <c r="L95" s="16" t="s">
        <v>1402</v>
      </c>
      <c r="M95" s="19">
        <v>1.4137</v>
      </c>
      <c r="N95" s="20">
        <v>1613198.0</v>
      </c>
      <c r="O95" s="21">
        <v>91.275</v>
      </c>
      <c r="P95" s="21">
        <v>86.71</v>
      </c>
      <c r="Q95" s="21">
        <v>91.0</v>
      </c>
      <c r="R95" s="21">
        <v>2.6852</v>
      </c>
      <c r="S95" s="21">
        <v>5.7414</v>
      </c>
      <c r="T95" s="21">
        <v>906246.4</v>
      </c>
      <c r="U95" s="20">
        <v>9.868511951E9</v>
      </c>
      <c r="V95" s="19">
        <v>42.745</v>
      </c>
      <c r="W95" s="21">
        <v>53.709</v>
      </c>
      <c r="X95" s="21">
        <v>84.8464</v>
      </c>
      <c r="Y95" s="21">
        <v>82.2463</v>
      </c>
      <c r="Z95" s="21">
        <v>88.7691</v>
      </c>
      <c r="AA95" s="21">
        <v>87.8809</v>
      </c>
      <c r="AB95" s="21">
        <v>86.8548</v>
      </c>
      <c r="AC95" s="21">
        <v>85.6144</v>
      </c>
      <c r="AD95" s="21">
        <v>84.4037</v>
      </c>
      <c r="AE95" s="21">
        <v>93.81</v>
      </c>
      <c r="AF95" s="21">
        <v>4.4132</v>
      </c>
      <c r="AG95" s="22">
        <f>IFERROR(__xludf.DUMMYFUNCTION("IFERROR(GOOGLEFINANCE(B95,""price""),"""")"),76.21)</f>
        <v>76.21</v>
      </c>
      <c r="AH95" s="22"/>
      <c r="AI95" s="22"/>
      <c r="AJ95" s="22"/>
      <c r="AK95" s="22"/>
      <c r="AL95" s="22"/>
      <c r="AM95" s="22"/>
      <c r="AN95" s="22"/>
    </row>
    <row r="96">
      <c r="A96" s="7">
        <v>46049.62799640535</v>
      </c>
      <c r="B96" s="8" t="s">
        <v>4949</v>
      </c>
      <c r="C96" s="8" t="s">
        <v>4950</v>
      </c>
      <c r="D96" s="9">
        <v>46054.0</v>
      </c>
      <c r="E96" s="10">
        <v>11.825</v>
      </c>
      <c r="F96" s="8" t="s">
        <v>186</v>
      </c>
      <c r="G96" s="11">
        <v>0.94</v>
      </c>
      <c r="H96" s="8" t="s">
        <v>4841</v>
      </c>
      <c r="I96" s="11">
        <v>20.3076</v>
      </c>
      <c r="J96" s="11">
        <v>74.6331</v>
      </c>
      <c r="K96" s="13">
        <v>1.3145</v>
      </c>
      <c r="L96" s="8" t="s">
        <v>4951</v>
      </c>
      <c r="M96" s="11">
        <v>4.3689</v>
      </c>
      <c r="N96" s="12">
        <v>4743072.0</v>
      </c>
      <c r="O96" s="13">
        <v>12.1</v>
      </c>
      <c r="P96" s="13">
        <v>11.5</v>
      </c>
      <c r="Q96" s="13">
        <v>11.5</v>
      </c>
      <c r="R96" s="13">
        <v>0.4282</v>
      </c>
      <c r="S96" s="13">
        <v>0.9064</v>
      </c>
      <c r="T96" s="8">
        <v>3765659.0</v>
      </c>
      <c r="U96" s="12">
        <v>3.897619704E9</v>
      </c>
      <c r="V96" s="11">
        <v>92.4617</v>
      </c>
      <c r="W96" s="13">
        <v>92.7575</v>
      </c>
      <c r="X96" s="13">
        <v>10.0289</v>
      </c>
      <c r="Y96" s="13">
        <v>9.4617</v>
      </c>
      <c r="Z96" s="13">
        <v>10.9407</v>
      </c>
      <c r="AA96" s="13">
        <v>10.4436</v>
      </c>
      <c r="AB96" s="13">
        <v>10.2405</v>
      </c>
      <c r="AC96" s="13">
        <v>10.0474</v>
      </c>
      <c r="AD96" s="13">
        <v>9.8312</v>
      </c>
      <c r="AE96" s="13">
        <v>12.1</v>
      </c>
      <c r="AF96" s="13">
        <v>2.2727</v>
      </c>
      <c r="AG96" s="14">
        <f>IFERROR(__xludf.DUMMYFUNCTION("IFERROR(GOOGLEFINANCE(B96,""price""),"""")"),10.67)</f>
        <v>10.67</v>
      </c>
      <c r="AH96" s="14"/>
      <c r="AI96" s="14"/>
      <c r="AJ96" s="14"/>
      <c r="AK96" s="14"/>
      <c r="AL96" s="14"/>
      <c r="AM96" s="14"/>
      <c r="AN96" s="14"/>
    </row>
    <row r="97">
      <c r="A97" s="15">
        <v>46049.62799640535</v>
      </c>
      <c r="B97" s="16" t="s">
        <v>4842</v>
      </c>
      <c r="C97" s="16" t="s">
        <v>4843</v>
      </c>
      <c r="D97" s="17">
        <v>46054.0</v>
      </c>
      <c r="E97" s="18">
        <v>107.42</v>
      </c>
      <c r="F97" s="16" t="s">
        <v>162</v>
      </c>
      <c r="G97" s="19">
        <v>0.95</v>
      </c>
      <c r="H97" s="16" t="s">
        <v>4952</v>
      </c>
      <c r="I97" s="19">
        <v>39.9193</v>
      </c>
      <c r="J97" s="19">
        <v>60.4595</v>
      </c>
      <c r="K97" s="21">
        <v>2.6207</v>
      </c>
      <c r="L97" s="16" t="s">
        <v>4845</v>
      </c>
      <c r="M97" s="19">
        <v>0.4207</v>
      </c>
      <c r="N97" s="20">
        <v>1.2361754E7</v>
      </c>
      <c r="O97" s="21">
        <v>112.67</v>
      </c>
      <c r="P97" s="21">
        <v>104.75</v>
      </c>
      <c r="Q97" s="21">
        <v>106.68</v>
      </c>
      <c r="R97" s="21">
        <v>2.4349</v>
      </c>
      <c r="S97" s="21">
        <v>5.1266</v>
      </c>
      <c r="T97" s="16">
        <v>5519530.0</v>
      </c>
      <c r="U97" s="20">
        <v>9.1133581792E10</v>
      </c>
      <c r="V97" s="19">
        <v>59.4657</v>
      </c>
      <c r="W97" s="21">
        <v>74.7734</v>
      </c>
      <c r="X97" s="21">
        <v>100.547</v>
      </c>
      <c r="Y97" s="21">
        <v>100.0597</v>
      </c>
      <c r="Z97" s="21">
        <v>107.4714</v>
      </c>
      <c r="AA97" s="21">
        <v>105.574</v>
      </c>
      <c r="AB97" s="21">
        <v>103.5371</v>
      </c>
      <c r="AC97" s="21">
        <v>100.8904</v>
      </c>
      <c r="AD97" s="21">
        <v>98.5337</v>
      </c>
      <c r="AE97" s="21">
        <v>136.58</v>
      </c>
      <c r="AF97" s="21">
        <v>21.3501</v>
      </c>
      <c r="AG97" s="22">
        <f>IFERROR(__xludf.DUMMYFUNCTION("IFERROR(GOOGLEFINANCE(B97,""price""),"""")"),101.7)</f>
        <v>101.7</v>
      </c>
      <c r="AH97" s="22"/>
      <c r="AI97" s="22"/>
      <c r="AJ97" s="22"/>
      <c r="AK97" s="22"/>
      <c r="AL97" s="22"/>
      <c r="AM97" s="22"/>
      <c r="AN97" s="22"/>
    </row>
    <row r="98">
      <c r="A98" s="7">
        <v>46049.62799640535</v>
      </c>
      <c r="B98" s="8" t="s">
        <v>4953</v>
      </c>
      <c r="C98" s="8" t="s">
        <v>4954</v>
      </c>
      <c r="D98" s="9">
        <v>46054.0</v>
      </c>
      <c r="E98" s="10">
        <v>12.165</v>
      </c>
      <c r="F98" s="8" t="s">
        <v>162</v>
      </c>
      <c r="G98" s="11">
        <v>0.95</v>
      </c>
      <c r="H98" s="8" t="s">
        <v>4848</v>
      </c>
      <c r="I98" s="11">
        <v>29.5584</v>
      </c>
      <c r="J98" s="11">
        <v>70.0905</v>
      </c>
      <c r="K98" s="13">
        <v>1.3552</v>
      </c>
      <c r="L98" s="8" t="s">
        <v>4955</v>
      </c>
      <c r="M98" s="11">
        <v>3.9744</v>
      </c>
      <c r="N98" s="12">
        <v>2660929.0</v>
      </c>
      <c r="O98" s="13">
        <v>12.44</v>
      </c>
      <c r="P98" s="13">
        <v>12.11</v>
      </c>
      <c r="Q98" s="13">
        <v>12.2</v>
      </c>
      <c r="R98" s="13">
        <v>0.4018</v>
      </c>
      <c r="S98" s="13">
        <v>0.8425</v>
      </c>
      <c r="T98" s="8">
        <v>1867655.0</v>
      </c>
      <c r="U98" s="12">
        <v>3.52991527E9</v>
      </c>
      <c r="V98" s="11">
        <v>87.8148</v>
      </c>
      <c r="W98" s="13">
        <v>86.6528</v>
      </c>
      <c r="X98" s="13">
        <v>10.4206</v>
      </c>
      <c r="Y98" s="13">
        <v>10.152</v>
      </c>
      <c r="Z98" s="13">
        <v>11.617</v>
      </c>
      <c r="AA98" s="13">
        <v>11.0859</v>
      </c>
      <c r="AB98" s="13">
        <v>10.7695</v>
      </c>
      <c r="AC98" s="13">
        <v>10.4582</v>
      </c>
      <c r="AD98" s="13">
        <v>10.1687</v>
      </c>
      <c r="AE98" s="13">
        <v>12.44</v>
      </c>
      <c r="AF98" s="13">
        <v>2.2106</v>
      </c>
      <c r="AG98" s="14">
        <f>IFERROR(__xludf.DUMMYFUNCTION("IFERROR(GOOGLEFINANCE(B98,""price""),"""")"),12.46)</f>
        <v>12.46</v>
      </c>
      <c r="AH98" s="14"/>
      <c r="AI98" s="14"/>
      <c r="AJ98" s="14"/>
      <c r="AK98" s="14"/>
      <c r="AL98" s="14"/>
      <c r="AM98" s="14"/>
      <c r="AN98" s="14"/>
    </row>
    <row r="99">
      <c r="A99" s="15">
        <v>46049.62799640535</v>
      </c>
      <c r="B99" s="16" t="s">
        <v>4956</v>
      </c>
      <c r="C99" s="16" t="s">
        <v>4957</v>
      </c>
      <c r="D99" s="17">
        <v>46054.0</v>
      </c>
      <c r="E99" s="18">
        <v>10.695</v>
      </c>
      <c r="F99" s="16" t="s">
        <v>270</v>
      </c>
      <c r="G99" s="19">
        <v>0.95</v>
      </c>
      <c r="H99" s="16" t="s">
        <v>4958</v>
      </c>
      <c r="I99" s="19">
        <v>34.0304</v>
      </c>
      <c r="J99" s="19">
        <v>59.0573</v>
      </c>
      <c r="K99" s="21">
        <v>4.9083</v>
      </c>
      <c r="L99" s="16" t="s">
        <v>4959</v>
      </c>
      <c r="M99" s="19">
        <v>-3.8219</v>
      </c>
      <c r="N99" s="20">
        <v>9663381.0</v>
      </c>
      <c r="O99" s="21">
        <v>10.94</v>
      </c>
      <c r="P99" s="21">
        <v>10.27</v>
      </c>
      <c r="Q99" s="21">
        <v>10.87</v>
      </c>
      <c r="R99" s="21">
        <v>0.5899</v>
      </c>
      <c r="S99" s="21">
        <v>1.2399</v>
      </c>
      <c r="T99" s="16">
        <v>2808043.0</v>
      </c>
      <c r="U99" s="20">
        <v>1.11208938E9</v>
      </c>
      <c r="V99" s="19">
        <v>67.7399</v>
      </c>
      <c r="W99" s="21">
        <v>73.9933</v>
      </c>
      <c r="X99" s="21">
        <v>9.9501</v>
      </c>
      <c r="Y99" s="21">
        <v>7.9537</v>
      </c>
      <c r="Z99" s="21">
        <v>10.6921</v>
      </c>
      <c r="AA99" s="21">
        <v>10.2718</v>
      </c>
      <c r="AB99" s="21">
        <v>10.0278</v>
      </c>
      <c r="AC99" s="21">
        <v>9.5948</v>
      </c>
      <c r="AD99" s="21">
        <v>8.931</v>
      </c>
      <c r="AE99" s="21">
        <v>11.77</v>
      </c>
      <c r="AF99" s="21">
        <v>9.1334</v>
      </c>
      <c r="AG99" s="22">
        <f>IFERROR(__xludf.DUMMYFUNCTION("IFERROR(GOOGLEFINANCE(B99,""price""),"""")"),13.83)</f>
        <v>13.83</v>
      </c>
      <c r="AH99" s="22"/>
      <c r="AI99" s="22"/>
      <c r="AJ99" s="22"/>
      <c r="AK99" s="22"/>
      <c r="AL99" s="22"/>
      <c r="AM99" s="22"/>
      <c r="AN99" s="22"/>
    </row>
    <row r="100">
      <c r="A100" s="7">
        <v>46049.62799640535</v>
      </c>
      <c r="B100" s="8" t="s">
        <v>4960</v>
      </c>
      <c r="C100" s="8" t="s">
        <v>4961</v>
      </c>
      <c r="D100" s="9">
        <v>46054.0</v>
      </c>
      <c r="E100" s="10">
        <v>355.205</v>
      </c>
      <c r="F100" s="8" t="s">
        <v>93</v>
      </c>
      <c r="G100" s="11">
        <v>0.96</v>
      </c>
      <c r="H100" s="8" t="s">
        <v>4962</v>
      </c>
      <c r="I100" s="11">
        <v>44.6395</v>
      </c>
      <c r="J100" s="11">
        <v>90.1062</v>
      </c>
      <c r="K100" s="13">
        <v>2.2334</v>
      </c>
      <c r="L100" s="8" t="s">
        <v>4963</v>
      </c>
      <c r="M100" s="11">
        <v>1.7779</v>
      </c>
      <c r="N100" s="12">
        <v>1019320.0</v>
      </c>
      <c r="O100" s="13">
        <v>359.86</v>
      </c>
      <c r="P100" s="13">
        <v>351.34</v>
      </c>
      <c r="Q100" s="13">
        <v>352.82</v>
      </c>
      <c r="R100" s="13">
        <v>7.3145</v>
      </c>
      <c r="S100" s="13">
        <v>15.2387</v>
      </c>
      <c r="T100" s="13">
        <v>536538.3</v>
      </c>
      <c r="U100" s="12">
        <v>2.8250553476E10</v>
      </c>
      <c r="V100" s="11">
        <v>96.7532</v>
      </c>
      <c r="W100" s="13">
        <v>97.9944</v>
      </c>
      <c r="X100" s="13">
        <v>286.4885</v>
      </c>
      <c r="Y100" s="13">
        <v>253.5824</v>
      </c>
      <c r="Z100" s="13">
        <v>337.7148</v>
      </c>
      <c r="AA100" s="13">
        <v>317.7586</v>
      </c>
      <c r="AB100" s="13">
        <v>305.7276</v>
      </c>
      <c r="AC100" s="13">
        <v>293.4294</v>
      </c>
      <c r="AD100" s="13">
        <v>280.5783</v>
      </c>
      <c r="AE100" s="13">
        <v>359.86</v>
      </c>
      <c r="AF100" s="13">
        <v>1.2936</v>
      </c>
      <c r="AG100" s="14">
        <f>IFERROR(__xludf.DUMMYFUNCTION("IFERROR(GOOGLEFINANCE(B100,""price""),"""")"),349.42)</f>
        <v>349.42</v>
      </c>
      <c r="AH100" s="14"/>
      <c r="AI100" s="14"/>
      <c r="AJ100" s="14"/>
      <c r="AK100" s="14"/>
      <c r="AL100" s="14"/>
      <c r="AM100" s="14"/>
      <c r="AN100" s="14"/>
    </row>
    <row r="101">
      <c r="A101" s="15">
        <v>46049.62799640535</v>
      </c>
      <c r="B101" s="16" t="s">
        <v>2550</v>
      </c>
      <c r="C101" s="16" t="s">
        <v>2551</v>
      </c>
      <c r="D101" s="17">
        <v>46054.0</v>
      </c>
      <c r="E101" s="18">
        <v>124.035</v>
      </c>
      <c r="F101" s="16" t="s">
        <v>93</v>
      </c>
      <c r="G101" s="19">
        <v>0.96</v>
      </c>
      <c r="H101" s="16" t="s">
        <v>4848</v>
      </c>
      <c r="I101" s="19">
        <v>23.6321</v>
      </c>
      <c r="J101" s="19">
        <v>58.1885</v>
      </c>
      <c r="K101" s="21">
        <v>1.3978</v>
      </c>
      <c r="L101" s="16" t="s">
        <v>2552</v>
      </c>
      <c r="M101" s="19">
        <v>1.2531</v>
      </c>
      <c r="N101" s="20">
        <v>638980.0</v>
      </c>
      <c r="O101" s="21">
        <v>124.65</v>
      </c>
      <c r="P101" s="21">
        <v>121.76</v>
      </c>
      <c r="Q101" s="21">
        <v>122.92</v>
      </c>
      <c r="R101" s="21">
        <v>3.0656</v>
      </c>
      <c r="S101" s="21">
        <v>6.4052</v>
      </c>
      <c r="T101" s="21">
        <v>467206.0</v>
      </c>
      <c r="U101" s="20">
        <v>9.421036068E9</v>
      </c>
      <c r="V101" s="19">
        <v>51.372</v>
      </c>
      <c r="W101" s="21">
        <v>60.9704</v>
      </c>
      <c r="X101" s="21">
        <v>116.6173</v>
      </c>
      <c r="Y101" s="21">
        <v>112.8546</v>
      </c>
      <c r="Z101" s="21">
        <v>123.0491</v>
      </c>
      <c r="AA101" s="21">
        <v>121.2167</v>
      </c>
      <c r="AB101" s="21">
        <v>119.6766</v>
      </c>
      <c r="AC101" s="21">
        <v>118.0328</v>
      </c>
      <c r="AD101" s="21">
        <v>116.4201</v>
      </c>
      <c r="AE101" s="21">
        <v>129.1825</v>
      </c>
      <c r="AF101" s="21">
        <v>3.9847</v>
      </c>
      <c r="AG101" s="22">
        <f>IFERROR(__xludf.DUMMYFUNCTION("IFERROR(GOOGLEFINANCE(B101,""price""),"""")"),120.23)</f>
        <v>120.23</v>
      </c>
      <c r="AH101" s="22"/>
      <c r="AI101" s="22"/>
      <c r="AJ101" s="22"/>
      <c r="AK101" s="22"/>
      <c r="AL101" s="22"/>
      <c r="AM101" s="22"/>
      <c r="AN101" s="22"/>
    </row>
    <row r="102">
      <c r="A102" s="7">
        <v>46049.62799640535</v>
      </c>
      <c r="B102" s="8" t="s">
        <v>1359</v>
      </c>
      <c r="C102" s="8" t="s">
        <v>1360</v>
      </c>
      <c r="D102" s="9">
        <v>46054.0</v>
      </c>
      <c r="E102" s="10">
        <v>6.13</v>
      </c>
      <c r="F102" s="8" t="s">
        <v>93</v>
      </c>
      <c r="G102" s="11">
        <v>0.96</v>
      </c>
      <c r="H102" s="8" t="s">
        <v>4848</v>
      </c>
      <c r="I102" s="11">
        <v>23.2356</v>
      </c>
      <c r="J102" s="11">
        <v>50.8831</v>
      </c>
      <c r="K102" s="13">
        <v>1.3754</v>
      </c>
      <c r="L102" s="8" t="s">
        <v>1361</v>
      </c>
      <c r="M102" s="11">
        <v>1.3223</v>
      </c>
      <c r="N102" s="12">
        <v>995708.0</v>
      </c>
      <c r="O102" s="13">
        <v>6.275</v>
      </c>
      <c r="P102" s="13">
        <v>6.035</v>
      </c>
      <c r="Q102" s="13">
        <v>6.065</v>
      </c>
      <c r="R102" s="13">
        <v>0.2034</v>
      </c>
      <c r="S102" s="13">
        <v>0.4259</v>
      </c>
      <c r="T102" s="13">
        <v>798810.1</v>
      </c>
      <c r="U102" s="12">
        <v>5.08081384E8</v>
      </c>
      <c r="V102" s="11">
        <v>22.2489</v>
      </c>
      <c r="W102" s="13">
        <v>36.2033</v>
      </c>
      <c r="X102" s="13">
        <v>5.8696</v>
      </c>
      <c r="Y102" s="13">
        <v>5.7246</v>
      </c>
      <c r="Z102" s="13">
        <v>6.1587</v>
      </c>
      <c r="AA102" s="13">
        <v>6.1403</v>
      </c>
      <c r="AB102" s="13">
        <v>6.0608</v>
      </c>
      <c r="AC102" s="13">
        <v>5.9437</v>
      </c>
      <c r="AD102" s="13">
        <v>5.8194</v>
      </c>
      <c r="AE102" s="13">
        <v>6.535</v>
      </c>
      <c r="AF102" s="13">
        <v>6.1974</v>
      </c>
      <c r="AG102" s="14">
        <f>IFERROR(__xludf.DUMMYFUNCTION("IFERROR(GOOGLEFINANCE(B102,""price""),"""")"),5.9)</f>
        <v>5.9</v>
      </c>
      <c r="AH102" s="14"/>
      <c r="AI102" s="14"/>
      <c r="AJ102" s="14"/>
      <c r="AK102" s="14"/>
      <c r="AL102" s="14"/>
      <c r="AM102" s="14"/>
      <c r="AN102" s="14"/>
    </row>
    <row r="103">
      <c r="A103" s="15">
        <v>46049.62799640535</v>
      </c>
      <c r="B103" s="16" t="s">
        <v>4902</v>
      </c>
      <c r="C103" s="16" t="s">
        <v>4903</v>
      </c>
      <c r="D103" s="17">
        <v>46054.0</v>
      </c>
      <c r="E103" s="18">
        <v>15.99</v>
      </c>
      <c r="F103" s="16" t="s">
        <v>93</v>
      </c>
      <c r="G103" s="19">
        <v>0.96</v>
      </c>
      <c r="H103" s="16" t="s">
        <v>4941</v>
      </c>
      <c r="I103" s="19">
        <v>31.5655</v>
      </c>
      <c r="J103" s="19">
        <v>40.1542</v>
      </c>
      <c r="K103" s="21">
        <v>2.2689</v>
      </c>
      <c r="L103" s="16" t="s">
        <v>4905</v>
      </c>
      <c r="M103" s="19">
        <v>-2.3213</v>
      </c>
      <c r="N103" s="20">
        <v>1386950.0</v>
      </c>
      <c r="O103" s="21">
        <v>16.45</v>
      </c>
      <c r="P103" s="21">
        <v>15.9</v>
      </c>
      <c r="Q103" s="21">
        <v>16.45</v>
      </c>
      <c r="R103" s="21">
        <v>0.4451</v>
      </c>
      <c r="S103" s="21">
        <v>0.9231</v>
      </c>
      <c r="T103" s="21">
        <v>709678.5</v>
      </c>
      <c r="U103" s="20">
        <v>2.549877311E9</v>
      </c>
      <c r="V103" s="19">
        <v>27.4774</v>
      </c>
      <c r="W103" s="21">
        <v>49.3415</v>
      </c>
      <c r="X103" s="21">
        <v>15.9194</v>
      </c>
      <c r="Y103" s="21">
        <v>14.4696</v>
      </c>
      <c r="Z103" s="21">
        <v>16.781</v>
      </c>
      <c r="AA103" s="21">
        <v>16.719</v>
      </c>
      <c r="AB103" s="21">
        <v>16.4398</v>
      </c>
      <c r="AC103" s="21">
        <v>16.0378</v>
      </c>
      <c r="AD103" s="21">
        <v>15.5303</v>
      </c>
      <c r="AE103" s="21">
        <v>17.8</v>
      </c>
      <c r="AF103" s="21">
        <v>10.1685</v>
      </c>
      <c r="AG103" s="22">
        <f>IFERROR(__xludf.DUMMYFUNCTION("IFERROR(GOOGLEFINANCE(B103,""price""),"""")"),12.31)</f>
        <v>12.31</v>
      </c>
      <c r="AH103" s="22"/>
      <c r="AI103" s="22"/>
      <c r="AJ103" s="22"/>
      <c r="AK103" s="22"/>
      <c r="AL103" s="22"/>
      <c r="AM103" s="22"/>
      <c r="AN103" s="22"/>
    </row>
    <row r="104">
      <c r="A104" s="7">
        <v>46049.62799640535</v>
      </c>
      <c r="B104" s="8" t="s">
        <v>1362</v>
      </c>
      <c r="C104" s="8" t="s">
        <v>1363</v>
      </c>
      <c r="D104" s="9">
        <v>46054.0</v>
      </c>
      <c r="E104" s="10">
        <v>83.4</v>
      </c>
      <c r="F104" s="8" t="s">
        <v>917</v>
      </c>
      <c r="G104" s="11">
        <v>0.97</v>
      </c>
      <c r="H104" s="8" t="s">
        <v>4848</v>
      </c>
      <c r="I104" s="11">
        <v>21.5909</v>
      </c>
      <c r="J104" s="11">
        <v>55.5663</v>
      </c>
      <c r="K104" s="13">
        <v>1.3503</v>
      </c>
      <c r="L104" s="8" t="s">
        <v>1364</v>
      </c>
      <c r="M104" s="11">
        <v>-0.0719</v>
      </c>
      <c r="N104" s="12">
        <v>737173.0</v>
      </c>
      <c r="O104" s="13">
        <v>84.18</v>
      </c>
      <c r="P104" s="13">
        <v>83.23</v>
      </c>
      <c r="Q104" s="13">
        <v>83.23</v>
      </c>
      <c r="R104" s="13">
        <v>1.5662</v>
      </c>
      <c r="S104" s="13">
        <v>3.2182</v>
      </c>
      <c r="T104" s="13">
        <v>584501.8</v>
      </c>
      <c r="U104" s="12">
        <v>6.020137741E9</v>
      </c>
      <c r="V104" s="11">
        <v>54.6284</v>
      </c>
      <c r="W104" s="13">
        <v>59.9691</v>
      </c>
      <c r="X104" s="13">
        <v>81.3756</v>
      </c>
      <c r="Y104" s="13">
        <v>78.402</v>
      </c>
      <c r="Z104" s="13">
        <v>83.6014</v>
      </c>
      <c r="AA104" s="13">
        <v>82.7525</v>
      </c>
      <c r="AB104" s="13">
        <v>82.1484</v>
      </c>
      <c r="AC104" s="13">
        <v>81.4751</v>
      </c>
      <c r="AD104" s="13">
        <v>80.5959</v>
      </c>
      <c r="AE104" s="13">
        <v>86.75</v>
      </c>
      <c r="AF104" s="13">
        <v>3.8617</v>
      </c>
      <c r="AG104" s="14">
        <f>IFERROR(__xludf.DUMMYFUNCTION("IFERROR(GOOGLEFINANCE(B104,""price""),"""")"),93.18)</f>
        <v>93.18</v>
      </c>
      <c r="AH104" s="14"/>
      <c r="AI104" s="14"/>
      <c r="AJ104" s="14"/>
      <c r="AK104" s="14"/>
      <c r="AL104" s="14"/>
      <c r="AM104" s="14"/>
      <c r="AN104" s="14"/>
    </row>
    <row r="105">
      <c r="A105" s="7">
        <v>46050.62640211813</v>
      </c>
      <c r="B105" s="8" t="s">
        <v>4964</v>
      </c>
      <c r="C105" s="8" t="s">
        <v>4965</v>
      </c>
      <c r="D105" s="9">
        <v>46054.0</v>
      </c>
      <c r="E105" s="10">
        <v>18.74</v>
      </c>
      <c r="F105" s="8" t="s">
        <v>270</v>
      </c>
      <c r="G105" s="11">
        <v>0.71</v>
      </c>
      <c r="H105" s="8" t="s">
        <v>4966</v>
      </c>
      <c r="I105" s="11">
        <v>27.5133</v>
      </c>
      <c r="J105" s="11">
        <v>62.087</v>
      </c>
      <c r="K105" s="13">
        <v>3.2428</v>
      </c>
      <c r="L105" s="8" t="s">
        <v>4967</v>
      </c>
      <c r="M105" s="11">
        <v>-0.3721</v>
      </c>
      <c r="N105" s="12">
        <v>3413496.0</v>
      </c>
      <c r="O105" s="13">
        <v>19.33</v>
      </c>
      <c r="P105" s="13">
        <v>18.74</v>
      </c>
      <c r="Q105" s="13">
        <v>18.87</v>
      </c>
      <c r="R105" s="13">
        <v>0.3729</v>
      </c>
      <c r="S105" s="13">
        <v>1.0459</v>
      </c>
      <c r="T105" s="8">
        <v>1312713.0</v>
      </c>
      <c r="U105" s="12">
        <v>1.511430884E9</v>
      </c>
      <c r="V105" s="11">
        <v>57.4806</v>
      </c>
      <c r="W105" s="13">
        <v>61.1588</v>
      </c>
      <c r="X105" s="13">
        <v>17.767</v>
      </c>
      <c r="Y105" s="13">
        <v>13.1518</v>
      </c>
      <c r="Z105" s="13">
        <v>18.6871</v>
      </c>
      <c r="AA105" s="13">
        <v>18.4217</v>
      </c>
      <c r="AB105" s="13">
        <v>18.0023</v>
      </c>
      <c r="AC105" s="13">
        <v>17.1586</v>
      </c>
      <c r="AD105" s="13">
        <v>15.8549</v>
      </c>
      <c r="AE105" s="13">
        <v>19.33</v>
      </c>
      <c r="AF105" s="13">
        <v>3.0523</v>
      </c>
      <c r="AG105" s="14">
        <f>IFERROR(__xludf.DUMMYFUNCTION("IFERROR(GOOGLEFINANCE(B105,""price""),"""")"),19.56)</f>
        <v>19.56</v>
      </c>
      <c r="AH105" s="14"/>
      <c r="AI105" s="14"/>
      <c r="AJ105" s="14"/>
      <c r="AK105" s="14"/>
      <c r="AL105" s="14"/>
      <c r="AM105" s="14"/>
      <c r="AN105" s="14"/>
    </row>
    <row r="106">
      <c r="A106" s="15">
        <v>46050.62640211813</v>
      </c>
      <c r="B106" s="16" t="s">
        <v>4824</v>
      </c>
      <c r="C106" s="16" t="s">
        <v>4825</v>
      </c>
      <c r="D106" s="17">
        <v>46054.0</v>
      </c>
      <c r="E106" s="18">
        <v>4.06</v>
      </c>
      <c r="F106" s="16" t="s">
        <v>117</v>
      </c>
      <c r="G106" s="19">
        <v>0.72</v>
      </c>
      <c r="H106" s="16" t="s">
        <v>4968</v>
      </c>
      <c r="I106" s="19">
        <v>37.4952</v>
      </c>
      <c r="J106" s="19">
        <v>73.6678</v>
      </c>
      <c r="K106" s="21">
        <v>3.2431</v>
      </c>
      <c r="L106" s="16" t="s">
        <v>4827</v>
      </c>
      <c r="M106" s="19">
        <v>13.0919</v>
      </c>
      <c r="N106" s="20">
        <v>2227819.0</v>
      </c>
      <c r="O106" s="21">
        <v>4.23</v>
      </c>
      <c r="P106" s="21">
        <v>3.63</v>
      </c>
      <c r="Q106" s="21">
        <v>3.63</v>
      </c>
      <c r="R106" s="21">
        <v>0.2991</v>
      </c>
      <c r="S106" s="21">
        <v>0.8332</v>
      </c>
      <c r="T106" s="21">
        <v>864812.5</v>
      </c>
      <c r="U106" s="20">
        <v>1.60491171E8</v>
      </c>
      <c r="V106" s="19">
        <v>86.0412</v>
      </c>
      <c r="W106" s="21">
        <v>68.3433</v>
      </c>
      <c r="X106" s="21">
        <v>2.739</v>
      </c>
      <c r="Y106" s="21">
        <v>3.3451</v>
      </c>
      <c r="Z106" s="21">
        <v>3.3397</v>
      </c>
      <c r="AA106" s="21">
        <v>3.0751</v>
      </c>
      <c r="AB106" s="21">
        <v>2.9751</v>
      </c>
      <c r="AC106" s="21">
        <v>2.9141</v>
      </c>
      <c r="AD106" s="21">
        <v>2.8425</v>
      </c>
      <c r="AE106" s="21">
        <v>9.08</v>
      </c>
      <c r="AF106" s="21">
        <v>55.2863</v>
      </c>
      <c r="AG106" s="22" t="str">
        <f>IFERROR(__xludf.DUMMYFUNCTION("IFERROR(GOOGLEFINANCE(B106,""price""),"""")"),"")</f>
        <v/>
      </c>
      <c r="AH106" s="22"/>
      <c r="AI106" s="22"/>
      <c r="AJ106" s="22"/>
      <c r="AK106" s="22"/>
      <c r="AL106" s="22"/>
      <c r="AM106" s="22"/>
      <c r="AN106" s="22"/>
    </row>
    <row r="107">
      <c r="A107" s="7">
        <v>46050.62640211813</v>
      </c>
      <c r="B107" s="8" t="s">
        <v>4969</v>
      </c>
      <c r="C107" s="8" t="s">
        <v>4970</v>
      </c>
      <c r="D107" s="9">
        <v>46054.0</v>
      </c>
      <c r="E107" s="10">
        <v>71.67</v>
      </c>
      <c r="F107" s="8" t="s">
        <v>286</v>
      </c>
      <c r="G107" s="11">
        <v>0.86</v>
      </c>
      <c r="H107" s="8" t="s">
        <v>4841</v>
      </c>
      <c r="I107" s="11">
        <v>24.2164</v>
      </c>
      <c r="J107" s="11">
        <v>71.5458</v>
      </c>
      <c r="K107" s="13">
        <v>1.3267</v>
      </c>
      <c r="L107" s="8" t="s">
        <v>4971</v>
      </c>
      <c r="M107" s="11">
        <v>-0.4583</v>
      </c>
      <c r="N107" s="12">
        <v>1542161.0</v>
      </c>
      <c r="O107" s="13">
        <v>73.19</v>
      </c>
      <c r="P107" s="13">
        <v>70.91</v>
      </c>
      <c r="Q107" s="13">
        <v>72.72</v>
      </c>
      <c r="R107" s="13">
        <v>2.5192</v>
      </c>
      <c r="S107" s="13">
        <v>5.873</v>
      </c>
      <c r="T107" s="8">
        <v>1263762.0</v>
      </c>
      <c r="U107" s="12">
        <v>3.498093323E9</v>
      </c>
      <c r="V107" s="11">
        <v>91.2111</v>
      </c>
      <c r="W107" s="13">
        <v>92.1454</v>
      </c>
      <c r="X107" s="13">
        <v>62.1932</v>
      </c>
      <c r="Y107" s="13">
        <v>70.1104</v>
      </c>
      <c r="Z107" s="13">
        <v>70.102</v>
      </c>
      <c r="AA107" s="13">
        <v>66.8247</v>
      </c>
      <c r="AB107" s="13">
        <v>64.8889</v>
      </c>
      <c r="AC107" s="13">
        <v>62.9292</v>
      </c>
      <c r="AD107" s="13">
        <v>62.2649</v>
      </c>
      <c r="AE107" s="13">
        <v>164.07</v>
      </c>
      <c r="AF107" s="13">
        <v>56.3174</v>
      </c>
      <c r="AG107" s="14">
        <f>IFERROR(__xludf.DUMMYFUNCTION("IFERROR(GOOGLEFINANCE(B107,""price""),"""")"),64.8)</f>
        <v>64.8</v>
      </c>
      <c r="AH107" s="14"/>
      <c r="AI107" s="14"/>
      <c r="AJ107" s="14"/>
      <c r="AK107" s="14"/>
      <c r="AL107" s="14"/>
      <c r="AM107" s="14"/>
      <c r="AN107" s="14"/>
    </row>
    <row r="108">
      <c r="A108" s="15">
        <v>46050.62640211813</v>
      </c>
      <c r="B108" s="16" t="s">
        <v>1905</v>
      </c>
      <c r="C108" s="16" t="s">
        <v>1906</v>
      </c>
      <c r="D108" s="17">
        <v>46054.0</v>
      </c>
      <c r="E108" s="18">
        <v>69.87</v>
      </c>
      <c r="F108" s="16" t="s">
        <v>308</v>
      </c>
      <c r="G108" s="19">
        <v>0.87</v>
      </c>
      <c r="H108" s="16" t="s">
        <v>4962</v>
      </c>
      <c r="I108" s="19">
        <v>35.8625</v>
      </c>
      <c r="J108" s="19">
        <v>67.4028</v>
      </c>
      <c r="K108" s="21">
        <v>2.2178</v>
      </c>
      <c r="L108" s="16" t="s">
        <v>1907</v>
      </c>
      <c r="M108" s="19">
        <v>5.7835</v>
      </c>
      <c r="N108" s="20">
        <v>3125677.0</v>
      </c>
      <c r="O108" s="21">
        <v>72.45</v>
      </c>
      <c r="P108" s="21">
        <v>68.1</v>
      </c>
      <c r="Q108" s="21">
        <v>68.54</v>
      </c>
      <c r="R108" s="21">
        <v>2.015</v>
      </c>
      <c r="S108" s="21">
        <v>4.6437</v>
      </c>
      <c r="T108" s="16">
        <v>1721619.0</v>
      </c>
      <c r="U108" s="20">
        <v>4.0619986352E10</v>
      </c>
      <c r="V108" s="19">
        <v>43.7653</v>
      </c>
      <c r="W108" s="21">
        <v>47.7396</v>
      </c>
      <c r="X108" s="21">
        <v>59.8551</v>
      </c>
      <c r="Y108" s="21">
        <v>59.0772</v>
      </c>
      <c r="Z108" s="21">
        <v>66.9758</v>
      </c>
      <c r="AA108" s="21">
        <v>65.1314</v>
      </c>
      <c r="AB108" s="21">
        <v>63.4809</v>
      </c>
      <c r="AC108" s="21">
        <v>61.8778</v>
      </c>
      <c r="AD108" s="21">
        <v>60.5512</v>
      </c>
      <c r="AE108" s="21">
        <v>72.45</v>
      </c>
      <c r="AF108" s="21">
        <v>3.5611</v>
      </c>
      <c r="AG108" s="22">
        <f>IFERROR(__xludf.DUMMYFUNCTION("IFERROR(GOOGLEFINANCE(B108,""price""),"""")"),62.44)</f>
        <v>62.44</v>
      </c>
      <c r="AH108" s="22"/>
      <c r="AI108" s="22"/>
      <c r="AJ108" s="22"/>
      <c r="AK108" s="22"/>
      <c r="AL108" s="22"/>
      <c r="AM108" s="22"/>
      <c r="AN108" s="22"/>
    </row>
    <row r="109">
      <c r="A109" s="7">
        <v>46050.62640211813</v>
      </c>
      <c r="B109" s="8" t="s">
        <v>751</v>
      </c>
      <c r="C109" s="8" t="s">
        <v>752</v>
      </c>
      <c r="D109" s="9">
        <v>46054.0</v>
      </c>
      <c r="E109" s="10">
        <v>2.685</v>
      </c>
      <c r="F109" s="8" t="s">
        <v>117</v>
      </c>
      <c r="G109" s="11">
        <v>0.87</v>
      </c>
      <c r="H109" s="8" t="s">
        <v>4844</v>
      </c>
      <c r="I109" s="11">
        <v>21.1881</v>
      </c>
      <c r="J109" s="11">
        <v>50.724</v>
      </c>
      <c r="K109" s="13">
        <v>1.7685</v>
      </c>
      <c r="L109" s="8" t="s">
        <v>753</v>
      </c>
      <c r="M109" s="11">
        <v>-0.9225</v>
      </c>
      <c r="N109" s="12">
        <v>2269411.0</v>
      </c>
      <c r="O109" s="13">
        <v>2.77</v>
      </c>
      <c r="P109" s="13">
        <v>2.68</v>
      </c>
      <c r="Q109" s="13">
        <v>2.71</v>
      </c>
      <c r="R109" s="13">
        <v>0.1084</v>
      </c>
      <c r="S109" s="13">
        <v>0.2501</v>
      </c>
      <c r="T109" s="8">
        <v>1406078.0</v>
      </c>
      <c r="U109" s="12">
        <v>1.028068468E9</v>
      </c>
      <c r="V109" s="11">
        <v>59.0909</v>
      </c>
      <c r="W109" s="13">
        <v>65.0842</v>
      </c>
      <c r="X109" s="13">
        <v>2.6527</v>
      </c>
      <c r="Y109" s="13">
        <v>2.4289</v>
      </c>
      <c r="Z109" s="13">
        <v>2.6783</v>
      </c>
      <c r="AA109" s="13">
        <v>2.6761</v>
      </c>
      <c r="AB109" s="13">
        <v>2.6711</v>
      </c>
      <c r="AC109" s="13">
        <v>2.6465</v>
      </c>
      <c r="AD109" s="13">
        <v>2.5905</v>
      </c>
      <c r="AE109" s="13">
        <v>3.43</v>
      </c>
      <c r="AF109" s="13">
        <v>21.7201</v>
      </c>
      <c r="AG109" s="14">
        <f>IFERROR(__xludf.DUMMYFUNCTION("IFERROR(GOOGLEFINANCE(B109,""price""),"""")"),2.58)</f>
        <v>2.58</v>
      </c>
      <c r="AH109" s="14"/>
      <c r="AI109" s="14"/>
      <c r="AJ109" s="14"/>
      <c r="AK109" s="14"/>
      <c r="AL109" s="14"/>
      <c r="AM109" s="14"/>
      <c r="AN109" s="14"/>
    </row>
    <row r="110">
      <c r="A110" s="15">
        <v>46050.62640211813</v>
      </c>
      <c r="B110" s="16" t="s">
        <v>4972</v>
      </c>
      <c r="C110" s="16" t="s">
        <v>4973</v>
      </c>
      <c r="D110" s="17">
        <v>46054.0</v>
      </c>
      <c r="E110" s="18">
        <v>80.005</v>
      </c>
      <c r="F110" s="16" t="s">
        <v>308</v>
      </c>
      <c r="G110" s="19">
        <v>0.88</v>
      </c>
      <c r="H110" s="16" t="s">
        <v>4848</v>
      </c>
      <c r="I110" s="19">
        <v>43.2854</v>
      </c>
      <c r="J110" s="19">
        <v>72.9902</v>
      </c>
      <c r="K110" s="21">
        <v>1.3985</v>
      </c>
      <c r="L110" s="16" t="s">
        <v>4974</v>
      </c>
      <c r="M110" s="19">
        <v>6.4462</v>
      </c>
      <c r="N110" s="20">
        <v>1.1431416E7</v>
      </c>
      <c r="O110" s="21">
        <v>81.4299</v>
      </c>
      <c r="P110" s="21">
        <v>78.73</v>
      </c>
      <c r="Q110" s="21">
        <v>79.82</v>
      </c>
      <c r="R110" s="21">
        <v>2.6281</v>
      </c>
      <c r="S110" s="21">
        <v>5.9956</v>
      </c>
      <c r="T110" s="16">
        <v>8771624.0</v>
      </c>
      <c r="U110" s="20">
        <v>4.3238451412E10</v>
      </c>
      <c r="V110" s="19">
        <v>59.0243</v>
      </c>
      <c r="W110" s="21">
        <v>58.0422</v>
      </c>
      <c r="X110" s="21">
        <v>65.4015</v>
      </c>
      <c r="Y110" s="21">
        <v>65.0121</v>
      </c>
      <c r="Z110" s="21">
        <v>75.8392</v>
      </c>
      <c r="AA110" s="21">
        <v>72.8869</v>
      </c>
      <c r="AB110" s="21">
        <v>70.4843</v>
      </c>
      <c r="AC110" s="21">
        <v>68.1481</v>
      </c>
      <c r="AD110" s="21">
        <v>66.3968</v>
      </c>
      <c r="AE110" s="21">
        <v>81.4299</v>
      </c>
      <c r="AF110" s="21">
        <v>1.7498</v>
      </c>
      <c r="AG110" s="22">
        <f>IFERROR(__xludf.DUMMYFUNCTION("IFERROR(GOOGLEFINANCE(B110,""price""),"""")"),71.56)</f>
        <v>71.56</v>
      </c>
      <c r="AH110" s="22"/>
      <c r="AI110" s="22"/>
      <c r="AJ110" s="22"/>
      <c r="AK110" s="22"/>
      <c r="AL110" s="22"/>
      <c r="AM110" s="22"/>
      <c r="AN110" s="22"/>
    </row>
    <row r="111">
      <c r="A111" s="7">
        <v>46050.62640211813</v>
      </c>
      <c r="B111" s="8" t="s">
        <v>4936</v>
      </c>
      <c r="C111" s="8" t="s">
        <v>4937</v>
      </c>
      <c r="D111" s="9">
        <v>46054.0</v>
      </c>
      <c r="E111" s="10">
        <v>20.46</v>
      </c>
      <c r="F111" s="8" t="s">
        <v>93</v>
      </c>
      <c r="G111" s="11">
        <v>0.88</v>
      </c>
      <c r="H111" s="8" t="s">
        <v>4975</v>
      </c>
      <c r="I111" s="11">
        <v>28.7182</v>
      </c>
      <c r="J111" s="11">
        <v>75.3599</v>
      </c>
      <c r="K111" s="13">
        <v>2.399</v>
      </c>
      <c r="L111" s="8" t="s">
        <v>4938</v>
      </c>
      <c r="M111" s="11">
        <v>1.2871</v>
      </c>
      <c r="N111" s="12">
        <v>1.6314783E7</v>
      </c>
      <c r="O111" s="13">
        <v>20.975</v>
      </c>
      <c r="P111" s="13">
        <v>20.18</v>
      </c>
      <c r="Q111" s="13">
        <v>20.415</v>
      </c>
      <c r="R111" s="13">
        <v>0.667</v>
      </c>
      <c r="S111" s="13">
        <v>1.5091</v>
      </c>
      <c r="T111" s="8">
        <v>7976710.0</v>
      </c>
      <c r="U111" s="12">
        <v>1.0781237057E10</v>
      </c>
      <c r="V111" s="11">
        <v>86.8467</v>
      </c>
      <c r="W111" s="13">
        <v>88.988</v>
      </c>
      <c r="X111" s="13">
        <v>17.8193</v>
      </c>
      <c r="Y111" s="13">
        <v>17.6027</v>
      </c>
      <c r="Z111" s="13">
        <v>19.5109</v>
      </c>
      <c r="AA111" s="13">
        <v>18.4289</v>
      </c>
      <c r="AB111" s="13">
        <v>18.0938</v>
      </c>
      <c r="AC111" s="13">
        <v>17.9357</v>
      </c>
      <c r="AD111" s="13">
        <v>17.8468</v>
      </c>
      <c r="AE111" s="13">
        <v>20.975</v>
      </c>
      <c r="AF111" s="13">
        <v>2.4553</v>
      </c>
      <c r="AG111" s="14">
        <f>IFERROR(__xludf.DUMMYFUNCTION("IFERROR(GOOGLEFINANCE(B111,""price""),"""")"),19.99)</f>
        <v>19.99</v>
      </c>
      <c r="AH111" s="14"/>
      <c r="AI111" s="14"/>
      <c r="AJ111" s="14"/>
      <c r="AK111" s="14"/>
      <c r="AL111" s="14"/>
      <c r="AM111" s="14"/>
      <c r="AN111" s="14"/>
    </row>
    <row r="112">
      <c r="A112" s="15">
        <v>46050.62640211813</v>
      </c>
      <c r="B112" s="16" t="s">
        <v>4932</v>
      </c>
      <c r="C112" s="16" t="s">
        <v>4933</v>
      </c>
      <c r="D112" s="17">
        <v>46054.0</v>
      </c>
      <c r="E112" s="18">
        <v>19.085</v>
      </c>
      <c r="F112" s="16" t="s">
        <v>286</v>
      </c>
      <c r="G112" s="19">
        <v>0.9</v>
      </c>
      <c r="H112" s="16" t="s">
        <v>4941</v>
      </c>
      <c r="I112" s="19">
        <v>27.3376</v>
      </c>
      <c r="J112" s="19">
        <v>50.0504</v>
      </c>
      <c r="K112" s="21">
        <v>2.2724</v>
      </c>
      <c r="L112" s="16" t="s">
        <v>4935</v>
      </c>
      <c r="M112" s="19">
        <v>-5.8925</v>
      </c>
      <c r="N112" s="20">
        <v>1.6514194E7</v>
      </c>
      <c r="O112" s="21">
        <v>19.23</v>
      </c>
      <c r="P112" s="21">
        <v>17.8</v>
      </c>
      <c r="Q112" s="21">
        <v>18.03</v>
      </c>
      <c r="R112" s="21">
        <v>0.8203</v>
      </c>
      <c r="S112" s="21">
        <v>1.8188</v>
      </c>
      <c r="T112" s="16">
        <v>8260393.0</v>
      </c>
      <c r="U112" s="20">
        <v>7.456982335E9</v>
      </c>
      <c r="V112" s="19">
        <v>71.0142</v>
      </c>
      <c r="W112" s="21">
        <v>74.4196</v>
      </c>
      <c r="X112" s="21">
        <v>18.3289</v>
      </c>
      <c r="Y112" s="21">
        <v>16.3686</v>
      </c>
      <c r="Z112" s="21">
        <v>19.5845</v>
      </c>
      <c r="AA112" s="21">
        <v>19.2664</v>
      </c>
      <c r="AB112" s="21">
        <v>18.8446</v>
      </c>
      <c r="AC112" s="21">
        <v>18.1454</v>
      </c>
      <c r="AD112" s="21">
        <v>17.2731</v>
      </c>
      <c r="AE112" s="21">
        <v>26.93</v>
      </c>
      <c r="AF112" s="21">
        <v>29.1311</v>
      </c>
      <c r="AG112" s="22">
        <f>IFERROR(__xludf.DUMMYFUNCTION("IFERROR(GOOGLEFINANCE(B112,""price""),"""")"),18.23)</f>
        <v>18.23</v>
      </c>
      <c r="AH112" s="22"/>
      <c r="AI112" s="22"/>
      <c r="AJ112" s="22"/>
      <c r="AK112" s="22"/>
      <c r="AL112" s="22"/>
      <c r="AM112" s="22"/>
      <c r="AN112" s="22"/>
    </row>
    <row r="113">
      <c r="A113" s="7">
        <v>46050.62640211813</v>
      </c>
      <c r="B113" s="8" t="s">
        <v>4976</v>
      </c>
      <c r="C113" s="8" t="s">
        <v>4977</v>
      </c>
      <c r="D113" s="9">
        <v>46054.0</v>
      </c>
      <c r="E113" s="10">
        <v>62.08</v>
      </c>
      <c r="F113" s="8" t="s">
        <v>107</v>
      </c>
      <c r="G113" s="11">
        <v>0.9</v>
      </c>
      <c r="H113" s="8" t="s">
        <v>4978</v>
      </c>
      <c r="I113" s="11">
        <v>24.1441</v>
      </c>
      <c r="J113" s="11">
        <v>55.2431</v>
      </c>
      <c r="K113" s="13">
        <v>2.8474</v>
      </c>
      <c r="L113" s="8" t="s">
        <v>4979</v>
      </c>
      <c r="M113" s="11">
        <v>-1.8188</v>
      </c>
      <c r="N113" s="12">
        <v>1926945.0</v>
      </c>
      <c r="O113" s="13">
        <v>63.525</v>
      </c>
      <c r="P113" s="13">
        <v>58.08</v>
      </c>
      <c r="Q113" s="13">
        <v>62.88</v>
      </c>
      <c r="R113" s="13">
        <v>1.9067</v>
      </c>
      <c r="S113" s="13">
        <v>4.2358</v>
      </c>
      <c r="T113" s="13">
        <v>812753.3</v>
      </c>
      <c r="U113" s="12">
        <v>3.601083767E9</v>
      </c>
      <c r="V113" s="11">
        <v>69.6491</v>
      </c>
      <c r="W113" s="13">
        <v>70.5587</v>
      </c>
      <c r="X113" s="13">
        <v>58.2812</v>
      </c>
      <c r="Y113" s="13">
        <v>60.2609</v>
      </c>
      <c r="Z113" s="13">
        <v>62.6606</v>
      </c>
      <c r="AA113" s="13">
        <v>61.5375</v>
      </c>
      <c r="AB113" s="13">
        <v>60.4487</v>
      </c>
      <c r="AC113" s="13">
        <v>59.4784</v>
      </c>
      <c r="AD113" s="13">
        <v>59.0913</v>
      </c>
      <c r="AE113" s="13">
        <v>72.23</v>
      </c>
      <c r="AF113" s="13">
        <v>14.0523</v>
      </c>
      <c r="AG113" s="14">
        <f>IFERROR(__xludf.DUMMYFUNCTION("IFERROR(GOOGLEFINANCE(B113,""price""),"""")"),60.74)</f>
        <v>60.74</v>
      </c>
      <c r="AH113" s="14"/>
      <c r="AI113" s="14"/>
      <c r="AJ113" s="14"/>
      <c r="AK113" s="14"/>
      <c r="AL113" s="14"/>
      <c r="AM113" s="14"/>
      <c r="AN113" s="14"/>
    </row>
    <row r="114">
      <c r="A114" s="15">
        <v>46050.62640211813</v>
      </c>
      <c r="B114" s="16" t="s">
        <v>4878</v>
      </c>
      <c r="C114" s="16" t="s">
        <v>4879</v>
      </c>
      <c r="D114" s="17">
        <v>46054.0</v>
      </c>
      <c r="E114" s="18">
        <v>57.43</v>
      </c>
      <c r="F114" s="16" t="s">
        <v>162</v>
      </c>
      <c r="G114" s="19">
        <v>0.92</v>
      </c>
      <c r="H114" s="16" t="s">
        <v>4864</v>
      </c>
      <c r="I114" s="19">
        <v>22.213</v>
      </c>
      <c r="J114" s="19">
        <v>58.9727</v>
      </c>
      <c r="K114" s="21">
        <v>1.4712</v>
      </c>
      <c r="L114" s="16" t="s">
        <v>4880</v>
      </c>
      <c r="M114" s="19">
        <v>-0.846</v>
      </c>
      <c r="N114" s="20">
        <v>1413126.0</v>
      </c>
      <c r="O114" s="21">
        <v>58.21</v>
      </c>
      <c r="P114" s="21">
        <v>56.9901</v>
      </c>
      <c r="Q114" s="21">
        <v>58.1</v>
      </c>
      <c r="R114" s="21">
        <v>1.4671</v>
      </c>
      <c r="S114" s="21">
        <v>3.1773</v>
      </c>
      <c r="T114" s="16">
        <v>1024858.0</v>
      </c>
      <c r="U114" s="20">
        <v>6.575349215E9</v>
      </c>
      <c r="V114" s="19">
        <v>81.0337</v>
      </c>
      <c r="W114" s="21">
        <v>81.7293</v>
      </c>
      <c r="X114" s="21">
        <v>53.3202</v>
      </c>
      <c r="Y114" s="21">
        <v>51.0784</v>
      </c>
      <c r="Z114" s="21">
        <v>57.1686</v>
      </c>
      <c r="AA114" s="21">
        <v>56.151</v>
      </c>
      <c r="AB114" s="21">
        <v>55.2903</v>
      </c>
      <c r="AC114" s="21">
        <v>54.3811</v>
      </c>
      <c r="AD114" s="21">
        <v>53.3248</v>
      </c>
      <c r="AE114" s="21">
        <v>58.21</v>
      </c>
      <c r="AF114" s="21">
        <v>1.34</v>
      </c>
      <c r="AG114" s="22">
        <f>IFERROR(__xludf.DUMMYFUNCTION("IFERROR(GOOGLEFINANCE(B114,""price""),"""")"),56.07)</f>
        <v>56.07</v>
      </c>
      <c r="AH114" s="22"/>
      <c r="AI114" s="22"/>
      <c r="AJ114" s="22"/>
      <c r="AK114" s="22"/>
      <c r="AL114" s="22"/>
      <c r="AM114" s="22"/>
      <c r="AN114" s="22"/>
    </row>
    <row r="115">
      <c r="A115" s="7">
        <v>46050.62640211813</v>
      </c>
      <c r="B115" s="8" t="s">
        <v>4980</v>
      </c>
      <c r="C115" s="8" t="s">
        <v>4981</v>
      </c>
      <c r="D115" s="9">
        <v>46054.0</v>
      </c>
      <c r="E115" s="10">
        <v>4.485</v>
      </c>
      <c r="F115" s="8" t="s">
        <v>270</v>
      </c>
      <c r="G115" s="11">
        <v>0.92</v>
      </c>
      <c r="H115" s="8" t="s">
        <v>4848</v>
      </c>
      <c r="I115" s="11">
        <v>38.9222</v>
      </c>
      <c r="J115" s="11">
        <v>64.2258</v>
      </c>
      <c r="K115" s="13">
        <v>1.3862</v>
      </c>
      <c r="L115" s="8" t="s">
        <v>4982</v>
      </c>
      <c r="M115" s="11">
        <v>-0.5543</v>
      </c>
      <c r="N115" s="12">
        <v>6143222.0</v>
      </c>
      <c r="O115" s="13">
        <v>4.61</v>
      </c>
      <c r="P115" s="13">
        <v>4.4007</v>
      </c>
      <c r="Q115" s="13">
        <v>4.51</v>
      </c>
      <c r="R115" s="13">
        <v>0.1868</v>
      </c>
      <c r="S115" s="13">
        <v>0.405</v>
      </c>
      <c r="T115" s="8">
        <v>4488198.0</v>
      </c>
      <c r="U115" s="12">
        <v>1.376324591E9</v>
      </c>
      <c r="V115" s="11">
        <v>72.4492</v>
      </c>
      <c r="W115" s="13">
        <v>74.1133</v>
      </c>
      <c r="X115" s="13">
        <v>3.9179</v>
      </c>
      <c r="Y115" s="13">
        <v>3.312</v>
      </c>
      <c r="Z115" s="13">
        <v>4.4207</v>
      </c>
      <c r="AA115" s="13">
        <v>4.2728</v>
      </c>
      <c r="AB115" s="13">
        <v>4.125</v>
      </c>
      <c r="AC115" s="13">
        <v>3.9048</v>
      </c>
      <c r="AD115" s="13">
        <v>3.6228</v>
      </c>
      <c r="AE115" s="13">
        <v>4.65</v>
      </c>
      <c r="AF115" s="13">
        <v>3.5484</v>
      </c>
      <c r="AG115" s="14">
        <f>IFERROR(__xludf.DUMMYFUNCTION("IFERROR(GOOGLEFINANCE(B115,""price""),"""")"),5.9)</f>
        <v>5.9</v>
      </c>
      <c r="AH115" s="14"/>
      <c r="AI115" s="14"/>
      <c r="AJ115" s="14"/>
      <c r="AK115" s="14"/>
      <c r="AL115" s="14"/>
      <c r="AM115" s="14"/>
      <c r="AN115" s="14"/>
    </row>
    <row r="116">
      <c r="A116" s="15">
        <v>46050.62640211813</v>
      </c>
      <c r="B116" s="16" t="s">
        <v>1378</v>
      </c>
      <c r="C116" s="16" t="s">
        <v>1379</v>
      </c>
      <c r="D116" s="17">
        <v>46054.0</v>
      </c>
      <c r="E116" s="18">
        <v>21.14</v>
      </c>
      <c r="F116" s="16" t="s">
        <v>93</v>
      </c>
      <c r="G116" s="19">
        <v>0.92</v>
      </c>
      <c r="H116" s="16" t="s">
        <v>4983</v>
      </c>
      <c r="I116" s="19">
        <v>22.9914</v>
      </c>
      <c r="J116" s="19">
        <v>63.4289</v>
      </c>
      <c r="K116" s="21">
        <v>3.2919</v>
      </c>
      <c r="L116" s="16" t="s">
        <v>1380</v>
      </c>
      <c r="M116" s="19">
        <v>0.6188</v>
      </c>
      <c r="N116" s="20">
        <v>981063.0</v>
      </c>
      <c r="O116" s="21">
        <v>21.78</v>
      </c>
      <c r="P116" s="21">
        <v>20.99</v>
      </c>
      <c r="Q116" s="21">
        <v>21.06</v>
      </c>
      <c r="R116" s="21">
        <v>0.5454</v>
      </c>
      <c r="S116" s="21">
        <v>1.1912</v>
      </c>
      <c r="T116" s="21">
        <v>382108.2</v>
      </c>
      <c r="U116" s="20">
        <v>9.01682895E8</v>
      </c>
      <c r="V116" s="19">
        <v>71.7952</v>
      </c>
      <c r="W116" s="21">
        <v>67.0036</v>
      </c>
      <c r="X116" s="21">
        <v>20.1592</v>
      </c>
      <c r="Y116" s="21">
        <v>18.7818</v>
      </c>
      <c r="Z116" s="21">
        <v>20.5962</v>
      </c>
      <c r="AA116" s="21">
        <v>20.3357</v>
      </c>
      <c r="AB116" s="21">
        <v>20.1891</v>
      </c>
      <c r="AC116" s="21">
        <v>19.9099</v>
      </c>
      <c r="AD116" s="21">
        <v>19.5169</v>
      </c>
      <c r="AE116" s="21">
        <v>21.78</v>
      </c>
      <c r="AF116" s="21">
        <v>2.9385</v>
      </c>
      <c r="AG116" s="22">
        <f>IFERROR(__xludf.DUMMYFUNCTION("IFERROR(GOOGLEFINANCE(B116,""price""),"""")"),22.4)</f>
        <v>22.4</v>
      </c>
      <c r="AH116" s="22"/>
      <c r="AI116" s="22"/>
      <c r="AJ116" s="22"/>
      <c r="AK116" s="22"/>
      <c r="AL116" s="22"/>
      <c r="AM116" s="22"/>
      <c r="AN116" s="22"/>
    </row>
    <row r="117">
      <c r="A117" s="7">
        <v>46050.62640211813</v>
      </c>
      <c r="B117" s="8" t="s">
        <v>4984</v>
      </c>
      <c r="C117" s="8" t="s">
        <v>4985</v>
      </c>
      <c r="D117" s="9">
        <v>46054.0</v>
      </c>
      <c r="E117" s="10">
        <v>2.01</v>
      </c>
      <c r="F117" s="8" t="s">
        <v>335</v>
      </c>
      <c r="G117" s="11">
        <v>0.92</v>
      </c>
      <c r="H117" s="8" t="s">
        <v>4868</v>
      </c>
      <c r="I117" s="11">
        <v>42.3551</v>
      </c>
      <c r="J117" s="11">
        <v>73.3895</v>
      </c>
      <c r="K117" s="13">
        <v>1.6526</v>
      </c>
      <c r="L117" s="8" t="s">
        <v>4986</v>
      </c>
      <c r="M117" s="11">
        <v>4.1451</v>
      </c>
      <c r="N117" s="12">
        <v>2.1428703E7</v>
      </c>
      <c r="O117" s="13">
        <v>2.01</v>
      </c>
      <c r="P117" s="13">
        <v>1.91</v>
      </c>
      <c r="Q117" s="13">
        <v>1.95</v>
      </c>
      <c r="R117" s="13">
        <v>0.1018</v>
      </c>
      <c r="S117" s="13">
        <v>0.2207</v>
      </c>
      <c r="T117" s="8">
        <v>1.4404413E7</v>
      </c>
      <c r="U117" s="12">
        <v>7.56189362E8</v>
      </c>
      <c r="V117" s="11">
        <v>78.2946</v>
      </c>
      <c r="W117" s="13">
        <v>72.3039</v>
      </c>
      <c r="X117" s="13">
        <v>1.4854</v>
      </c>
      <c r="Y117" s="13">
        <v>1.3868</v>
      </c>
      <c r="Z117" s="13">
        <v>1.8871</v>
      </c>
      <c r="AA117" s="13">
        <v>1.7495</v>
      </c>
      <c r="AB117" s="13">
        <v>1.6619</v>
      </c>
      <c r="AC117" s="13">
        <v>1.5903</v>
      </c>
      <c r="AD117" s="13">
        <v>1.524</v>
      </c>
      <c r="AE117" s="13">
        <v>2.35</v>
      </c>
      <c r="AF117" s="13">
        <v>14.4681</v>
      </c>
      <c r="AG117" s="14">
        <f>IFERROR(__xludf.DUMMYFUNCTION("IFERROR(GOOGLEFINANCE(B117,""price""),"""")"),1.5)</f>
        <v>1.5</v>
      </c>
      <c r="AH117" s="14"/>
      <c r="AI117" s="14"/>
      <c r="AJ117" s="14"/>
      <c r="AK117" s="14"/>
      <c r="AL117" s="14"/>
      <c r="AM117" s="14"/>
      <c r="AN117" s="14"/>
    </row>
    <row r="118">
      <c r="A118" s="15">
        <v>46050.62640211813</v>
      </c>
      <c r="B118" s="16" t="s">
        <v>4987</v>
      </c>
      <c r="C118" s="16" t="s">
        <v>4988</v>
      </c>
      <c r="D118" s="17">
        <v>46054.0</v>
      </c>
      <c r="E118" s="18">
        <v>19.46</v>
      </c>
      <c r="F118" s="16" t="s">
        <v>93</v>
      </c>
      <c r="G118" s="19">
        <v>0.93</v>
      </c>
      <c r="H118" s="16" t="s">
        <v>4868</v>
      </c>
      <c r="I118" s="19">
        <v>21.1895</v>
      </c>
      <c r="J118" s="19">
        <v>45.6667</v>
      </c>
      <c r="K118" s="21">
        <v>1.6725</v>
      </c>
      <c r="L118" s="16" t="s">
        <v>4989</v>
      </c>
      <c r="M118" s="19">
        <v>-6.4873</v>
      </c>
      <c r="N118" s="20">
        <v>2935522.0</v>
      </c>
      <c r="O118" s="21">
        <v>20.76</v>
      </c>
      <c r="P118" s="21">
        <v>19.45</v>
      </c>
      <c r="Q118" s="21">
        <v>20.7</v>
      </c>
      <c r="R118" s="21">
        <v>0.8391</v>
      </c>
      <c r="S118" s="21">
        <v>1.8028</v>
      </c>
      <c r="T118" s="16">
        <v>1868797.0</v>
      </c>
      <c r="U118" s="20">
        <v>2.243765914E9</v>
      </c>
      <c r="V118" s="19">
        <v>55.5123</v>
      </c>
      <c r="W118" s="21">
        <v>72.6789</v>
      </c>
      <c r="X118" s="21">
        <v>19.1628</v>
      </c>
      <c r="Y118" s="21">
        <v>16.3272</v>
      </c>
      <c r="Z118" s="21">
        <v>20.5034</v>
      </c>
      <c r="AA118" s="21">
        <v>20.215</v>
      </c>
      <c r="AB118" s="21">
        <v>19.832</v>
      </c>
      <c r="AC118" s="21">
        <v>19.2331</v>
      </c>
      <c r="AD118" s="21">
        <v>18.3529</v>
      </c>
      <c r="AE118" s="21">
        <v>21.67</v>
      </c>
      <c r="AF118" s="21">
        <v>10.1984</v>
      </c>
      <c r="AG118" s="22">
        <f>IFERROR(__xludf.DUMMYFUNCTION("IFERROR(GOOGLEFINANCE(B118,""price""),"""")"),14.77)</f>
        <v>14.77</v>
      </c>
      <c r="AH118" s="22"/>
      <c r="AI118" s="22"/>
      <c r="AJ118" s="22"/>
      <c r="AK118" s="22"/>
      <c r="AL118" s="22"/>
      <c r="AM118" s="22"/>
      <c r="AN118" s="22"/>
    </row>
    <row r="119">
      <c r="A119" s="7">
        <v>46050.62640211813</v>
      </c>
      <c r="B119" s="8" t="s">
        <v>1506</v>
      </c>
      <c r="C119" s="8" t="s">
        <v>1507</v>
      </c>
      <c r="D119" s="9">
        <v>46054.0</v>
      </c>
      <c r="E119" s="10">
        <v>34.06</v>
      </c>
      <c r="F119" s="8" t="s">
        <v>186</v>
      </c>
      <c r="G119" s="11">
        <v>0.93</v>
      </c>
      <c r="H119" s="8" t="s">
        <v>4848</v>
      </c>
      <c r="I119" s="11">
        <v>22.8826</v>
      </c>
      <c r="J119" s="11">
        <v>48.6743</v>
      </c>
      <c r="K119" s="13">
        <v>1.3816</v>
      </c>
      <c r="L119" s="8" t="s">
        <v>1508</v>
      </c>
      <c r="M119" s="11">
        <v>-0.4966</v>
      </c>
      <c r="N119" s="12">
        <v>1148429.0</v>
      </c>
      <c r="O119" s="13">
        <v>34.74</v>
      </c>
      <c r="P119" s="13">
        <v>33.93</v>
      </c>
      <c r="Q119" s="13">
        <v>34.37</v>
      </c>
      <c r="R119" s="13">
        <v>0.8678</v>
      </c>
      <c r="S119" s="13">
        <v>1.8592</v>
      </c>
      <c r="T119" s="13">
        <v>885246.8</v>
      </c>
      <c r="U119" s="12">
        <v>5.019393382E9</v>
      </c>
      <c r="V119" s="11">
        <v>16.603</v>
      </c>
      <c r="W119" s="13">
        <v>32.4174</v>
      </c>
      <c r="X119" s="13">
        <v>32.9063</v>
      </c>
      <c r="Y119" s="13">
        <v>28.0997</v>
      </c>
      <c r="Z119" s="13">
        <v>34.6304</v>
      </c>
      <c r="AA119" s="13">
        <v>34.4639</v>
      </c>
      <c r="AB119" s="13">
        <v>33.9171</v>
      </c>
      <c r="AC119" s="13">
        <v>33.0195</v>
      </c>
      <c r="AD119" s="13">
        <v>31.6746</v>
      </c>
      <c r="AE119" s="13">
        <v>36.34</v>
      </c>
      <c r="AF119" s="13">
        <v>6.2741</v>
      </c>
      <c r="AG119" s="14">
        <f>IFERROR(__xludf.DUMMYFUNCTION("IFERROR(GOOGLEFINANCE(B119,""price""),"""")"),32.91)</f>
        <v>32.91</v>
      </c>
      <c r="AH119" s="14"/>
      <c r="AI119" s="14"/>
      <c r="AJ119" s="14"/>
      <c r="AK119" s="14"/>
      <c r="AL119" s="14"/>
      <c r="AM119" s="14"/>
      <c r="AN119" s="14"/>
    </row>
    <row r="120">
      <c r="A120" s="15">
        <v>46050.62640211813</v>
      </c>
      <c r="B120" s="16" t="s">
        <v>4899</v>
      </c>
      <c r="C120" s="16" t="s">
        <v>4900</v>
      </c>
      <c r="D120" s="17">
        <v>46054.0</v>
      </c>
      <c r="E120" s="18">
        <v>80.535</v>
      </c>
      <c r="F120" s="16" t="s">
        <v>308</v>
      </c>
      <c r="G120" s="19">
        <v>0.94</v>
      </c>
      <c r="H120" s="16" t="s">
        <v>4868</v>
      </c>
      <c r="I120" s="19">
        <v>23.6263</v>
      </c>
      <c r="J120" s="19">
        <v>53.0925</v>
      </c>
      <c r="K120" s="21">
        <v>1.7211</v>
      </c>
      <c r="L120" s="16" t="s">
        <v>4901</v>
      </c>
      <c r="M120" s="19">
        <v>-1.2688</v>
      </c>
      <c r="N120" s="20">
        <v>1881541.0</v>
      </c>
      <c r="O120" s="21">
        <v>82.3</v>
      </c>
      <c r="P120" s="21">
        <v>80.38</v>
      </c>
      <c r="Q120" s="21">
        <v>81.74</v>
      </c>
      <c r="R120" s="21">
        <v>1.918</v>
      </c>
      <c r="S120" s="21">
        <v>4.0817</v>
      </c>
      <c r="T120" s="16">
        <v>1196765.0</v>
      </c>
      <c r="U120" s="20">
        <v>6.411058967E9</v>
      </c>
      <c r="V120" s="19">
        <v>52.4577</v>
      </c>
      <c r="W120" s="21">
        <v>69.5932</v>
      </c>
      <c r="X120" s="21">
        <v>76.7829</v>
      </c>
      <c r="Y120" s="21">
        <v>68.002</v>
      </c>
      <c r="Z120" s="21">
        <v>81.8786</v>
      </c>
      <c r="AA120" s="21">
        <v>80.467</v>
      </c>
      <c r="AB120" s="21">
        <v>78.8222</v>
      </c>
      <c r="AC120" s="21">
        <v>76.4737</v>
      </c>
      <c r="AD120" s="21">
        <v>73.3968</v>
      </c>
      <c r="AE120" s="21">
        <v>84.64</v>
      </c>
      <c r="AF120" s="21">
        <v>4.85</v>
      </c>
      <c r="AG120" s="22">
        <f>IFERROR(__xludf.DUMMYFUNCTION("IFERROR(GOOGLEFINANCE(B120,""price""),"""")"),83.59)</f>
        <v>83.59</v>
      </c>
      <c r="AH120" s="22"/>
      <c r="AI120" s="22"/>
      <c r="AJ120" s="22"/>
      <c r="AK120" s="22"/>
      <c r="AL120" s="22"/>
      <c r="AM120" s="22"/>
      <c r="AN120" s="22"/>
    </row>
    <row r="121">
      <c r="A121" s="7">
        <v>46050.62640211813</v>
      </c>
      <c r="B121" s="8" t="s">
        <v>4850</v>
      </c>
      <c r="C121" s="8" t="s">
        <v>4851</v>
      </c>
      <c r="D121" s="9">
        <v>46054.0</v>
      </c>
      <c r="E121" s="10">
        <v>95.87</v>
      </c>
      <c r="F121" s="8" t="s">
        <v>149</v>
      </c>
      <c r="G121" s="11">
        <v>0.94</v>
      </c>
      <c r="H121" s="8" t="s">
        <v>4915</v>
      </c>
      <c r="I121" s="11">
        <v>33.4997</v>
      </c>
      <c r="J121" s="11">
        <v>65.7554</v>
      </c>
      <c r="K121" s="13">
        <v>1.8563</v>
      </c>
      <c r="L121" s="8" t="s">
        <v>4852</v>
      </c>
      <c r="M121" s="11">
        <v>0.1567</v>
      </c>
      <c r="N121" s="12">
        <v>2.2273321E7</v>
      </c>
      <c r="O121" s="13">
        <v>104.82</v>
      </c>
      <c r="P121" s="13">
        <v>95.6865</v>
      </c>
      <c r="Q121" s="13">
        <v>102.3</v>
      </c>
      <c r="R121" s="13">
        <v>2.7658</v>
      </c>
      <c r="S121" s="13">
        <v>5.8822</v>
      </c>
      <c r="T121" s="8">
        <v>1.3670028E7</v>
      </c>
      <c r="U121" s="12">
        <v>1.09221057478E11</v>
      </c>
      <c r="V121" s="11">
        <v>73.9791</v>
      </c>
      <c r="W121" s="13">
        <v>84.4601</v>
      </c>
      <c r="X121" s="13">
        <v>87.4954</v>
      </c>
      <c r="Y121" s="13">
        <v>88.5206</v>
      </c>
      <c r="Z121" s="13">
        <v>95.1126</v>
      </c>
      <c r="AA121" s="13">
        <v>92.0483</v>
      </c>
      <c r="AB121" s="13">
        <v>90.2167</v>
      </c>
      <c r="AC121" s="13">
        <v>88.6759</v>
      </c>
      <c r="AD121" s="13">
        <v>87.8486</v>
      </c>
      <c r="AE121" s="13">
        <v>117.46</v>
      </c>
      <c r="AF121" s="13">
        <v>18.3807</v>
      </c>
      <c r="AG121" s="14">
        <f>IFERROR(__xludf.DUMMYFUNCTION("IFERROR(GOOGLEFINANCE(B121,""price""),"""")"),96.6)</f>
        <v>96.6</v>
      </c>
      <c r="AH121" s="14"/>
      <c r="AI121" s="14"/>
      <c r="AJ121" s="14"/>
      <c r="AK121" s="14"/>
      <c r="AL121" s="14"/>
      <c r="AM121" s="14"/>
      <c r="AN121" s="14"/>
    </row>
    <row r="122">
      <c r="A122" s="15">
        <v>46050.62640211813</v>
      </c>
      <c r="B122" s="16" t="s">
        <v>4990</v>
      </c>
      <c r="C122" s="16" t="s">
        <v>4991</v>
      </c>
      <c r="D122" s="17">
        <v>46054.0</v>
      </c>
      <c r="E122" s="18">
        <v>31.645</v>
      </c>
      <c r="F122" s="16" t="s">
        <v>162</v>
      </c>
      <c r="G122" s="19">
        <v>0.94</v>
      </c>
      <c r="H122" s="16" t="s">
        <v>4992</v>
      </c>
      <c r="I122" s="19">
        <v>48.7066</v>
      </c>
      <c r="J122" s="19">
        <v>56.7506</v>
      </c>
      <c r="K122" s="21">
        <v>3.9251</v>
      </c>
      <c r="L122" s="16" t="s">
        <v>4993</v>
      </c>
      <c r="M122" s="19">
        <v>-4.4535</v>
      </c>
      <c r="N122" s="20">
        <v>1.8435233E7</v>
      </c>
      <c r="O122" s="21">
        <v>32.18</v>
      </c>
      <c r="P122" s="21">
        <v>31.55</v>
      </c>
      <c r="Q122" s="21">
        <v>31.94</v>
      </c>
      <c r="R122" s="21">
        <v>0.9259</v>
      </c>
      <c r="S122" s="21">
        <v>1.9789</v>
      </c>
      <c r="T122" s="16">
        <v>6323792.0</v>
      </c>
      <c r="U122" s="20">
        <v>1.0584310573E10</v>
      </c>
      <c r="V122" s="19">
        <v>55.5974</v>
      </c>
      <c r="W122" s="21">
        <v>61.9026</v>
      </c>
      <c r="X122" s="21">
        <v>28.5989</v>
      </c>
      <c r="Y122" s="21">
        <v>28.2271</v>
      </c>
      <c r="Z122" s="21">
        <v>32.2962</v>
      </c>
      <c r="AA122" s="21">
        <v>31.3346</v>
      </c>
      <c r="AB122" s="21">
        <v>30.4458</v>
      </c>
      <c r="AC122" s="21">
        <v>29.5569</v>
      </c>
      <c r="AD122" s="21">
        <v>28.8901</v>
      </c>
      <c r="AE122" s="21">
        <v>34.48</v>
      </c>
      <c r="AF122" s="21">
        <v>8.2222</v>
      </c>
      <c r="AG122" s="22">
        <f>IFERROR(__xludf.DUMMYFUNCTION("IFERROR(GOOGLEFINANCE(B122,""price""),"""")"),27.15)</f>
        <v>27.15</v>
      </c>
      <c r="AH122" s="22"/>
      <c r="AI122" s="22"/>
      <c r="AJ122" s="22"/>
      <c r="AK122" s="22"/>
      <c r="AL122" s="22"/>
      <c r="AM122" s="22"/>
      <c r="AN122" s="22"/>
    </row>
    <row r="123">
      <c r="A123" s="7">
        <v>46050.62640211813</v>
      </c>
      <c r="B123" s="8" t="s">
        <v>1372</v>
      </c>
      <c r="C123" s="8" t="s">
        <v>1373</v>
      </c>
      <c r="D123" s="9">
        <v>46054.0</v>
      </c>
      <c r="E123" s="10">
        <v>142.52</v>
      </c>
      <c r="F123" s="8" t="s">
        <v>93</v>
      </c>
      <c r="G123" s="11">
        <v>0.94</v>
      </c>
      <c r="H123" s="8" t="s">
        <v>4848</v>
      </c>
      <c r="I123" s="11">
        <v>21.0262</v>
      </c>
      <c r="J123" s="11">
        <v>48.1149</v>
      </c>
      <c r="K123" s="13">
        <v>1.3523</v>
      </c>
      <c r="L123" s="8" t="s">
        <v>1374</v>
      </c>
      <c r="M123" s="11">
        <v>-0.9315</v>
      </c>
      <c r="N123" s="12">
        <v>1176643.0</v>
      </c>
      <c r="O123" s="13">
        <v>144.36</v>
      </c>
      <c r="P123" s="13">
        <v>142.225</v>
      </c>
      <c r="Q123" s="13">
        <v>143.96</v>
      </c>
      <c r="R123" s="13">
        <v>2.3197</v>
      </c>
      <c r="S123" s="13">
        <v>4.9145</v>
      </c>
      <c r="T123" s="13">
        <v>876649.1</v>
      </c>
      <c r="U123" s="12">
        <v>2.5164266072E10</v>
      </c>
      <c r="V123" s="11">
        <v>26.7831</v>
      </c>
      <c r="W123" s="13">
        <v>33.1594</v>
      </c>
      <c r="X123" s="13">
        <v>140.7264</v>
      </c>
      <c r="Y123" s="13">
        <v>124.651</v>
      </c>
      <c r="Z123" s="13">
        <v>143.5513</v>
      </c>
      <c r="AA123" s="13">
        <v>143.4892</v>
      </c>
      <c r="AB123" s="13">
        <v>142.2974</v>
      </c>
      <c r="AC123" s="13">
        <v>139.6153</v>
      </c>
      <c r="AD123" s="13">
        <v>135.3194</v>
      </c>
      <c r="AE123" s="13">
        <v>149.24</v>
      </c>
      <c r="AF123" s="13">
        <v>4.5028</v>
      </c>
      <c r="AG123" s="14">
        <f>IFERROR(__xludf.DUMMYFUNCTION("IFERROR(GOOGLEFINANCE(B123,""price""),"""")"),145.53)</f>
        <v>145.53</v>
      </c>
      <c r="AH123" s="14"/>
      <c r="AI123" s="14"/>
      <c r="AJ123" s="14"/>
      <c r="AK123" s="14"/>
      <c r="AL123" s="14"/>
      <c r="AM123" s="14"/>
      <c r="AN123" s="14"/>
    </row>
    <row r="124">
      <c r="A124" s="15">
        <v>46050.62640211813</v>
      </c>
      <c r="B124" s="16" t="s">
        <v>4994</v>
      </c>
      <c r="C124" s="16" t="s">
        <v>4995</v>
      </c>
      <c r="D124" s="17">
        <v>46054.0</v>
      </c>
      <c r="E124" s="18">
        <v>34.625</v>
      </c>
      <c r="F124" s="16" t="s">
        <v>308</v>
      </c>
      <c r="G124" s="19">
        <v>0.94</v>
      </c>
      <c r="H124" s="16" t="s">
        <v>4862</v>
      </c>
      <c r="I124" s="19">
        <v>33.863</v>
      </c>
      <c r="J124" s="19">
        <v>68.6347</v>
      </c>
      <c r="K124" s="21">
        <v>1.5565</v>
      </c>
      <c r="L124" s="16" t="s">
        <v>4996</v>
      </c>
      <c r="M124" s="19">
        <v>6.0165</v>
      </c>
      <c r="N124" s="20">
        <v>3860485.0</v>
      </c>
      <c r="O124" s="21">
        <v>35.39</v>
      </c>
      <c r="P124" s="21">
        <v>33.485</v>
      </c>
      <c r="Q124" s="21">
        <v>33.68</v>
      </c>
      <c r="R124" s="21">
        <v>1.4813</v>
      </c>
      <c r="S124" s="21">
        <v>3.1513</v>
      </c>
      <c r="T124" s="16">
        <v>2727373.0</v>
      </c>
      <c r="U124" s="20">
        <v>6.409747044E9</v>
      </c>
      <c r="V124" s="19">
        <v>69.3133</v>
      </c>
      <c r="W124" s="21">
        <v>70.2342</v>
      </c>
      <c r="X124" s="21">
        <v>28.3784</v>
      </c>
      <c r="Y124" s="21">
        <v>28.5866</v>
      </c>
      <c r="Z124" s="21">
        <v>33.1059</v>
      </c>
      <c r="AA124" s="21">
        <v>31.512</v>
      </c>
      <c r="AB124" s="21">
        <v>30.4727</v>
      </c>
      <c r="AC124" s="21">
        <v>29.7027</v>
      </c>
      <c r="AD124" s="21">
        <v>29.3069</v>
      </c>
      <c r="AE124" s="21">
        <v>38.45</v>
      </c>
      <c r="AF124" s="21">
        <v>9.948</v>
      </c>
      <c r="AG124" s="22">
        <f>IFERROR(__xludf.DUMMYFUNCTION("IFERROR(GOOGLEFINANCE(B124,""price""),"""")"),37.5)</f>
        <v>37.5</v>
      </c>
      <c r="AH124" s="22"/>
      <c r="AI124" s="22"/>
      <c r="AJ124" s="22"/>
      <c r="AK124" s="22"/>
      <c r="AL124" s="22"/>
      <c r="AM124" s="22"/>
      <c r="AN124" s="22"/>
    </row>
    <row r="125">
      <c r="A125" s="7">
        <v>46050.62640211813</v>
      </c>
      <c r="B125" s="8" t="s">
        <v>1375</v>
      </c>
      <c r="C125" s="8" t="s">
        <v>1376</v>
      </c>
      <c r="D125" s="9">
        <v>46054.0</v>
      </c>
      <c r="E125" s="10">
        <v>72.54</v>
      </c>
      <c r="F125" s="8" t="s">
        <v>117</v>
      </c>
      <c r="G125" s="11">
        <v>0.95</v>
      </c>
      <c r="H125" s="8" t="s">
        <v>4864</v>
      </c>
      <c r="I125" s="11">
        <v>26.367</v>
      </c>
      <c r="J125" s="11">
        <v>57.974</v>
      </c>
      <c r="K125" s="13">
        <v>1.458</v>
      </c>
      <c r="L125" s="8" t="s">
        <v>1377</v>
      </c>
      <c r="M125" s="11">
        <v>3.3039</v>
      </c>
      <c r="N125" s="12">
        <v>1860805.0</v>
      </c>
      <c r="O125" s="13">
        <v>73.21</v>
      </c>
      <c r="P125" s="13">
        <v>70.1</v>
      </c>
      <c r="Q125" s="13">
        <v>70.95</v>
      </c>
      <c r="R125" s="13">
        <v>2.1575</v>
      </c>
      <c r="S125" s="13">
        <v>4.5519</v>
      </c>
      <c r="T125" s="8">
        <v>1365114.0</v>
      </c>
      <c r="U125" s="12">
        <v>8.530486537E9</v>
      </c>
      <c r="V125" s="11">
        <v>30.2887</v>
      </c>
      <c r="W125" s="13">
        <v>21.5721</v>
      </c>
      <c r="X125" s="13">
        <v>68.8366</v>
      </c>
      <c r="Y125" s="13">
        <v>65.2468</v>
      </c>
      <c r="Z125" s="13">
        <v>71.0445</v>
      </c>
      <c r="AA125" s="13">
        <v>70.5628</v>
      </c>
      <c r="AB125" s="13">
        <v>69.9423</v>
      </c>
      <c r="AC125" s="13">
        <v>69.3315</v>
      </c>
      <c r="AD125" s="13">
        <v>68.4868</v>
      </c>
      <c r="AE125" s="13">
        <v>79.5</v>
      </c>
      <c r="AF125" s="13">
        <v>8.7547</v>
      </c>
      <c r="AG125" s="14">
        <f>IFERROR(__xludf.DUMMYFUNCTION("IFERROR(GOOGLEFINANCE(B125,""price""),"""")"),67.82)</f>
        <v>67.82</v>
      </c>
      <c r="AH125" s="14"/>
      <c r="AI125" s="14"/>
      <c r="AJ125" s="14"/>
      <c r="AK125" s="14"/>
      <c r="AL125" s="14"/>
      <c r="AM125" s="14"/>
      <c r="AN125" s="14"/>
    </row>
    <row r="126">
      <c r="A126" s="15">
        <v>46050.62640211813</v>
      </c>
      <c r="B126" s="16" t="s">
        <v>4997</v>
      </c>
      <c r="C126" s="16" t="s">
        <v>4998</v>
      </c>
      <c r="D126" s="17">
        <v>46054.0</v>
      </c>
      <c r="E126" s="18">
        <v>913.495</v>
      </c>
      <c r="F126" s="16" t="s">
        <v>102</v>
      </c>
      <c r="G126" s="19">
        <v>0.95</v>
      </c>
      <c r="H126" s="16" t="s">
        <v>4848</v>
      </c>
      <c r="I126" s="19">
        <v>32.28</v>
      </c>
      <c r="J126" s="19">
        <v>50.415</v>
      </c>
      <c r="K126" s="21">
        <v>1.3578</v>
      </c>
      <c r="L126" s="16" t="s">
        <v>4999</v>
      </c>
      <c r="M126" s="19">
        <v>-1.3472</v>
      </c>
      <c r="N126" s="20">
        <v>842714.0</v>
      </c>
      <c r="O126" s="21">
        <v>926.3925</v>
      </c>
      <c r="P126" s="21">
        <v>911.4</v>
      </c>
      <c r="Q126" s="21">
        <v>922.25</v>
      </c>
      <c r="R126" s="21">
        <v>16.7088</v>
      </c>
      <c r="S126" s="21">
        <v>35.3568</v>
      </c>
      <c r="T126" s="21">
        <v>652822.7</v>
      </c>
      <c r="U126" s="20">
        <v>1.15270914877E11</v>
      </c>
      <c r="V126" s="19">
        <v>44.798</v>
      </c>
      <c r="W126" s="21">
        <v>55.4308</v>
      </c>
      <c r="X126" s="21">
        <v>887.2591</v>
      </c>
      <c r="Y126" s="21">
        <v>779.7573</v>
      </c>
      <c r="Z126" s="21">
        <v>927.6407</v>
      </c>
      <c r="AA126" s="21">
        <v>918.9411</v>
      </c>
      <c r="AB126" s="21">
        <v>904.6788</v>
      </c>
      <c r="AC126" s="21">
        <v>881.6722</v>
      </c>
      <c r="AD126" s="21">
        <v>849.8282</v>
      </c>
      <c r="AE126" s="21">
        <v>954.302</v>
      </c>
      <c r="AF126" s="21">
        <v>4.2761</v>
      </c>
      <c r="AG126" s="22">
        <f>IFERROR(__xludf.DUMMYFUNCTION("IFERROR(GOOGLEFINANCE(B126,""price""),"""")"),984.23)</f>
        <v>984.23</v>
      </c>
      <c r="AH126" s="22"/>
      <c r="AI126" s="22"/>
      <c r="AJ126" s="22"/>
      <c r="AK126" s="22"/>
      <c r="AL126" s="22"/>
      <c r="AM126" s="22"/>
      <c r="AN126" s="22"/>
    </row>
    <row r="127">
      <c r="A127" s="7">
        <v>46050.62640211813</v>
      </c>
      <c r="B127" s="8" t="s">
        <v>5000</v>
      </c>
      <c r="C127" s="8" t="s">
        <v>5001</v>
      </c>
      <c r="D127" s="9">
        <v>46054.0</v>
      </c>
      <c r="E127" s="10">
        <v>15.0</v>
      </c>
      <c r="F127" s="8" t="s">
        <v>1119</v>
      </c>
      <c r="G127" s="11">
        <v>0.96</v>
      </c>
      <c r="H127" s="8" t="s">
        <v>4862</v>
      </c>
      <c r="I127" s="11">
        <v>29.0395</v>
      </c>
      <c r="J127" s="11">
        <v>72.2101</v>
      </c>
      <c r="K127" s="13">
        <v>1.5997</v>
      </c>
      <c r="L127" s="8" t="s">
        <v>5002</v>
      </c>
      <c r="M127" s="11">
        <v>1.6949</v>
      </c>
      <c r="N127" s="12">
        <v>504282.0</v>
      </c>
      <c r="O127" s="13">
        <v>15.0599</v>
      </c>
      <c r="P127" s="13">
        <v>14.7</v>
      </c>
      <c r="Q127" s="13">
        <v>14.75</v>
      </c>
      <c r="R127" s="13">
        <v>0.2832</v>
      </c>
      <c r="S127" s="13">
        <v>0.5929</v>
      </c>
      <c r="T127" s="13">
        <v>334331.1</v>
      </c>
      <c r="U127" s="12">
        <v>3.177936173E9</v>
      </c>
      <c r="V127" s="11">
        <v>92.7005</v>
      </c>
      <c r="W127" s="13">
        <v>90.8903</v>
      </c>
      <c r="X127" s="13">
        <v>13.9872</v>
      </c>
      <c r="Y127" s="13">
        <v>13.6763</v>
      </c>
      <c r="Z127" s="13">
        <v>14.5984</v>
      </c>
      <c r="AA127" s="13">
        <v>14.2394</v>
      </c>
      <c r="AB127" s="13">
        <v>14.0761</v>
      </c>
      <c r="AC127" s="13">
        <v>13.8949</v>
      </c>
      <c r="AD127" s="13">
        <v>13.706</v>
      </c>
      <c r="AE127" s="13">
        <v>15.52</v>
      </c>
      <c r="AF127" s="13">
        <v>3.3505</v>
      </c>
      <c r="AG127" s="14">
        <f>IFERROR(__xludf.DUMMYFUNCTION("IFERROR(GOOGLEFINANCE(B127,""price""),"""")"),14.08)</f>
        <v>14.08</v>
      </c>
      <c r="AH127" s="14"/>
      <c r="AI127" s="14"/>
      <c r="AJ127" s="14"/>
      <c r="AK127" s="14"/>
      <c r="AL127" s="14"/>
      <c r="AM127" s="14"/>
      <c r="AN127" s="14"/>
    </row>
    <row r="128">
      <c r="A128" s="15">
        <v>46050.62640211813</v>
      </c>
      <c r="B128" s="16" t="s">
        <v>5003</v>
      </c>
      <c r="C128" s="16" t="s">
        <v>5004</v>
      </c>
      <c r="D128" s="17">
        <v>46054.0</v>
      </c>
      <c r="E128" s="18">
        <v>69.415</v>
      </c>
      <c r="F128" s="16" t="s">
        <v>102</v>
      </c>
      <c r="G128" s="19">
        <v>0.97</v>
      </c>
      <c r="H128" s="16" t="s">
        <v>4915</v>
      </c>
      <c r="I128" s="19">
        <v>22.2745</v>
      </c>
      <c r="J128" s="19">
        <v>47.5379</v>
      </c>
      <c r="K128" s="21">
        <v>1.905</v>
      </c>
      <c r="L128" s="16" t="s">
        <v>5005</v>
      </c>
      <c r="M128" s="19">
        <v>-1.7341</v>
      </c>
      <c r="N128" s="20">
        <v>2087176.0</v>
      </c>
      <c r="O128" s="21">
        <v>70.7</v>
      </c>
      <c r="P128" s="21">
        <v>69.355</v>
      </c>
      <c r="Q128" s="21">
        <v>70.11</v>
      </c>
      <c r="R128" s="21">
        <v>1.5244</v>
      </c>
      <c r="S128" s="21">
        <v>3.1461</v>
      </c>
      <c r="T128" s="16">
        <v>1205246.0</v>
      </c>
      <c r="U128" s="20">
        <v>9.665192712E9</v>
      </c>
      <c r="V128" s="19">
        <v>54.7512</v>
      </c>
      <c r="W128" s="21">
        <v>68.9167</v>
      </c>
      <c r="X128" s="21">
        <v>68.0805</v>
      </c>
      <c r="Y128" s="21">
        <v>69.3488</v>
      </c>
      <c r="Z128" s="21">
        <v>70.9481</v>
      </c>
      <c r="AA128" s="21">
        <v>70.3098</v>
      </c>
      <c r="AB128" s="21">
        <v>69.6431</v>
      </c>
      <c r="AC128" s="21">
        <v>69.1421</v>
      </c>
      <c r="AD128" s="21">
        <v>68.943</v>
      </c>
      <c r="AE128" s="21">
        <v>77.31</v>
      </c>
      <c r="AF128" s="21">
        <v>10.2121</v>
      </c>
      <c r="AG128" s="22">
        <f>IFERROR(__xludf.DUMMYFUNCTION("IFERROR(GOOGLEFINANCE(B128,""price""),"""")"),65.92)</f>
        <v>65.92</v>
      </c>
      <c r="AH128" s="22"/>
      <c r="AI128" s="22"/>
      <c r="AJ128" s="22"/>
      <c r="AK128" s="22"/>
      <c r="AL128" s="22"/>
      <c r="AM128" s="22"/>
      <c r="AN128" s="22"/>
    </row>
    <row r="129">
      <c r="A129" s="7">
        <v>46050.62640211813</v>
      </c>
      <c r="B129" s="8" t="s">
        <v>5006</v>
      </c>
      <c r="C129" s="8" t="s">
        <v>5007</v>
      </c>
      <c r="D129" s="9">
        <v>46054.0</v>
      </c>
      <c r="E129" s="10">
        <v>8.755</v>
      </c>
      <c r="F129" s="8" t="s">
        <v>162</v>
      </c>
      <c r="G129" s="11">
        <v>0.97</v>
      </c>
      <c r="H129" s="8" t="s">
        <v>4864</v>
      </c>
      <c r="I129" s="11">
        <v>26.813</v>
      </c>
      <c r="J129" s="11">
        <v>67.9398</v>
      </c>
      <c r="K129" s="13">
        <v>1.4755</v>
      </c>
      <c r="L129" s="8" t="s">
        <v>5008</v>
      </c>
      <c r="M129" s="11">
        <v>4.7249</v>
      </c>
      <c r="N129" s="12">
        <v>1733106.0</v>
      </c>
      <c r="O129" s="13">
        <v>8.76</v>
      </c>
      <c r="P129" s="13">
        <v>8.4</v>
      </c>
      <c r="Q129" s="13">
        <v>8.4</v>
      </c>
      <c r="R129" s="13">
        <v>0.2268</v>
      </c>
      <c r="S129" s="13">
        <v>0.4691</v>
      </c>
      <c r="T129" s="8">
        <v>1187257.0</v>
      </c>
      <c r="U129" s="12">
        <v>1.213111699E9</v>
      </c>
      <c r="V129" s="11">
        <v>68.5707</v>
      </c>
      <c r="W129" s="13">
        <v>64.0164</v>
      </c>
      <c r="X129" s="13">
        <v>8.1223</v>
      </c>
      <c r="Y129" s="13">
        <v>8.41</v>
      </c>
      <c r="Z129" s="13">
        <v>8.424</v>
      </c>
      <c r="AA129" s="13">
        <v>8.271</v>
      </c>
      <c r="AB129" s="13">
        <v>8.1754</v>
      </c>
      <c r="AC129" s="13">
        <v>8.0907</v>
      </c>
      <c r="AD129" s="13">
        <v>8.0721</v>
      </c>
      <c r="AE129" s="13">
        <v>11.133</v>
      </c>
      <c r="AF129" s="13">
        <v>21.3599</v>
      </c>
      <c r="AG129" s="14">
        <f>IFERROR(__xludf.DUMMYFUNCTION("IFERROR(GOOGLEFINANCE(B129,""price""),"""")"),10.84)</f>
        <v>10.84</v>
      </c>
      <c r="AH129" s="14"/>
      <c r="AI129" s="14"/>
      <c r="AJ129" s="14"/>
      <c r="AK129" s="14"/>
      <c r="AL129" s="14"/>
      <c r="AM129" s="14"/>
      <c r="AN129" s="14"/>
    </row>
    <row r="130">
      <c r="A130" s="15">
        <v>46050.62640211813</v>
      </c>
      <c r="B130" s="16" t="s">
        <v>5009</v>
      </c>
      <c r="C130" s="16" t="s">
        <v>5010</v>
      </c>
      <c r="D130" s="17">
        <v>46054.0</v>
      </c>
      <c r="E130" s="18">
        <v>62.13</v>
      </c>
      <c r="F130" s="16" t="s">
        <v>93</v>
      </c>
      <c r="G130" s="19">
        <v>0.97</v>
      </c>
      <c r="H130" s="16" t="s">
        <v>4862</v>
      </c>
      <c r="I130" s="19">
        <v>21.2031</v>
      </c>
      <c r="J130" s="19">
        <v>68.9497</v>
      </c>
      <c r="K130" s="21">
        <v>1.5928</v>
      </c>
      <c r="L130" s="16" t="s">
        <v>5011</v>
      </c>
      <c r="M130" s="19">
        <v>0.7459</v>
      </c>
      <c r="N130" s="20">
        <v>624045.0</v>
      </c>
      <c r="O130" s="21">
        <v>64.11</v>
      </c>
      <c r="P130" s="21">
        <v>61.5</v>
      </c>
      <c r="Q130" s="21">
        <v>62.46</v>
      </c>
      <c r="R130" s="21">
        <v>1.5915</v>
      </c>
      <c r="S130" s="21">
        <v>3.2689</v>
      </c>
      <c r="T130" s="21">
        <v>422755.7</v>
      </c>
      <c r="U130" s="20">
        <v>3.397016617E9</v>
      </c>
      <c r="V130" s="19">
        <v>76.3448</v>
      </c>
      <c r="W130" s="21">
        <v>70.1667</v>
      </c>
      <c r="X130" s="21">
        <v>56.599</v>
      </c>
      <c r="Y130" s="21">
        <v>55.039</v>
      </c>
      <c r="Z130" s="21">
        <v>59.3935</v>
      </c>
      <c r="AA130" s="21">
        <v>57.9383</v>
      </c>
      <c r="AB130" s="21">
        <v>57.309</v>
      </c>
      <c r="AC130" s="21">
        <v>56.6839</v>
      </c>
      <c r="AD130" s="21">
        <v>56.1156</v>
      </c>
      <c r="AE130" s="21">
        <v>64.11</v>
      </c>
      <c r="AF130" s="21">
        <v>3.0884</v>
      </c>
      <c r="AG130" s="22">
        <f>IFERROR(__xludf.DUMMYFUNCTION("IFERROR(GOOGLEFINANCE(B130,""price""),"""")"),69.28)</f>
        <v>69.28</v>
      </c>
      <c r="AH130" s="22"/>
      <c r="AI130" s="22"/>
      <c r="AJ130" s="22"/>
      <c r="AK130" s="22"/>
      <c r="AL130" s="22"/>
      <c r="AM130" s="22"/>
      <c r="AN130" s="22"/>
    </row>
    <row r="131">
      <c r="A131" s="7">
        <v>46050.62640211813</v>
      </c>
      <c r="B131" s="8" t="s">
        <v>5012</v>
      </c>
      <c r="C131" s="8" t="s">
        <v>5013</v>
      </c>
      <c r="D131" s="9">
        <v>46054.0</v>
      </c>
      <c r="E131" s="10">
        <v>114.16</v>
      </c>
      <c r="F131" s="8" t="s">
        <v>107</v>
      </c>
      <c r="G131" s="11">
        <v>0.97</v>
      </c>
      <c r="H131" s="8" t="s">
        <v>4915</v>
      </c>
      <c r="I131" s="11">
        <v>31.405</v>
      </c>
      <c r="J131" s="11">
        <v>67.1266</v>
      </c>
      <c r="K131" s="13">
        <v>1.9361</v>
      </c>
      <c r="L131" s="8" t="s">
        <v>5014</v>
      </c>
      <c r="M131" s="11">
        <v>3.5183</v>
      </c>
      <c r="N131" s="12">
        <v>4575733.0</v>
      </c>
      <c r="O131" s="13">
        <v>116.18</v>
      </c>
      <c r="P131" s="13">
        <v>112.07</v>
      </c>
      <c r="Q131" s="13">
        <v>114.89</v>
      </c>
      <c r="R131" s="13">
        <v>2.4221</v>
      </c>
      <c r="S131" s="13">
        <v>4.9736</v>
      </c>
      <c r="T131" s="8">
        <v>2633411.0</v>
      </c>
      <c r="U131" s="12">
        <v>2.561750302E10</v>
      </c>
      <c r="V131" s="11">
        <v>78.3876</v>
      </c>
      <c r="W131" s="13">
        <v>80.8918</v>
      </c>
      <c r="X131" s="13">
        <v>103.6802</v>
      </c>
      <c r="Y131" s="13">
        <v>107.6325</v>
      </c>
      <c r="Z131" s="13">
        <v>111.6652</v>
      </c>
      <c r="AA131" s="13">
        <v>108.8872</v>
      </c>
      <c r="AB131" s="13">
        <v>107.0244</v>
      </c>
      <c r="AC131" s="13">
        <v>105.5338</v>
      </c>
      <c r="AD131" s="13">
        <v>105.1064</v>
      </c>
      <c r="AE131" s="13">
        <v>123.3</v>
      </c>
      <c r="AF131" s="13">
        <v>7.4128</v>
      </c>
      <c r="AG131" s="14">
        <f>IFERROR(__xludf.DUMMYFUNCTION("IFERROR(GOOGLEFINANCE(B131,""price""),"""")"),110.33)</f>
        <v>110.33</v>
      </c>
      <c r="AH131" s="14"/>
      <c r="AI131" s="14"/>
      <c r="AJ131" s="14"/>
      <c r="AK131" s="14"/>
      <c r="AL131" s="14"/>
      <c r="AM131" s="14"/>
      <c r="AN131" s="14"/>
    </row>
    <row r="132">
      <c r="A132" s="15">
        <v>46050.62640211813</v>
      </c>
      <c r="B132" s="16" t="s">
        <v>2742</v>
      </c>
      <c r="C132" s="16" t="s">
        <v>2743</v>
      </c>
      <c r="D132" s="17">
        <v>46054.0</v>
      </c>
      <c r="E132" s="18">
        <v>158.37</v>
      </c>
      <c r="F132" s="16" t="s">
        <v>149</v>
      </c>
      <c r="G132" s="19">
        <v>0.98</v>
      </c>
      <c r="H132" s="16" t="s">
        <v>5015</v>
      </c>
      <c r="I132" s="19">
        <v>24.6302</v>
      </c>
      <c r="J132" s="19">
        <v>54.4373</v>
      </c>
      <c r="K132" s="21">
        <v>2.4511</v>
      </c>
      <c r="L132" s="16" t="s">
        <v>2745</v>
      </c>
      <c r="M132" s="19">
        <v>0.6866</v>
      </c>
      <c r="N132" s="20">
        <v>2786257.0</v>
      </c>
      <c r="O132" s="21">
        <v>168.48</v>
      </c>
      <c r="P132" s="21">
        <v>152.26</v>
      </c>
      <c r="Q132" s="21">
        <v>167.875</v>
      </c>
      <c r="R132" s="21">
        <v>6.8168</v>
      </c>
      <c r="S132" s="21">
        <v>13.874</v>
      </c>
      <c r="T132" s="16">
        <v>1335366.0</v>
      </c>
      <c r="U132" s="20">
        <v>7.036570962E9</v>
      </c>
      <c r="V132" s="19">
        <v>35.5281</v>
      </c>
      <c r="W132" s="21">
        <v>48.7945</v>
      </c>
      <c r="X132" s="21">
        <v>148.2992</v>
      </c>
      <c r="Y132" s="21">
        <v>142.4895</v>
      </c>
      <c r="Z132" s="21">
        <v>159.543</v>
      </c>
      <c r="AA132" s="21">
        <v>157.2124</v>
      </c>
      <c r="AB132" s="21">
        <v>153.391</v>
      </c>
      <c r="AC132" s="21">
        <v>148.942</v>
      </c>
      <c r="AD132" s="21">
        <v>146.1663</v>
      </c>
      <c r="AE132" s="21">
        <v>192.215</v>
      </c>
      <c r="AF132" s="21">
        <v>17.6079</v>
      </c>
      <c r="AG132" s="22">
        <f>IFERROR(__xludf.DUMMYFUNCTION("IFERROR(GOOGLEFINANCE(B132,""price""),"""")"),155.13)</f>
        <v>155.13</v>
      </c>
      <c r="AH132" s="22"/>
      <c r="AI132" s="22"/>
      <c r="AJ132" s="22"/>
      <c r="AK132" s="22"/>
      <c r="AL132" s="22"/>
      <c r="AM132" s="22"/>
      <c r="AN132" s="22"/>
    </row>
    <row r="133">
      <c r="A133" s="7">
        <v>46050.62640211813</v>
      </c>
      <c r="B133" s="8" t="s">
        <v>4956</v>
      </c>
      <c r="C133" s="8" t="s">
        <v>4957</v>
      </c>
      <c r="D133" s="9">
        <v>46054.0</v>
      </c>
      <c r="E133" s="10">
        <v>10.565</v>
      </c>
      <c r="F133" s="8" t="s">
        <v>270</v>
      </c>
      <c r="G133" s="11">
        <v>0.98</v>
      </c>
      <c r="H133" s="8" t="s">
        <v>4848</v>
      </c>
      <c r="I133" s="11">
        <v>33.5534</v>
      </c>
      <c r="J133" s="11">
        <v>56.5092</v>
      </c>
      <c r="K133" s="13">
        <v>1.4184</v>
      </c>
      <c r="L133" s="8" t="s">
        <v>4959</v>
      </c>
      <c r="M133" s="11">
        <v>-1.7209</v>
      </c>
      <c r="N133" s="12">
        <v>4222435.0</v>
      </c>
      <c r="O133" s="13">
        <v>11.0064</v>
      </c>
      <c r="P133" s="13">
        <v>10.15</v>
      </c>
      <c r="Q133" s="13">
        <v>10.94</v>
      </c>
      <c r="R133" s="13">
        <v>0.6089</v>
      </c>
      <c r="S133" s="13">
        <v>1.2485</v>
      </c>
      <c r="T133" s="8">
        <v>3162851.0</v>
      </c>
      <c r="U133" s="12">
        <v>1.098571708E9</v>
      </c>
      <c r="V133" s="11">
        <v>63.6995</v>
      </c>
      <c r="W133" s="13">
        <v>69.1911</v>
      </c>
      <c r="X133" s="13">
        <v>9.9683</v>
      </c>
      <c r="Y133" s="13">
        <v>7.9802</v>
      </c>
      <c r="Z133" s="13">
        <v>10.6733</v>
      </c>
      <c r="AA133" s="13">
        <v>10.303</v>
      </c>
      <c r="AB133" s="13">
        <v>10.0615</v>
      </c>
      <c r="AC133" s="13">
        <v>9.6313</v>
      </c>
      <c r="AD133" s="13">
        <v>8.9685</v>
      </c>
      <c r="AE133" s="13">
        <v>11.77</v>
      </c>
      <c r="AF133" s="13">
        <v>10.2379</v>
      </c>
      <c r="AG133" s="14">
        <f>IFERROR(__xludf.DUMMYFUNCTION("IFERROR(GOOGLEFINANCE(B133,""price""),"""")"),13.83)</f>
        <v>13.83</v>
      </c>
      <c r="AH133" s="14"/>
      <c r="AI133" s="14"/>
      <c r="AJ133" s="14"/>
      <c r="AK133" s="14"/>
      <c r="AL133" s="14"/>
      <c r="AM133" s="14"/>
      <c r="AN133" s="14"/>
    </row>
    <row r="134">
      <c r="A134" s="15">
        <v>46050.62640211813</v>
      </c>
      <c r="B134" s="16" t="s">
        <v>5016</v>
      </c>
      <c r="C134" s="16" t="s">
        <v>5017</v>
      </c>
      <c r="D134" s="17">
        <v>46054.0</v>
      </c>
      <c r="E134" s="18">
        <v>159.3</v>
      </c>
      <c r="F134" s="16" t="s">
        <v>93</v>
      </c>
      <c r="G134" s="19">
        <v>0.98</v>
      </c>
      <c r="H134" s="16" t="s">
        <v>4862</v>
      </c>
      <c r="I134" s="19">
        <v>27.6808</v>
      </c>
      <c r="J134" s="19">
        <v>54.4697</v>
      </c>
      <c r="K134" s="21">
        <v>1.6498</v>
      </c>
      <c r="L134" s="16" t="s">
        <v>5018</v>
      </c>
      <c r="M134" s="19">
        <v>1.0146</v>
      </c>
      <c r="N134" s="20">
        <v>472765.0</v>
      </c>
      <c r="O134" s="21">
        <v>163.47</v>
      </c>
      <c r="P134" s="21">
        <v>153.7032</v>
      </c>
      <c r="Q134" s="21">
        <v>157.63</v>
      </c>
      <c r="R134" s="21">
        <v>5.1104</v>
      </c>
      <c r="S134" s="21">
        <v>10.4234</v>
      </c>
      <c r="T134" s="21">
        <v>308464.0</v>
      </c>
      <c r="U134" s="20">
        <v>3.938659973E9</v>
      </c>
      <c r="V134" s="19">
        <v>46.7636</v>
      </c>
      <c r="W134" s="21">
        <v>46.3902</v>
      </c>
      <c r="X134" s="21">
        <v>149.402</v>
      </c>
      <c r="Y134" s="21">
        <v>124.456</v>
      </c>
      <c r="Z134" s="21">
        <v>158.3906</v>
      </c>
      <c r="AA134" s="21">
        <v>157.8182</v>
      </c>
      <c r="AB134" s="21">
        <v>154.7352</v>
      </c>
      <c r="AC134" s="21">
        <v>148.72</v>
      </c>
      <c r="AD134" s="21">
        <v>140.5878</v>
      </c>
      <c r="AE134" s="21">
        <v>168.68</v>
      </c>
      <c r="AF134" s="21">
        <v>5.5608</v>
      </c>
      <c r="AG134" s="22">
        <f>IFERROR(__xludf.DUMMYFUNCTION("IFERROR(GOOGLEFINANCE(B134,""price""),"""")"),144.95)</f>
        <v>144.95</v>
      </c>
      <c r="AH134" s="22"/>
      <c r="AI134" s="22"/>
      <c r="AJ134" s="22"/>
      <c r="AK134" s="22"/>
      <c r="AL134" s="22"/>
      <c r="AM134" s="22"/>
      <c r="AN134" s="22"/>
    </row>
    <row r="135">
      <c r="A135" s="7">
        <v>46050.62640211813</v>
      </c>
      <c r="B135" s="8" t="s">
        <v>1359</v>
      </c>
      <c r="C135" s="8" t="s">
        <v>1360</v>
      </c>
      <c r="D135" s="9">
        <v>46054.0</v>
      </c>
      <c r="E135" s="10">
        <v>5.99</v>
      </c>
      <c r="F135" s="8" t="s">
        <v>93</v>
      </c>
      <c r="G135" s="11">
        <v>0.98</v>
      </c>
      <c r="H135" s="8" t="s">
        <v>4868</v>
      </c>
      <c r="I135" s="11">
        <v>21.7459</v>
      </c>
      <c r="J135" s="11">
        <v>46.2362</v>
      </c>
      <c r="K135" s="13">
        <v>1.7051</v>
      </c>
      <c r="L135" s="8" t="s">
        <v>1361</v>
      </c>
      <c r="M135" s="11">
        <v>-3.3871</v>
      </c>
      <c r="N135" s="12">
        <v>1393204.0</v>
      </c>
      <c r="O135" s="13">
        <v>6.22</v>
      </c>
      <c r="P135" s="13">
        <v>5.935</v>
      </c>
      <c r="Q135" s="13">
        <v>6.22</v>
      </c>
      <c r="R135" s="13">
        <v>0.2092</v>
      </c>
      <c r="S135" s="13">
        <v>0.4259</v>
      </c>
      <c r="T135" s="13">
        <v>930491.8</v>
      </c>
      <c r="U135" s="12">
        <v>4.96477538E8</v>
      </c>
      <c r="V135" s="11">
        <v>29.7436</v>
      </c>
      <c r="W135" s="13">
        <v>29.9106</v>
      </c>
      <c r="X135" s="13">
        <v>5.8895</v>
      </c>
      <c r="Y135" s="13">
        <v>5.7279</v>
      </c>
      <c r="Z135" s="13">
        <v>6.1322</v>
      </c>
      <c r="AA135" s="13">
        <v>6.132</v>
      </c>
      <c r="AB135" s="13">
        <v>6.0602</v>
      </c>
      <c r="AC135" s="13">
        <v>5.9476</v>
      </c>
      <c r="AD135" s="13">
        <v>5.8246</v>
      </c>
      <c r="AE135" s="13">
        <v>6.535</v>
      </c>
      <c r="AF135" s="13">
        <v>8.3397</v>
      </c>
      <c r="AG135" s="14">
        <f>IFERROR(__xludf.DUMMYFUNCTION("IFERROR(GOOGLEFINANCE(B135,""price""),"""")"),5.9)</f>
        <v>5.9</v>
      </c>
      <c r="AH135" s="14"/>
      <c r="AI135" s="14"/>
      <c r="AJ135" s="14"/>
      <c r="AK135" s="14"/>
      <c r="AL135" s="14"/>
      <c r="AM135" s="14"/>
      <c r="AN135" s="14"/>
    </row>
    <row r="136">
      <c r="A136" s="15">
        <v>46050.62640211813</v>
      </c>
      <c r="B136" s="16" t="s">
        <v>5019</v>
      </c>
      <c r="C136" s="16" t="s">
        <v>5020</v>
      </c>
      <c r="D136" s="17">
        <v>46054.0</v>
      </c>
      <c r="E136" s="18">
        <v>147.025</v>
      </c>
      <c r="F136" s="16" t="s">
        <v>112</v>
      </c>
      <c r="G136" s="19">
        <v>0.99</v>
      </c>
      <c r="H136" s="16" t="s">
        <v>4848</v>
      </c>
      <c r="I136" s="19">
        <v>33.2315</v>
      </c>
      <c r="J136" s="19">
        <v>53.9782</v>
      </c>
      <c r="K136" s="21">
        <v>1.3836</v>
      </c>
      <c r="L136" s="16" t="s">
        <v>5021</v>
      </c>
      <c r="M136" s="19">
        <v>-2.2375</v>
      </c>
      <c r="N136" s="20">
        <v>967784.0</v>
      </c>
      <c r="O136" s="21">
        <v>151.11</v>
      </c>
      <c r="P136" s="21">
        <v>146.93</v>
      </c>
      <c r="Q136" s="21">
        <v>150.69</v>
      </c>
      <c r="R136" s="21">
        <v>4.3159</v>
      </c>
      <c r="S136" s="21">
        <v>8.7047</v>
      </c>
      <c r="T136" s="21">
        <v>735110.2</v>
      </c>
      <c r="U136" s="20">
        <v>9.299966662E9</v>
      </c>
      <c r="V136" s="19">
        <v>54.3003</v>
      </c>
      <c r="W136" s="21">
        <v>69.7089</v>
      </c>
      <c r="X136" s="21">
        <v>135.1271</v>
      </c>
      <c r="Y136" s="21">
        <v>126.4501</v>
      </c>
      <c r="Z136" s="21">
        <v>150.7582</v>
      </c>
      <c r="AA136" s="21">
        <v>146.3724</v>
      </c>
      <c r="AB136" s="21">
        <v>142.3808</v>
      </c>
      <c r="AC136" s="21">
        <v>138.5522</v>
      </c>
      <c r="AD136" s="21">
        <v>134.8728</v>
      </c>
      <c r="AE136" s="21">
        <v>158.53</v>
      </c>
      <c r="AF136" s="21">
        <v>7.2573</v>
      </c>
      <c r="AG136" s="22">
        <f>IFERROR(__xludf.DUMMYFUNCTION("IFERROR(GOOGLEFINANCE(B136,""price""),"""")"),151.79)</f>
        <v>151.79</v>
      </c>
      <c r="AH136" s="22"/>
      <c r="AI136" s="22"/>
      <c r="AJ136" s="22"/>
      <c r="AK136" s="22"/>
      <c r="AL136" s="22"/>
      <c r="AM136" s="22"/>
      <c r="AN136" s="22"/>
    </row>
    <row r="137">
      <c r="A137" s="7">
        <v>46050.64965458646</v>
      </c>
      <c r="B137" s="8" t="s">
        <v>1272</v>
      </c>
      <c r="C137" s="8" t="s">
        <v>1273</v>
      </c>
      <c r="D137" s="9">
        <v>46054.0</v>
      </c>
      <c r="E137" s="10">
        <v>31.86</v>
      </c>
      <c r="F137" s="8" t="s">
        <v>102</v>
      </c>
      <c r="G137" s="11">
        <v>0.14</v>
      </c>
      <c r="H137" s="8" t="s">
        <v>5022</v>
      </c>
      <c r="I137" s="11">
        <v>36.5887</v>
      </c>
      <c r="J137" s="11">
        <v>58.9815</v>
      </c>
      <c r="K137" s="13">
        <v>1.4246</v>
      </c>
      <c r="L137" s="8" t="s">
        <v>1274</v>
      </c>
      <c r="M137" s="11">
        <v>-0.1254</v>
      </c>
      <c r="N137" s="12">
        <v>983929.0</v>
      </c>
      <c r="O137" s="13">
        <v>31.91</v>
      </c>
      <c r="P137" s="13">
        <v>31.85</v>
      </c>
      <c r="Q137" s="13">
        <v>31.9</v>
      </c>
      <c r="R137" s="13">
        <v>0.0727</v>
      </c>
      <c r="S137" s="13">
        <v>1.0569</v>
      </c>
      <c r="T137" s="13">
        <v>740416.6</v>
      </c>
      <c r="U137" s="12">
        <v>2.246405861E9</v>
      </c>
      <c r="V137" s="11">
        <v>70.8333</v>
      </c>
      <c r="W137" s="13">
        <v>81.4043</v>
      </c>
      <c r="X137" s="13">
        <v>31.7708</v>
      </c>
      <c r="Y137" s="13">
        <v>28.7796</v>
      </c>
      <c r="Z137" s="13">
        <v>31.8596</v>
      </c>
      <c r="AA137" s="13">
        <v>31.8164</v>
      </c>
      <c r="AB137" s="13">
        <v>31.7042</v>
      </c>
      <c r="AC137" s="13">
        <v>31.2567</v>
      </c>
      <c r="AD137" s="13">
        <v>30.2654</v>
      </c>
      <c r="AE137" s="13">
        <v>35.48</v>
      </c>
      <c r="AF137" s="13">
        <v>10.2029</v>
      </c>
      <c r="AG137" s="14">
        <f>IFERROR(__xludf.DUMMYFUNCTION("IFERROR(GOOGLEFINANCE(B137,""price""),"""")"),0.16)</f>
        <v>0.16</v>
      </c>
      <c r="AH137" s="14"/>
      <c r="AI137" s="14"/>
      <c r="AJ137" s="14"/>
      <c r="AK137" s="14"/>
      <c r="AL137" s="14"/>
      <c r="AM137" s="14"/>
      <c r="AN137" s="14"/>
    </row>
    <row r="138">
      <c r="A138" s="15">
        <v>46050.64965458646</v>
      </c>
      <c r="B138" s="16" t="s">
        <v>4824</v>
      </c>
      <c r="C138" s="16" t="s">
        <v>4825</v>
      </c>
      <c r="D138" s="17">
        <v>46054.0</v>
      </c>
      <c r="E138" s="18">
        <v>4.05</v>
      </c>
      <c r="F138" s="16" t="s">
        <v>117</v>
      </c>
      <c r="G138" s="19">
        <v>0.72</v>
      </c>
      <c r="H138" s="16" t="s">
        <v>5023</v>
      </c>
      <c r="I138" s="19">
        <v>37.4952</v>
      </c>
      <c r="J138" s="19">
        <v>73.5563</v>
      </c>
      <c r="K138" s="21">
        <v>3.5827</v>
      </c>
      <c r="L138" s="16" t="s">
        <v>4827</v>
      </c>
      <c r="M138" s="19">
        <v>12.8134</v>
      </c>
      <c r="N138" s="20">
        <v>2461134.0</v>
      </c>
      <c r="O138" s="21">
        <v>4.23</v>
      </c>
      <c r="P138" s="21">
        <v>3.63</v>
      </c>
      <c r="Q138" s="21">
        <v>3.63</v>
      </c>
      <c r="R138" s="21">
        <v>0.2991</v>
      </c>
      <c r="S138" s="21">
        <v>0.8332</v>
      </c>
      <c r="T138" s="21">
        <v>888144.0</v>
      </c>
      <c r="U138" s="20">
        <v>1.60095873E8</v>
      </c>
      <c r="V138" s="19">
        <v>85.8219</v>
      </c>
      <c r="W138" s="21">
        <v>68.2702</v>
      </c>
      <c r="X138" s="21">
        <v>2.7388</v>
      </c>
      <c r="Y138" s="21">
        <v>3.345</v>
      </c>
      <c r="Z138" s="21">
        <v>3.3375</v>
      </c>
      <c r="AA138" s="21">
        <v>3.0742</v>
      </c>
      <c r="AB138" s="21">
        <v>2.9746</v>
      </c>
      <c r="AC138" s="21">
        <v>2.9137</v>
      </c>
      <c r="AD138" s="21">
        <v>2.8422</v>
      </c>
      <c r="AE138" s="21">
        <v>9.08</v>
      </c>
      <c r="AF138" s="21">
        <v>55.3965</v>
      </c>
      <c r="AG138" s="22" t="str">
        <f>IFERROR(__xludf.DUMMYFUNCTION("IFERROR(GOOGLEFINANCE(B138,""price""),"""")"),"")</f>
        <v/>
      </c>
      <c r="AH138" s="22"/>
      <c r="AI138" s="22"/>
      <c r="AJ138" s="22"/>
      <c r="AK138" s="22"/>
      <c r="AL138" s="22"/>
      <c r="AM138" s="22"/>
      <c r="AN138" s="22"/>
    </row>
    <row r="139">
      <c r="A139" s="7">
        <v>46050.64965458646</v>
      </c>
      <c r="B139" s="8" t="s">
        <v>4964</v>
      </c>
      <c r="C139" s="8" t="s">
        <v>4965</v>
      </c>
      <c r="D139" s="9">
        <v>46054.0</v>
      </c>
      <c r="E139" s="10">
        <v>18.84</v>
      </c>
      <c r="F139" s="8" t="s">
        <v>270</v>
      </c>
      <c r="G139" s="11">
        <v>0.72</v>
      </c>
      <c r="H139" s="8" t="s">
        <v>5024</v>
      </c>
      <c r="I139" s="11">
        <v>27.5133</v>
      </c>
      <c r="J139" s="11">
        <v>64.6311</v>
      </c>
      <c r="K139" s="13">
        <v>3.7021</v>
      </c>
      <c r="L139" s="8" t="s">
        <v>4967</v>
      </c>
      <c r="M139" s="11">
        <v>0.1595</v>
      </c>
      <c r="N139" s="12">
        <v>3896970.0</v>
      </c>
      <c r="O139" s="13">
        <v>19.33</v>
      </c>
      <c r="P139" s="13">
        <v>18.69</v>
      </c>
      <c r="Q139" s="13">
        <v>18.87</v>
      </c>
      <c r="R139" s="13">
        <v>0.3764</v>
      </c>
      <c r="S139" s="13">
        <v>1.0459</v>
      </c>
      <c r="T139" s="8">
        <v>1361060.0</v>
      </c>
      <c r="U139" s="12">
        <v>1.51949615E9</v>
      </c>
      <c r="V139" s="11">
        <v>59.8446</v>
      </c>
      <c r="W139" s="13">
        <v>61.9468</v>
      </c>
      <c r="X139" s="13">
        <v>17.769</v>
      </c>
      <c r="Y139" s="13">
        <v>13.1528</v>
      </c>
      <c r="Z139" s="13">
        <v>18.7093</v>
      </c>
      <c r="AA139" s="13">
        <v>18.4308</v>
      </c>
      <c r="AB139" s="13">
        <v>18.008</v>
      </c>
      <c r="AC139" s="13">
        <v>17.1621</v>
      </c>
      <c r="AD139" s="13">
        <v>15.8571</v>
      </c>
      <c r="AE139" s="13">
        <v>19.33</v>
      </c>
      <c r="AF139" s="13">
        <v>2.5349</v>
      </c>
      <c r="AG139" s="14">
        <f>IFERROR(__xludf.DUMMYFUNCTION("IFERROR(GOOGLEFINANCE(B139,""price""),"""")"),19.56)</f>
        <v>19.56</v>
      </c>
      <c r="AH139" s="14"/>
      <c r="AI139" s="14"/>
      <c r="AJ139" s="14"/>
      <c r="AK139" s="14"/>
      <c r="AL139" s="14"/>
      <c r="AM139" s="14"/>
      <c r="AN139" s="14"/>
    </row>
    <row r="140">
      <c r="A140" s="15">
        <v>46050.64965458646</v>
      </c>
      <c r="B140" s="16" t="s">
        <v>5025</v>
      </c>
      <c r="C140" s="16" t="s">
        <v>5026</v>
      </c>
      <c r="D140" s="17">
        <v>46054.0</v>
      </c>
      <c r="E140" s="18">
        <v>68.36</v>
      </c>
      <c r="F140" s="16" t="s">
        <v>102</v>
      </c>
      <c r="G140" s="19">
        <v>0.76</v>
      </c>
      <c r="H140" s="16" t="s">
        <v>5027</v>
      </c>
      <c r="I140" s="19">
        <v>24.7401</v>
      </c>
      <c r="J140" s="19">
        <v>49.0846</v>
      </c>
      <c r="K140" s="21">
        <v>1.7989</v>
      </c>
      <c r="L140" s="16" t="s">
        <v>5028</v>
      </c>
      <c r="M140" s="19">
        <v>-3.4054</v>
      </c>
      <c r="N140" s="20">
        <v>626940.0</v>
      </c>
      <c r="O140" s="21">
        <v>70.6324</v>
      </c>
      <c r="P140" s="21">
        <v>67.52</v>
      </c>
      <c r="Q140" s="21">
        <v>70.24</v>
      </c>
      <c r="R140" s="21">
        <v>1.9172</v>
      </c>
      <c r="S140" s="21">
        <v>5.0657</v>
      </c>
      <c r="T140" s="21">
        <v>384195.9</v>
      </c>
      <c r="U140" s="20">
        <v>2.3071937E9</v>
      </c>
      <c r="V140" s="19">
        <v>51.6434</v>
      </c>
      <c r="W140" s="21">
        <v>64.8988</v>
      </c>
      <c r="X140" s="21">
        <v>66.2398</v>
      </c>
      <c r="Y140" s="21">
        <v>69.0669</v>
      </c>
      <c r="Z140" s="21">
        <v>70.5703</v>
      </c>
      <c r="AA140" s="21">
        <v>69.1971</v>
      </c>
      <c r="AB140" s="21">
        <v>68.1207</v>
      </c>
      <c r="AC140" s="21">
        <v>67.1334</v>
      </c>
      <c r="AD140" s="21">
        <v>66.4668</v>
      </c>
      <c r="AE140" s="21">
        <v>83.86</v>
      </c>
      <c r="AF140" s="21">
        <v>18.4832</v>
      </c>
      <c r="AG140" s="22">
        <f>IFERROR(__xludf.DUMMYFUNCTION("IFERROR(GOOGLEFINANCE(B140,""price""),"""")"),67.83)</f>
        <v>67.83</v>
      </c>
      <c r="AH140" s="22"/>
      <c r="AI140" s="22"/>
      <c r="AJ140" s="22"/>
      <c r="AK140" s="22"/>
      <c r="AL140" s="22"/>
      <c r="AM140" s="22"/>
      <c r="AN140" s="22"/>
    </row>
    <row r="141">
      <c r="A141" s="7">
        <v>46050.64965458646</v>
      </c>
      <c r="B141" s="8" t="s">
        <v>2168</v>
      </c>
      <c r="C141" s="8" t="s">
        <v>2169</v>
      </c>
      <c r="D141" s="9">
        <v>46054.0</v>
      </c>
      <c r="E141" s="10">
        <v>128.13</v>
      </c>
      <c r="F141" s="8" t="s">
        <v>162</v>
      </c>
      <c r="G141" s="11">
        <v>0.81</v>
      </c>
      <c r="H141" s="8" t="s">
        <v>5029</v>
      </c>
      <c r="I141" s="11">
        <v>49.3076</v>
      </c>
      <c r="J141" s="11">
        <v>70.5777</v>
      </c>
      <c r="K141" s="13">
        <v>1.3488</v>
      </c>
      <c r="L141" s="8" t="s">
        <v>2170</v>
      </c>
      <c r="M141" s="11">
        <v>-0.2802</v>
      </c>
      <c r="N141" s="12">
        <v>1122640.0</v>
      </c>
      <c r="O141" s="13">
        <v>129.05</v>
      </c>
      <c r="P141" s="13">
        <v>126.73</v>
      </c>
      <c r="Q141" s="13">
        <v>127.94</v>
      </c>
      <c r="R141" s="13">
        <v>2.5531</v>
      </c>
      <c r="S141" s="13">
        <v>6.2865</v>
      </c>
      <c r="T141" s="13">
        <v>880285.4</v>
      </c>
      <c r="U141" s="12">
        <v>6.944646395E9</v>
      </c>
      <c r="V141" s="11">
        <v>69.3196</v>
      </c>
      <c r="W141" s="13">
        <v>77.0019</v>
      </c>
      <c r="X141" s="13">
        <v>115.8706</v>
      </c>
      <c r="Y141" s="13">
        <v>106.9474</v>
      </c>
      <c r="Z141" s="13">
        <v>127.7944</v>
      </c>
      <c r="AA141" s="13">
        <v>123.699</v>
      </c>
      <c r="AB141" s="13">
        <v>120.07</v>
      </c>
      <c r="AC141" s="13">
        <v>115.5058</v>
      </c>
      <c r="AD141" s="13">
        <v>111.0453</v>
      </c>
      <c r="AE141" s="13">
        <v>132.18</v>
      </c>
      <c r="AF141" s="13">
        <v>3.064</v>
      </c>
      <c r="AG141" s="14">
        <f>IFERROR(__xludf.DUMMYFUNCTION("IFERROR(GOOGLEFINANCE(B141,""price""),"""")"),140.38)</f>
        <v>140.38</v>
      </c>
      <c r="AH141" s="14"/>
      <c r="AI141" s="14"/>
      <c r="AJ141" s="14"/>
      <c r="AK141" s="14"/>
      <c r="AL141" s="14"/>
      <c r="AM141" s="14"/>
      <c r="AN141" s="14"/>
    </row>
    <row r="142">
      <c r="A142" s="15">
        <v>46050.64965458646</v>
      </c>
      <c r="B142" s="16" t="s">
        <v>3185</v>
      </c>
      <c r="C142" s="16" t="s">
        <v>3186</v>
      </c>
      <c r="D142" s="17">
        <v>46054.0</v>
      </c>
      <c r="E142" s="18">
        <v>62.83</v>
      </c>
      <c r="F142" s="16" t="s">
        <v>186</v>
      </c>
      <c r="G142" s="19">
        <v>0.83</v>
      </c>
      <c r="H142" s="16" t="s">
        <v>5030</v>
      </c>
      <c r="I142" s="19">
        <v>20.0664</v>
      </c>
      <c r="J142" s="19">
        <v>61.4907</v>
      </c>
      <c r="K142" s="21">
        <v>1.3348</v>
      </c>
      <c r="L142" s="16" t="s">
        <v>3188</v>
      </c>
      <c r="M142" s="19">
        <v>-1.0395</v>
      </c>
      <c r="N142" s="20">
        <v>2742424.0</v>
      </c>
      <c r="O142" s="21">
        <v>63.31</v>
      </c>
      <c r="P142" s="21">
        <v>62.51</v>
      </c>
      <c r="Q142" s="21">
        <v>63.11</v>
      </c>
      <c r="R142" s="21">
        <v>0.9547</v>
      </c>
      <c r="S142" s="21">
        <v>2.3098</v>
      </c>
      <c r="T142" s="16">
        <v>2144959.0</v>
      </c>
      <c r="U142" s="20">
        <v>3.0449229233E10</v>
      </c>
      <c r="V142" s="19">
        <v>88.0533</v>
      </c>
      <c r="W142" s="21">
        <v>90.6441</v>
      </c>
      <c r="X142" s="21">
        <v>60.675</v>
      </c>
      <c r="Y142" s="21">
        <v>57.4566</v>
      </c>
      <c r="Z142" s="21">
        <v>62.869</v>
      </c>
      <c r="AA142" s="21">
        <v>61.9281</v>
      </c>
      <c r="AB142" s="21">
        <v>61.3014</v>
      </c>
      <c r="AC142" s="21">
        <v>60.5591</v>
      </c>
      <c r="AD142" s="21">
        <v>59.6769</v>
      </c>
      <c r="AE142" s="21">
        <v>63.8382</v>
      </c>
      <c r="AF142" s="21">
        <v>1.5793</v>
      </c>
      <c r="AG142" s="22">
        <f>IFERROR(__xludf.DUMMYFUNCTION("IFERROR(GOOGLEFINANCE(B142,""price""),"""")"),54.23)</f>
        <v>54.23</v>
      </c>
      <c r="AH142" s="22"/>
      <c r="AI142" s="22"/>
      <c r="AJ142" s="22"/>
      <c r="AK142" s="22"/>
      <c r="AL142" s="22"/>
      <c r="AM142" s="22"/>
      <c r="AN142" s="22"/>
    </row>
    <row r="143">
      <c r="A143" s="7">
        <v>46050.64965458646</v>
      </c>
      <c r="B143" s="8" t="s">
        <v>5031</v>
      </c>
      <c r="C143" s="8" t="s">
        <v>5032</v>
      </c>
      <c r="D143" s="9">
        <v>46054.0</v>
      </c>
      <c r="E143" s="10">
        <v>7.8</v>
      </c>
      <c r="F143" s="8" t="s">
        <v>149</v>
      </c>
      <c r="G143" s="11">
        <v>0.84</v>
      </c>
      <c r="H143" s="8" t="s">
        <v>5033</v>
      </c>
      <c r="I143" s="11">
        <v>20.6549</v>
      </c>
      <c r="J143" s="11">
        <v>58.0853</v>
      </c>
      <c r="K143" s="13">
        <v>1.333</v>
      </c>
      <c r="L143" s="8" t="s">
        <v>5034</v>
      </c>
      <c r="M143" s="11">
        <v>0.3861</v>
      </c>
      <c r="N143" s="12">
        <v>1583132.0</v>
      </c>
      <c r="O143" s="13">
        <v>7.94</v>
      </c>
      <c r="P143" s="13">
        <v>7.76</v>
      </c>
      <c r="Q143" s="13">
        <v>7.83</v>
      </c>
      <c r="R143" s="13">
        <v>0.1887</v>
      </c>
      <c r="S143" s="13">
        <v>0.4472</v>
      </c>
      <c r="T143" s="8">
        <v>1280732.0</v>
      </c>
      <c r="U143" s="12">
        <v>1.643171829E9</v>
      </c>
      <c r="V143" s="11">
        <v>60.0509</v>
      </c>
      <c r="W143" s="13">
        <v>62.3834</v>
      </c>
      <c r="X143" s="13">
        <v>7.4714</v>
      </c>
      <c r="Y143" s="13">
        <v>7.4805</v>
      </c>
      <c r="Z143" s="13">
        <v>7.7407</v>
      </c>
      <c r="AA143" s="13">
        <v>7.6491</v>
      </c>
      <c r="AB143" s="13">
        <v>7.5717</v>
      </c>
      <c r="AC143" s="13">
        <v>7.4776</v>
      </c>
      <c r="AD143" s="13">
        <v>7.3967</v>
      </c>
      <c r="AE143" s="13">
        <v>8.52</v>
      </c>
      <c r="AF143" s="13">
        <v>8.4507</v>
      </c>
      <c r="AG143" s="14">
        <f>IFERROR(__xludf.DUMMYFUNCTION("IFERROR(GOOGLEFINANCE(B143,""price""),"""")"),8.5)</f>
        <v>8.5</v>
      </c>
      <c r="AH143" s="14"/>
      <c r="AI143" s="14"/>
      <c r="AJ143" s="14"/>
      <c r="AK143" s="14"/>
      <c r="AL143" s="14"/>
      <c r="AM143" s="14"/>
      <c r="AN143" s="14"/>
    </row>
    <row r="144">
      <c r="A144" s="15">
        <v>46050.64965458646</v>
      </c>
      <c r="B144" s="16" t="s">
        <v>5035</v>
      </c>
      <c r="C144" s="16" t="s">
        <v>5036</v>
      </c>
      <c r="D144" s="17">
        <v>46054.0</v>
      </c>
      <c r="E144" s="18">
        <v>27.78</v>
      </c>
      <c r="F144" s="16" t="s">
        <v>107</v>
      </c>
      <c r="G144" s="19">
        <v>0.85</v>
      </c>
      <c r="H144" s="16" t="s">
        <v>4864</v>
      </c>
      <c r="I144" s="19">
        <v>35.9033</v>
      </c>
      <c r="J144" s="19">
        <v>62.9245</v>
      </c>
      <c r="K144" s="21">
        <v>1.4737</v>
      </c>
      <c r="L144" s="16" t="s">
        <v>5037</v>
      </c>
      <c r="M144" s="19">
        <v>-0.1079</v>
      </c>
      <c r="N144" s="20">
        <v>1.7811512E7</v>
      </c>
      <c r="O144" s="21">
        <v>28.15</v>
      </c>
      <c r="P144" s="21">
        <v>27.2</v>
      </c>
      <c r="Q144" s="21">
        <v>28.1</v>
      </c>
      <c r="R144" s="21">
        <v>0.9114</v>
      </c>
      <c r="S144" s="21">
        <v>2.1566</v>
      </c>
      <c r="T144" s="16">
        <v>1.2842488E7</v>
      </c>
      <c r="U144" s="20">
        <v>1.9745117855E10</v>
      </c>
      <c r="V144" s="19">
        <v>75.3868</v>
      </c>
      <c r="W144" s="21">
        <v>79.2289</v>
      </c>
      <c r="X144" s="21">
        <v>24.4649</v>
      </c>
      <c r="Y144" s="21">
        <v>27.3598</v>
      </c>
      <c r="Z144" s="21">
        <v>27.7463</v>
      </c>
      <c r="AA144" s="21">
        <v>26.6409</v>
      </c>
      <c r="AB144" s="21">
        <v>25.8264</v>
      </c>
      <c r="AC144" s="21">
        <v>25.1113</v>
      </c>
      <c r="AD144" s="21">
        <v>24.8646</v>
      </c>
      <c r="AE144" s="21">
        <v>40.09</v>
      </c>
      <c r="AF144" s="21">
        <v>30.7059</v>
      </c>
      <c r="AG144" s="22">
        <f>IFERROR(__xludf.DUMMYFUNCTION("IFERROR(GOOGLEFINANCE(B144,""price""),"""")"),39.01)</f>
        <v>39.01</v>
      </c>
      <c r="AH144" s="22"/>
      <c r="AI144" s="22"/>
      <c r="AJ144" s="22"/>
      <c r="AK144" s="22"/>
      <c r="AL144" s="22"/>
      <c r="AM144" s="22"/>
      <c r="AN144" s="22"/>
    </row>
    <row r="145">
      <c r="A145" s="7">
        <v>46050.64965458646</v>
      </c>
      <c r="B145" s="8" t="s">
        <v>2126</v>
      </c>
      <c r="C145" s="8" t="s">
        <v>2127</v>
      </c>
      <c r="D145" s="9">
        <v>46054.0</v>
      </c>
      <c r="E145" s="10">
        <v>25.27</v>
      </c>
      <c r="F145" s="8" t="s">
        <v>873</v>
      </c>
      <c r="G145" s="11">
        <v>0.86</v>
      </c>
      <c r="H145" s="8" t="s">
        <v>4848</v>
      </c>
      <c r="I145" s="11">
        <v>37.4987</v>
      </c>
      <c r="J145" s="11">
        <v>70.4445</v>
      </c>
      <c r="K145" s="13">
        <v>1.4348</v>
      </c>
      <c r="L145" s="8" t="s">
        <v>2128</v>
      </c>
      <c r="M145" s="11">
        <v>-0.9796</v>
      </c>
      <c r="N145" s="12">
        <v>4306315.0</v>
      </c>
      <c r="O145" s="13">
        <v>25.64</v>
      </c>
      <c r="P145" s="13">
        <v>25.245</v>
      </c>
      <c r="Q145" s="13">
        <v>25.48</v>
      </c>
      <c r="R145" s="13">
        <v>0.4317</v>
      </c>
      <c r="S145" s="13">
        <v>1.0029</v>
      </c>
      <c r="T145" s="8">
        <v>3168366.0</v>
      </c>
      <c r="U145" s="12">
        <v>2.3564926173E10</v>
      </c>
      <c r="V145" s="11">
        <v>85.3096</v>
      </c>
      <c r="W145" s="13">
        <v>90.8366</v>
      </c>
      <c r="X145" s="13">
        <v>23.5724</v>
      </c>
      <c r="Y145" s="13">
        <v>24.0726</v>
      </c>
      <c r="Z145" s="13">
        <v>24.922</v>
      </c>
      <c r="AA145" s="13">
        <v>24.318</v>
      </c>
      <c r="AB145" s="13">
        <v>24.0233</v>
      </c>
      <c r="AC145" s="13">
        <v>23.8068</v>
      </c>
      <c r="AD145" s="13">
        <v>23.6796</v>
      </c>
      <c r="AE145" s="13">
        <v>26.015</v>
      </c>
      <c r="AF145" s="13">
        <v>2.8637</v>
      </c>
      <c r="AG145" s="14">
        <f>IFERROR(__xludf.DUMMYFUNCTION("IFERROR(GOOGLEFINANCE(B145,""price""),"""")"),23.35)</f>
        <v>23.35</v>
      </c>
      <c r="AH145" s="14"/>
      <c r="AI145" s="14"/>
      <c r="AJ145" s="14"/>
      <c r="AK145" s="14"/>
      <c r="AL145" s="14"/>
      <c r="AM145" s="14"/>
      <c r="AN145" s="14"/>
    </row>
    <row r="146">
      <c r="A146" s="15">
        <v>46050.64965458646</v>
      </c>
      <c r="B146" s="16" t="s">
        <v>4969</v>
      </c>
      <c r="C146" s="16" t="s">
        <v>4970</v>
      </c>
      <c r="D146" s="17">
        <v>46054.0</v>
      </c>
      <c r="E146" s="18">
        <v>71.5</v>
      </c>
      <c r="F146" s="16" t="s">
        <v>286</v>
      </c>
      <c r="G146" s="19">
        <v>0.86</v>
      </c>
      <c r="H146" s="16" t="s">
        <v>4862</v>
      </c>
      <c r="I146" s="19">
        <v>24.2164</v>
      </c>
      <c r="J146" s="19">
        <v>70.7197</v>
      </c>
      <c r="K146" s="21">
        <v>1.6299</v>
      </c>
      <c r="L146" s="16" t="s">
        <v>4971</v>
      </c>
      <c r="M146" s="19">
        <v>-0.6944</v>
      </c>
      <c r="N146" s="20">
        <v>1894642.0</v>
      </c>
      <c r="O146" s="21">
        <v>73.19</v>
      </c>
      <c r="P146" s="21">
        <v>70.91</v>
      </c>
      <c r="Q146" s="21">
        <v>72.72</v>
      </c>
      <c r="R146" s="21">
        <v>2.5192</v>
      </c>
      <c r="S146" s="21">
        <v>5.873</v>
      </c>
      <c r="T146" s="16">
        <v>1299010.0</v>
      </c>
      <c r="U146" s="20">
        <v>3.489795906E9</v>
      </c>
      <c r="V146" s="19">
        <v>90.7691</v>
      </c>
      <c r="W146" s="21">
        <v>91.9981</v>
      </c>
      <c r="X146" s="21">
        <v>62.1898</v>
      </c>
      <c r="Y146" s="21">
        <v>70.1088</v>
      </c>
      <c r="Z146" s="21">
        <v>70.0642</v>
      </c>
      <c r="AA146" s="21">
        <v>66.8092</v>
      </c>
      <c r="AB146" s="21">
        <v>64.8792</v>
      </c>
      <c r="AC146" s="21">
        <v>62.9232</v>
      </c>
      <c r="AD146" s="21">
        <v>62.2611</v>
      </c>
      <c r="AE146" s="21">
        <v>164.07</v>
      </c>
      <c r="AF146" s="21">
        <v>56.421</v>
      </c>
      <c r="AG146" s="22">
        <f>IFERROR(__xludf.DUMMYFUNCTION("IFERROR(GOOGLEFINANCE(B146,""price""),"""")"),64.8)</f>
        <v>64.8</v>
      </c>
      <c r="AH146" s="22"/>
      <c r="AI146" s="22"/>
      <c r="AJ146" s="22"/>
      <c r="AK146" s="22"/>
      <c r="AL146" s="22"/>
      <c r="AM146" s="22"/>
      <c r="AN146" s="22"/>
    </row>
    <row r="147">
      <c r="A147" s="7">
        <v>46050.64965458646</v>
      </c>
      <c r="B147" s="8" t="s">
        <v>5038</v>
      </c>
      <c r="C147" s="8" t="s">
        <v>5039</v>
      </c>
      <c r="D147" s="9">
        <v>46054.0</v>
      </c>
      <c r="E147" s="10">
        <v>11.41</v>
      </c>
      <c r="F147" s="8" t="s">
        <v>107</v>
      </c>
      <c r="G147" s="11">
        <v>0.87</v>
      </c>
      <c r="H147" s="8" t="s">
        <v>4841</v>
      </c>
      <c r="I147" s="11">
        <v>27.9297</v>
      </c>
      <c r="J147" s="11">
        <v>54.4008</v>
      </c>
      <c r="K147" s="13">
        <v>1.3051</v>
      </c>
      <c r="L147" s="8" t="s">
        <v>5040</v>
      </c>
      <c r="M147" s="11">
        <v>0.3518</v>
      </c>
      <c r="N147" s="12">
        <v>6090229.0</v>
      </c>
      <c r="O147" s="13">
        <v>11.62</v>
      </c>
      <c r="P147" s="13">
        <v>11.145</v>
      </c>
      <c r="Q147" s="13">
        <v>11.41</v>
      </c>
      <c r="R147" s="13">
        <v>0.4978</v>
      </c>
      <c r="S147" s="13">
        <v>1.1386</v>
      </c>
      <c r="T147" s="8">
        <v>4799282.0</v>
      </c>
      <c r="U147" s="12">
        <v>1.982499319E9</v>
      </c>
      <c r="V147" s="11">
        <v>52.5512</v>
      </c>
      <c r="W147" s="13">
        <v>63.6006</v>
      </c>
      <c r="X147" s="13">
        <v>10.3854</v>
      </c>
      <c r="Y147" s="13">
        <v>11.4814</v>
      </c>
      <c r="Z147" s="13">
        <v>11.6013</v>
      </c>
      <c r="AA147" s="13">
        <v>11.2799</v>
      </c>
      <c r="AB147" s="13">
        <v>10.9244</v>
      </c>
      <c r="AC147" s="13">
        <v>10.5424</v>
      </c>
      <c r="AD147" s="13">
        <v>10.3613</v>
      </c>
      <c r="AE147" s="13">
        <v>18.53</v>
      </c>
      <c r="AF147" s="13">
        <v>38.4242</v>
      </c>
      <c r="AG147" s="14">
        <f>IFERROR(__xludf.DUMMYFUNCTION("IFERROR(GOOGLEFINANCE(B147,""price""),"""")"),13.65)</f>
        <v>13.65</v>
      </c>
      <c r="AH147" s="14"/>
      <c r="AI147" s="14"/>
      <c r="AJ147" s="14"/>
      <c r="AK147" s="14"/>
      <c r="AL147" s="14"/>
      <c r="AM147" s="14"/>
      <c r="AN147" s="14"/>
    </row>
    <row r="148">
      <c r="A148" s="15">
        <v>46050.64965458646</v>
      </c>
      <c r="B148" s="16" t="s">
        <v>1905</v>
      </c>
      <c r="C148" s="16" t="s">
        <v>1906</v>
      </c>
      <c r="D148" s="17">
        <v>46054.0</v>
      </c>
      <c r="E148" s="18">
        <v>70.044</v>
      </c>
      <c r="F148" s="16" t="s">
        <v>308</v>
      </c>
      <c r="G148" s="19">
        <v>0.87</v>
      </c>
      <c r="H148" s="16" t="s">
        <v>4975</v>
      </c>
      <c r="I148" s="19">
        <v>35.8625</v>
      </c>
      <c r="J148" s="19">
        <v>67.7288</v>
      </c>
      <c r="K148" s="21">
        <v>2.3615</v>
      </c>
      <c r="L148" s="16" t="s">
        <v>1907</v>
      </c>
      <c r="M148" s="19">
        <v>6.0469</v>
      </c>
      <c r="N148" s="20">
        <v>3328273.0</v>
      </c>
      <c r="O148" s="21">
        <v>72.45</v>
      </c>
      <c r="P148" s="21">
        <v>68.1</v>
      </c>
      <c r="Q148" s="21">
        <v>68.54</v>
      </c>
      <c r="R148" s="21">
        <v>2.015</v>
      </c>
      <c r="S148" s="21">
        <v>4.6437</v>
      </c>
      <c r="T148" s="16">
        <v>1741879.0</v>
      </c>
      <c r="U148" s="20">
        <v>4.0619986352E10</v>
      </c>
      <c r="V148" s="19">
        <v>44.5402</v>
      </c>
      <c r="W148" s="21">
        <v>47.9979</v>
      </c>
      <c r="X148" s="21">
        <v>59.8586</v>
      </c>
      <c r="Y148" s="21">
        <v>59.0789</v>
      </c>
      <c r="Z148" s="21">
        <v>67.0145</v>
      </c>
      <c r="AA148" s="21">
        <v>65.1472</v>
      </c>
      <c r="AB148" s="21">
        <v>63.4908</v>
      </c>
      <c r="AC148" s="21">
        <v>61.884</v>
      </c>
      <c r="AD148" s="21">
        <v>60.5551</v>
      </c>
      <c r="AE148" s="21">
        <v>72.45</v>
      </c>
      <c r="AF148" s="21">
        <v>3.3209</v>
      </c>
      <c r="AG148" s="22">
        <f>IFERROR(__xludf.DUMMYFUNCTION("IFERROR(GOOGLEFINANCE(B148,""price""),"""")"),62.44)</f>
        <v>62.44</v>
      </c>
      <c r="AH148" s="22"/>
      <c r="AI148" s="22"/>
      <c r="AJ148" s="22"/>
      <c r="AK148" s="22"/>
      <c r="AL148" s="22"/>
      <c r="AM148" s="22"/>
      <c r="AN148" s="22"/>
    </row>
    <row r="149">
      <c r="A149" s="7">
        <v>46050.64965458646</v>
      </c>
      <c r="B149" s="8" t="s">
        <v>4972</v>
      </c>
      <c r="C149" s="8" t="s">
        <v>4973</v>
      </c>
      <c r="D149" s="9">
        <v>46054.0</v>
      </c>
      <c r="E149" s="10">
        <v>80.28</v>
      </c>
      <c r="F149" s="8" t="s">
        <v>308</v>
      </c>
      <c r="G149" s="11">
        <v>0.88</v>
      </c>
      <c r="H149" s="8" t="s">
        <v>4844</v>
      </c>
      <c r="I149" s="11">
        <v>43.2854</v>
      </c>
      <c r="J149" s="11">
        <v>73.3657</v>
      </c>
      <c r="K149" s="13">
        <v>1.8098</v>
      </c>
      <c r="L149" s="8" t="s">
        <v>4974</v>
      </c>
      <c r="M149" s="11">
        <v>6.8121</v>
      </c>
      <c r="N149" s="12">
        <v>1.479333E7</v>
      </c>
      <c r="O149" s="13">
        <v>81.4299</v>
      </c>
      <c r="P149" s="13">
        <v>78.73</v>
      </c>
      <c r="Q149" s="13">
        <v>79.82</v>
      </c>
      <c r="R149" s="13">
        <v>2.6281</v>
      </c>
      <c r="S149" s="13">
        <v>5.9956</v>
      </c>
      <c r="T149" s="8">
        <v>9107816.0</v>
      </c>
      <c r="U149" s="12">
        <v>4.3387074299E10</v>
      </c>
      <c r="V149" s="11">
        <v>59.966</v>
      </c>
      <c r="W149" s="13">
        <v>58.3561</v>
      </c>
      <c r="X149" s="13">
        <v>65.407</v>
      </c>
      <c r="Y149" s="13">
        <v>65.0148</v>
      </c>
      <c r="Z149" s="13">
        <v>75.9003</v>
      </c>
      <c r="AA149" s="13">
        <v>72.9119</v>
      </c>
      <c r="AB149" s="13">
        <v>70.5</v>
      </c>
      <c r="AC149" s="13">
        <v>68.1579</v>
      </c>
      <c r="AD149" s="13">
        <v>66.403</v>
      </c>
      <c r="AE149" s="13">
        <v>81.4299</v>
      </c>
      <c r="AF149" s="13">
        <v>1.4121</v>
      </c>
      <c r="AG149" s="14">
        <f>IFERROR(__xludf.DUMMYFUNCTION("IFERROR(GOOGLEFINANCE(B149,""price""),"""")"),71.56)</f>
        <v>71.56</v>
      </c>
      <c r="AH149" s="14"/>
      <c r="AI149" s="14"/>
      <c r="AJ149" s="14"/>
      <c r="AK149" s="14"/>
      <c r="AL149" s="14"/>
      <c r="AM149" s="14"/>
      <c r="AN149" s="14"/>
    </row>
    <row r="150">
      <c r="A150" s="15">
        <v>46050.64965458646</v>
      </c>
      <c r="B150" s="16" t="s">
        <v>5041</v>
      </c>
      <c r="C150" s="16" t="s">
        <v>5042</v>
      </c>
      <c r="D150" s="17">
        <v>46054.0</v>
      </c>
      <c r="E150" s="18">
        <v>27.2</v>
      </c>
      <c r="F150" s="16" t="s">
        <v>93</v>
      </c>
      <c r="G150" s="19">
        <v>0.88</v>
      </c>
      <c r="H150" s="16" t="s">
        <v>4920</v>
      </c>
      <c r="I150" s="19">
        <v>22.6879</v>
      </c>
      <c r="J150" s="19">
        <v>59.8546</v>
      </c>
      <c r="K150" s="21">
        <v>1.5374</v>
      </c>
      <c r="L150" s="16" t="s">
        <v>5043</v>
      </c>
      <c r="M150" s="19">
        <v>-0.3298</v>
      </c>
      <c r="N150" s="20">
        <v>1872051.0</v>
      </c>
      <c r="O150" s="21">
        <v>27.715</v>
      </c>
      <c r="P150" s="21">
        <v>27.17</v>
      </c>
      <c r="Q150" s="21">
        <v>27.33</v>
      </c>
      <c r="R150" s="21">
        <v>0.6054</v>
      </c>
      <c r="S150" s="21">
        <v>1.3716</v>
      </c>
      <c r="T150" s="16">
        <v>1355868.0</v>
      </c>
      <c r="U150" s="20">
        <v>2.842694358E9</v>
      </c>
      <c r="V150" s="19">
        <v>71.2466</v>
      </c>
      <c r="W150" s="21">
        <v>70.7249</v>
      </c>
      <c r="X150" s="21">
        <v>25.768</v>
      </c>
      <c r="Y150" s="21">
        <v>25.3122</v>
      </c>
      <c r="Z150" s="21">
        <v>26.9943</v>
      </c>
      <c r="AA150" s="21">
        <v>26.4907</v>
      </c>
      <c r="AB150" s="21">
        <v>26.1902</v>
      </c>
      <c r="AC150" s="21">
        <v>25.8773</v>
      </c>
      <c r="AD150" s="21">
        <v>25.6028</v>
      </c>
      <c r="AE150" s="21">
        <v>29.21</v>
      </c>
      <c r="AF150" s="21">
        <v>6.8812</v>
      </c>
      <c r="AG150" s="22">
        <f>IFERROR(__xludf.DUMMYFUNCTION("IFERROR(GOOGLEFINANCE(B150,""price""),"""")"),29.39)</f>
        <v>29.39</v>
      </c>
      <c r="AH150" s="22"/>
      <c r="AI150" s="22"/>
      <c r="AJ150" s="22"/>
      <c r="AK150" s="22"/>
      <c r="AL150" s="22"/>
      <c r="AM150" s="22"/>
      <c r="AN150" s="22"/>
    </row>
    <row r="151">
      <c r="A151" s="7">
        <v>46050.64965458646</v>
      </c>
      <c r="B151" s="8" t="s">
        <v>4936</v>
      </c>
      <c r="C151" s="8" t="s">
        <v>4937</v>
      </c>
      <c r="D151" s="9">
        <v>46054.0</v>
      </c>
      <c r="E151" s="10">
        <v>20.4</v>
      </c>
      <c r="F151" s="8" t="s">
        <v>93</v>
      </c>
      <c r="G151" s="11">
        <v>0.88</v>
      </c>
      <c r="H151" s="8" t="s">
        <v>5044</v>
      </c>
      <c r="I151" s="11">
        <v>28.7182</v>
      </c>
      <c r="J151" s="11">
        <v>75.0439</v>
      </c>
      <c r="K151" s="13">
        <v>2.9511</v>
      </c>
      <c r="L151" s="8" t="s">
        <v>4938</v>
      </c>
      <c r="M151" s="11">
        <v>0.9901</v>
      </c>
      <c r="N151" s="12">
        <v>2.0069733E7</v>
      </c>
      <c r="O151" s="13">
        <v>20.975</v>
      </c>
      <c r="P151" s="13">
        <v>20.18</v>
      </c>
      <c r="Q151" s="13">
        <v>20.415</v>
      </c>
      <c r="R151" s="13">
        <v>0.667</v>
      </c>
      <c r="S151" s="13">
        <v>1.5091</v>
      </c>
      <c r="T151" s="8">
        <v>8352205.0</v>
      </c>
      <c r="U151" s="12">
        <v>1.0749620527E10</v>
      </c>
      <c r="V151" s="11">
        <v>86.3722</v>
      </c>
      <c r="W151" s="13">
        <v>88.8298</v>
      </c>
      <c r="X151" s="13">
        <v>17.8181</v>
      </c>
      <c r="Y151" s="13">
        <v>17.6021</v>
      </c>
      <c r="Z151" s="13">
        <v>19.4975</v>
      </c>
      <c r="AA151" s="13">
        <v>18.4235</v>
      </c>
      <c r="AB151" s="13">
        <v>18.0904</v>
      </c>
      <c r="AC151" s="13">
        <v>17.9336</v>
      </c>
      <c r="AD151" s="13">
        <v>17.8455</v>
      </c>
      <c r="AE151" s="13">
        <v>20.975</v>
      </c>
      <c r="AF151" s="13">
        <v>2.7414</v>
      </c>
      <c r="AG151" s="14">
        <f>IFERROR(__xludf.DUMMYFUNCTION("IFERROR(GOOGLEFINANCE(B151,""price""),"""")"),19.99)</f>
        <v>19.99</v>
      </c>
      <c r="AH151" s="14"/>
      <c r="AI151" s="14"/>
      <c r="AJ151" s="14"/>
      <c r="AK151" s="14"/>
      <c r="AL151" s="14"/>
      <c r="AM151" s="14"/>
      <c r="AN151" s="14"/>
    </row>
    <row r="152">
      <c r="A152" s="15">
        <v>46050.64965458646</v>
      </c>
      <c r="B152" s="16" t="s">
        <v>2191</v>
      </c>
      <c r="C152" s="16" t="s">
        <v>2192</v>
      </c>
      <c r="D152" s="17">
        <v>46054.0</v>
      </c>
      <c r="E152" s="18">
        <v>59.98</v>
      </c>
      <c r="F152" s="16" t="s">
        <v>308</v>
      </c>
      <c r="G152" s="19">
        <v>0.88</v>
      </c>
      <c r="H152" s="16" t="s">
        <v>4868</v>
      </c>
      <c r="I152" s="19">
        <v>28.6037</v>
      </c>
      <c r="J152" s="19">
        <v>68.4806</v>
      </c>
      <c r="K152" s="21">
        <v>1.6615</v>
      </c>
      <c r="L152" s="16" t="s">
        <v>2193</v>
      </c>
      <c r="M152" s="19">
        <v>3.1293</v>
      </c>
      <c r="N152" s="20">
        <v>500718.0</v>
      </c>
      <c r="O152" s="21">
        <v>61.36</v>
      </c>
      <c r="P152" s="21">
        <v>58.865</v>
      </c>
      <c r="Q152" s="21">
        <v>59.86</v>
      </c>
      <c r="R152" s="21">
        <v>2.0594</v>
      </c>
      <c r="S152" s="21">
        <v>4.6769</v>
      </c>
      <c r="T152" s="21">
        <v>323382.2</v>
      </c>
      <c r="U152" s="20">
        <v>2.782192098E9</v>
      </c>
      <c r="V152" s="19">
        <v>70.4231</v>
      </c>
      <c r="W152" s="21">
        <v>65.0117</v>
      </c>
      <c r="X152" s="21">
        <v>51.229</v>
      </c>
      <c r="Y152" s="21">
        <v>52.6427</v>
      </c>
      <c r="Z152" s="21">
        <v>57.7022</v>
      </c>
      <c r="AA152" s="21">
        <v>55.5723</v>
      </c>
      <c r="AB152" s="21">
        <v>54.2097</v>
      </c>
      <c r="AC152" s="21">
        <v>53.1303</v>
      </c>
      <c r="AD152" s="21">
        <v>52.4554</v>
      </c>
      <c r="AE152" s="21">
        <v>61.36</v>
      </c>
      <c r="AF152" s="21">
        <v>2.249</v>
      </c>
      <c r="AG152" s="22">
        <f>IFERROR(__xludf.DUMMYFUNCTION("IFERROR(GOOGLEFINANCE(B152,""price""),"""")"),83.07)</f>
        <v>83.07</v>
      </c>
      <c r="AH152" s="22"/>
      <c r="AI152" s="22"/>
      <c r="AJ152" s="22"/>
      <c r="AK152" s="22"/>
      <c r="AL152" s="22"/>
      <c r="AM152" s="22"/>
      <c r="AN152" s="22"/>
    </row>
    <row r="153">
      <c r="A153" s="7">
        <v>46050.64965458646</v>
      </c>
      <c r="B153" s="8" t="s">
        <v>5045</v>
      </c>
      <c r="C153" s="8" t="s">
        <v>5046</v>
      </c>
      <c r="D153" s="9">
        <v>46054.0</v>
      </c>
      <c r="E153" s="10">
        <v>37.1</v>
      </c>
      <c r="F153" s="8" t="s">
        <v>270</v>
      </c>
      <c r="G153" s="11">
        <v>0.89</v>
      </c>
      <c r="H153" s="8" t="s">
        <v>4848</v>
      </c>
      <c r="I153" s="11">
        <v>27.8026</v>
      </c>
      <c r="J153" s="11">
        <v>59.8912</v>
      </c>
      <c r="K153" s="13">
        <v>1.3834</v>
      </c>
      <c r="L153" s="8" t="s">
        <v>5047</v>
      </c>
      <c r="M153" s="11">
        <v>-0.6161</v>
      </c>
      <c r="N153" s="12">
        <v>2677600.0</v>
      </c>
      <c r="O153" s="13">
        <v>37.42</v>
      </c>
      <c r="P153" s="13">
        <v>36.74</v>
      </c>
      <c r="Q153" s="13">
        <v>37.35</v>
      </c>
      <c r="R153" s="13">
        <v>0.8864</v>
      </c>
      <c r="S153" s="13">
        <v>1.9905</v>
      </c>
      <c r="T153" s="8">
        <v>1971697.0</v>
      </c>
      <c r="U153" s="12">
        <v>9.689521194E9</v>
      </c>
      <c r="V153" s="11">
        <v>85.7766</v>
      </c>
      <c r="W153" s="13">
        <v>85.4183</v>
      </c>
      <c r="X153" s="13">
        <v>35.0416</v>
      </c>
      <c r="Y153" s="13">
        <v>35.241</v>
      </c>
      <c r="Z153" s="13">
        <v>36.849</v>
      </c>
      <c r="AA153" s="13">
        <v>36.0975</v>
      </c>
      <c r="AB153" s="13">
        <v>35.6095</v>
      </c>
      <c r="AC153" s="13">
        <v>35.2001</v>
      </c>
      <c r="AD153" s="13">
        <v>34.9766</v>
      </c>
      <c r="AE153" s="13">
        <v>38.655</v>
      </c>
      <c r="AF153" s="13">
        <v>4.0228</v>
      </c>
      <c r="AG153" s="14">
        <f>IFERROR(__xludf.DUMMYFUNCTION("IFERROR(GOOGLEFINANCE(B153,""price""),"""")"),30.19)</f>
        <v>30.19</v>
      </c>
      <c r="AH153" s="14"/>
      <c r="AI153" s="14"/>
      <c r="AJ153" s="14"/>
      <c r="AK153" s="14"/>
      <c r="AL153" s="14"/>
      <c r="AM153" s="14"/>
      <c r="AN153" s="14"/>
    </row>
    <row r="154">
      <c r="A154" s="15">
        <v>46050.64965458646</v>
      </c>
      <c r="B154" s="16" t="s">
        <v>5048</v>
      </c>
      <c r="C154" s="16" t="s">
        <v>5049</v>
      </c>
      <c r="D154" s="17">
        <v>46054.0</v>
      </c>
      <c r="E154" s="18">
        <v>19.27</v>
      </c>
      <c r="F154" s="16" t="s">
        <v>308</v>
      </c>
      <c r="G154" s="19">
        <v>0.89</v>
      </c>
      <c r="H154" s="16" t="s">
        <v>4862</v>
      </c>
      <c r="I154" s="19">
        <v>33.6727</v>
      </c>
      <c r="J154" s="19">
        <v>70.212</v>
      </c>
      <c r="K154" s="21">
        <v>1.6384</v>
      </c>
      <c r="L154" s="16" t="s">
        <v>5050</v>
      </c>
      <c r="M154" s="19">
        <v>4.2749</v>
      </c>
      <c r="N154" s="20">
        <v>4020690.0</v>
      </c>
      <c r="O154" s="21">
        <v>19.29</v>
      </c>
      <c r="P154" s="21">
        <v>18.685</v>
      </c>
      <c r="Q154" s="21">
        <v>18.74</v>
      </c>
      <c r="R154" s="21">
        <v>0.6788</v>
      </c>
      <c r="S154" s="21">
        <v>1.5335</v>
      </c>
      <c r="T154" s="16">
        <v>2756870.0</v>
      </c>
      <c r="U154" s="20">
        <v>2.612793376E9</v>
      </c>
      <c r="V154" s="19">
        <v>73.6727</v>
      </c>
      <c r="W154" s="21">
        <v>71.7231</v>
      </c>
      <c r="X154" s="21">
        <v>15.3714</v>
      </c>
      <c r="Y154" s="21">
        <v>15.9114</v>
      </c>
      <c r="Z154" s="21">
        <v>18.3776</v>
      </c>
      <c r="AA154" s="21">
        <v>17.2949</v>
      </c>
      <c r="AB154" s="21">
        <v>16.6594</v>
      </c>
      <c r="AC154" s="21">
        <v>16.159</v>
      </c>
      <c r="AD154" s="21">
        <v>15.8527</v>
      </c>
      <c r="AE154" s="21">
        <v>19.81</v>
      </c>
      <c r="AF154" s="21">
        <v>2.7259</v>
      </c>
      <c r="AG154" s="22">
        <f>IFERROR(__xludf.DUMMYFUNCTION("IFERROR(GOOGLEFINANCE(B154,""price""),"""")"),22.47)</f>
        <v>22.47</v>
      </c>
      <c r="AH154" s="22"/>
      <c r="AI154" s="22"/>
      <c r="AJ154" s="22"/>
      <c r="AK154" s="22"/>
      <c r="AL154" s="22"/>
      <c r="AM154" s="22"/>
      <c r="AN154" s="22"/>
    </row>
    <row r="155">
      <c r="A155" s="7">
        <v>46050.64965458646</v>
      </c>
      <c r="B155" s="8" t="s">
        <v>4976</v>
      </c>
      <c r="C155" s="8" t="s">
        <v>4977</v>
      </c>
      <c r="D155" s="9">
        <v>46054.0</v>
      </c>
      <c r="E155" s="10">
        <v>62.8</v>
      </c>
      <c r="F155" s="8" t="s">
        <v>107</v>
      </c>
      <c r="G155" s="11">
        <v>0.9</v>
      </c>
      <c r="H155" s="8" t="s">
        <v>4992</v>
      </c>
      <c r="I155" s="11">
        <v>24.1441</v>
      </c>
      <c r="J155" s="11">
        <v>59.0315</v>
      </c>
      <c r="K155" s="13">
        <v>3.8737</v>
      </c>
      <c r="L155" s="8" t="s">
        <v>4979</v>
      </c>
      <c r="M155" s="11">
        <v>-0.6801</v>
      </c>
      <c r="N155" s="12">
        <v>2621527.0</v>
      </c>
      <c r="O155" s="13">
        <v>63.525</v>
      </c>
      <c r="P155" s="13">
        <v>58.08</v>
      </c>
      <c r="Q155" s="13">
        <v>62.88</v>
      </c>
      <c r="R155" s="13">
        <v>1.9067</v>
      </c>
      <c r="S155" s="13">
        <v>4.2358</v>
      </c>
      <c r="T155" s="13">
        <v>882211.5</v>
      </c>
      <c r="U155" s="12">
        <v>3.642848914E9</v>
      </c>
      <c r="V155" s="11">
        <v>73.2206</v>
      </c>
      <c r="W155" s="13">
        <v>71.7492</v>
      </c>
      <c r="X155" s="13">
        <v>58.2956</v>
      </c>
      <c r="Y155" s="13">
        <v>60.2681</v>
      </c>
      <c r="Z155" s="13">
        <v>62.8206</v>
      </c>
      <c r="AA155" s="13">
        <v>61.6029</v>
      </c>
      <c r="AB155" s="13">
        <v>60.4898</v>
      </c>
      <c r="AC155" s="13">
        <v>59.5041</v>
      </c>
      <c r="AD155" s="13">
        <v>59.1073</v>
      </c>
      <c r="AE155" s="13">
        <v>72.23</v>
      </c>
      <c r="AF155" s="13">
        <v>13.0555</v>
      </c>
      <c r="AG155" s="14">
        <f>IFERROR(__xludf.DUMMYFUNCTION("IFERROR(GOOGLEFINANCE(B155,""price""),"""")"),60.74)</f>
        <v>60.74</v>
      </c>
      <c r="AH155" s="14"/>
      <c r="AI155" s="14"/>
      <c r="AJ155" s="14"/>
      <c r="AK155" s="14"/>
      <c r="AL155" s="14"/>
      <c r="AM155" s="14"/>
      <c r="AN155" s="14"/>
    </row>
    <row r="156">
      <c r="A156" s="15">
        <v>46050.64965458646</v>
      </c>
      <c r="B156" s="16" t="s">
        <v>4932</v>
      </c>
      <c r="C156" s="16" t="s">
        <v>4933</v>
      </c>
      <c r="D156" s="17">
        <v>46054.0</v>
      </c>
      <c r="E156" s="18">
        <v>19.11</v>
      </c>
      <c r="F156" s="16" t="s">
        <v>286</v>
      </c>
      <c r="G156" s="19">
        <v>0.9</v>
      </c>
      <c r="H156" s="16" t="s">
        <v>4978</v>
      </c>
      <c r="I156" s="19">
        <v>27.3376</v>
      </c>
      <c r="J156" s="19">
        <v>50.2731</v>
      </c>
      <c r="K156" s="21">
        <v>2.8129</v>
      </c>
      <c r="L156" s="16" t="s">
        <v>4935</v>
      </c>
      <c r="M156" s="19">
        <v>-5.7692</v>
      </c>
      <c r="N156" s="20">
        <v>2.0441766E7</v>
      </c>
      <c r="O156" s="21">
        <v>19.23</v>
      </c>
      <c r="P156" s="21">
        <v>17.8</v>
      </c>
      <c r="Q156" s="21">
        <v>18.03</v>
      </c>
      <c r="R156" s="21">
        <v>0.8203</v>
      </c>
      <c r="S156" s="21">
        <v>1.8188</v>
      </c>
      <c r="T156" s="16">
        <v>8653150.0</v>
      </c>
      <c r="U156" s="20">
        <v>7.466750454E9</v>
      </c>
      <c r="V156" s="19">
        <v>71.3229</v>
      </c>
      <c r="W156" s="21">
        <v>74.5225</v>
      </c>
      <c r="X156" s="21">
        <v>18.3294</v>
      </c>
      <c r="Y156" s="21">
        <v>16.3688</v>
      </c>
      <c r="Z156" s="21">
        <v>19.5901</v>
      </c>
      <c r="AA156" s="21">
        <v>19.2687</v>
      </c>
      <c r="AB156" s="21">
        <v>18.846</v>
      </c>
      <c r="AC156" s="21">
        <v>18.1463</v>
      </c>
      <c r="AD156" s="21">
        <v>17.2736</v>
      </c>
      <c r="AE156" s="21">
        <v>26.93</v>
      </c>
      <c r="AF156" s="21">
        <v>29.0382</v>
      </c>
      <c r="AG156" s="22">
        <f>IFERROR(__xludf.DUMMYFUNCTION("IFERROR(GOOGLEFINANCE(B156,""price""),"""")"),18.23)</f>
        <v>18.23</v>
      </c>
      <c r="AH156" s="22"/>
      <c r="AI156" s="22"/>
      <c r="AJ156" s="22"/>
      <c r="AK156" s="22"/>
      <c r="AL156" s="22"/>
      <c r="AM156" s="22"/>
      <c r="AN156" s="22"/>
    </row>
    <row r="157">
      <c r="A157" s="7">
        <v>46050.64965458646</v>
      </c>
      <c r="B157" s="8" t="s">
        <v>5051</v>
      </c>
      <c r="C157" s="8" t="s">
        <v>5052</v>
      </c>
      <c r="D157" s="9">
        <v>46054.0</v>
      </c>
      <c r="E157" s="10">
        <v>22.74</v>
      </c>
      <c r="F157" s="8" t="s">
        <v>107</v>
      </c>
      <c r="G157" s="11">
        <v>0.91</v>
      </c>
      <c r="H157" s="8" t="s">
        <v>4864</v>
      </c>
      <c r="I157" s="11">
        <v>23.216</v>
      </c>
      <c r="J157" s="11">
        <v>51.142</v>
      </c>
      <c r="K157" s="13">
        <v>1.4721</v>
      </c>
      <c r="L157" s="8" t="s">
        <v>5053</v>
      </c>
      <c r="M157" s="11">
        <v>-0.5684</v>
      </c>
      <c r="N157" s="12">
        <v>4070267.0</v>
      </c>
      <c r="O157" s="13">
        <v>23.23</v>
      </c>
      <c r="P157" s="13">
        <v>22.11</v>
      </c>
      <c r="Q157" s="13">
        <v>23.18</v>
      </c>
      <c r="R157" s="13">
        <v>1.0611</v>
      </c>
      <c r="S157" s="13">
        <v>2.3329</v>
      </c>
      <c r="T157" s="8">
        <v>2917212.0</v>
      </c>
      <c r="U157" s="12">
        <v>2.595123656E9</v>
      </c>
      <c r="V157" s="11">
        <v>58.2233</v>
      </c>
      <c r="W157" s="13">
        <v>69.1877</v>
      </c>
      <c r="X157" s="13">
        <v>21.4536</v>
      </c>
      <c r="Y157" s="13">
        <v>23.7774</v>
      </c>
      <c r="Z157" s="13">
        <v>23.2772</v>
      </c>
      <c r="AA157" s="13">
        <v>22.8024</v>
      </c>
      <c r="AB157" s="13">
        <v>22.3893</v>
      </c>
      <c r="AC157" s="13">
        <v>22.1111</v>
      </c>
      <c r="AD157" s="13">
        <v>22.0659</v>
      </c>
      <c r="AE157" s="13">
        <v>32.88</v>
      </c>
      <c r="AF157" s="13">
        <v>30.8394</v>
      </c>
      <c r="AG157" s="14">
        <f>IFERROR(__xludf.DUMMYFUNCTION("IFERROR(GOOGLEFINANCE(B157,""price""),"""")"),28.95)</f>
        <v>28.95</v>
      </c>
      <c r="AH157" s="14"/>
      <c r="AI157" s="14"/>
      <c r="AJ157" s="14"/>
      <c r="AK157" s="14"/>
      <c r="AL157" s="14"/>
      <c r="AM157" s="14"/>
      <c r="AN157" s="14"/>
    </row>
    <row r="158">
      <c r="A158" s="15">
        <v>46050.64965458646</v>
      </c>
      <c r="B158" s="16" t="s">
        <v>4878</v>
      </c>
      <c r="C158" s="16" t="s">
        <v>4879</v>
      </c>
      <c r="D158" s="17">
        <v>46054.0</v>
      </c>
      <c r="E158" s="18">
        <v>57.56</v>
      </c>
      <c r="F158" s="16" t="s">
        <v>162</v>
      </c>
      <c r="G158" s="19">
        <v>0.92</v>
      </c>
      <c r="H158" s="16" t="s">
        <v>4844</v>
      </c>
      <c r="I158" s="19">
        <v>22.213</v>
      </c>
      <c r="J158" s="19">
        <v>59.7281</v>
      </c>
      <c r="K158" s="21">
        <v>1.7621</v>
      </c>
      <c r="L158" s="16" t="s">
        <v>4880</v>
      </c>
      <c r="M158" s="19">
        <v>-0.6215</v>
      </c>
      <c r="N158" s="20">
        <v>1692466.0</v>
      </c>
      <c r="O158" s="21">
        <v>58.21</v>
      </c>
      <c r="P158" s="21">
        <v>56.9901</v>
      </c>
      <c r="Q158" s="21">
        <v>58.1</v>
      </c>
      <c r="R158" s="21">
        <v>1.4671</v>
      </c>
      <c r="S158" s="21">
        <v>3.1773</v>
      </c>
      <c r="T158" s="16">
        <v>1052792.0</v>
      </c>
      <c r="U158" s="20">
        <v>6.590233341E9</v>
      </c>
      <c r="V158" s="19">
        <v>82.2789</v>
      </c>
      <c r="W158" s="21">
        <v>82.1444</v>
      </c>
      <c r="X158" s="21">
        <v>53.3228</v>
      </c>
      <c r="Y158" s="21">
        <v>51.0797</v>
      </c>
      <c r="Z158" s="21">
        <v>57.1975</v>
      </c>
      <c r="AA158" s="21">
        <v>56.1629</v>
      </c>
      <c r="AB158" s="21">
        <v>55.2977</v>
      </c>
      <c r="AC158" s="21">
        <v>54.3858</v>
      </c>
      <c r="AD158" s="21">
        <v>53.3277</v>
      </c>
      <c r="AE158" s="21">
        <v>58.21</v>
      </c>
      <c r="AF158" s="21">
        <v>1.1166</v>
      </c>
      <c r="AG158" s="22">
        <f>IFERROR(__xludf.DUMMYFUNCTION("IFERROR(GOOGLEFINANCE(B158,""price""),"""")"),56.07)</f>
        <v>56.07</v>
      </c>
      <c r="AH158" s="22"/>
      <c r="AI158" s="22"/>
      <c r="AJ158" s="22"/>
      <c r="AK158" s="22"/>
      <c r="AL158" s="22"/>
      <c r="AM158" s="22"/>
      <c r="AN158" s="22"/>
    </row>
    <row r="159">
      <c r="A159" s="7">
        <v>46050.64965458646</v>
      </c>
      <c r="B159" s="8" t="s">
        <v>5054</v>
      </c>
      <c r="C159" s="8" t="s">
        <v>5055</v>
      </c>
      <c r="D159" s="9">
        <v>46054.0</v>
      </c>
      <c r="E159" s="10">
        <v>69.18</v>
      </c>
      <c r="F159" s="8" t="s">
        <v>93</v>
      </c>
      <c r="G159" s="11">
        <v>0.92</v>
      </c>
      <c r="H159" s="8" t="s">
        <v>4920</v>
      </c>
      <c r="I159" s="11">
        <v>22.4557</v>
      </c>
      <c r="J159" s="11">
        <v>43.2763</v>
      </c>
      <c r="K159" s="13">
        <v>1.5223</v>
      </c>
      <c r="L159" s="8" t="s">
        <v>5056</v>
      </c>
      <c r="M159" s="11">
        <v>-0.5606</v>
      </c>
      <c r="N159" s="12">
        <v>1508326.0</v>
      </c>
      <c r="O159" s="13">
        <v>70.66</v>
      </c>
      <c r="P159" s="13">
        <v>68.44</v>
      </c>
      <c r="Q159" s="13">
        <v>69.89</v>
      </c>
      <c r="R159" s="13">
        <v>2.4748</v>
      </c>
      <c r="S159" s="13">
        <v>5.3599</v>
      </c>
      <c r="T159" s="8">
        <v>1003810.0</v>
      </c>
      <c r="U159" s="12">
        <v>4.870735494E9</v>
      </c>
      <c r="V159" s="11">
        <v>33.7765</v>
      </c>
      <c r="W159" s="13">
        <v>42.3588</v>
      </c>
      <c r="X159" s="13">
        <v>70.4594</v>
      </c>
      <c r="Y159" s="13">
        <v>72.1427</v>
      </c>
      <c r="Z159" s="13">
        <v>71.998</v>
      </c>
      <c r="AA159" s="13">
        <v>71.9349</v>
      </c>
      <c r="AB159" s="13">
        <v>71.3707</v>
      </c>
      <c r="AC159" s="13">
        <v>70.9912</v>
      </c>
      <c r="AD159" s="13">
        <v>70.9443</v>
      </c>
      <c r="AE159" s="13">
        <v>84.735</v>
      </c>
      <c r="AF159" s="13">
        <v>18.3572</v>
      </c>
      <c r="AG159" s="14">
        <f>IFERROR(__xludf.DUMMYFUNCTION("IFERROR(GOOGLEFINANCE(B159,""price""),"""")"),66.55)</f>
        <v>66.55</v>
      </c>
      <c r="AH159" s="14"/>
      <c r="AI159" s="14"/>
      <c r="AJ159" s="14"/>
      <c r="AK159" s="14"/>
      <c r="AL159" s="14"/>
      <c r="AM159" s="14"/>
      <c r="AN159" s="14"/>
    </row>
    <row r="160">
      <c r="A160" s="15">
        <v>46050.64965458646</v>
      </c>
      <c r="B160" s="16" t="s">
        <v>4980</v>
      </c>
      <c r="C160" s="16" t="s">
        <v>4981</v>
      </c>
      <c r="D160" s="17">
        <v>46054.0</v>
      </c>
      <c r="E160" s="18">
        <v>4.51</v>
      </c>
      <c r="F160" s="16" t="s">
        <v>270</v>
      </c>
      <c r="G160" s="19">
        <v>0.92</v>
      </c>
      <c r="H160" s="16" t="s">
        <v>4862</v>
      </c>
      <c r="I160" s="19">
        <v>38.9222</v>
      </c>
      <c r="J160" s="19">
        <v>65.7731</v>
      </c>
      <c r="K160" s="21">
        <v>1.5617</v>
      </c>
      <c r="L160" s="16" t="s">
        <v>4982</v>
      </c>
      <c r="M160" s="19">
        <v>0.0</v>
      </c>
      <c r="N160" s="20">
        <v>6920886.0</v>
      </c>
      <c r="O160" s="21">
        <v>4.61</v>
      </c>
      <c r="P160" s="21">
        <v>4.4007</v>
      </c>
      <c r="Q160" s="21">
        <v>4.51</v>
      </c>
      <c r="R160" s="21">
        <v>0.1868</v>
      </c>
      <c r="S160" s="21">
        <v>0.405</v>
      </c>
      <c r="T160" s="16">
        <v>4565965.0</v>
      </c>
      <c r="U160" s="20">
        <v>1.383996411E9</v>
      </c>
      <c r="V160" s="19">
        <v>74.0068</v>
      </c>
      <c r="W160" s="21">
        <v>74.6325</v>
      </c>
      <c r="X160" s="21">
        <v>3.9184</v>
      </c>
      <c r="Y160" s="21">
        <v>3.3123</v>
      </c>
      <c r="Z160" s="21">
        <v>4.4263</v>
      </c>
      <c r="AA160" s="21">
        <v>4.2751</v>
      </c>
      <c r="AB160" s="21">
        <v>4.1265</v>
      </c>
      <c r="AC160" s="21">
        <v>3.9057</v>
      </c>
      <c r="AD160" s="21">
        <v>3.6234</v>
      </c>
      <c r="AE160" s="21">
        <v>4.65</v>
      </c>
      <c r="AF160" s="21">
        <v>3.0108</v>
      </c>
      <c r="AG160" s="22">
        <f>IFERROR(__xludf.DUMMYFUNCTION("IFERROR(GOOGLEFINANCE(B160,""price""),"""")"),5.9)</f>
        <v>5.9</v>
      </c>
      <c r="AH160" s="22"/>
      <c r="AI160" s="22"/>
      <c r="AJ160" s="22"/>
      <c r="AK160" s="22"/>
      <c r="AL160" s="22"/>
      <c r="AM160" s="22"/>
      <c r="AN160" s="22"/>
    </row>
    <row r="161">
      <c r="A161" s="7">
        <v>46050.64965458646</v>
      </c>
      <c r="B161" s="8" t="s">
        <v>5057</v>
      </c>
      <c r="C161" s="8" t="s">
        <v>5058</v>
      </c>
      <c r="D161" s="9">
        <v>46054.0</v>
      </c>
      <c r="E161" s="10">
        <v>196.4</v>
      </c>
      <c r="F161" s="8" t="s">
        <v>102</v>
      </c>
      <c r="G161" s="11">
        <v>0.92</v>
      </c>
      <c r="H161" s="8" t="s">
        <v>4862</v>
      </c>
      <c r="I161" s="11">
        <v>48.0662</v>
      </c>
      <c r="J161" s="11">
        <v>66.6526</v>
      </c>
      <c r="K161" s="13">
        <v>1.6264</v>
      </c>
      <c r="L161" s="8" t="s">
        <v>5059</v>
      </c>
      <c r="M161" s="11">
        <v>0.7955</v>
      </c>
      <c r="N161" s="12">
        <v>1152927.0</v>
      </c>
      <c r="O161" s="13">
        <v>198.79</v>
      </c>
      <c r="P161" s="13">
        <v>193.69</v>
      </c>
      <c r="Q161" s="13">
        <v>194.36</v>
      </c>
      <c r="R161" s="13">
        <v>3.7401</v>
      </c>
      <c r="S161" s="13">
        <v>8.173</v>
      </c>
      <c r="T161" s="13">
        <v>780634.2</v>
      </c>
      <c r="U161" s="12">
        <v>1.4700429278E10</v>
      </c>
      <c r="V161" s="11">
        <v>76.7101</v>
      </c>
      <c r="W161" s="13">
        <v>77.7077</v>
      </c>
      <c r="X161" s="13">
        <v>180.2664</v>
      </c>
      <c r="Y161" s="13">
        <v>178.9722</v>
      </c>
      <c r="Z161" s="13">
        <v>194.8388</v>
      </c>
      <c r="AA161" s="13">
        <v>189.9544</v>
      </c>
      <c r="AB161" s="13">
        <v>186.1396</v>
      </c>
      <c r="AC161" s="13">
        <v>181.9312</v>
      </c>
      <c r="AD161" s="13">
        <v>178.4584</v>
      </c>
      <c r="AE161" s="13">
        <v>226.045</v>
      </c>
      <c r="AF161" s="13">
        <v>13.1146</v>
      </c>
      <c r="AG161" s="14">
        <f>IFERROR(__xludf.DUMMYFUNCTION("IFERROR(GOOGLEFINANCE(B161,""price""),"""")"),201.09)</f>
        <v>201.09</v>
      </c>
      <c r="AH161" s="14"/>
      <c r="AI161" s="14"/>
      <c r="AJ161" s="14"/>
      <c r="AK161" s="14"/>
      <c r="AL161" s="14"/>
      <c r="AM161" s="14"/>
      <c r="AN161" s="14"/>
    </row>
    <row r="162">
      <c r="A162" s="15">
        <v>46050.64965458646</v>
      </c>
      <c r="B162" s="16" t="s">
        <v>1396</v>
      </c>
      <c r="C162" s="16" t="s">
        <v>1397</v>
      </c>
      <c r="D162" s="17">
        <v>46054.0</v>
      </c>
      <c r="E162" s="18">
        <v>98.71</v>
      </c>
      <c r="F162" s="16" t="s">
        <v>93</v>
      </c>
      <c r="G162" s="19">
        <v>0.92</v>
      </c>
      <c r="H162" s="16" t="s">
        <v>4841</v>
      </c>
      <c r="I162" s="19">
        <v>21.5851</v>
      </c>
      <c r="J162" s="19">
        <v>54.6172</v>
      </c>
      <c r="K162" s="21">
        <v>1.3078</v>
      </c>
      <c r="L162" s="16" t="s">
        <v>1398</v>
      </c>
      <c r="M162" s="19">
        <v>0.2132</v>
      </c>
      <c r="N162" s="20">
        <v>3925017.0</v>
      </c>
      <c r="O162" s="21">
        <v>99.335</v>
      </c>
      <c r="P162" s="21">
        <v>97.88</v>
      </c>
      <c r="Q162" s="21">
        <v>98.43</v>
      </c>
      <c r="R162" s="21">
        <v>1.7025</v>
      </c>
      <c r="S162" s="21">
        <v>3.6959</v>
      </c>
      <c r="T162" s="16">
        <v>3084126.0</v>
      </c>
      <c r="U162" s="20">
        <v>5.6362958142E10</v>
      </c>
      <c r="V162" s="19">
        <v>33.7272</v>
      </c>
      <c r="W162" s="21">
        <v>35.7006</v>
      </c>
      <c r="X162" s="21">
        <v>94.486</v>
      </c>
      <c r="Y162" s="21">
        <v>89.2048</v>
      </c>
      <c r="Z162" s="21">
        <v>98.7575</v>
      </c>
      <c r="AA162" s="21">
        <v>98.2029</v>
      </c>
      <c r="AB162" s="21">
        <v>96.9708</v>
      </c>
      <c r="AC162" s="21">
        <v>95.3111</v>
      </c>
      <c r="AD162" s="21">
        <v>93.5407</v>
      </c>
      <c r="AE162" s="21">
        <v>101.785</v>
      </c>
      <c r="AF162" s="21">
        <v>3.0211</v>
      </c>
      <c r="AG162" s="22">
        <f>IFERROR(__xludf.DUMMYFUNCTION("IFERROR(GOOGLEFINANCE(B162,""price""),"""")"),83.16)</f>
        <v>83.16</v>
      </c>
      <c r="AH162" s="22"/>
      <c r="AI162" s="22"/>
      <c r="AJ162" s="22"/>
      <c r="AK162" s="22"/>
      <c r="AL162" s="22"/>
      <c r="AM162" s="22"/>
      <c r="AN162" s="22"/>
    </row>
    <row r="163">
      <c r="A163" s="7">
        <v>46050.64965458646</v>
      </c>
      <c r="B163" s="8" t="s">
        <v>1378</v>
      </c>
      <c r="C163" s="8" t="s">
        <v>1379</v>
      </c>
      <c r="D163" s="9">
        <v>46054.0</v>
      </c>
      <c r="E163" s="10">
        <v>21.11</v>
      </c>
      <c r="F163" s="8" t="s">
        <v>93</v>
      </c>
      <c r="G163" s="11">
        <v>0.92</v>
      </c>
      <c r="H163" s="8" t="s">
        <v>5060</v>
      </c>
      <c r="I163" s="11">
        <v>22.9914</v>
      </c>
      <c r="J163" s="11">
        <v>63.1108</v>
      </c>
      <c r="K163" s="13">
        <v>3.7049</v>
      </c>
      <c r="L163" s="8" t="s">
        <v>1380</v>
      </c>
      <c r="M163" s="11">
        <v>0.476</v>
      </c>
      <c r="N163" s="12">
        <v>1104130.0</v>
      </c>
      <c r="O163" s="13">
        <v>21.78</v>
      </c>
      <c r="P163" s="13">
        <v>20.99</v>
      </c>
      <c r="Q163" s="13">
        <v>21.06</v>
      </c>
      <c r="R163" s="13">
        <v>0.5454</v>
      </c>
      <c r="S163" s="13">
        <v>1.1912</v>
      </c>
      <c r="T163" s="13">
        <v>394414.9</v>
      </c>
      <c r="U163" s="12">
        <v>9.00403307E8</v>
      </c>
      <c r="V163" s="11">
        <v>71.3586</v>
      </c>
      <c r="W163" s="13">
        <v>66.8581</v>
      </c>
      <c r="X163" s="13">
        <v>20.1586</v>
      </c>
      <c r="Y163" s="13">
        <v>18.7815</v>
      </c>
      <c r="Z163" s="13">
        <v>20.5895</v>
      </c>
      <c r="AA163" s="13">
        <v>20.333</v>
      </c>
      <c r="AB163" s="13">
        <v>20.1874</v>
      </c>
      <c r="AC163" s="13">
        <v>19.9088</v>
      </c>
      <c r="AD163" s="13">
        <v>19.5163</v>
      </c>
      <c r="AE163" s="13">
        <v>21.78</v>
      </c>
      <c r="AF163" s="13">
        <v>3.0762</v>
      </c>
      <c r="AG163" s="14">
        <f>IFERROR(__xludf.DUMMYFUNCTION("IFERROR(GOOGLEFINANCE(B163,""price""),"""")"),22.4)</f>
        <v>22.4</v>
      </c>
      <c r="AH163" s="14"/>
      <c r="AI163" s="14"/>
      <c r="AJ163" s="14"/>
      <c r="AK163" s="14"/>
      <c r="AL163" s="14"/>
      <c r="AM163" s="14"/>
      <c r="AN163" s="14"/>
    </row>
    <row r="164">
      <c r="A164" s="15">
        <v>46050.64965458646</v>
      </c>
      <c r="B164" s="16" t="s">
        <v>1322</v>
      </c>
      <c r="C164" s="16" t="s">
        <v>1323</v>
      </c>
      <c r="D164" s="17">
        <v>46054.0</v>
      </c>
      <c r="E164" s="18">
        <v>12.27</v>
      </c>
      <c r="F164" s="16" t="s">
        <v>93</v>
      </c>
      <c r="G164" s="19">
        <v>0.93</v>
      </c>
      <c r="H164" s="16" t="s">
        <v>4920</v>
      </c>
      <c r="I164" s="19">
        <v>26.4572</v>
      </c>
      <c r="J164" s="19">
        <v>57.6661</v>
      </c>
      <c r="K164" s="21">
        <v>1.5384</v>
      </c>
      <c r="L164" s="16" t="s">
        <v>1324</v>
      </c>
      <c r="M164" s="19">
        <v>-0.1627</v>
      </c>
      <c r="N164" s="20">
        <v>1.1355612E7</v>
      </c>
      <c r="O164" s="21">
        <v>12.5</v>
      </c>
      <c r="P164" s="21">
        <v>12.15</v>
      </c>
      <c r="Q164" s="21">
        <v>12.3</v>
      </c>
      <c r="R164" s="21">
        <v>0.3023</v>
      </c>
      <c r="S164" s="21">
        <v>0.6502</v>
      </c>
      <c r="T164" s="16">
        <v>8064856.0</v>
      </c>
      <c r="U164" s="20">
        <v>6.842188289E9</v>
      </c>
      <c r="V164" s="19">
        <v>58.6047</v>
      </c>
      <c r="W164" s="21">
        <v>52.45</v>
      </c>
      <c r="X164" s="21">
        <v>11.6759</v>
      </c>
      <c r="Y164" s="21">
        <v>10.5747</v>
      </c>
      <c r="Z164" s="21">
        <v>12.1421</v>
      </c>
      <c r="AA164" s="21">
        <v>12.0026</v>
      </c>
      <c r="AB164" s="21">
        <v>11.8696</v>
      </c>
      <c r="AC164" s="21">
        <v>11.6481</v>
      </c>
      <c r="AD164" s="21">
        <v>11.3174</v>
      </c>
      <c r="AE164" s="21">
        <v>12.675</v>
      </c>
      <c r="AF164" s="21">
        <v>3.1953</v>
      </c>
      <c r="AG164" s="22">
        <f>IFERROR(__xludf.DUMMYFUNCTION("IFERROR(GOOGLEFINANCE(B164,""price""),"""")"),13.06)</f>
        <v>13.06</v>
      </c>
      <c r="AH164" s="22"/>
      <c r="AI164" s="22"/>
      <c r="AJ164" s="22"/>
      <c r="AK164" s="22"/>
      <c r="AL164" s="22"/>
      <c r="AM164" s="22"/>
      <c r="AN164" s="22"/>
    </row>
    <row r="165">
      <c r="A165" s="7">
        <v>46050.64965458646</v>
      </c>
      <c r="B165" s="8" t="s">
        <v>1506</v>
      </c>
      <c r="C165" s="8" t="s">
        <v>1507</v>
      </c>
      <c r="D165" s="9">
        <v>46054.0</v>
      </c>
      <c r="E165" s="10">
        <v>34.17</v>
      </c>
      <c r="F165" s="8" t="s">
        <v>186</v>
      </c>
      <c r="G165" s="11">
        <v>0.93</v>
      </c>
      <c r="H165" s="8" t="s">
        <v>4915</v>
      </c>
      <c r="I165" s="11">
        <v>22.8826</v>
      </c>
      <c r="J165" s="11">
        <v>49.5036</v>
      </c>
      <c r="K165" s="13">
        <v>1.8565</v>
      </c>
      <c r="L165" s="8" t="s">
        <v>1508</v>
      </c>
      <c r="M165" s="11">
        <v>-0.1753</v>
      </c>
      <c r="N165" s="12">
        <v>1543137.0</v>
      </c>
      <c r="O165" s="13">
        <v>34.74</v>
      </c>
      <c r="P165" s="13">
        <v>33.93</v>
      </c>
      <c r="Q165" s="13">
        <v>34.37</v>
      </c>
      <c r="R165" s="13">
        <v>0.8678</v>
      </c>
      <c r="S165" s="13">
        <v>1.8592</v>
      </c>
      <c r="T165" s="13">
        <v>924717.6</v>
      </c>
      <c r="U165" s="12">
        <v>5.035603989E9</v>
      </c>
      <c r="V165" s="11">
        <v>18.1119</v>
      </c>
      <c r="W165" s="13">
        <v>32.9204</v>
      </c>
      <c r="X165" s="13">
        <v>32.9085</v>
      </c>
      <c r="Y165" s="13">
        <v>28.1008</v>
      </c>
      <c r="Z165" s="13">
        <v>34.6548</v>
      </c>
      <c r="AA165" s="13">
        <v>34.4739</v>
      </c>
      <c r="AB165" s="13">
        <v>33.9233</v>
      </c>
      <c r="AC165" s="13">
        <v>33.0235</v>
      </c>
      <c r="AD165" s="13">
        <v>31.677</v>
      </c>
      <c r="AE165" s="13">
        <v>36.34</v>
      </c>
      <c r="AF165" s="13">
        <v>5.9714</v>
      </c>
      <c r="AG165" s="14">
        <f>IFERROR(__xludf.DUMMYFUNCTION("IFERROR(GOOGLEFINANCE(B165,""price""),"""")"),32.91)</f>
        <v>32.91</v>
      </c>
      <c r="AH165" s="14"/>
      <c r="AI165" s="14"/>
      <c r="AJ165" s="14"/>
      <c r="AK165" s="14"/>
      <c r="AL165" s="14"/>
      <c r="AM165" s="14"/>
      <c r="AN165" s="14"/>
    </row>
    <row r="166">
      <c r="A166" s="15">
        <v>46050.64965458646</v>
      </c>
      <c r="B166" s="16" t="s">
        <v>4987</v>
      </c>
      <c r="C166" s="16" t="s">
        <v>4988</v>
      </c>
      <c r="D166" s="17">
        <v>46054.0</v>
      </c>
      <c r="E166" s="18">
        <v>19.57</v>
      </c>
      <c r="F166" s="16" t="s">
        <v>93</v>
      </c>
      <c r="G166" s="19">
        <v>0.93</v>
      </c>
      <c r="H166" s="16" t="s">
        <v>4978</v>
      </c>
      <c r="I166" s="19">
        <v>21.1895</v>
      </c>
      <c r="J166" s="19">
        <v>46.3754</v>
      </c>
      <c r="K166" s="21">
        <v>2.7831</v>
      </c>
      <c r="L166" s="16" t="s">
        <v>4989</v>
      </c>
      <c r="M166" s="19">
        <v>-5.9587</v>
      </c>
      <c r="N166" s="20">
        <v>4884796.0</v>
      </c>
      <c r="O166" s="21">
        <v>20.76</v>
      </c>
      <c r="P166" s="21">
        <v>19.45</v>
      </c>
      <c r="Q166" s="21">
        <v>20.7</v>
      </c>
      <c r="R166" s="21">
        <v>0.8391</v>
      </c>
      <c r="S166" s="21">
        <v>1.8028</v>
      </c>
      <c r="T166" s="16">
        <v>2063724.0</v>
      </c>
      <c r="U166" s="20">
        <v>2.256449071E9</v>
      </c>
      <c r="V166" s="19">
        <v>56.939</v>
      </c>
      <c r="W166" s="21">
        <v>73.1545</v>
      </c>
      <c r="X166" s="21">
        <v>19.165</v>
      </c>
      <c r="Y166" s="21">
        <v>16.3283</v>
      </c>
      <c r="Z166" s="21">
        <v>20.5279</v>
      </c>
      <c r="AA166" s="21">
        <v>20.225</v>
      </c>
      <c r="AB166" s="21">
        <v>19.8383</v>
      </c>
      <c r="AC166" s="21">
        <v>19.237</v>
      </c>
      <c r="AD166" s="21">
        <v>18.3553</v>
      </c>
      <c r="AE166" s="21">
        <v>21.67</v>
      </c>
      <c r="AF166" s="21">
        <v>9.6908</v>
      </c>
      <c r="AG166" s="22">
        <f>IFERROR(__xludf.DUMMYFUNCTION("IFERROR(GOOGLEFINANCE(B166,""price""),"""")"),14.77)</f>
        <v>14.77</v>
      </c>
      <c r="AH166" s="22"/>
      <c r="AI166" s="22"/>
      <c r="AJ166" s="22"/>
      <c r="AK166" s="22"/>
      <c r="AL166" s="22"/>
      <c r="AM166" s="22"/>
      <c r="AN166" s="22"/>
    </row>
    <row r="167">
      <c r="A167" s="7">
        <v>46050.64965458646</v>
      </c>
      <c r="B167" s="8" t="s">
        <v>5061</v>
      </c>
      <c r="C167" s="8" t="s">
        <v>5062</v>
      </c>
      <c r="D167" s="9">
        <v>46054.0</v>
      </c>
      <c r="E167" s="10">
        <v>8.39</v>
      </c>
      <c r="F167" s="8" t="s">
        <v>270</v>
      </c>
      <c r="G167" s="11">
        <v>0.93</v>
      </c>
      <c r="H167" s="8" t="s">
        <v>4848</v>
      </c>
      <c r="I167" s="11">
        <v>36.1733</v>
      </c>
      <c r="J167" s="11">
        <v>67.0812</v>
      </c>
      <c r="K167" s="13">
        <v>1.4479</v>
      </c>
      <c r="L167" s="8" t="s">
        <v>5063</v>
      </c>
      <c r="M167" s="11">
        <v>-2.3283</v>
      </c>
      <c r="N167" s="12">
        <v>1118894.0</v>
      </c>
      <c r="O167" s="13">
        <v>8.69</v>
      </c>
      <c r="P167" s="13">
        <v>8.235</v>
      </c>
      <c r="Q167" s="13">
        <v>8.63</v>
      </c>
      <c r="R167" s="13">
        <v>0.2853</v>
      </c>
      <c r="S167" s="13">
        <v>0.6127</v>
      </c>
      <c r="T167" s="13">
        <v>796831.9</v>
      </c>
      <c r="U167" s="12">
        <v>5.01265318E8</v>
      </c>
      <c r="V167" s="11">
        <v>73.1561</v>
      </c>
      <c r="W167" s="13">
        <v>78.0624</v>
      </c>
      <c r="X167" s="13">
        <v>7.1309</v>
      </c>
      <c r="Y167" s="13">
        <v>6.1685</v>
      </c>
      <c r="Z167" s="13">
        <v>8.3712</v>
      </c>
      <c r="AA167" s="13">
        <v>7.964</v>
      </c>
      <c r="AB167" s="13">
        <v>7.6429</v>
      </c>
      <c r="AC167" s="13">
        <v>7.2763</v>
      </c>
      <c r="AD167" s="13">
        <v>6.8694</v>
      </c>
      <c r="AE167" s="13">
        <v>8.86</v>
      </c>
      <c r="AF167" s="13">
        <v>5.3047</v>
      </c>
      <c r="AG167" s="14">
        <f>IFERROR(__xludf.DUMMYFUNCTION("IFERROR(GOOGLEFINANCE(B167,""price""),"""")"),11.55)</f>
        <v>11.55</v>
      </c>
      <c r="AH167" s="14"/>
      <c r="AI167" s="14"/>
      <c r="AJ167" s="14"/>
      <c r="AK167" s="14"/>
      <c r="AL167" s="14"/>
      <c r="AM167" s="14"/>
      <c r="AN167" s="14"/>
    </row>
    <row r="168">
      <c r="A168" s="15">
        <v>46050.64965458646</v>
      </c>
      <c r="B168" s="16" t="s">
        <v>5064</v>
      </c>
      <c r="C168" s="16" t="s">
        <v>5065</v>
      </c>
      <c r="D168" s="17">
        <v>46054.0</v>
      </c>
      <c r="E168" s="18">
        <v>51.26</v>
      </c>
      <c r="F168" s="16" t="s">
        <v>917</v>
      </c>
      <c r="G168" s="19">
        <v>0.93</v>
      </c>
      <c r="H168" s="16" t="s">
        <v>4848</v>
      </c>
      <c r="I168" s="19">
        <v>28.9232</v>
      </c>
      <c r="J168" s="19">
        <v>50.5008</v>
      </c>
      <c r="K168" s="21">
        <v>1.4</v>
      </c>
      <c r="L168" s="16" t="s">
        <v>5066</v>
      </c>
      <c r="M168" s="19">
        <v>-2.1569</v>
      </c>
      <c r="N168" s="20">
        <v>454198.0</v>
      </c>
      <c r="O168" s="21">
        <v>52.7685</v>
      </c>
      <c r="P168" s="21">
        <v>50.99</v>
      </c>
      <c r="Q168" s="21">
        <v>52.65</v>
      </c>
      <c r="R168" s="21">
        <v>1.209</v>
      </c>
      <c r="S168" s="21">
        <v>2.6138</v>
      </c>
      <c r="T168" s="21">
        <v>336171.8</v>
      </c>
      <c r="U168" s="20">
        <v>1.835368792E9</v>
      </c>
      <c r="V168" s="19">
        <v>46.5549</v>
      </c>
      <c r="W168" s="21">
        <v>55.7085</v>
      </c>
      <c r="X168" s="21">
        <v>49.2112</v>
      </c>
      <c r="Y168" s="21">
        <v>50.3664</v>
      </c>
      <c r="Z168" s="21">
        <v>52.2473</v>
      </c>
      <c r="AA168" s="21">
        <v>51.5732</v>
      </c>
      <c r="AB168" s="21">
        <v>50.8151</v>
      </c>
      <c r="AC168" s="21">
        <v>50.0941</v>
      </c>
      <c r="AD168" s="21">
        <v>49.723</v>
      </c>
      <c r="AE168" s="21">
        <v>57.17</v>
      </c>
      <c r="AF168" s="21">
        <v>10.3376</v>
      </c>
      <c r="AG168" s="22">
        <f>IFERROR(__xludf.DUMMYFUNCTION("IFERROR(GOOGLEFINANCE(B168,""price""),"""")"),59.67)</f>
        <v>59.67</v>
      </c>
      <c r="AH168" s="22"/>
      <c r="AI168" s="22"/>
      <c r="AJ168" s="22"/>
      <c r="AK168" s="22"/>
      <c r="AL168" s="22"/>
      <c r="AM168" s="22"/>
      <c r="AN168" s="22"/>
    </row>
    <row r="169">
      <c r="A169" s="7">
        <v>46050.64965458646</v>
      </c>
      <c r="B169" s="8" t="s">
        <v>5067</v>
      </c>
      <c r="C169" s="8" t="s">
        <v>5068</v>
      </c>
      <c r="D169" s="9">
        <v>46054.0</v>
      </c>
      <c r="E169" s="10">
        <v>84.17</v>
      </c>
      <c r="F169" s="8" t="s">
        <v>102</v>
      </c>
      <c r="G169" s="11">
        <v>0.94</v>
      </c>
      <c r="H169" s="8" t="s">
        <v>4920</v>
      </c>
      <c r="I169" s="11">
        <v>48.1574</v>
      </c>
      <c r="J169" s="11">
        <v>55.562</v>
      </c>
      <c r="K169" s="13">
        <v>1.5285</v>
      </c>
      <c r="L169" s="8" t="s">
        <v>5069</v>
      </c>
      <c r="M169" s="11">
        <v>-1.8655</v>
      </c>
      <c r="N169" s="12">
        <v>1418647.0</v>
      </c>
      <c r="O169" s="13">
        <v>86.45</v>
      </c>
      <c r="P169" s="13">
        <v>83.845</v>
      </c>
      <c r="Q169" s="13">
        <v>86.04</v>
      </c>
      <c r="R169" s="13">
        <v>2.4398</v>
      </c>
      <c r="S169" s="13">
        <v>5.204</v>
      </c>
      <c r="T169" s="13">
        <v>962329.4</v>
      </c>
      <c r="U169" s="12">
        <v>5.474129614E9</v>
      </c>
      <c r="V169" s="11">
        <v>37.1887</v>
      </c>
      <c r="W169" s="13">
        <v>59.0713</v>
      </c>
      <c r="X169" s="13">
        <v>75.7724</v>
      </c>
      <c r="Y169" s="13">
        <v>68.509</v>
      </c>
      <c r="Z169" s="13">
        <v>85.8441</v>
      </c>
      <c r="AA169" s="13">
        <v>83.6719</v>
      </c>
      <c r="AB169" s="13">
        <v>80.8531</v>
      </c>
      <c r="AC169" s="13">
        <v>77.2948</v>
      </c>
      <c r="AD169" s="13">
        <v>73.435</v>
      </c>
      <c r="AE169" s="13">
        <v>89.61</v>
      </c>
      <c r="AF169" s="13">
        <v>6.0708</v>
      </c>
      <c r="AG169" s="14">
        <f>IFERROR(__xludf.DUMMYFUNCTION("IFERROR(GOOGLEFINANCE(B169,""price""),"""")"),77.06)</f>
        <v>77.06</v>
      </c>
      <c r="AH169" s="14"/>
      <c r="AI169" s="14"/>
      <c r="AJ169" s="14"/>
      <c r="AK169" s="14"/>
      <c r="AL169" s="14"/>
      <c r="AM169" s="14"/>
      <c r="AN169" s="14"/>
    </row>
    <row r="170">
      <c r="A170" s="15">
        <v>46050.64965458646</v>
      </c>
      <c r="B170" s="16" t="s">
        <v>4994</v>
      </c>
      <c r="C170" s="16" t="s">
        <v>4995</v>
      </c>
      <c r="D170" s="17">
        <v>46054.0</v>
      </c>
      <c r="E170" s="18">
        <v>34.55</v>
      </c>
      <c r="F170" s="16" t="s">
        <v>308</v>
      </c>
      <c r="G170" s="19">
        <v>0.94</v>
      </c>
      <c r="H170" s="16" t="s">
        <v>4915</v>
      </c>
      <c r="I170" s="19">
        <v>33.863</v>
      </c>
      <c r="J170" s="19">
        <v>68.4111</v>
      </c>
      <c r="K170" s="21">
        <v>1.9347</v>
      </c>
      <c r="L170" s="16" t="s">
        <v>4996</v>
      </c>
      <c r="M170" s="19">
        <v>5.7869</v>
      </c>
      <c r="N170" s="20">
        <v>4798559.0</v>
      </c>
      <c r="O170" s="21">
        <v>35.39</v>
      </c>
      <c r="P170" s="21">
        <v>33.485</v>
      </c>
      <c r="Q170" s="21">
        <v>33.68</v>
      </c>
      <c r="R170" s="21">
        <v>1.4813</v>
      </c>
      <c r="S170" s="21">
        <v>3.1513</v>
      </c>
      <c r="T170" s="16">
        <v>2821181.0</v>
      </c>
      <c r="U170" s="20">
        <v>6.395863115E9</v>
      </c>
      <c r="V170" s="19">
        <v>68.8716</v>
      </c>
      <c r="W170" s="21">
        <v>70.087</v>
      </c>
      <c r="X170" s="21">
        <v>28.3769</v>
      </c>
      <c r="Y170" s="21">
        <v>28.5859</v>
      </c>
      <c r="Z170" s="21">
        <v>33.0893</v>
      </c>
      <c r="AA170" s="21">
        <v>31.5052</v>
      </c>
      <c r="AB170" s="21">
        <v>30.4684</v>
      </c>
      <c r="AC170" s="21">
        <v>29.7</v>
      </c>
      <c r="AD170" s="21">
        <v>29.3053</v>
      </c>
      <c r="AE170" s="21">
        <v>38.45</v>
      </c>
      <c r="AF170" s="21">
        <v>10.143</v>
      </c>
      <c r="AG170" s="22">
        <f>IFERROR(__xludf.DUMMYFUNCTION("IFERROR(GOOGLEFINANCE(B170,""price""),"""")"),37.5)</f>
        <v>37.5</v>
      </c>
      <c r="AH170" s="22"/>
      <c r="AI170" s="22"/>
      <c r="AJ170" s="22"/>
      <c r="AK170" s="22"/>
      <c r="AL170" s="22"/>
      <c r="AM170" s="22"/>
      <c r="AN170" s="22"/>
    </row>
    <row r="171">
      <c r="A171" s="7">
        <v>46050.64965458646</v>
      </c>
      <c r="B171" s="8" t="s">
        <v>4990</v>
      </c>
      <c r="C171" s="8" t="s">
        <v>4991</v>
      </c>
      <c r="D171" s="9">
        <v>46054.0</v>
      </c>
      <c r="E171" s="10">
        <v>31.59</v>
      </c>
      <c r="F171" s="8" t="s">
        <v>162</v>
      </c>
      <c r="G171" s="11">
        <v>0.94</v>
      </c>
      <c r="H171" s="8" t="s">
        <v>5070</v>
      </c>
      <c r="I171" s="11">
        <v>48.6927</v>
      </c>
      <c r="J171" s="11">
        <v>56.2381</v>
      </c>
      <c r="K171" s="13">
        <v>4.8191</v>
      </c>
      <c r="L171" s="8" t="s">
        <v>4993</v>
      </c>
      <c r="M171" s="11">
        <v>-4.6196</v>
      </c>
      <c r="N171" s="12">
        <v>2.2633737E7</v>
      </c>
      <c r="O171" s="13">
        <v>32.18</v>
      </c>
      <c r="P171" s="13">
        <v>31.54</v>
      </c>
      <c r="Q171" s="13">
        <v>31.94</v>
      </c>
      <c r="R171" s="13">
        <v>0.9266</v>
      </c>
      <c r="S171" s="13">
        <v>1.9796</v>
      </c>
      <c r="T171" s="8">
        <v>6743642.0</v>
      </c>
      <c r="U171" s="12">
        <v>1.056591471E10</v>
      </c>
      <c r="V171" s="11">
        <v>55.1863</v>
      </c>
      <c r="W171" s="13">
        <v>61.7655</v>
      </c>
      <c r="X171" s="13">
        <v>28.5978</v>
      </c>
      <c r="Y171" s="13">
        <v>28.2265</v>
      </c>
      <c r="Z171" s="13">
        <v>32.284</v>
      </c>
      <c r="AA171" s="13">
        <v>31.3296</v>
      </c>
      <c r="AB171" s="13">
        <v>30.4426</v>
      </c>
      <c r="AC171" s="13">
        <v>29.555</v>
      </c>
      <c r="AD171" s="13">
        <v>28.8889</v>
      </c>
      <c r="AE171" s="13">
        <v>34.48</v>
      </c>
      <c r="AF171" s="13">
        <v>8.3817</v>
      </c>
      <c r="AG171" s="14">
        <f>IFERROR(__xludf.DUMMYFUNCTION("IFERROR(GOOGLEFINANCE(B171,""price""),"""")"),27.15)</f>
        <v>27.15</v>
      </c>
      <c r="AH171" s="14"/>
      <c r="AI171" s="14"/>
      <c r="AJ171" s="14"/>
      <c r="AK171" s="14"/>
      <c r="AL171" s="14"/>
      <c r="AM171" s="14"/>
      <c r="AN171" s="14"/>
    </row>
    <row r="172">
      <c r="A172" s="15">
        <v>46050.64965458646</v>
      </c>
      <c r="B172" s="16" t="s">
        <v>1372</v>
      </c>
      <c r="C172" s="16" t="s">
        <v>1373</v>
      </c>
      <c r="D172" s="17">
        <v>46054.0</v>
      </c>
      <c r="E172" s="18">
        <v>142.64</v>
      </c>
      <c r="F172" s="16" t="s">
        <v>93</v>
      </c>
      <c r="G172" s="19">
        <v>0.94</v>
      </c>
      <c r="H172" s="16" t="s">
        <v>4844</v>
      </c>
      <c r="I172" s="19">
        <v>21.0262</v>
      </c>
      <c r="J172" s="19">
        <v>48.5133</v>
      </c>
      <c r="K172" s="21">
        <v>1.8402</v>
      </c>
      <c r="L172" s="16" t="s">
        <v>1374</v>
      </c>
      <c r="M172" s="19">
        <v>-0.848</v>
      </c>
      <c r="N172" s="20">
        <v>1601167.0</v>
      </c>
      <c r="O172" s="21">
        <v>144.36</v>
      </c>
      <c r="P172" s="21">
        <v>142.225</v>
      </c>
      <c r="Q172" s="21">
        <v>143.96</v>
      </c>
      <c r="R172" s="21">
        <v>2.3197</v>
      </c>
      <c r="S172" s="21">
        <v>4.9145</v>
      </c>
      <c r="T172" s="21">
        <v>919101.5</v>
      </c>
      <c r="U172" s="20">
        <v>2.5185454059E10</v>
      </c>
      <c r="V172" s="19">
        <v>27.3333</v>
      </c>
      <c r="W172" s="21">
        <v>33.3428</v>
      </c>
      <c r="X172" s="21">
        <v>140.7288</v>
      </c>
      <c r="Y172" s="21">
        <v>124.6522</v>
      </c>
      <c r="Z172" s="21">
        <v>143.5779</v>
      </c>
      <c r="AA172" s="21">
        <v>143.5001</v>
      </c>
      <c r="AB172" s="21">
        <v>142.3043</v>
      </c>
      <c r="AC172" s="21">
        <v>139.6196</v>
      </c>
      <c r="AD172" s="21">
        <v>135.3221</v>
      </c>
      <c r="AE172" s="21">
        <v>149.24</v>
      </c>
      <c r="AF172" s="21">
        <v>4.4224</v>
      </c>
      <c r="AG172" s="22">
        <f>IFERROR(__xludf.DUMMYFUNCTION("IFERROR(GOOGLEFINANCE(B172,""price""),"""")"),145.53)</f>
        <v>145.53</v>
      </c>
      <c r="AH172" s="22"/>
      <c r="AI172" s="22"/>
      <c r="AJ172" s="22"/>
      <c r="AK172" s="22"/>
      <c r="AL172" s="22"/>
      <c r="AM172" s="22"/>
      <c r="AN172" s="22"/>
    </row>
    <row r="173">
      <c r="A173" s="7">
        <v>46050.64965458646</v>
      </c>
      <c r="B173" s="8" t="s">
        <v>4850</v>
      </c>
      <c r="C173" s="8" t="s">
        <v>4851</v>
      </c>
      <c r="D173" s="9">
        <v>46054.0</v>
      </c>
      <c r="E173" s="10">
        <v>95.16</v>
      </c>
      <c r="F173" s="8" t="s">
        <v>149</v>
      </c>
      <c r="G173" s="11">
        <v>0.95</v>
      </c>
      <c r="H173" s="8" t="s">
        <v>4919</v>
      </c>
      <c r="I173" s="11">
        <v>33.4997</v>
      </c>
      <c r="J173" s="11">
        <v>63.2542</v>
      </c>
      <c r="K173" s="13">
        <v>2.1405</v>
      </c>
      <c r="L173" s="8" t="s">
        <v>4852</v>
      </c>
      <c r="M173" s="11">
        <v>-0.585</v>
      </c>
      <c r="N173" s="12">
        <v>2.5684029E7</v>
      </c>
      <c r="O173" s="13">
        <v>104.82</v>
      </c>
      <c r="P173" s="13">
        <v>95.1</v>
      </c>
      <c r="Q173" s="13">
        <v>102.3</v>
      </c>
      <c r="R173" s="13">
        <v>2.8077</v>
      </c>
      <c r="S173" s="13">
        <v>5.8919</v>
      </c>
      <c r="T173" s="8">
        <v>1.4011099E7</v>
      </c>
      <c r="U173" s="12">
        <v>1.08412181387E11</v>
      </c>
      <c r="V173" s="11">
        <v>72.7471</v>
      </c>
      <c r="W173" s="13">
        <v>84.0494</v>
      </c>
      <c r="X173" s="13">
        <v>87.4812</v>
      </c>
      <c r="Y173" s="13">
        <v>88.5136</v>
      </c>
      <c r="Z173" s="13">
        <v>94.9548</v>
      </c>
      <c r="AA173" s="13">
        <v>91.9837</v>
      </c>
      <c r="AB173" s="13">
        <v>90.1762</v>
      </c>
      <c r="AC173" s="13">
        <v>88.6506</v>
      </c>
      <c r="AD173" s="13">
        <v>87.8329</v>
      </c>
      <c r="AE173" s="13">
        <v>117.46</v>
      </c>
      <c r="AF173" s="13">
        <v>18.9852</v>
      </c>
      <c r="AG173" s="14">
        <f>IFERROR(__xludf.DUMMYFUNCTION("IFERROR(GOOGLEFINANCE(B173,""price""),"""")"),96.6)</f>
        <v>96.6</v>
      </c>
      <c r="AH173" s="14"/>
      <c r="AI173" s="14"/>
      <c r="AJ173" s="14"/>
      <c r="AK173" s="14"/>
      <c r="AL173" s="14"/>
      <c r="AM173" s="14"/>
      <c r="AN173" s="14"/>
    </row>
    <row r="174">
      <c r="A174" s="15">
        <v>46050.64965458646</v>
      </c>
      <c r="B174" s="16" t="s">
        <v>5071</v>
      </c>
      <c r="C174" s="16" t="s">
        <v>5072</v>
      </c>
      <c r="D174" s="17">
        <v>46054.0</v>
      </c>
      <c r="E174" s="18">
        <v>29.89</v>
      </c>
      <c r="F174" s="16" t="s">
        <v>107</v>
      </c>
      <c r="G174" s="19">
        <v>0.95</v>
      </c>
      <c r="H174" s="16" t="s">
        <v>4864</v>
      </c>
      <c r="I174" s="19">
        <v>29.8678</v>
      </c>
      <c r="J174" s="19">
        <v>65.7475</v>
      </c>
      <c r="K174" s="21">
        <v>1.4832</v>
      </c>
      <c r="L174" s="16" t="s">
        <v>5073</v>
      </c>
      <c r="M174" s="19">
        <v>2.0485</v>
      </c>
      <c r="N174" s="20">
        <v>2622909.0</v>
      </c>
      <c r="O174" s="21">
        <v>30.21</v>
      </c>
      <c r="P174" s="21">
        <v>29.35</v>
      </c>
      <c r="Q174" s="21">
        <v>29.53</v>
      </c>
      <c r="R174" s="21">
        <v>0.8064</v>
      </c>
      <c r="S174" s="21">
        <v>1.6897</v>
      </c>
      <c r="T174" s="16">
        <v>1908656.0</v>
      </c>
      <c r="U174" s="20">
        <v>7.23337749E9</v>
      </c>
      <c r="V174" s="19">
        <v>85.2651</v>
      </c>
      <c r="W174" s="21">
        <v>81.6387</v>
      </c>
      <c r="X174" s="21">
        <v>26.6138</v>
      </c>
      <c r="Y174" s="21">
        <v>25.6119</v>
      </c>
      <c r="Z174" s="21">
        <v>29.1633</v>
      </c>
      <c r="AA174" s="21">
        <v>28.2412</v>
      </c>
      <c r="AB174" s="21">
        <v>27.6609</v>
      </c>
      <c r="AC174" s="21">
        <v>27.1157</v>
      </c>
      <c r="AD174" s="21">
        <v>26.5535</v>
      </c>
      <c r="AE174" s="21">
        <v>30.21</v>
      </c>
      <c r="AF174" s="21">
        <v>1.0593</v>
      </c>
      <c r="AG174" s="22">
        <f>IFERROR(__xludf.DUMMYFUNCTION("IFERROR(GOOGLEFINANCE(B174,""price""),"""")"),37.59)</f>
        <v>37.59</v>
      </c>
      <c r="AH174" s="22"/>
      <c r="AI174" s="22"/>
      <c r="AJ174" s="22"/>
      <c r="AK174" s="22"/>
      <c r="AL174" s="22"/>
      <c r="AM174" s="22"/>
      <c r="AN174" s="22"/>
    </row>
    <row r="175">
      <c r="A175" s="7">
        <v>46050.64965458646</v>
      </c>
      <c r="B175" s="8" t="s">
        <v>4997</v>
      </c>
      <c r="C175" s="8" t="s">
        <v>4998</v>
      </c>
      <c r="D175" s="9">
        <v>46054.0</v>
      </c>
      <c r="E175" s="10">
        <v>916.27</v>
      </c>
      <c r="F175" s="8" t="s">
        <v>102</v>
      </c>
      <c r="G175" s="11">
        <v>0.95</v>
      </c>
      <c r="H175" s="8" t="s">
        <v>4919</v>
      </c>
      <c r="I175" s="11">
        <v>32.28</v>
      </c>
      <c r="J175" s="11">
        <v>51.5544</v>
      </c>
      <c r="K175" s="13">
        <v>2.0819</v>
      </c>
      <c r="L175" s="8" t="s">
        <v>4999</v>
      </c>
      <c r="M175" s="11">
        <v>-1.0476</v>
      </c>
      <c r="N175" s="12">
        <v>1292072.0</v>
      </c>
      <c r="O175" s="13">
        <v>926.3925</v>
      </c>
      <c r="P175" s="13">
        <v>911.4</v>
      </c>
      <c r="Q175" s="13">
        <v>922.25</v>
      </c>
      <c r="R175" s="13">
        <v>16.7088</v>
      </c>
      <c r="S175" s="13">
        <v>35.3568</v>
      </c>
      <c r="T175" s="13">
        <v>697758.5</v>
      </c>
      <c r="U175" s="12">
        <v>1.15621082955E11</v>
      </c>
      <c r="V175" s="11">
        <v>46.4927</v>
      </c>
      <c r="W175" s="13">
        <v>55.9957</v>
      </c>
      <c r="X175" s="13">
        <v>887.3146</v>
      </c>
      <c r="Y175" s="13">
        <v>779.7849</v>
      </c>
      <c r="Z175" s="13">
        <v>928.2573</v>
      </c>
      <c r="AA175" s="13">
        <v>919.1934</v>
      </c>
      <c r="AB175" s="13">
        <v>904.8373</v>
      </c>
      <c r="AC175" s="13">
        <v>881.7713</v>
      </c>
      <c r="AD175" s="13">
        <v>849.8899</v>
      </c>
      <c r="AE175" s="13">
        <v>954.302</v>
      </c>
      <c r="AF175" s="13">
        <v>3.9853</v>
      </c>
      <c r="AG175" s="14">
        <f>IFERROR(__xludf.DUMMYFUNCTION("IFERROR(GOOGLEFINANCE(B175,""price""),"""")"),984.23)</f>
        <v>984.23</v>
      </c>
      <c r="AH175" s="14"/>
      <c r="AI175" s="14"/>
      <c r="AJ175" s="14"/>
      <c r="AK175" s="14"/>
      <c r="AL175" s="14"/>
      <c r="AM175" s="14"/>
      <c r="AN175" s="14"/>
    </row>
    <row r="176">
      <c r="A176" s="15">
        <v>46050.64965458646</v>
      </c>
      <c r="B176" s="16" t="s">
        <v>4899</v>
      </c>
      <c r="C176" s="16" t="s">
        <v>4900</v>
      </c>
      <c r="D176" s="17">
        <v>46054.0</v>
      </c>
      <c r="E176" s="18">
        <v>80.23</v>
      </c>
      <c r="F176" s="16" t="s">
        <v>308</v>
      </c>
      <c r="G176" s="19">
        <v>0.95</v>
      </c>
      <c r="H176" s="16" t="s">
        <v>4975</v>
      </c>
      <c r="I176" s="19">
        <v>23.6615</v>
      </c>
      <c r="J176" s="19">
        <v>52.0141</v>
      </c>
      <c r="K176" s="21">
        <v>2.3976</v>
      </c>
      <c r="L176" s="16" t="s">
        <v>4901</v>
      </c>
      <c r="M176" s="19">
        <v>-1.6428</v>
      </c>
      <c r="N176" s="20">
        <v>2621203.0</v>
      </c>
      <c r="O176" s="21">
        <v>82.3</v>
      </c>
      <c r="P176" s="21">
        <v>80.08</v>
      </c>
      <c r="Q176" s="21">
        <v>81.74</v>
      </c>
      <c r="R176" s="21">
        <v>1.9394</v>
      </c>
      <c r="S176" s="21">
        <v>4.1031</v>
      </c>
      <c r="T176" s="16">
        <v>1270732.0</v>
      </c>
      <c r="U176" s="20">
        <v>6.386779175E9</v>
      </c>
      <c r="V176" s="19">
        <v>50.7855</v>
      </c>
      <c r="W176" s="21">
        <v>69.0358</v>
      </c>
      <c r="X176" s="21">
        <v>76.7768</v>
      </c>
      <c r="Y176" s="21">
        <v>67.999</v>
      </c>
      <c r="Z176" s="21">
        <v>81.8108</v>
      </c>
      <c r="AA176" s="21">
        <v>80.4392</v>
      </c>
      <c r="AB176" s="21">
        <v>78.8048</v>
      </c>
      <c r="AC176" s="21">
        <v>76.4628</v>
      </c>
      <c r="AD176" s="21">
        <v>73.39</v>
      </c>
      <c r="AE176" s="21">
        <v>84.64</v>
      </c>
      <c r="AF176" s="21">
        <v>5.2103</v>
      </c>
      <c r="AG176" s="22">
        <f>IFERROR(__xludf.DUMMYFUNCTION("IFERROR(GOOGLEFINANCE(B176,""price""),"""")"),83.59)</f>
        <v>83.59</v>
      </c>
      <c r="AH176" s="22"/>
      <c r="AI176" s="22"/>
      <c r="AJ176" s="22"/>
      <c r="AK176" s="22"/>
      <c r="AL176" s="22"/>
      <c r="AM176" s="22"/>
      <c r="AN176" s="22"/>
    </row>
    <row r="177">
      <c r="A177" s="7">
        <v>46050.64965458646</v>
      </c>
      <c r="B177" s="8" t="s">
        <v>1375</v>
      </c>
      <c r="C177" s="8" t="s">
        <v>1376</v>
      </c>
      <c r="D177" s="9">
        <v>46054.0</v>
      </c>
      <c r="E177" s="10">
        <v>72.83</v>
      </c>
      <c r="F177" s="8" t="s">
        <v>117</v>
      </c>
      <c r="G177" s="11">
        <v>0.95</v>
      </c>
      <c r="H177" s="8" t="s">
        <v>4858</v>
      </c>
      <c r="I177" s="11">
        <v>26.367</v>
      </c>
      <c r="J177" s="11">
        <v>58.7467</v>
      </c>
      <c r="K177" s="13">
        <v>1.9913</v>
      </c>
      <c r="L177" s="8" t="s">
        <v>1377</v>
      </c>
      <c r="M177" s="11">
        <v>3.7169</v>
      </c>
      <c r="N177" s="12">
        <v>2541414.0</v>
      </c>
      <c r="O177" s="13">
        <v>73.21</v>
      </c>
      <c r="P177" s="13">
        <v>70.1</v>
      </c>
      <c r="Q177" s="13">
        <v>70.95</v>
      </c>
      <c r="R177" s="13">
        <v>2.1575</v>
      </c>
      <c r="S177" s="13">
        <v>4.5519</v>
      </c>
      <c r="T177" s="8">
        <v>1433175.0</v>
      </c>
      <c r="U177" s="12">
        <v>8.564589668E9</v>
      </c>
      <c r="V177" s="11">
        <v>31.7402</v>
      </c>
      <c r="W177" s="13">
        <v>22.056</v>
      </c>
      <c r="X177" s="13">
        <v>68.8424</v>
      </c>
      <c r="Y177" s="13">
        <v>65.2497</v>
      </c>
      <c r="Z177" s="13">
        <v>71.109</v>
      </c>
      <c r="AA177" s="13">
        <v>70.5891</v>
      </c>
      <c r="AB177" s="13">
        <v>69.9589</v>
      </c>
      <c r="AC177" s="13">
        <v>69.3419</v>
      </c>
      <c r="AD177" s="13">
        <v>68.4932</v>
      </c>
      <c r="AE177" s="13">
        <v>79.5</v>
      </c>
      <c r="AF177" s="13">
        <v>8.3899</v>
      </c>
      <c r="AG177" s="14">
        <f>IFERROR(__xludf.DUMMYFUNCTION("IFERROR(GOOGLEFINANCE(B177,""price""),"""")"),67.82)</f>
        <v>67.82</v>
      </c>
      <c r="AH177" s="14"/>
      <c r="AI177" s="14"/>
      <c r="AJ177" s="14"/>
      <c r="AK177" s="14"/>
      <c r="AL177" s="14"/>
      <c r="AM177" s="14"/>
      <c r="AN177" s="14"/>
    </row>
    <row r="178">
      <c r="A178" s="15">
        <v>46050.64965458646</v>
      </c>
      <c r="B178" s="16" t="s">
        <v>5074</v>
      </c>
      <c r="C178" s="16" t="s">
        <v>5075</v>
      </c>
      <c r="D178" s="17">
        <v>46054.0</v>
      </c>
      <c r="E178" s="18">
        <v>140.99</v>
      </c>
      <c r="F178" s="16" t="s">
        <v>117</v>
      </c>
      <c r="G178" s="19">
        <v>0.95</v>
      </c>
      <c r="H178" s="16" t="s">
        <v>4848</v>
      </c>
      <c r="I178" s="19">
        <v>27.5186</v>
      </c>
      <c r="J178" s="19">
        <v>57.7417</v>
      </c>
      <c r="K178" s="21">
        <v>1.4303</v>
      </c>
      <c r="L178" s="16" t="s">
        <v>5076</v>
      </c>
      <c r="M178" s="19">
        <v>1.8052</v>
      </c>
      <c r="N178" s="20">
        <v>1205484.0</v>
      </c>
      <c r="O178" s="21">
        <v>145.74</v>
      </c>
      <c r="P178" s="21">
        <v>135.32</v>
      </c>
      <c r="Q178" s="21">
        <v>139.03</v>
      </c>
      <c r="R178" s="21">
        <v>6.9856</v>
      </c>
      <c r="S178" s="21">
        <v>14.7573</v>
      </c>
      <c r="T178" s="21">
        <v>803539.9</v>
      </c>
      <c r="U178" s="20">
        <v>4.818238136E9</v>
      </c>
      <c r="V178" s="19">
        <v>45.177</v>
      </c>
      <c r="W178" s="21">
        <v>46.8926</v>
      </c>
      <c r="X178" s="21">
        <v>132.7706</v>
      </c>
      <c r="Y178" s="21">
        <v>120.2236</v>
      </c>
      <c r="Z178" s="21">
        <v>138.7962</v>
      </c>
      <c r="AA178" s="21">
        <v>136.2499</v>
      </c>
      <c r="AB178" s="21">
        <v>134.2752</v>
      </c>
      <c r="AC178" s="21">
        <v>131.8072</v>
      </c>
      <c r="AD178" s="21">
        <v>128.494</v>
      </c>
      <c r="AE178" s="21">
        <v>156.0</v>
      </c>
      <c r="AF178" s="21">
        <v>9.6218</v>
      </c>
      <c r="AG178" s="22">
        <f>IFERROR(__xludf.DUMMYFUNCTION("IFERROR(GOOGLEFINANCE(B178,""price""),"""")"),114.0)</f>
        <v>114</v>
      </c>
      <c r="AH178" s="22"/>
      <c r="AI178" s="22"/>
      <c r="AJ178" s="22"/>
      <c r="AK178" s="22"/>
      <c r="AL178" s="22"/>
      <c r="AM178" s="22"/>
      <c r="AN178" s="22"/>
    </row>
    <row r="179">
      <c r="A179" s="7">
        <v>46050.64965458646</v>
      </c>
      <c r="B179" s="8" t="s">
        <v>4946</v>
      </c>
      <c r="C179" s="8" t="s">
        <v>4947</v>
      </c>
      <c r="D179" s="9">
        <v>46054.0</v>
      </c>
      <c r="E179" s="10">
        <v>23.9</v>
      </c>
      <c r="F179" s="8" t="s">
        <v>186</v>
      </c>
      <c r="G179" s="11">
        <v>0.96</v>
      </c>
      <c r="H179" s="8" t="s">
        <v>4915</v>
      </c>
      <c r="I179" s="11">
        <v>36.4307</v>
      </c>
      <c r="J179" s="11">
        <v>56.8571</v>
      </c>
      <c r="K179" s="13">
        <v>1.8646</v>
      </c>
      <c r="L179" s="8" t="s">
        <v>4948</v>
      </c>
      <c r="M179" s="11">
        <v>-2.0492</v>
      </c>
      <c r="N179" s="12">
        <v>891775.0</v>
      </c>
      <c r="O179" s="13">
        <v>24.8099</v>
      </c>
      <c r="P179" s="13">
        <v>23.89</v>
      </c>
      <c r="Q179" s="13">
        <v>24.65</v>
      </c>
      <c r="R179" s="13">
        <v>0.7019</v>
      </c>
      <c r="S179" s="13">
        <v>1.4695</v>
      </c>
      <c r="T179" s="13">
        <v>513716.1</v>
      </c>
      <c r="U179" s="12">
        <v>1.075683146E9</v>
      </c>
      <c r="V179" s="11">
        <v>71.5994</v>
      </c>
      <c r="W179" s="13">
        <v>76.628</v>
      </c>
      <c r="X179" s="13">
        <v>22.0654</v>
      </c>
      <c r="Y179" s="13">
        <v>19.8805</v>
      </c>
      <c r="Z179" s="13">
        <v>24.128</v>
      </c>
      <c r="AA179" s="13">
        <v>23.5507</v>
      </c>
      <c r="AB179" s="13">
        <v>22.972</v>
      </c>
      <c r="AC179" s="13">
        <v>22.1961</v>
      </c>
      <c r="AD179" s="13">
        <v>21.2669</v>
      </c>
      <c r="AE179" s="13">
        <v>25.1</v>
      </c>
      <c r="AF179" s="13">
        <v>4.7809</v>
      </c>
      <c r="AG179" s="14">
        <f>IFERROR(__xludf.DUMMYFUNCTION("IFERROR(GOOGLEFINANCE(B179,""price""),"""")"),28.11)</f>
        <v>28.11</v>
      </c>
      <c r="AH179" s="14"/>
      <c r="AI179" s="14"/>
      <c r="AJ179" s="14"/>
      <c r="AK179" s="14"/>
      <c r="AL179" s="14"/>
      <c r="AM179" s="14"/>
      <c r="AN179" s="14"/>
    </row>
    <row r="180">
      <c r="A180" s="15">
        <v>46050.64965458646</v>
      </c>
      <c r="B180" s="16" t="s">
        <v>5077</v>
      </c>
      <c r="C180" s="16" t="s">
        <v>5078</v>
      </c>
      <c r="D180" s="17">
        <v>46054.0</v>
      </c>
      <c r="E180" s="18">
        <v>43.39</v>
      </c>
      <c r="F180" s="16" t="s">
        <v>286</v>
      </c>
      <c r="G180" s="19">
        <v>0.96</v>
      </c>
      <c r="H180" s="16" t="s">
        <v>4862</v>
      </c>
      <c r="I180" s="19">
        <v>27.0365</v>
      </c>
      <c r="J180" s="19">
        <v>45.6099</v>
      </c>
      <c r="K180" s="21">
        <v>1.5787</v>
      </c>
      <c r="L180" s="16" t="s">
        <v>5079</v>
      </c>
      <c r="M180" s="19">
        <v>-1.3639</v>
      </c>
      <c r="N180" s="20">
        <v>1789826.0</v>
      </c>
      <c r="O180" s="21">
        <v>44.75</v>
      </c>
      <c r="P180" s="21">
        <v>42.9</v>
      </c>
      <c r="Q180" s="21">
        <v>44.21</v>
      </c>
      <c r="R180" s="21">
        <v>1.3685</v>
      </c>
      <c r="S180" s="21">
        <v>2.8479</v>
      </c>
      <c r="T180" s="16">
        <v>1244248.0</v>
      </c>
      <c r="U180" s="20">
        <v>3.152627968E9</v>
      </c>
      <c r="V180" s="19">
        <v>32.6431</v>
      </c>
      <c r="W180" s="21">
        <v>53.5805</v>
      </c>
      <c r="X180" s="21">
        <v>42.9695</v>
      </c>
      <c r="Y180" s="21">
        <v>36.2493</v>
      </c>
      <c r="Z180" s="21">
        <v>44.6607</v>
      </c>
      <c r="AA180" s="21">
        <v>44.4124</v>
      </c>
      <c r="AB180" s="21">
        <v>43.6584</v>
      </c>
      <c r="AC180" s="21">
        <v>42.142</v>
      </c>
      <c r="AD180" s="21">
        <v>39.8044</v>
      </c>
      <c r="AE180" s="21">
        <v>46.55</v>
      </c>
      <c r="AF180" s="21">
        <v>6.7884</v>
      </c>
      <c r="AG180" s="22">
        <f>IFERROR(__xludf.DUMMYFUNCTION("IFERROR(GOOGLEFINANCE(B180,""price""),"""")"),37.97)</f>
        <v>37.97</v>
      </c>
      <c r="AH180" s="22"/>
      <c r="AI180" s="22"/>
      <c r="AJ180" s="22"/>
      <c r="AK180" s="22"/>
      <c r="AL180" s="22"/>
      <c r="AM180" s="22"/>
      <c r="AN180" s="22"/>
    </row>
    <row r="181">
      <c r="A181" s="7">
        <v>46050.64965458646</v>
      </c>
      <c r="B181" s="8" t="s">
        <v>5000</v>
      </c>
      <c r="C181" s="8" t="s">
        <v>5001</v>
      </c>
      <c r="D181" s="9">
        <v>46054.0</v>
      </c>
      <c r="E181" s="10">
        <v>14.99</v>
      </c>
      <c r="F181" s="8" t="s">
        <v>1119</v>
      </c>
      <c r="G181" s="11">
        <v>0.96</v>
      </c>
      <c r="H181" s="8" t="s">
        <v>4915</v>
      </c>
      <c r="I181" s="11">
        <v>29.0395</v>
      </c>
      <c r="J181" s="11">
        <v>72.074</v>
      </c>
      <c r="K181" s="13">
        <v>1.9074</v>
      </c>
      <c r="L181" s="8" t="s">
        <v>5002</v>
      </c>
      <c r="M181" s="11">
        <v>1.6271</v>
      </c>
      <c r="N181" s="12">
        <v>601268.0</v>
      </c>
      <c r="O181" s="13">
        <v>15.0599</v>
      </c>
      <c r="P181" s="13">
        <v>14.7</v>
      </c>
      <c r="Q181" s="13">
        <v>14.75</v>
      </c>
      <c r="R181" s="13">
        <v>0.2832</v>
      </c>
      <c r="S181" s="13">
        <v>0.5929</v>
      </c>
      <c r="T181" s="13">
        <v>344029.7</v>
      </c>
      <c r="U181" s="12">
        <v>3.175817549E9</v>
      </c>
      <c r="V181" s="11">
        <v>92.4937</v>
      </c>
      <c r="W181" s="13">
        <v>90.8214</v>
      </c>
      <c r="X181" s="13">
        <v>13.987</v>
      </c>
      <c r="Y181" s="13">
        <v>13.6762</v>
      </c>
      <c r="Z181" s="13">
        <v>14.5962</v>
      </c>
      <c r="AA181" s="13">
        <v>14.2385</v>
      </c>
      <c r="AB181" s="13">
        <v>14.0755</v>
      </c>
      <c r="AC181" s="13">
        <v>13.8945</v>
      </c>
      <c r="AD181" s="13">
        <v>13.7057</v>
      </c>
      <c r="AE181" s="13">
        <v>15.52</v>
      </c>
      <c r="AF181" s="13">
        <v>3.4149</v>
      </c>
      <c r="AG181" s="14">
        <f>IFERROR(__xludf.DUMMYFUNCTION("IFERROR(GOOGLEFINANCE(B181,""price""),"""")"),14.08)</f>
        <v>14.08</v>
      </c>
      <c r="AH181" s="14"/>
      <c r="AI181" s="14"/>
      <c r="AJ181" s="14"/>
      <c r="AK181" s="14"/>
      <c r="AL181" s="14"/>
      <c r="AM181" s="14"/>
      <c r="AN181" s="14"/>
    </row>
    <row r="182">
      <c r="A182" s="15">
        <v>46050.64965458646</v>
      </c>
      <c r="B182" s="16" t="s">
        <v>5080</v>
      </c>
      <c r="C182" s="16" t="s">
        <v>5081</v>
      </c>
      <c r="D182" s="17">
        <v>46054.0</v>
      </c>
      <c r="E182" s="18">
        <v>60.96</v>
      </c>
      <c r="F182" s="16" t="s">
        <v>162</v>
      </c>
      <c r="G182" s="19">
        <v>0.96</v>
      </c>
      <c r="H182" s="16" t="s">
        <v>4920</v>
      </c>
      <c r="I182" s="19">
        <v>33.9115</v>
      </c>
      <c r="J182" s="19">
        <v>61.9093</v>
      </c>
      <c r="K182" s="21">
        <v>1.5252</v>
      </c>
      <c r="L182" s="16" t="s">
        <v>5082</v>
      </c>
      <c r="M182" s="19">
        <v>-3.8789</v>
      </c>
      <c r="N182" s="20">
        <v>1010301.0</v>
      </c>
      <c r="O182" s="21">
        <v>64.8771</v>
      </c>
      <c r="P182" s="21">
        <v>59.57</v>
      </c>
      <c r="Q182" s="21">
        <v>64.31</v>
      </c>
      <c r="R182" s="21">
        <v>2.4628</v>
      </c>
      <c r="S182" s="21">
        <v>5.1342</v>
      </c>
      <c r="T182" s="21">
        <v>717378.9</v>
      </c>
      <c r="U182" s="20">
        <v>3.02136991E9</v>
      </c>
      <c r="V182" s="19">
        <v>84.1305</v>
      </c>
      <c r="W182" s="21">
        <v>87.3391</v>
      </c>
      <c r="X182" s="21">
        <v>55.4434</v>
      </c>
      <c r="Y182" s="21">
        <v>53.9154</v>
      </c>
      <c r="Z182" s="21">
        <v>60.2634</v>
      </c>
      <c r="AA182" s="21">
        <v>57.7422</v>
      </c>
      <c r="AB182" s="21">
        <v>56.5641</v>
      </c>
      <c r="AC182" s="21">
        <v>55.6148</v>
      </c>
      <c r="AD182" s="21">
        <v>54.6934</v>
      </c>
      <c r="AE182" s="21">
        <v>64.8771</v>
      </c>
      <c r="AF182" s="21">
        <v>6.0377</v>
      </c>
      <c r="AG182" s="22">
        <f>IFERROR(__xludf.DUMMYFUNCTION("IFERROR(GOOGLEFINANCE(B182,""price""),"""")"),86.1)</f>
        <v>86.1</v>
      </c>
      <c r="AH182" s="22"/>
      <c r="AI182" s="22"/>
      <c r="AJ182" s="22"/>
      <c r="AK182" s="22"/>
      <c r="AL182" s="22"/>
      <c r="AM182" s="22"/>
      <c r="AN182" s="22"/>
    </row>
    <row r="183">
      <c r="A183" s="7">
        <v>46050.64965458646</v>
      </c>
      <c r="B183" s="8" t="s">
        <v>1301</v>
      </c>
      <c r="C183" s="8" t="s">
        <v>1302</v>
      </c>
      <c r="D183" s="9">
        <v>46054.0</v>
      </c>
      <c r="E183" s="10">
        <v>66.5</v>
      </c>
      <c r="F183" s="8" t="s">
        <v>917</v>
      </c>
      <c r="G183" s="11">
        <v>0.97</v>
      </c>
      <c r="H183" s="8" t="s">
        <v>4868</v>
      </c>
      <c r="I183" s="11">
        <v>20.0177</v>
      </c>
      <c r="J183" s="11">
        <v>50.1464</v>
      </c>
      <c r="K183" s="13">
        <v>1.6623</v>
      </c>
      <c r="L183" s="8" t="s">
        <v>1303</v>
      </c>
      <c r="M183" s="11">
        <v>-1.3938</v>
      </c>
      <c r="N183" s="12">
        <v>872821.0</v>
      </c>
      <c r="O183" s="13">
        <v>67.63</v>
      </c>
      <c r="P183" s="13">
        <v>66.26</v>
      </c>
      <c r="Q183" s="13">
        <v>67.08</v>
      </c>
      <c r="R183" s="13">
        <v>1.4164</v>
      </c>
      <c r="S183" s="13">
        <v>2.9081</v>
      </c>
      <c r="T183" s="13">
        <v>581329.1</v>
      </c>
      <c r="U183" s="12">
        <v>4.083567523E9</v>
      </c>
      <c r="V183" s="11">
        <v>49.5092</v>
      </c>
      <c r="W183" s="13">
        <v>55.5282</v>
      </c>
      <c r="X183" s="13">
        <v>66.203</v>
      </c>
      <c r="Y183" s="13">
        <v>60.3574</v>
      </c>
      <c r="Z183" s="13">
        <v>67.0762</v>
      </c>
      <c r="AA183" s="13">
        <v>66.6814</v>
      </c>
      <c r="AB183" s="13">
        <v>66.216</v>
      </c>
      <c r="AC183" s="13">
        <v>65.3008</v>
      </c>
      <c r="AD183" s="13">
        <v>63.7493</v>
      </c>
      <c r="AE183" s="13">
        <v>69.23</v>
      </c>
      <c r="AF183" s="13">
        <v>3.9434</v>
      </c>
      <c r="AG183" s="14">
        <f>IFERROR(__xludf.DUMMYFUNCTION("IFERROR(GOOGLEFINANCE(B183,""price""),"""")"),70.61)</f>
        <v>70.61</v>
      </c>
      <c r="AH183" s="14"/>
      <c r="AI183" s="14"/>
      <c r="AJ183" s="14"/>
      <c r="AK183" s="14"/>
      <c r="AL183" s="14"/>
      <c r="AM183" s="14"/>
      <c r="AN183" s="14"/>
    </row>
    <row r="184">
      <c r="A184" s="15">
        <v>46050.64965458646</v>
      </c>
      <c r="B184" s="16" t="s">
        <v>5012</v>
      </c>
      <c r="C184" s="16" t="s">
        <v>5013</v>
      </c>
      <c r="D184" s="17">
        <v>46054.0</v>
      </c>
      <c r="E184" s="18">
        <v>113.96</v>
      </c>
      <c r="F184" s="16" t="s">
        <v>107</v>
      </c>
      <c r="G184" s="19">
        <v>0.97</v>
      </c>
      <c r="H184" s="16" t="s">
        <v>4975</v>
      </c>
      <c r="I184" s="19">
        <v>31.405</v>
      </c>
      <c r="J184" s="19">
        <v>66.7882</v>
      </c>
      <c r="K184" s="21">
        <v>2.428</v>
      </c>
      <c r="L184" s="16" t="s">
        <v>5014</v>
      </c>
      <c r="M184" s="19">
        <v>3.337</v>
      </c>
      <c r="N184" s="20">
        <v>5738218.0</v>
      </c>
      <c r="O184" s="21">
        <v>116.18</v>
      </c>
      <c r="P184" s="21">
        <v>112.07</v>
      </c>
      <c r="Q184" s="21">
        <v>114.89</v>
      </c>
      <c r="R184" s="21">
        <v>2.4221</v>
      </c>
      <c r="S184" s="21">
        <v>4.9736</v>
      </c>
      <c r="T184" s="16">
        <v>2749660.0</v>
      </c>
      <c r="U184" s="20">
        <v>2.5572623021E10</v>
      </c>
      <c r="V184" s="19">
        <v>77.9054</v>
      </c>
      <c r="W184" s="21">
        <v>80.731</v>
      </c>
      <c r="X184" s="21">
        <v>103.6762</v>
      </c>
      <c r="Y184" s="21">
        <v>107.6305</v>
      </c>
      <c r="Z184" s="21">
        <v>111.6207</v>
      </c>
      <c r="AA184" s="21">
        <v>108.8691</v>
      </c>
      <c r="AB184" s="21">
        <v>107.013</v>
      </c>
      <c r="AC184" s="21">
        <v>105.5266</v>
      </c>
      <c r="AD184" s="21">
        <v>105.1019</v>
      </c>
      <c r="AE184" s="21">
        <v>123.3</v>
      </c>
      <c r="AF184" s="21">
        <v>7.575</v>
      </c>
      <c r="AG184" s="22">
        <f>IFERROR(__xludf.DUMMYFUNCTION("IFERROR(GOOGLEFINANCE(B184,""price""),"""")"),110.33)</f>
        <v>110.33</v>
      </c>
      <c r="AH184" s="22"/>
      <c r="AI184" s="22"/>
      <c r="AJ184" s="22"/>
      <c r="AK184" s="22"/>
      <c r="AL184" s="22"/>
      <c r="AM184" s="22"/>
      <c r="AN184" s="22"/>
    </row>
    <row r="185">
      <c r="A185" s="7">
        <v>46050.64965458646</v>
      </c>
      <c r="B185" s="8" t="s">
        <v>5006</v>
      </c>
      <c r="C185" s="8" t="s">
        <v>5007</v>
      </c>
      <c r="D185" s="9">
        <v>46054.0</v>
      </c>
      <c r="E185" s="10">
        <v>8.77</v>
      </c>
      <c r="F185" s="8" t="s">
        <v>162</v>
      </c>
      <c r="G185" s="11">
        <v>0.97</v>
      </c>
      <c r="H185" s="8" t="s">
        <v>4868</v>
      </c>
      <c r="I185" s="11">
        <v>26.8457</v>
      </c>
      <c r="J185" s="11">
        <v>68.2374</v>
      </c>
      <c r="K185" s="13">
        <v>1.6929</v>
      </c>
      <c r="L185" s="8" t="s">
        <v>5008</v>
      </c>
      <c r="M185" s="11">
        <v>4.9043</v>
      </c>
      <c r="N185" s="12">
        <v>1988445.0</v>
      </c>
      <c r="O185" s="13">
        <v>8.77</v>
      </c>
      <c r="P185" s="13">
        <v>8.4</v>
      </c>
      <c r="Q185" s="13">
        <v>8.4</v>
      </c>
      <c r="R185" s="13">
        <v>0.2275</v>
      </c>
      <c r="S185" s="13">
        <v>0.4698</v>
      </c>
      <c r="T185" s="8">
        <v>1212790.0</v>
      </c>
      <c r="U185" s="12">
        <v>1.215190131E9</v>
      </c>
      <c r="V185" s="11">
        <v>68.8462</v>
      </c>
      <c r="W185" s="13">
        <v>64.1082</v>
      </c>
      <c r="X185" s="13">
        <v>8.1226</v>
      </c>
      <c r="Y185" s="13">
        <v>8.4102</v>
      </c>
      <c r="Z185" s="13">
        <v>8.4273</v>
      </c>
      <c r="AA185" s="13">
        <v>8.2723</v>
      </c>
      <c r="AB185" s="13">
        <v>8.1762</v>
      </c>
      <c r="AC185" s="13">
        <v>8.0912</v>
      </c>
      <c r="AD185" s="13">
        <v>8.0724</v>
      </c>
      <c r="AE185" s="13">
        <v>11.133</v>
      </c>
      <c r="AF185" s="13">
        <v>21.2252</v>
      </c>
      <c r="AG185" s="14">
        <f>IFERROR(__xludf.DUMMYFUNCTION("IFERROR(GOOGLEFINANCE(B185,""price""),"""")"),10.84)</f>
        <v>10.84</v>
      </c>
      <c r="AH185" s="14"/>
      <c r="AI185" s="14"/>
      <c r="AJ185" s="14"/>
      <c r="AK185" s="14"/>
      <c r="AL185" s="14"/>
      <c r="AM185" s="14"/>
      <c r="AN185" s="14"/>
    </row>
    <row r="186">
      <c r="A186" s="15">
        <v>46050.64965458646</v>
      </c>
      <c r="B186" s="16" t="s">
        <v>5009</v>
      </c>
      <c r="C186" s="16" t="s">
        <v>5010</v>
      </c>
      <c r="D186" s="17">
        <v>46054.0</v>
      </c>
      <c r="E186" s="18">
        <v>62.23</v>
      </c>
      <c r="F186" s="16" t="s">
        <v>93</v>
      </c>
      <c r="G186" s="19">
        <v>0.97</v>
      </c>
      <c r="H186" s="16" t="s">
        <v>4919</v>
      </c>
      <c r="I186" s="19">
        <v>21.2031</v>
      </c>
      <c r="J186" s="19">
        <v>69.1896</v>
      </c>
      <c r="K186" s="21">
        <v>2.126</v>
      </c>
      <c r="L186" s="16" t="s">
        <v>5011</v>
      </c>
      <c r="M186" s="19">
        <v>0.9081</v>
      </c>
      <c r="N186" s="20">
        <v>832950.0</v>
      </c>
      <c r="O186" s="21">
        <v>64.11</v>
      </c>
      <c r="P186" s="21">
        <v>61.5</v>
      </c>
      <c r="Q186" s="21">
        <v>62.46</v>
      </c>
      <c r="R186" s="21">
        <v>1.5915</v>
      </c>
      <c r="S186" s="21">
        <v>3.2689</v>
      </c>
      <c r="T186" s="21">
        <v>443646.2</v>
      </c>
      <c r="U186" s="20">
        <v>3.402484212E9</v>
      </c>
      <c r="V186" s="19">
        <v>76.7155</v>
      </c>
      <c r="W186" s="21">
        <v>70.2903</v>
      </c>
      <c r="X186" s="21">
        <v>56.601</v>
      </c>
      <c r="Y186" s="21">
        <v>55.04</v>
      </c>
      <c r="Z186" s="21">
        <v>59.4157</v>
      </c>
      <c r="AA186" s="21">
        <v>57.9474</v>
      </c>
      <c r="AB186" s="21">
        <v>57.3147</v>
      </c>
      <c r="AC186" s="21">
        <v>56.6875</v>
      </c>
      <c r="AD186" s="21">
        <v>56.1179</v>
      </c>
      <c r="AE186" s="21">
        <v>64.11</v>
      </c>
      <c r="AF186" s="21">
        <v>2.9325</v>
      </c>
      <c r="AG186" s="22">
        <f>IFERROR(__xludf.DUMMYFUNCTION("IFERROR(GOOGLEFINANCE(B186,""price""),"""")"),69.28)</f>
        <v>69.28</v>
      </c>
      <c r="AH186" s="22"/>
      <c r="AI186" s="22"/>
      <c r="AJ186" s="22"/>
      <c r="AK186" s="22"/>
      <c r="AL186" s="22"/>
      <c r="AM186" s="22"/>
      <c r="AN186" s="22"/>
    </row>
    <row r="187">
      <c r="A187" s="7">
        <v>46050.64965458646</v>
      </c>
      <c r="B187" s="8" t="s">
        <v>5003</v>
      </c>
      <c r="C187" s="8" t="s">
        <v>5004</v>
      </c>
      <c r="D187" s="9">
        <v>46054.0</v>
      </c>
      <c r="E187" s="10">
        <v>69.49</v>
      </c>
      <c r="F187" s="8" t="s">
        <v>102</v>
      </c>
      <c r="G187" s="11">
        <v>0.97</v>
      </c>
      <c r="H187" s="8" t="s">
        <v>4952</v>
      </c>
      <c r="I187" s="11">
        <v>22.2745</v>
      </c>
      <c r="J187" s="11">
        <v>47.837</v>
      </c>
      <c r="K187" s="13">
        <v>2.5752</v>
      </c>
      <c r="L187" s="8" t="s">
        <v>5005</v>
      </c>
      <c r="M187" s="11">
        <v>-1.628</v>
      </c>
      <c r="N187" s="12">
        <v>2821414.0</v>
      </c>
      <c r="O187" s="13">
        <v>70.7</v>
      </c>
      <c r="P187" s="13">
        <v>69.355</v>
      </c>
      <c r="Q187" s="13">
        <v>70.11</v>
      </c>
      <c r="R187" s="13">
        <v>1.5244</v>
      </c>
      <c r="S187" s="13">
        <v>3.1461</v>
      </c>
      <c r="T187" s="8">
        <v>1278670.0</v>
      </c>
      <c r="U187" s="12">
        <v>9.675635548E9</v>
      </c>
      <c r="V187" s="11">
        <v>55.1244</v>
      </c>
      <c r="W187" s="13">
        <v>69.0411</v>
      </c>
      <c r="X187" s="13">
        <v>68.082</v>
      </c>
      <c r="Y187" s="13">
        <v>69.3496</v>
      </c>
      <c r="Z187" s="13">
        <v>70.9648</v>
      </c>
      <c r="AA187" s="13">
        <v>70.3167</v>
      </c>
      <c r="AB187" s="13">
        <v>69.6474</v>
      </c>
      <c r="AC187" s="13">
        <v>69.1447</v>
      </c>
      <c r="AD187" s="13">
        <v>68.9446</v>
      </c>
      <c r="AE187" s="13">
        <v>77.31</v>
      </c>
      <c r="AF187" s="13">
        <v>10.1151</v>
      </c>
      <c r="AG187" s="14">
        <f>IFERROR(__xludf.DUMMYFUNCTION("IFERROR(GOOGLEFINANCE(B187,""price""),"""")"),65.92)</f>
        <v>65.92</v>
      </c>
      <c r="AH187" s="14"/>
      <c r="AI187" s="14"/>
      <c r="AJ187" s="14"/>
      <c r="AK187" s="14"/>
      <c r="AL187" s="14"/>
      <c r="AM187" s="14"/>
      <c r="AN187" s="14"/>
    </row>
    <row r="188">
      <c r="A188" s="15">
        <v>46050.64965458646</v>
      </c>
      <c r="B188" s="16" t="s">
        <v>5016</v>
      </c>
      <c r="C188" s="16" t="s">
        <v>5017</v>
      </c>
      <c r="D188" s="17">
        <v>46054.0</v>
      </c>
      <c r="E188" s="18">
        <v>159.26</v>
      </c>
      <c r="F188" s="16" t="s">
        <v>93</v>
      </c>
      <c r="G188" s="19">
        <v>0.98</v>
      </c>
      <c r="H188" s="16" t="s">
        <v>4962</v>
      </c>
      <c r="I188" s="19">
        <v>27.6808</v>
      </c>
      <c r="J188" s="19">
        <v>54.4139</v>
      </c>
      <c r="K188" s="21">
        <v>2.2211</v>
      </c>
      <c r="L188" s="16" t="s">
        <v>5018</v>
      </c>
      <c r="M188" s="19">
        <v>0.9892</v>
      </c>
      <c r="N188" s="20">
        <v>636489.0</v>
      </c>
      <c r="O188" s="21">
        <v>163.47</v>
      </c>
      <c r="P188" s="21">
        <v>153.7032</v>
      </c>
      <c r="Q188" s="21">
        <v>157.63</v>
      </c>
      <c r="R188" s="21">
        <v>5.1104</v>
      </c>
      <c r="S188" s="21">
        <v>10.4234</v>
      </c>
      <c r="T188" s="21">
        <v>324836.4</v>
      </c>
      <c r="U188" s="20">
        <v>3.937670981E9</v>
      </c>
      <c r="V188" s="19">
        <v>46.6774</v>
      </c>
      <c r="W188" s="21">
        <v>46.3615</v>
      </c>
      <c r="X188" s="21">
        <v>149.4012</v>
      </c>
      <c r="Y188" s="21">
        <v>124.4556</v>
      </c>
      <c r="Z188" s="21">
        <v>158.3817</v>
      </c>
      <c r="AA188" s="21">
        <v>157.8146</v>
      </c>
      <c r="AB188" s="21">
        <v>154.7329</v>
      </c>
      <c r="AC188" s="21">
        <v>148.7186</v>
      </c>
      <c r="AD188" s="21">
        <v>140.587</v>
      </c>
      <c r="AE188" s="21">
        <v>168.68</v>
      </c>
      <c r="AF188" s="21">
        <v>5.5845</v>
      </c>
      <c r="AG188" s="22">
        <f>IFERROR(__xludf.DUMMYFUNCTION("IFERROR(GOOGLEFINANCE(B188,""price""),"""")"),144.95)</f>
        <v>144.95</v>
      </c>
      <c r="AH188" s="22"/>
      <c r="AI188" s="22"/>
      <c r="AJ188" s="22"/>
      <c r="AK188" s="22"/>
      <c r="AL188" s="22"/>
      <c r="AM188" s="22"/>
      <c r="AN188" s="22"/>
    </row>
    <row r="189">
      <c r="A189" s="7">
        <v>46050.64965458646</v>
      </c>
      <c r="B189" s="8" t="s">
        <v>1359</v>
      </c>
      <c r="C189" s="8" t="s">
        <v>1360</v>
      </c>
      <c r="D189" s="9">
        <v>46054.0</v>
      </c>
      <c r="E189" s="10">
        <v>6.01</v>
      </c>
      <c r="F189" s="8" t="s">
        <v>93</v>
      </c>
      <c r="G189" s="11">
        <v>0.98</v>
      </c>
      <c r="H189" s="8" t="s">
        <v>4915</v>
      </c>
      <c r="I189" s="11">
        <v>21.7459</v>
      </c>
      <c r="J189" s="11">
        <v>46.9401</v>
      </c>
      <c r="K189" s="13">
        <v>1.8769</v>
      </c>
      <c r="L189" s="8" t="s">
        <v>1361</v>
      </c>
      <c r="M189" s="11">
        <v>-3.0645</v>
      </c>
      <c r="N189" s="12">
        <v>1531393.0</v>
      </c>
      <c r="O189" s="13">
        <v>6.22</v>
      </c>
      <c r="P189" s="13">
        <v>5.935</v>
      </c>
      <c r="Q189" s="13">
        <v>6.22</v>
      </c>
      <c r="R189" s="13">
        <v>0.2092</v>
      </c>
      <c r="S189" s="13">
        <v>0.4259</v>
      </c>
      <c r="T189" s="13">
        <v>944509.7</v>
      </c>
      <c r="U189" s="12">
        <v>4.98135226E8</v>
      </c>
      <c r="V189" s="11">
        <v>31.0256</v>
      </c>
      <c r="W189" s="13">
        <v>30.338</v>
      </c>
      <c r="X189" s="13">
        <v>5.89</v>
      </c>
      <c r="Y189" s="13">
        <v>5.7281</v>
      </c>
      <c r="Z189" s="13">
        <v>6.1377</v>
      </c>
      <c r="AA189" s="13">
        <v>6.1342</v>
      </c>
      <c r="AB189" s="13">
        <v>6.0617</v>
      </c>
      <c r="AC189" s="13">
        <v>5.9485</v>
      </c>
      <c r="AD189" s="13">
        <v>5.8252</v>
      </c>
      <c r="AE189" s="13">
        <v>6.535</v>
      </c>
      <c r="AF189" s="13">
        <v>8.0337</v>
      </c>
      <c r="AG189" s="14">
        <f>IFERROR(__xludf.DUMMYFUNCTION("IFERROR(GOOGLEFINANCE(B189,""price""),"""")"),5.9)</f>
        <v>5.9</v>
      </c>
      <c r="AH189" s="14"/>
      <c r="AI189" s="14"/>
      <c r="AJ189" s="14"/>
      <c r="AK189" s="14"/>
      <c r="AL189" s="14"/>
      <c r="AM189" s="14"/>
      <c r="AN189" s="14"/>
    </row>
    <row r="190">
      <c r="A190" s="15">
        <v>46050.64965458646</v>
      </c>
      <c r="B190" s="16" t="s">
        <v>4956</v>
      </c>
      <c r="C190" s="16" t="s">
        <v>4957</v>
      </c>
      <c r="D190" s="17">
        <v>46054.0</v>
      </c>
      <c r="E190" s="18">
        <v>10.66</v>
      </c>
      <c r="F190" s="16" t="s">
        <v>270</v>
      </c>
      <c r="G190" s="19">
        <v>0.98</v>
      </c>
      <c r="H190" s="16" t="s">
        <v>4844</v>
      </c>
      <c r="I190" s="19">
        <v>33.5534</v>
      </c>
      <c r="J190" s="19">
        <v>58.2932</v>
      </c>
      <c r="K190" s="21">
        <v>1.786</v>
      </c>
      <c r="L190" s="16" t="s">
        <v>4959</v>
      </c>
      <c r="M190" s="19">
        <v>-0.8372</v>
      </c>
      <c r="N190" s="20">
        <v>5316639.0</v>
      </c>
      <c r="O190" s="21">
        <v>11.0064</v>
      </c>
      <c r="P190" s="21">
        <v>10.15</v>
      </c>
      <c r="Q190" s="21">
        <v>10.94</v>
      </c>
      <c r="R190" s="21">
        <v>0.6089</v>
      </c>
      <c r="S190" s="21">
        <v>1.2485</v>
      </c>
      <c r="T190" s="16">
        <v>3272272.0</v>
      </c>
      <c r="U190" s="20">
        <v>1.108450015E9</v>
      </c>
      <c r="V190" s="19">
        <v>64.899</v>
      </c>
      <c r="W190" s="21">
        <v>69.5909</v>
      </c>
      <c r="X190" s="21">
        <v>9.9702</v>
      </c>
      <c r="Y190" s="21">
        <v>7.9812</v>
      </c>
      <c r="Z190" s="21">
        <v>10.6944</v>
      </c>
      <c r="AA190" s="21">
        <v>10.3116</v>
      </c>
      <c r="AB190" s="21">
        <v>10.0669</v>
      </c>
      <c r="AC190" s="21">
        <v>9.6347</v>
      </c>
      <c r="AD190" s="21">
        <v>8.9706</v>
      </c>
      <c r="AE190" s="21">
        <v>11.77</v>
      </c>
      <c r="AF190" s="21">
        <v>9.4308</v>
      </c>
      <c r="AG190" s="22">
        <f>IFERROR(__xludf.DUMMYFUNCTION("IFERROR(GOOGLEFINANCE(B190,""price""),"""")"),13.83)</f>
        <v>13.83</v>
      </c>
      <c r="AH190" s="22"/>
      <c r="AI190" s="22"/>
      <c r="AJ190" s="22"/>
      <c r="AK190" s="22"/>
      <c r="AL190" s="22"/>
      <c r="AM190" s="22"/>
      <c r="AN190" s="22"/>
    </row>
    <row r="191">
      <c r="A191" s="7">
        <v>46050.64965458646</v>
      </c>
      <c r="B191" s="8" t="s">
        <v>5083</v>
      </c>
      <c r="C191" s="8" t="s">
        <v>5084</v>
      </c>
      <c r="D191" s="9">
        <v>46054.0</v>
      </c>
      <c r="E191" s="10">
        <v>34.33</v>
      </c>
      <c r="F191" s="8" t="s">
        <v>162</v>
      </c>
      <c r="G191" s="11">
        <v>0.98</v>
      </c>
      <c r="H191" s="8" t="s">
        <v>4864</v>
      </c>
      <c r="I191" s="11">
        <v>39.8994</v>
      </c>
      <c r="J191" s="11">
        <v>63.3951</v>
      </c>
      <c r="K191" s="13">
        <v>1.4986</v>
      </c>
      <c r="L191" s="8" t="s">
        <v>5085</v>
      </c>
      <c r="M191" s="11">
        <v>3.9988</v>
      </c>
      <c r="N191" s="12">
        <v>1762520.0</v>
      </c>
      <c r="O191" s="13">
        <v>35.16</v>
      </c>
      <c r="P191" s="13">
        <v>33.255</v>
      </c>
      <c r="Q191" s="13">
        <v>33.59</v>
      </c>
      <c r="R191" s="13">
        <v>1.0383</v>
      </c>
      <c r="S191" s="13">
        <v>2.1279</v>
      </c>
      <c r="T191" s="8">
        <v>1292430.0</v>
      </c>
      <c r="U191" s="12">
        <v>2.053974597E9</v>
      </c>
      <c r="V191" s="11">
        <v>56.4191</v>
      </c>
      <c r="W191" s="13">
        <v>63.739</v>
      </c>
      <c r="X191" s="13">
        <v>29.8986</v>
      </c>
      <c r="Y191" s="13">
        <v>29.6168</v>
      </c>
      <c r="Z191" s="13">
        <v>33.5779</v>
      </c>
      <c r="AA191" s="13">
        <v>32.6783</v>
      </c>
      <c r="AB191" s="13">
        <v>31.7395</v>
      </c>
      <c r="AC191" s="13">
        <v>30.6428</v>
      </c>
      <c r="AD191" s="13">
        <v>29.7222</v>
      </c>
      <c r="AE191" s="13">
        <v>37.02</v>
      </c>
      <c r="AF191" s="13">
        <v>7.2663</v>
      </c>
      <c r="AG191" s="14">
        <f>IFERROR(__xludf.DUMMYFUNCTION("IFERROR(GOOGLEFINANCE(B191,""price""),"""")"),32.36)</f>
        <v>32.36</v>
      </c>
      <c r="AH191" s="14"/>
      <c r="AI191" s="14"/>
      <c r="AJ191" s="14"/>
      <c r="AK191" s="14"/>
      <c r="AL191" s="14"/>
      <c r="AM191" s="14"/>
      <c r="AN191" s="14"/>
    </row>
    <row r="192">
      <c r="A192" s="15">
        <v>46050.64965458646</v>
      </c>
      <c r="B192" s="16" t="s">
        <v>2742</v>
      </c>
      <c r="C192" s="16" t="s">
        <v>2743</v>
      </c>
      <c r="D192" s="17">
        <v>46054.0</v>
      </c>
      <c r="E192" s="18">
        <v>156.64</v>
      </c>
      <c r="F192" s="16" t="s">
        <v>149</v>
      </c>
      <c r="G192" s="19">
        <v>0.98</v>
      </c>
      <c r="H192" s="16" t="s">
        <v>5086</v>
      </c>
      <c r="I192" s="19">
        <v>24.6302</v>
      </c>
      <c r="J192" s="19">
        <v>52.0419</v>
      </c>
      <c r="K192" s="21">
        <v>2.9382</v>
      </c>
      <c r="L192" s="16" t="s">
        <v>2745</v>
      </c>
      <c r="M192" s="19">
        <v>-0.4132</v>
      </c>
      <c r="N192" s="20">
        <v>3339855.0</v>
      </c>
      <c r="O192" s="21">
        <v>168.48</v>
      </c>
      <c r="P192" s="21">
        <v>152.26</v>
      </c>
      <c r="Q192" s="21">
        <v>167.875</v>
      </c>
      <c r="R192" s="21">
        <v>6.8168</v>
      </c>
      <c r="S192" s="21">
        <v>13.874</v>
      </c>
      <c r="T192" s="16">
        <v>1390726.0</v>
      </c>
      <c r="U192" s="20">
        <v>6.959704967E9</v>
      </c>
      <c r="V192" s="19">
        <v>31.9728</v>
      </c>
      <c r="W192" s="21">
        <v>47.6094</v>
      </c>
      <c r="X192" s="21">
        <v>148.2646</v>
      </c>
      <c r="Y192" s="21">
        <v>142.4723</v>
      </c>
      <c r="Z192" s="21">
        <v>159.1585</v>
      </c>
      <c r="AA192" s="21">
        <v>157.0552</v>
      </c>
      <c r="AB192" s="21">
        <v>153.2922</v>
      </c>
      <c r="AC192" s="21">
        <v>148.8802</v>
      </c>
      <c r="AD192" s="21">
        <v>146.1278</v>
      </c>
      <c r="AE192" s="21">
        <v>192.215</v>
      </c>
      <c r="AF192" s="21">
        <v>18.5079</v>
      </c>
      <c r="AG192" s="22">
        <f>IFERROR(__xludf.DUMMYFUNCTION("IFERROR(GOOGLEFINANCE(B192,""price""),"""")"),155.13)</f>
        <v>155.13</v>
      </c>
      <c r="AH192" s="22"/>
      <c r="AI192" s="22"/>
      <c r="AJ192" s="22"/>
      <c r="AK192" s="22"/>
      <c r="AL192" s="22"/>
      <c r="AM192" s="22"/>
      <c r="AN192" s="22"/>
    </row>
    <row r="193">
      <c r="A193" s="7">
        <v>46050.64965458646</v>
      </c>
      <c r="B193" s="8" t="s">
        <v>1086</v>
      </c>
      <c r="C193" s="8" t="s">
        <v>1087</v>
      </c>
      <c r="D193" s="9">
        <v>46054.0</v>
      </c>
      <c r="E193" s="10">
        <v>17.6</v>
      </c>
      <c r="F193" s="8" t="s">
        <v>93</v>
      </c>
      <c r="G193" s="11">
        <v>0.98</v>
      </c>
      <c r="H193" s="8" t="s">
        <v>4862</v>
      </c>
      <c r="I193" s="11">
        <v>26.1975</v>
      </c>
      <c r="J193" s="11">
        <v>55.1602</v>
      </c>
      <c r="K193" s="13">
        <v>1.566</v>
      </c>
      <c r="L193" s="8" t="s">
        <v>1088</v>
      </c>
      <c r="M193" s="11">
        <v>-0.565</v>
      </c>
      <c r="N193" s="12">
        <v>914590.0</v>
      </c>
      <c r="O193" s="13">
        <v>18.41</v>
      </c>
      <c r="P193" s="13">
        <v>17.55</v>
      </c>
      <c r="Q193" s="13">
        <v>18.2</v>
      </c>
      <c r="R193" s="13">
        <v>0.4227</v>
      </c>
      <c r="S193" s="13">
        <v>0.8647</v>
      </c>
      <c r="T193" s="13">
        <v>631496.1</v>
      </c>
      <c r="U193" s="12">
        <v>1.82628139E9</v>
      </c>
      <c r="V193" s="11">
        <v>45.8435</v>
      </c>
      <c r="W193" s="13">
        <v>49.9231</v>
      </c>
      <c r="X193" s="13">
        <v>16.9264</v>
      </c>
      <c r="Y193" s="13">
        <v>16.6175</v>
      </c>
      <c r="Z193" s="13">
        <v>17.6019</v>
      </c>
      <c r="AA193" s="13">
        <v>17.4079</v>
      </c>
      <c r="AB193" s="13">
        <v>17.234</v>
      </c>
      <c r="AC193" s="13">
        <v>17.0451</v>
      </c>
      <c r="AD193" s="13">
        <v>16.8818</v>
      </c>
      <c r="AE193" s="13">
        <v>18.415</v>
      </c>
      <c r="AF193" s="13">
        <v>4.4257</v>
      </c>
      <c r="AG193" s="14">
        <f>IFERROR(__xludf.DUMMYFUNCTION("IFERROR(GOOGLEFINANCE(B193,""price""),"""")"),18.73)</f>
        <v>18.73</v>
      </c>
      <c r="AH193" s="14"/>
      <c r="AI193" s="14"/>
      <c r="AJ193" s="14"/>
      <c r="AK193" s="14"/>
      <c r="AL193" s="14"/>
      <c r="AM193" s="14"/>
      <c r="AN193" s="14"/>
    </row>
    <row r="194">
      <c r="A194" s="15">
        <v>46050.64965458646</v>
      </c>
      <c r="B194" s="16" t="s">
        <v>5087</v>
      </c>
      <c r="C194" s="16" t="s">
        <v>5088</v>
      </c>
      <c r="D194" s="17">
        <v>46054.0</v>
      </c>
      <c r="E194" s="18">
        <v>64.93</v>
      </c>
      <c r="F194" s="16" t="s">
        <v>308</v>
      </c>
      <c r="G194" s="19">
        <v>0.98</v>
      </c>
      <c r="H194" s="16" t="s">
        <v>4862</v>
      </c>
      <c r="I194" s="19">
        <v>33.3837</v>
      </c>
      <c r="J194" s="19">
        <v>67.9064</v>
      </c>
      <c r="K194" s="21">
        <v>1.5985</v>
      </c>
      <c r="L194" s="16" t="s">
        <v>5089</v>
      </c>
      <c r="M194" s="19">
        <v>3.6724</v>
      </c>
      <c r="N194" s="20">
        <v>1.1424403E7</v>
      </c>
      <c r="O194" s="21">
        <v>66.86</v>
      </c>
      <c r="P194" s="21">
        <v>64.26</v>
      </c>
      <c r="Q194" s="21">
        <v>64.78</v>
      </c>
      <c r="R194" s="21">
        <v>2.3502</v>
      </c>
      <c r="S194" s="21">
        <v>4.8082</v>
      </c>
      <c r="T194" s="16">
        <v>7673228.0</v>
      </c>
      <c r="U194" s="20">
        <v>2.6126431124E10</v>
      </c>
      <c r="V194" s="19">
        <v>58.3669</v>
      </c>
      <c r="W194" s="21">
        <v>55.1087</v>
      </c>
      <c r="X194" s="21">
        <v>55.4682</v>
      </c>
      <c r="Y194" s="21">
        <v>53.7505</v>
      </c>
      <c r="Z194" s="21">
        <v>62.3442</v>
      </c>
      <c r="AA194" s="21">
        <v>60.245</v>
      </c>
      <c r="AB194" s="21">
        <v>58.5325</v>
      </c>
      <c r="AC194" s="21">
        <v>56.6139</v>
      </c>
      <c r="AD194" s="21">
        <v>54.8463</v>
      </c>
      <c r="AE194" s="21">
        <v>66.86</v>
      </c>
      <c r="AF194" s="21">
        <v>2.8866</v>
      </c>
      <c r="AG194" s="22">
        <f>IFERROR(__xludf.DUMMYFUNCTION("IFERROR(GOOGLEFINANCE(B194,""price""),"""")"),68.65)</f>
        <v>68.65</v>
      </c>
      <c r="AH194" s="22"/>
      <c r="AI194" s="22"/>
      <c r="AJ194" s="22"/>
      <c r="AK194" s="22"/>
      <c r="AL194" s="22"/>
      <c r="AM194" s="22"/>
      <c r="AN194" s="22"/>
    </row>
    <row r="195">
      <c r="A195" s="7">
        <v>46050.64965458646</v>
      </c>
      <c r="B195" s="8" t="s">
        <v>5090</v>
      </c>
      <c r="C195" s="8" t="s">
        <v>5091</v>
      </c>
      <c r="D195" s="9">
        <v>46054.0</v>
      </c>
      <c r="E195" s="10">
        <v>101.75</v>
      </c>
      <c r="F195" s="8" t="s">
        <v>102</v>
      </c>
      <c r="G195" s="11">
        <v>0.98</v>
      </c>
      <c r="H195" s="8" t="s">
        <v>4864</v>
      </c>
      <c r="I195" s="11">
        <v>34.4873</v>
      </c>
      <c r="J195" s="11">
        <v>68.4258</v>
      </c>
      <c r="K195" s="13">
        <v>1.4817</v>
      </c>
      <c r="L195" s="8" t="s">
        <v>5092</v>
      </c>
      <c r="M195" s="11">
        <v>0.6927</v>
      </c>
      <c r="N195" s="12">
        <v>915587.0</v>
      </c>
      <c r="O195" s="13">
        <v>102.97</v>
      </c>
      <c r="P195" s="13">
        <v>99.96</v>
      </c>
      <c r="Q195" s="13">
        <v>100.68</v>
      </c>
      <c r="R195" s="13">
        <v>1.9248</v>
      </c>
      <c r="S195" s="13">
        <v>3.9122</v>
      </c>
      <c r="T195" s="13">
        <v>644588.0</v>
      </c>
      <c r="U195" s="12">
        <v>1.1735508071E10</v>
      </c>
      <c r="V195" s="11">
        <v>80.0708</v>
      </c>
      <c r="W195" s="13">
        <v>80.2297</v>
      </c>
      <c r="X195" s="13">
        <v>92.6534</v>
      </c>
      <c r="Y195" s="13">
        <v>82.5762</v>
      </c>
      <c r="Z195" s="13">
        <v>100.6254</v>
      </c>
      <c r="AA195" s="13">
        <v>97.6606</v>
      </c>
      <c r="AB195" s="13">
        <v>95.4944</v>
      </c>
      <c r="AC195" s="13">
        <v>92.8112</v>
      </c>
      <c r="AD195" s="13">
        <v>89.3846</v>
      </c>
      <c r="AE195" s="13">
        <v>103.78</v>
      </c>
      <c r="AF195" s="13">
        <v>1.9561</v>
      </c>
      <c r="AG195" s="14">
        <f>IFERROR(__xludf.DUMMYFUNCTION("IFERROR(GOOGLEFINANCE(B195,""price""),"""")"),88.65)</f>
        <v>88.65</v>
      </c>
      <c r="AH195" s="14"/>
      <c r="AI195" s="14"/>
      <c r="AJ195" s="14"/>
      <c r="AK195" s="14"/>
      <c r="AL195" s="14"/>
      <c r="AM195" s="14"/>
      <c r="AN195" s="14"/>
    </row>
    <row r="196">
      <c r="A196" s="15">
        <v>46050.64965458646</v>
      </c>
      <c r="B196" s="16" t="s">
        <v>4842</v>
      </c>
      <c r="C196" s="16" t="s">
        <v>4843</v>
      </c>
      <c r="D196" s="17">
        <v>46054.0</v>
      </c>
      <c r="E196" s="18">
        <v>103.7</v>
      </c>
      <c r="F196" s="16" t="s">
        <v>162</v>
      </c>
      <c r="G196" s="19">
        <v>0.99</v>
      </c>
      <c r="H196" s="16" t="s">
        <v>4862</v>
      </c>
      <c r="I196" s="19">
        <v>39.3871</v>
      </c>
      <c r="J196" s="19">
        <v>47.3362</v>
      </c>
      <c r="K196" s="21">
        <v>1.6115</v>
      </c>
      <c r="L196" s="16" t="s">
        <v>4845</v>
      </c>
      <c r="M196" s="19">
        <v>-3.2649</v>
      </c>
      <c r="N196" s="20">
        <v>9231361.0</v>
      </c>
      <c r="O196" s="21">
        <v>108.18</v>
      </c>
      <c r="P196" s="21">
        <v>103.59</v>
      </c>
      <c r="Q196" s="21">
        <v>107.54</v>
      </c>
      <c r="R196" s="21">
        <v>2.5889</v>
      </c>
      <c r="S196" s="21">
        <v>5.2095</v>
      </c>
      <c r="T196" s="16">
        <v>6180801.0</v>
      </c>
      <c r="U196" s="20">
        <v>8.7977583829E10</v>
      </c>
      <c r="V196" s="19">
        <v>32.9468</v>
      </c>
      <c r="W196" s="21">
        <v>56.4405</v>
      </c>
      <c r="X196" s="21">
        <v>100.6972</v>
      </c>
      <c r="Y196" s="21">
        <v>100.0938</v>
      </c>
      <c r="Z196" s="21">
        <v>106.5953</v>
      </c>
      <c r="AA196" s="21">
        <v>105.3855</v>
      </c>
      <c r="AB196" s="21">
        <v>103.5346</v>
      </c>
      <c r="AC196" s="21">
        <v>100.9832</v>
      </c>
      <c r="AD196" s="21">
        <v>98.6437</v>
      </c>
      <c r="AE196" s="21">
        <v>123.7</v>
      </c>
      <c r="AF196" s="21">
        <v>16.1681</v>
      </c>
      <c r="AG196" s="22">
        <f>IFERROR(__xludf.DUMMYFUNCTION("IFERROR(GOOGLEFINANCE(B196,""price""),"""")"),101.7)</f>
        <v>101.7</v>
      </c>
      <c r="AH196" s="22"/>
      <c r="AI196" s="22"/>
      <c r="AJ196" s="22"/>
      <c r="AK196" s="22"/>
      <c r="AL196" s="22"/>
      <c r="AM196" s="22"/>
      <c r="AN196" s="22"/>
    </row>
    <row r="197">
      <c r="A197" s="7">
        <v>46051.62799400904</v>
      </c>
      <c r="B197" s="8" t="s">
        <v>1417</v>
      </c>
      <c r="C197" s="8" t="s">
        <v>1418</v>
      </c>
      <c r="D197" s="9">
        <v>46054.0</v>
      </c>
      <c r="E197" s="10">
        <v>13.05</v>
      </c>
      <c r="F197" s="8" t="s">
        <v>88</v>
      </c>
      <c r="G197" s="11">
        <v>0.13</v>
      </c>
      <c r="H197" s="8" t="s">
        <v>5093</v>
      </c>
      <c r="I197" s="11">
        <v>35.7511</v>
      </c>
      <c r="J197" s="11">
        <v>66.6105</v>
      </c>
      <c r="K197" s="13">
        <v>7.3894</v>
      </c>
      <c r="L197" s="8" t="s">
        <v>1419</v>
      </c>
      <c r="M197" s="11">
        <v>0.4619</v>
      </c>
      <c r="N197" s="12">
        <v>1.3553184E7</v>
      </c>
      <c r="O197" s="13">
        <v>13.06</v>
      </c>
      <c r="P197" s="13">
        <v>12.98</v>
      </c>
      <c r="Q197" s="13">
        <v>12.99</v>
      </c>
      <c r="R197" s="13">
        <v>0.0297</v>
      </c>
      <c r="S197" s="13">
        <v>0.4495</v>
      </c>
      <c r="T197" s="8">
        <v>2996318.0</v>
      </c>
      <c r="U197" s="12">
        <v>1.74969461E9</v>
      </c>
      <c r="V197" s="11">
        <v>41.6667</v>
      </c>
      <c r="W197" s="13">
        <v>31.9444</v>
      </c>
      <c r="X197" s="13">
        <v>12.9819</v>
      </c>
      <c r="Y197" s="13">
        <v>12.0268</v>
      </c>
      <c r="Z197" s="13">
        <v>13.0157</v>
      </c>
      <c r="AA197" s="13">
        <v>13.0038</v>
      </c>
      <c r="AB197" s="13">
        <v>12.9353</v>
      </c>
      <c r="AC197" s="13">
        <v>12.6984</v>
      </c>
      <c r="AD197" s="13">
        <v>12.2795</v>
      </c>
      <c r="AE197" s="13">
        <v>16.12</v>
      </c>
      <c r="AF197" s="13">
        <v>19.0447</v>
      </c>
      <c r="AG197" s="14" t="str">
        <f>IFERROR(__xludf.DUMMYFUNCTION("IFERROR(GOOGLEFINANCE(B197,""price""),"""")"),"")</f>
        <v/>
      </c>
      <c r="AH197" s="14"/>
      <c r="AI197" s="14"/>
      <c r="AJ197" s="14"/>
      <c r="AK197" s="14"/>
      <c r="AL197" s="14"/>
      <c r="AM197" s="14"/>
      <c r="AN197" s="14"/>
    </row>
    <row r="198">
      <c r="A198" s="15">
        <v>46051.62799400904</v>
      </c>
      <c r="B198" s="16" t="s">
        <v>1272</v>
      </c>
      <c r="C198" s="16" t="s">
        <v>1273</v>
      </c>
      <c r="D198" s="17">
        <v>46054.0</v>
      </c>
      <c r="E198" s="18">
        <v>31.89</v>
      </c>
      <c r="F198" s="16" t="s">
        <v>102</v>
      </c>
      <c r="G198" s="19">
        <v>0.13</v>
      </c>
      <c r="H198" s="16" t="s">
        <v>5094</v>
      </c>
      <c r="I198" s="19">
        <v>37.6909</v>
      </c>
      <c r="J198" s="19">
        <v>61.572</v>
      </c>
      <c r="K198" s="21">
        <v>1.556</v>
      </c>
      <c r="L198" s="16" t="s">
        <v>1274</v>
      </c>
      <c r="M198" s="19">
        <v>0.0942</v>
      </c>
      <c r="N198" s="20">
        <v>1152070.0</v>
      </c>
      <c r="O198" s="21">
        <v>31.91</v>
      </c>
      <c r="P198" s="21">
        <v>31.88</v>
      </c>
      <c r="Q198" s="21">
        <v>31.89</v>
      </c>
      <c r="R198" s="21">
        <v>0.0711</v>
      </c>
      <c r="S198" s="21">
        <v>1.0569</v>
      </c>
      <c r="T198" s="21">
        <v>822937.7</v>
      </c>
      <c r="U198" s="20">
        <v>2.24852119E9</v>
      </c>
      <c r="V198" s="19">
        <v>70.2778</v>
      </c>
      <c r="W198" s="21">
        <v>74.892</v>
      </c>
      <c r="X198" s="21">
        <v>31.7758</v>
      </c>
      <c r="Y198" s="21">
        <v>28.8106</v>
      </c>
      <c r="Z198" s="21">
        <v>31.8664</v>
      </c>
      <c r="AA198" s="21">
        <v>31.8231</v>
      </c>
      <c r="AB198" s="21">
        <v>31.7148</v>
      </c>
      <c r="AC198" s="21">
        <v>31.2793</v>
      </c>
      <c r="AD198" s="21">
        <v>30.3015</v>
      </c>
      <c r="AE198" s="21">
        <v>35.48</v>
      </c>
      <c r="AF198" s="21">
        <v>10.1184</v>
      </c>
      <c r="AG198" s="22">
        <f>IFERROR(__xludf.DUMMYFUNCTION("IFERROR(GOOGLEFINANCE(B198,""price""),"""")"),0.16)</f>
        <v>0.16</v>
      </c>
      <c r="AH198" s="22"/>
      <c r="AI198" s="22"/>
      <c r="AJ198" s="22"/>
      <c r="AK198" s="22"/>
      <c r="AL198" s="22"/>
      <c r="AM198" s="22"/>
      <c r="AN198" s="22"/>
    </row>
    <row r="199">
      <c r="A199" s="7">
        <v>46051.62799400904</v>
      </c>
      <c r="B199" s="8" t="s">
        <v>1958</v>
      </c>
      <c r="C199" s="8" t="s">
        <v>1959</v>
      </c>
      <c r="D199" s="9">
        <v>46054.0</v>
      </c>
      <c r="E199" s="10">
        <v>30.515</v>
      </c>
      <c r="F199" s="8" t="s">
        <v>88</v>
      </c>
      <c r="G199" s="11">
        <v>0.21</v>
      </c>
      <c r="H199" s="8" t="s">
        <v>5095</v>
      </c>
      <c r="I199" s="11">
        <v>56.4403</v>
      </c>
      <c r="J199" s="11">
        <v>73.1282</v>
      </c>
      <c r="K199" s="13">
        <v>1.8609</v>
      </c>
      <c r="L199" s="8" t="s">
        <v>1960</v>
      </c>
      <c r="M199" s="11">
        <v>-0.0491</v>
      </c>
      <c r="N199" s="12">
        <v>1.3855352E7</v>
      </c>
      <c r="O199" s="13">
        <v>30.57</v>
      </c>
      <c r="P199" s="13">
        <v>30.49</v>
      </c>
      <c r="Q199" s="13">
        <v>30.55</v>
      </c>
      <c r="R199" s="13">
        <v>0.1909</v>
      </c>
      <c r="S199" s="13">
        <v>1.7873</v>
      </c>
      <c r="T199" s="8">
        <v>7440184.0</v>
      </c>
      <c r="U199" s="12">
        <v>1.0876481785E10</v>
      </c>
      <c r="V199" s="11">
        <v>73.4656</v>
      </c>
      <c r="W199" s="13">
        <v>78.5919</v>
      </c>
      <c r="X199" s="13">
        <v>28.0175</v>
      </c>
      <c r="Y199" s="13">
        <v>25.1034</v>
      </c>
      <c r="Z199" s="13">
        <v>30.5109</v>
      </c>
      <c r="AA199" s="13">
        <v>30.1681</v>
      </c>
      <c r="AB199" s="13">
        <v>29.4148</v>
      </c>
      <c r="AC199" s="13">
        <v>28.1311</v>
      </c>
      <c r="AD199" s="13">
        <v>26.6471</v>
      </c>
      <c r="AE199" s="13">
        <v>37.9</v>
      </c>
      <c r="AF199" s="13">
        <v>19.4855</v>
      </c>
      <c r="AG199" s="14">
        <f>IFERROR(__xludf.DUMMYFUNCTION("IFERROR(GOOGLEFINANCE(B199,""price""),"""")"),535.0)</f>
        <v>535</v>
      </c>
      <c r="AH199" s="14"/>
      <c r="AI199" s="14"/>
      <c r="AJ199" s="14"/>
      <c r="AK199" s="14"/>
      <c r="AL199" s="14"/>
      <c r="AM199" s="14"/>
      <c r="AN199" s="14"/>
    </row>
    <row r="200">
      <c r="A200" s="15">
        <v>46051.62799400904</v>
      </c>
      <c r="B200" s="16" t="s">
        <v>1386</v>
      </c>
      <c r="C200" s="16" t="s">
        <v>1387</v>
      </c>
      <c r="D200" s="17">
        <v>46054.0</v>
      </c>
      <c r="E200" s="18">
        <v>207.01</v>
      </c>
      <c r="F200" s="16" t="s">
        <v>102</v>
      </c>
      <c r="G200" s="19">
        <v>0.25</v>
      </c>
      <c r="H200" s="16" t="s">
        <v>5096</v>
      </c>
      <c r="I200" s="19">
        <v>47.1512</v>
      </c>
      <c r="J200" s="19">
        <v>61.4301</v>
      </c>
      <c r="K200" s="21">
        <v>1.5912</v>
      </c>
      <c r="L200" s="16" t="s">
        <v>1388</v>
      </c>
      <c r="M200" s="19">
        <v>-0.1254</v>
      </c>
      <c r="N200" s="20">
        <v>951152.0</v>
      </c>
      <c r="O200" s="21">
        <v>207.37</v>
      </c>
      <c r="P200" s="21">
        <v>206.79</v>
      </c>
      <c r="Q200" s="21">
        <v>207.13</v>
      </c>
      <c r="R200" s="21">
        <v>0.4493</v>
      </c>
      <c r="S200" s="21">
        <v>3.5319</v>
      </c>
      <c r="T200" s="21">
        <v>651957.6</v>
      </c>
      <c r="U200" s="20">
        <v>9.893294157E9</v>
      </c>
      <c r="V200" s="19">
        <v>55.8245</v>
      </c>
      <c r="W200" s="21">
        <v>65.4866</v>
      </c>
      <c r="X200" s="21">
        <v>205.7582</v>
      </c>
      <c r="Y200" s="21">
        <v>190.8544</v>
      </c>
      <c r="Z200" s="21">
        <v>207.1935</v>
      </c>
      <c r="AA200" s="21">
        <v>206.8391</v>
      </c>
      <c r="AB200" s="21">
        <v>206.2683</v>
      </c>
      <c r="AC200" s="21">
        <v>204.9813</v>
      </c>
      <c r="AD200" s="21">
        <v>201.9051</v>
      </c>
      <c r="AE200" s="21">
        <v>216.44</v>
      </c>
      <c r="AF200" s="21">
        <v>4.3569</v>
      </c>
      <c r="AG200" s="22">
        <f>IFERROR(__xludf.DUMMYFUNCTION("IFERROR(GOOGLEFINANCE(B200,""price""),"""")"),207.79)</f>
        <v>207.79</v>
      </c>
      <c r="AH200" s="22"/>
      <c r="AI200" s="22"/>
      <c r="AJ200" s="22"/>
      <c r="AK200" s="22"/>
      <c r="AL200" s="22"/>
      <c r="AM200" s="22"/>
      <c r="AN200" s="22"/>
    </row>
    <row r="201">
      <c r="A201" s="7">
        <v>46051.62799400904</v>
      </c>
      <c r="B201" s="8" t="s">
        <v>1842</v>
      </c>
      <c r="C201" s="8" t="s">
        <v>1843</v>
      </c>
      <c r="D201" s="9">
        <v>46054.0</v>
      </c>
      <c r="E201" s="10">
        <v>4.41</v>
      </c>
      <c r="F201" s="8" t="s">
        <v>88</v>
      </c>
      <c r="G201" s="11">
        <v>0.26</v>
      </c>
      <c r="H201" s="8" t="s">
        <v>5097</v>
      </c>
      <c r="I201" s="11">
        <v>67.1135</v>
      </c>
      <c r="J201" s="11">
        <v>61.773</v>
      </c>
      <c r="K201" s="13">
        <v>9.0735</v>
      </c>
      <c r="L201" s="8" t="s">
        <v>1844</v>
      </c>
      <c r="M201" s="11">
        <v>-0.8989</v>
      </c>
      <c r="N201" s="12">
        <v>6877514.0</v>
      </c>
      <c r="O201" s="13">
        <v>4.42</v>
      </c>
      <c r="P201" s="13">
        <v>4.4</v>
      </c>
      <c r="Q201" s="13">
        <v>4.4</v>
      </c>
      <c r="R201" s="13">
        <v>0.0324</v>
      </c>
      <c r="S201" s="13">
        <v>0.245</v>
      </c>
      <c r="T201" s="8">
        <v>1370009.0</v>
      </c>
      <c r="U201" s="12">
        <v>4.32937628E8</v>
      </c>
      <c r="V201" s="11">
        <v>22.9167</v>
      </c>
      <c r="W201" s="13">
        <v>32.6389</v>
      </c>
      <c r="X201" s="13">
        <v>4.0607</v>
      </c>
      <c r="Y201" s="13">
        <v>3.2893</v>
      </c>
      <c r="Z201" s="13">
        <v>4.4483</v>
      </c>
      <c r="AA201" s="13">
        <v>4.4091</v>
      </c>
      <c r="AB201" s="13">
        <v>4.2661</v>
      </c>
      <c r="AC201" s="13">
        <v>3.9973</v>
      </c>
      <c r="AD201" s="13">
        <v>3.6655</v>
      </c>
      <c r="AE201" s="13">
        <v>4.48</v>
      </c>
      <c r="AF201" s="13">
        <v>1.5625</v>
      </c>
      <c r="AG201" s="14">
        <f>IFERROR(__xludf.DUMMYFUNCTION("IFERROR(GOOGLEFINANCE(B201,""price""),"""")"),4.51)</f>
        <v>4.51</v>
      </c>
      <c r="AH201" s="14"/>
      <c r="AI201" s="14"/>
      <c r="AJ201" s="14"/>
      <c r="AK201" s="14"/>
      <c r="AL201" s="14"/>
      <c r="AM201" s="14"/>
      <c r="AN201" s="14"/>
    </row>
    <row r="202">
      <c r="A202" s="15">
        <v>46051.62799400904</v>
      </c>
      <c r="B202" s="16" t="s">
        <v>4964</v>
      </c>
      <c r="C202" s="16" t="s">
        <v>4965</v>
      </c>
      <c r="D202" s="17">
        <v>46054.0</v>
      </c>
      <c r="E202" s="18">
        <v>18.915</v>
      </c>
      <c r="F202" s="16" t="s">
        <v>270</v>
      </c>
      <c r="G202" s="19">
        <v>0.72</v>
      </c>
      <c r="H202" s="16" t="s">
        <v>5098</v>
      </c>
      <c r="I202" s="19">
        <v>27.979</v>
      </c>
      <c r="J202" s="19">
        <v>65.9087</v>
      </c>
      <c r="K202" s="21">
        <v>1.343</v>
      </c>
      <c r="L202" s="16" t="s">
        <v>4967</v>
      </c>
      <c r="M202" s="19">
        <v>0.3981</v>
      </c>
      <c r="N202" s="20">
        <v>1827874.0</v>
      </c>
      <c r="O202" s="21">
        <v>19.23</v>
      </c>
      <c r="P202" s="21">
        <v>18.83</v>
      </c>
      <c r="Q202" s="21">
        <v>19.08</v>
      </c>
      <c r="R202" s="21">
        <v>0.3781</v>
      </c>
      <c r="S202" s="21">
        <v>1.0459</v>
      </c>
      <c r="T202" s="16">
        <v>1442263.0</v>
      </c>
      <c r="U202" s="20">
        <v>1.525545156E9</v>
      </c>
      <c r="V202" s="19">
        <v>65.1173</v>
      </c>
      <c r="W202" s="21">
        <v>61.9282</v>
      </c>
      <c r="X202" s="21">
        <v>17.8797</v>
      </c>
      <c r="Y202" s="21">
        <v>13.2101</v>
      </c>
      <c r="Z202" s="21">
        <v>18.755</v>
      </c>
      <c r="AA202" s="21">
        <v>18.4748</v>
      </c>
      <c r="AB202" s="21">
        <v>18.0598</v>
      </c>
      <c r="AC202" s="21">
        <v>17.2248</v>
      </c>
      <c r="AD202" s="21">
        <v>15.925</v>
      </c>
      <c r="AE202" s="21">
        <v>19.33</v>
      </c>
      <c r="AF202" s="21">
        <v>2.1469</v>
      </c>
      <c r="AG202" s="22">
        <f>IFERROR(__xludf.DUMMYFUNCTION("IFERROR(GOOGLEFINANCE(B202,""price""),"""")"),19.56)</f>
        <v>19.56</v>
      </c>
      <c r="AH202" s="22"/>
      <c r="AI202" s="22"/>
      <c r="AJ202" s="22"/>
      <c r="AK202" s="22"/>
      <c r="AL202" s="22"/>
      <c r="AM202" s="22"/>
      <c r="AN202" s="22"/>
    </row>
    <row r="203">
      <c r="A203" s="7">
        <v>46051.62799400904</v>
      </c>
      <c r="B203" s="8" t="s">
        <v>4824</v>
      </c>
      <c r="C203" s="8" t="s">
        <v>4825</v>
      </c>
      <c r="D203" s="9">
        <v>46054.0</v>
      </c>
      <c r="E203" s="10">
        <v>4.4381</v>
      </c>
      <c r="F203" s="8" t="s">
        <v>117</v>
      </c>
      <c r="G203" s="11">
        <v>0.8</v>
      </c>
      <c r="H203" s="8" t="s">
        <v>5099</v>
      </c>
      <c r="I203" s="11">
        <v>39.8334</v>
      </c>
      <c r="J203" s="11">
        <v>77.5338</v>
      </c>
      <c r="K203" s="13">
        <v>4.2272</v>
      </c>
      <c r="L203" s="8" t="s">
        <v>4827</v>
      </c>
      <c r="M203" s="11">
        <v>9.5827</v>
      </c>
      <c r="N203" s="12">
        <v>3758932.0</v>
      </c>
      <c r="O203" s="13">
        <v>4.79</v>
      </c>
      <c r="P203" s="13">
        <v>3.79</v>
      </c>
      <c r="Q203" s="13">
        <v>4.13</v>
      </c>
      <c r="R203" s="13">
        <v>0.3492</v>
      </c>
      <c r="S203" s="13">
        <v>0.8732</v>
      </c>
      <c r="T203" s="8">
        <v>1234723.0</v>
      </c>
      <c r="U203" s="12">
        <v>1.75437419E8</v>
      </c>
      <c r="V203" s="11">
        <v>85.5588</v>
      </c>
      <c r="W203" s="13">
        <v>79.7441</v>
      </c>
      <c r="X203" s="13">
        <v>2.7694</v>
      </c>
      <c r="Y203" s="13">
        <v>3.3559</v>
      </c>
      <c r="Z203" s="13">
        <v>3.5821</v>
      </c>
      <c r="AA203" s="13">
        <v>3.1982</v>
      </c>
      <c r="AB203" s="13">
        <v>3.0582</v>
      </c>
      <c r="AC203" s="13">
        <v>2.9682</v>
      </c>
      <c r="AD203" s="13">
        <v>2.8777</v>
      </c>
      <c r="AE203" s="13">
        <v>9.08</v>
      </c>
      <c r="AF203" s="13">
        <v>51.1222</v>
      </c>
      <c r="AG203" s="14" t="str">
        <f>IFERROR(__xludf.DUMMYFUNCTION("IFERROR(GOOGLEFINANCE(B203,""price""),"""")"),"")</f>
        <v/>
      </c>
      <c r="AH203" s="14"/>
      <c r="AI203" s="14"/>
      <c r="AJ203" s="14"/>
      <c r="AK203" s="14"/>
      <c r="AL203" s="14"/>
      <c r="AM203" s="14"/>
      <c r="AN203" s="14"/>
    </row>
    <row r="204">
      <c r="A204" s="15">
        <v>46051.62799400904</v>
      </c>
      <c r="B204" s="16" t="s">
        <v>5100</v>
      </c>
      <c r="C204" s="16" t="s">
        <v>5101</v>
      </c>
      <c r="D204" s="17">
        <v>46054.0</v>
      </c>
      <c r="E204" s="18">
        <v>22.38</v>
      </c>
      <c r="F204" s="16" t="s">
        <v>102</v>
      </c>
      <c r="G204" s="19">
        <v>0.81</v>
      </c>
      <c r="H204" s="16" t="s">
        <v>5102</v>
      </c>
      <c r="I204" s="19">
        <v>28.396</v>
      </c>
      <c r="J204" s="19">
        <v>67.9555</v>
      </c>
      <c r="K204" s="21">
        <v>1.7281</v>
      </c>
      <c r="L204" s="16" t="s">
        <v>5103</v>
      </c>
      <c r="M204" s="19">
        <v>2.052</v>
      </c>
      <c r="N204" s="20">
        <v>515808.0</v>
      </c>
      <c r="O204" s="21">
        <v>22.74</v>
      </c>
      <c r="P204" s="21">
        <v>21.8673</v>
      </c>
      <c r="Q204" s="21">
        <v>21.97</v>
      </c>
      <c r="R204" s="21">
        <v>0.6828</v>
      </c>
      <c r="S204" s="21">
        <v>1.6885</v>
      </c>
      <c r="T204" s="21">
        <v>316994.2</v>
      </c>
      <c r="U204" s="20">
        <v>1.090976181E9</v>
      </c>
      <c r="V204" s="19">
        <v>75.0129</v>
      </c>
      <c r="W204" s="21">
        <v>69.8237</v>
      </c>
      <c r="X204" s="21">
        <v>19.6726</v>
      </c>
      <c r="Y204" s="21">
        <v>18.1174</v>
      </c>
      <c r="Z204" s="21">
        <v>21.8366</v>
      </c>
      <c r="AA204" s="21">
        <v>21.1535</v>
      </c>
      <c r="AB204" s="21">
        <v>20.6537</v>
      </c>
      <c r="AC204" s="21">
        <v>20.1704</v>
      </c>
      <c r="AD204" s="21">
        <v>19.6155</v>
      </c>
      <c r="AE204" s="21">
        <v>24.3758</v>
      </c>
      <c r="AF204" s="21">
        <v>8.1876</v>
      </c>
      <c r="AG204" s="22">
        <f>IFERROR(__xludf.DUMMYFUNCTION("IFERROR(GOOGLEFINANCE(B204,""price""),"""")"),19.9)</f>
        <v>19.9</v>
      </c>
      <c r="AH204" s="22"/>
      <c r="AI204" s="22"/>
      <c r="AJ204" s="22"/>
      <c r="AK204" s="22"/>
      <c r="AL204" s="22"/>
      <c r="AM204" s="22"/>
      <c r="AN204" s="22"/>
    </row>
    <row r="205">
      <c r="A205" s="7">
        <v>46051.62799400904</v>
      </c>
      <c r="B205" s="8" t="s">
        <v>5104</v>
      </c>
      <c r="C205" s="8" t="s">
        <v>5105</v>
      </c>
      <c r="D205" s="9">
        <v>46054.0</v>
      </c>
      <c r="E205" s="10">
        <v>8.6</v>
      </c>
      <c r="F205" s="8" t="s">
        <v>245</v>
      </c>
      <c r="G205" s="11">
        <v>0.83</v>
      </c>
      <c r="H205" s="8" t="s">
        <v>5106</v>
      </c>
      <c r="I205" s="11">
        <v>24.2019</v>
      </c>
      <c r="J205" s="11">
        <v>71.2586</v>
      </c>
      <c r="K205" s="13">
        <v>1.9245</v>
      </c>
      <c r="L205" s="8" t="s">
        <v>5107</v>
      </c>
      <c r="M205" s="11">
        <v>2.0166</v>
      </c>
      <c r="N205" s="12">
        <v>1354972.0</v>
      </c>
      <c r="O205" s="13">
        <v>8.855</v>
      </c>
      <c r="P205" s="13">
        <v>8.52</v>
      </c>
      <c r="Q205" s="13">
        <v>8.65</v>
      </c>
      <c r="R205" s="13">
        <v>0.2983</v>
      </c>
      <c r="S205" s="13">
        <v>0.7183</v>
      </c>
      <c r="T205" s="13">
        <v>751496.5</v>
      </c>
      <c r="U205" s="12">
        <v>4.41264092E8</v>
      </c>
      <c r="V205" s="11">
        <v>93.2823</v>
      </c>
      <c r="W205" s="13">
        <v>93.6614</v>
      </c>
      <c r="X205" s="13">
        <v>7.6254</v>
      </c>
      <c r="Y205" s="13">
        <v>7.4102</v>
      </c>
      <c r="Z205" s="13">
        <v>8.1598</v>
      </c>
      <c r="AA205" s="13">
        <v>7.8014</v>
      </c>
      <c r="AB205" s="13">
        <v>7.6755</v>
      </c>
      <c r="AC205" s="13">
        <v>7.5527</v>
      </c>
      <c r="AD205" s="13">
        <v>7.4138</v>
      </c>
      <c r="AE205" s="13">
        <v>9.6</v>
      </c>
      <c r="AF205" s="13">
        <v>10.4167</v>
      </c>
      <c r="AG205" s="14">
        <f>IFERROR(__xludf.DUMMYFUNCTION("IFERROR(GOOGLEFINANCE(B205,""price""),"""")"),9.4)</f>
        <v>9.4</v>
      </c>
      <c r="AH205" s="14"/>
      <c r="AI205" s="14"/>
      <c r="AJ205" s="14"/>
      <c r="AK205" s="14"/>
      <c r="AL205" s="14"/>
      <c r="AM205" s="14"/>
      <c r="AN205" s="14"/>
    </row>
    <row r="206">
      <c r="A206" s="15">
        <v>46051.62799400904</v>
      </c>
      <c r="B206" s="16" t="s">
        <v>5108</v>
      </c>
      <c r="C206" s="16" t="s">
        <v>5109</v>
      </c>
      <c r="D206" s="17">
        <v>46054.0</v>
      </c>
      <c r="E206" s="18">
        <v>38.725</v>
      </c>
      <c r="F206" s="16" t="s">
        <v>190</v>
      </c>
      <c r="G206" s="19">
        <v>0.83</v>
      </c>
      <c r="H206" s="16" t="s">
        <v>5110</v>
      </c>
      <c r="I206" s="19">
        <v>28.4019</v>
      </c>
      <c r="J206" s="19">
        <v>55.4481</v>
      </c>
      <c r="K206" s="21">
        <v>1.75</v>
      </c>
      <c r="L206" s="16" t="s">
        <v>5111</v>
      </c>
      <c r="M206" s="19">
        <v>-0.7815</v>
      </c>
      <c r="N206" s="20">
        <v>965423.0</v>
      </c>
      <c r="O206" s="21">
        <v>39.01</v>
      </c>
      <c r="P206" s="21">
        <v>37.21</v>
      </c>
      <c r="Q206" s="21">
        <v>39.01</v>
      </c>
      <c r="R206" s="21">
        <v>1.3293</v>
      </c>
      <c r="S206" s="21">
        <v>3.2131</v>
      </c>
      <c r="T206" s="21">
        <v>581144.7</v>
      </c>
      <c r="U206" s="20">
        <v>1.780946362E9</v>
      </c>
      <c r="V206" s="19">
        <v>49.1604</v>
      </c>
      <c r="W206" s="21">
        <v>60.7543</v>
      </c>
      <c r="X206" s="21">
        <v>36.0543</v>
      </c>
      <c r="Y206" s="21">
        <v>34.8288</v>
      </c>
      <c r="Z206" s="21">
        <v>39.4234</v>
      </c>
      <c r="AA206" s="21">
        <v>38.3919</v>
      </c>
      <c r="AB206" s="21">
        <v>37.3544</v>
      </c>
      <c r="AC206" s="21">
        <v>36.0869</v>
      </c>
      <c r="AD206" s="21">
        <v>34.8488</v>
      </c>
      <c r="AE206" s="21">
        <v>55.635</v>
      </c>
      <c r="AF206" s="21">
        <v>30.3945</v>
      </c>
      <c r="AG206" s="22">
        <f>IFERROR(__xludf.DUMMYFUNCTION("IFERROR(GOOGLEFINANCE(B206,""price""),"""")"),22.21)</f>
        <v>22.21</v>
      </c>
      <c r="AH206" s="22"/>
      <c r="AI206" s="22"/>
      <c r="AJ206" s="22"/>
      <c r="AK206" s="22"/>
      <c r="AL206" s="22"/>
      <c r="AM206" s="22"/>
      <c r="AN206" s="22"/>
    </row>
    <row r="207">
      <c r="A207" s="7">
        <v>46051.62799400904</v>
      </c>
      <c r="B207" s="8" t="s">
        <v>5112</v>
      </c>
      <c r="C207" s="8" t="s">
        <v>5113</v>
      </c>
      <c r="D207" s="9">
        <v>46054.0</v>
      </c>
      <c r="E207" s="10">
        <v>42.13</v>
      </c>
      <c r="F207" s="8" t="s">
        <v>1119</v>
      </c>
      <c r="G207" s="11">
        <v>0.84</v>
      </c>
      <c r="H207" s="8" t="s">
        <v>5114</v>
      </c>
      <c r="I207" s="11">
        <v>20.3889</v>
      </c>
      <c r="J207" s="11">
        <v>72.5068</v>
      </c>
      <c r="K207" s="13">
        <v>1.8521</v>
      </c>
      <c r="L207" s="8" t="s">
        <v>5115</v>
      </c>
      <c r="M207" s="11">
        <v>2.2077</v>
      </c>
      <c r="N207" s="12">
        <v>3834204.0</v>
      </c>
      <c r="O207" s="13">
        <v>43.0</v>
      </c>
      <c r="P207" s="13">
        <v>41.705</v>
      </c>
      <c r="Q207" s="13">
        <v>42.3</v>
      </c>
      <c r="R207" s="13">
        <v>1.1426</v>
      </c>
      <c r="S207" s="13">
        <v>2.7347</v>
      </c>
      <c r="T207" s="8">
        <v>2247102.0</v>
      </c>
      <c r="U207" s="12">
        <v>1.5146128332E10</v>
      </c>
      <c r="V207" s="11">
        <v>94.585</v>
      </c>
      <c r="W207" s="13">
        <v>94.1547</v>
      </c>
      <c r="X207" s="13">
        <v>38.2777</v>
      </c>
      <c r="Y207" s="13">
        <v>39.2874</v>
      </c>
      <c r="Z207" s="13">
        <v>40.0829</v>
      </c>
      <c r="AA207" s="13">
        <v>38.9383</v>
      </c>
      <c r="AB207" s="13">
        <v>38.6135</v>
      </c>
      <c r="AC207" s="13">
        <v>38.3941</v>
      </c>
      <c r="AD207" s="13">
        <v>38.3648</v>
      </c>
      <c r="AE207" s="13">
        <v>52.03</v>
      </c>
      <c r="AF207" s="13">
        <v>19.0275</v>
      </c>
      <c r="AG207" s="14">
        <f>IFERROR(__xludf.DUMMYFUNCTION("IFERROR(GOOGLEFINANCE(B207,""price""),"""")"),45.12)</f>
        <v>45.12</v>
      </c>
      <c r="AH207" s="14"/>
      <c r="AI207" s="14"/>
      <c r="AJ207" s="14"/>
      <c r="AK207" s="14"/>
      <c r="AL207" s="14"/>
      <c r="AM207" s="14"/>
      <c r="AN207" s="14"/>
    </row>
    <row r="208">
      <c r="A208" s="15">
        <v>46051.62799400904</v>
      </c>
      <c r="B208" s="16" t="s">
        <v>5116</v>
      </c>
      <c r="C208" s="16" t="s">
        <v>5117</v>
      </c>
      <c r="D208" s="17">
        <v>46054.0</v>
      </c>
      <c r="E208" s="18">
        <v>7.95</v>
      </c>
      <c r="F208" s="16" t="s">
        <v>270</v>
      </c>
      <c r="G208" s="19">
        <v>0.85</v>
      </c>
      <c r="H208" s="16" t="s">
        <v>4868</v>
      </c>
      <c r="I208" s="19">
        <v>35.5474</v>
      </c>
      <c r="J208" s="19">
        <v>69.4013</v>
      </c>
      <c r="K208" s="21">
        <v>1.7422</v>
      </c>
      <c r="L208" s="16" t="s">
        <v>5118</v>
      </c>
      <c r="M208" s="19">
        <v>5.1587</v>
      </c>
      <c r="N208" s="20">
        <v>2709123.0</v>
      </c>
      <c r="O208" s="21">
        <v>8.03</v>
      </c>
      <c r="P208" s="21">
        <v>7.545</v>
      </c>
      <c r="Q208" s="21">
        <v>7.77</v>
      </c>
      <c r="R208" s="21">
        <v>0.2874</v>
      </c>
      <c r="S208" s="21">
        <v>0.6753</v>
      </c>
      <c r="T208" s="16">
        <v>1669209.0</v>
      </c>
      <c r="U208" s="20">
        <v>1.169293284E9</v>
      </c>
      <c r="V208" s="19">
        <v>78.2004</v>
      </c>
      <c r="W208" s="21">
        <v>71.8695</v>
      </c>
      <c r="X208" s="21">
        <v>6.8876</v>
      </c>
      <c r="Y208" s="21">
        <v>7.0183</v>
      </c>
      <c r="Z208" s="21">
        <v>7.5655</v>
      </c>
      <c r="AA208" s="21">
        <v>7.2497</v>
      </c>
      <c r="AB208" s="21">
        <v>7.0911</v>
      </c>
      <c r="AC208" s="21">
        <v>6.9507</v>
      </c>
      <c r="AD208" s="21">
        <v>6.8416</v>
      </c>
      <c r="AE208" s="21">
        <v>8.9</v>
      </c>
      <c r="AF208" s="21">
        <v>10.6742</v>
      </c>
      <c r="AG208" s="22">
        <f>IFERROR(__xludf.DUMMYFUNCTION("IFERROR(GOOGLEFINANCE(B208,""price""),"""")"),9.56)</f>
        <v>9.56</v>
      </c>
      <c r="AH208" s="22"/>
      <c r="AI208" s="22"/>
      <c r="AJ208" s="22"/>
      <c r="AK208" s="22"/>
      <c r="AL208" s="22"/>
      <c r="AM208" s="22"/>
      <c r="AN208" s="22"/>
    </row>
    <row r="209">
      <c r="A209" s="7">
        <v>46051.62799400904</v>
      </c>
      <c r="B209" s="8" t="s">
        <v>5119</v>
      </c>
      <c r="C209" s="8" t="s">
        <v>5120</v>
      </c>
      <c r="D209" s="9">
        <v>46054.0</v>
      </c>
      <c r="E209" s="10">
        <v>85.105</v>
      </c>
      <c r="F209" s="8" t="s">
        <v>162</v>
      </c>
      <c r="G209" s="11">
        <v>0.85</v>
      </c>
      <c r="H209" s="8" t="s">
        <v>4862</v>
      </c>
      <c r="I209" s="11">
        <v>35.9941</v>
      </c>
      <c r="J209" s="11">
        <v>51.8896</v>
      </c>
      <c r="K209" s="13">
        <v>1.5607</v>
      </c>
      <c r="L209" s="8" t="s">
        <v>5121</v>
      </c>
      <c r="M209" s="11">
        <v>-1.0177</v>
      </c>
      <c r="N209" s="12">
        <v>491194.0</v>
      </c>
      <c r="O209" s="13">
        <v>87.53</v>
      </c>
      <c r="P209" s="13">
        <v>84.67</v>
      </c>
      <c r="Q209" s="13">
        <v>87.05</v>
      </c>
      <c r="R209" s="13">
        <v>3.0127</v>
      </c>
      <c r="S209" s="13">
        <v>7.0818</v>
      </c>
      <c r="T209" s="13">
        <v>327450.3</v>
      </c>
      <c r="U209" s="12">
        <v>1.915800488E9</v>
      </c>
      <c r="V209" s="11">
        <v>27.479</v>
      </c>
      <c r="W209" s="13">
        <v>42.5342</v>
      </c>
      <c r="X209" s="13">
        <v>77.1129</v>
      </c>
      <c r="Y209" s="13">
        <v>77.4846</v>
      </c>
      <c r="Z209" s="13">
        <v>87.3337</v>
      </c>
      <c r="AA209" s="13">
        <v>85.5394</v>
      </c>
      <c r="AB209" s="13">
        <v>82.849</v>
      </c>
      <c r="AC209" s="13">
        <v>79.8164</v>
      </c>
      <c r="AD209" s="13">
        <v>77.3627</v>
      </c>
      <c r="AE209" s="13">
        <v>103.14</v>
      </c>
      <c r="AF209" s="13">
        <v>17.4859</v>
      </c>
      <c r="AG209" s="14">
        <f>IFERROR(__xludf.DUMMYFUNCTION("IFERROR(GOOGLEFINANCE(B209,""price""),"""")"),108.48)</f>
        <v>108.48</v>
      </c>
      <c r="AH209" s="14"/>
      <c r="AI209" s="14"/>
      <c r="AJ209" s="14"/>
      <c r="AK209" s="14"/>
      <c r="AL209" s="14"/>
      <c r="AM209" s="14"/>
      <c r="AN209" s="14"/>
    </row>
    <row r="210">
      <c r="A210" s="15">
        <v>46051.62799400904</v>
      </c>
      <c r="B210" s="16" t="s">
        <v>5035</v>
      </c>
      <c r="C210" s="16" t="s">
        <v>5036</v>
      </c>
      <c r="D210" s="17">
        <v>46054.0</v>
      </c>
      <c r="E210" s="18">
        <v>27.26</v>
      </c>
      <c r="F210" s="16" t="s">
        <v>107</v>
      </c>
      <c r="G210" s="19">
        <v>0.87</v>
      </c>
      <c r="H210" s="16" t="s">
        <v>4920</v>
      </c>
      <c r="I210" s="19">
        <v>33.5994</v>
      </c>
      <c r="J210" s="19">
        <v>57.934</v>
      </c>
      <c r="K210" s="21">
        <v>1.5472</v>
      </c>
      <c r="L210" s="16" t="s">
        <v>5037</v>
      </c>
      <c r="M210" s="19">
        <v>-1.8719</v>
      </c>
      <c r="N210" s="20">
        <v>1.987166E7</v>
      </c>
      <c r="O210" s="21">
        <v>27.56</v>
      </c>
      <c r="P210" s="21">
        <v>25.82</v>
      </c>
      <c r="Q210" s="21">
        <v>26.6</v>
      </c>
      <c r="R210" s="21">
        <v>0.9863</v>
      </c>
      <c r="S210" s="21">
        <v>2.2552</v>
      </c>
      <c r="T210" s="16">
        <v>1.271366E7</v>
      </c>
      <c r="U210" s="20">
        <v>1.9375519667E10</v>
      </c>
      <c r="V210" s="19">
        <v>63.5773</v>
      </c>
      <c r="W210" s="21">
        <v>72.6202</v>
      </c>
      <c r="X210" s="21">
        <v>24.5515</v>
      </c>
      <c r="Y210" s="21">
        <v>27.3588</v>
      </c>
      <c r="Z210" s="21">
        <v>27.6382</v>
      </c>
      <c r="AA210" s="21">
        <v>26.6972</v>
      </c>
      <c r="AB210" s="21">
        <v>25.9083</v>
      </c>
      <c r="AC210" s="21">
        <v>25.1881</v>
      </c>
      <c r="AD210" s="21">
        <v>24.9179</v>
      </c>
      <c r="AE210" s="21">
        <v>40.09</v>
      </c>
      <c r="AF210" s="21">
        <v>32.003</v>
      </c>
      <c r="AG210" s="22">
        <f>IFERROR(__xludf.DUMMYFUNCTION("IFERROR(GOOGLEFINANCE(B210,""price""),"""")"),39.01)</f>
        <v>39.01</v>
      </c>
      <c r="AH210" s="22"/>
      <c r="AI210" s="22"/>
      <c r="AJ210" s="22"/>
      <c r="AK210" s="22"/>
      <c r="AL210" s="22"/>
      <c r="AM210" s="22"/>
      <c r="AN210" s="22"/>
    </row>
    <row r="211">
      <c r="A211" s="7">
        <v>46051.62799400904</v>
      </c>
      <c r="B211" s="8" t="s">
        <v>5048</v>
      </c>
      <c r="C211" s="8" t="s">
        <v>5049</v>
      </c>
      <c r="D211" s="9">
        <v>46054.0</v>
      </c>
      <c r="E211" s="10">
        <v>19.99</v>
      </c>
      <c r="F211" s="8" t="s">
        <v>308</v>
      </c>
      <c r="G211" s="11">
        <v>0.89</v>
      </c>
      <c r="H211" s="8" t="s">
        <v>4862</v>
      </c>
      <c r="I211" s="11">
        <v>35.246</v>
      </c>
      <c r="J211" s="11">
        <v>73.539</v>
      </c>
      <c r="K211" s="13">
        <v>1.6315</v>
      </c>
      <c r="L211" s="8" t="s">
        <v>5050</v>
      </c>
      <c r="M211" s="11">
        <v>3.7364</v>
      </c>
      <c r="N211" s="12">
        <v>4498074.0</v>
      </c>
      <c r="O211" s="13">
        <v>20.29</v>
      </c>
      <c r="P211" s="13">
        <v>19.09</v>
      </c>
      <c r="Q211" s="13">
        <v>19.3</v>
      </c>
      <c r="R211" s="13">
        <v>0.716</v>
      </c>
      <c r="S211" s="13">
        <v>1.6049</v>
      </c>
      <c r="T211" s="8">
        <v>2942727.0</v>
      </c>
      <c r="U211" s="12">
        <v>2.710417339E9</v>
      </c>
      <c r="V211" s="11">
        <v>84.2929</v>
      </c>
      <c r="W211" s="13">
        <v>75.1824</v>
      </c>
      <c r="X211" s="13">
        <v>15.5064</v>
      </c>
      <c r="Y211" s="13">
        <v>15.952</v>
      </c>
      <c r="Z211" s="13">
        <v>18.7359</v>
      </c>
      <c r="AA211" s="13">
        <v>17.5399</v>
      </c>
      <c r="AB211" s="13">
        <v>16.8497</v>
      </c>
      <c r="AC211" s="13">
        <v>16.2958</v>
      </c>
      <c r="AD211" s="13">
        <v>15.9446</v>
      </c>
      <c r="AE211" s="13">
        <v>20.29</v>
      </c>
      <c r="AF211" s="13">
        <v>1.4786</v>
      </c>
      <c r="AG211" s="14">
        <f>IFERROR(__xludf.DUMMYFUNCTION("IFERROR(GOOGLEFINANCE(B211,""price""),"""")"),22.47)</f>
        <v>22.47</v>
      </c>
      <c r="AH211" s="14"/>
      <c r="AI211" s="14"/>
      <c r="AJ211" s="14"/>
      <c r="AK211" s="14"/>
      <c r="AL211" s="14"/>
      <c r="AM211" s="14"/>
      <c r="AN211" s="14"/>
    </row>
    <row r="212">
      <c r="A212" s="15">
        <v>46051.62799400904</v>
      </c>
      <c r="B212" s="16" t="s">
        <v>5122</v>
      </c>
      <c r="C212" s="16" t="s">
        <v>5123</v>
      </c>
      <c r="D212" s="17">
        <v>46054.0</v>
      </c>
      <c r="E212" s="18">
        <v>13.475</v>
      </c>
      <c r="F212" s="16" t="s">
        <v>102</v>
      </c>
      <c r="G212" s="19">
        <v>0.9</v>
      </c>
      <c r="H212" s="16" t="s">
        <v>4858</v>
      </c>
      <c r="I212" s="19">
        <v>22.7771</v>
      </c>
      <c r="J212" s="19">
        <v>70.8259</v>
      </c>
      <c r="K212" s="21">
        <v>1.9619</v>
      </c>
      <c r="L212" s="16" t="s">
        <v>5124</v>
      </c>
      <c r="M212" s="19">
        <v>12.4791</v>
      </c>
      <c r="N212" s="20">
        <v>1.6562076E7</v>
      </c>
      <c r="O212" s="21">
        <v>13.78</v>
      </c>
      <c r="P212" s="21">
        <v>12.37</v>
      </c>
      <c r="Q212" s="21">
        <v>12.94</v>
      </c>
      <c r="R212" s="21">
        <v>0.9281</v>
      </c>
      <c r="S212" s="21">
        <v>2.059</v>
      </c>
      <c r="T212" s="16">
        <v>9416878.0</v>
      </c>
      <c r="U212" s="20">
        <v>1.75826969E9</v>
      </c>
      <c r="V212" s="19">
        <v>90.7475</v>
      </c>
      <c r="W212" s="21">
        <v>81.5531</v>
      </c>
      <c r="X212" s="21">
        <v>10.3109</v>
      </c>
      <c r="Y212" s="21">
        <v>8.478</v>
      </c>
      <c r="Z212" s="21">
        <v>11.745</v>
      </c>
      <c r="AA212" s="21">
        <v>10.8232</v>
      </c>
      <c r="AB212" s="21">
        <v>10.5996</v>
      </c>
      <c r="AC212" s="21">
        <v>10.522</v>
      </c>
      <c r="AD212" s="21">
        <v>10.2112</v>
      </c>
      <c r="AE212" s="21">
        <v>16.03</v>
      </c>
      <c r="AF212" s="21">
        <v>15.9389</v>
      </c>
      <c r="AG212" s="22">
        <f>IFERROR(__xludf.DUMMYFUNCTION("IFERROR(GOOGLEFINANCE(B212,""price""),"""")"),17.22)</f>
        <v>17.22</v>
      </c>
      <c r="AH212" s="22"/>
      <c r="AI212" s="22"/>
      <c r="AJ212" s="22"/>
      <c r="AK212" s="22"/>
      <c r="AL212" s="22"/>
      <c r="AM212" s="22"/>
      <c r="AN212" s="22"/>
    </row>
    <row r="213">
      <c r="A213" s="7">
        <v>46051.62799400904</v>
      </c>
      <c r="B213" s="8" t="s">
        <v>5125</v>
      </c>
      <c r="C213" s="8" t="s">
        <v>5126</v>
      </c>
      <c r="D213" s="9">
        <v>46054.0</v>
      </c>
      <c r="E213" s="10">
        <v>36.73</v>
      </c>
      <c r="F213" s="8" t="s">
        <v>308</v>
      </c>
      <c r="G213" s="11">
        <v>0.9</v>
      </c>
      <c r="H213" s="8" t="s">
        <v>4864</v>
      </c>
      <c r="I213" s="11">
        <v>54.5976</v>
      </c>
      <c r="J213" s="11">
        <v>77.282</v>
      </c>
      <c r="K213" s="13">
        <v>1.4907</v>
      </c>
      <c r="L213" s="8" t="s">
        <v>5127</v>
      </c>
      <c r="M213" s="11">
        <v>2.8563</v>
      </c>
      <c r="N213" s="12">
        <v>2390169.0</v>
      </c>
      <c r="O213" s="13">
        <v>37.94</v>
      </c>
      <c r="P213" s="13">
        <v>35.84</v>
      </c>
      <c r="Q213" s="13">
        <v>37.51</v>
      </c>
      <c r="R213" s="13">
        <v>1.097</v>
      </c>
      <c r="S213" s="13">
        <v>2.4479</v>
      </c>
      <c r="T213" s="8">
        <v>1683793.0</v>
      </c>
      <c r="U213" s="12">
        <v>8.951543979E9</v>
      </c>
      <c r="V213" s="11">
        <v>86.2148</v>
      </c>
      <c r="W213" s="13">
        <v>85.715</v>
      </c>
      <c r="X213" s="13">
        <v>30.3828</v>
      </c>
      <c r="Y213" s="13">
        <v>26.2395</v>
      </c>
      <c r="Z213" s="13">
        <v>35.4013</v>
      </c>
      <c r="AA213" s="13">
        <v>33.7561</v>
      </c>
      <c r="AB213" s="13">
        <v>32.3171</v>
      </c>
      <c r="AC213" s="13">
        <v>30.5585</v>
      </c>
      <c r="AD213" s="13">
        <v>28.7392</v>
      </c>
      <c r="AE213" s="13">
        <v>37.94</v>
      </c>
      <c r="AF213" s="13">
        <v>3.1892</v>
      </c>
      <c r="AG213" s="14">
        <f>IFERROR(__xludf.DUMMYFUNCTION("IFERROR(GOOGLEFINANCE(B213,""price""),"""")"),26.29)</f>
        <v>26.29</v>
      </c>
      <c r="AH213" s="14"/>
      <c r="AI213" s="14"/>
      <c r="AJ213" s="14"/>
      <c r="AK213" s="14"/>
      <c r="AL213" s="14"/>
      <c r="AM213" s="14"/>
      <c r="AN213" s="14"/>
    </row>
    <row r="214">
      <c r="A214" s="15">
        <v>46051.62799400904</v>
      </c>
      <c r="B214" s="16" t="s">
        <v>5031</v>
      </c>
      <c r="C214" s="16" t="s">
        <v>5032</v>
      </c>
      <c r="D214" s="17">
        <v>46054.0</v>
      </c>
      <c r="E214" s="18">
        <v>8.105</v>
      </c>
      <c r="F214" s="16" t="s">
        <v>149</v>
      </c>
      <c r="G214" s="19">
        <v>0.9</v>
      </c>
      <c r="H214" s="16" t="s">
        <v>4848</v>
      </c>
      <c r="I214" s="19">
        <v>22.1676</v>
      </c>
      <c r="J214" s="19">
        <v>66.7724</v>
      </c>
      <c r="K214" s="21">
        <v>1.4378</v>
      </c>
      <c r="L214" s="16" t="s">
        <v>5034</v>
      </c>
      <c r="M214" s="19">
        <v>3.9103</v>
      </c>
      <c r="N214" s="20">
        <v>1841392.0</v>
      </c>
      <c r="O214" s="21">
        <v>8.145</v>
      </c>
      <c r="P214" s="21">
        <v>7.7</v>
      </c>
      <c r="Q214" s="21">
        <v>7.8</v>
      </c>
      <c r="R214" s="21">
        <v>0.207</v>
      </c>
      <c r="S214" s="21">
        <v>0.4583</v>
      </c>
      <c r="T214" s="16">
        <v>1393858.0</v>
      </c>
      <c r="U214" s="20">
        <v>1.707424105E9</v>
      </c>
      <c r="V214" s="19">
        <v>71.7709</v>
      </c>
      <c r="W214" s="21">
        <v>63.9665</v>
      </c>
      <c r="X214" s="21">
        <v>7.4877</v>
      </c>
      <c r="Y214" s="21">
        <v>7.4867</v>
      </c>
      <c r="Z214" s="21">
        <v>7.8216</v>
      </c>
      <c r="AA214" s="21">
        <v>7.6905</v>
      </c>
      <c r="AB214" s="21">
        <v>7.6021</v>
      </c>
      <c r="AC214" s="21">
        <v>7.5</v>
      </c>
      <c r="AD214" s="21">
        <v>7.4124</v>
      </c>
      <c r="AE214" s="21">
        <v>8.52</v>
      </c>
      <c r="AF214" s="21">
        <v>4.8709</v>
      </c>
      <c r="AG214" s="22">
        <f>IFERROR(__xludf.DUMMYFUNCTION("IFERROR(GOOGLEFINANCE(B214,""price""),"""")"),8.5)</f>
        <v>8.5</v>
      </c>
      <c r="AH214" s="22"/>
      <c r="AI214" s="22"/>
      <c r="AJ214" s="22"/>
      <c r="AK214" s="22"/>
      <c r="AL214" s="22"/>
      <c r="AM214" s="22"/>
      <c r="AN214" s="22"/>
    </row>
    <row r="215">
      <c r="A215" s="7">
        <v>46051.62799400904</v>
      </c>
      <c r="B215" s="8" t="s">
        <v>5128</v>
      </c>
      <c r="C215" s="8" t="s">
        <v>5129</v>
      </c>
      <c r="D215" s="9">
        <v>46054.0</v>
      </c>
      <c r="E215" s="10">
        <v>88.27</v>
      </c>
      <c r="F215" s="8" t="s">
        <v>102</v>
      </c>
      <c r="G215" s="11">
        <v>0.91</v>
      </c>
      <c r="H215" s="8" t="s">
        <v>4919</v>
      </c>
      <c r="I215" s="11">
        <v>25.357</v>
      </c>
      <c r="J215" s="11">
        <v>60.0428</v>
      </c>
      <c r="K215" s="13">
        <v>2.1356</v>
      </c>
      <c r="L215" s="8" t="s">
        <v>5130</v>
      </c>
      <c r="M215" s="11">
        <v>3.5425</v>
      </c>
      <c r="N215" s="12">
        <v>6961356.0</v>
      </c>
      <c r="O215" s="13">
        <v>88.45</v>
      </c>
      <c r="P215" s="13">
        <v>85.41</v>
      </c>
      <c r="Q215" s="13">
        <v>86.32</v>
      </c>
      <c r="R215" s="13">
        <v>2.1622</v>
      </c>
      <c r="S215" s="13">
        <v>4.7732</v>
      </c>
      <c r="T215" s="8">
        <v>3679403.0</v>
      </c>
      <c r="U215" s="12">
        <v>3.487639612E10</v>
      </c>
      <c r="V215" s="11">
        <v>52.8615</v>
      </c>
      <c r="W215" s="13">
        <v>55.355</v>
      </c>
      <c r="X215" s="13">
        <v>81.6644</v>
      </c>
      <c r="Y215" s="13">
        <v>82.1171</v>
      </c>
      <c r="Z215" s="13">
        <v>86.8156</v>
      </c>
      <c r="AA215" s="13">
        <v>85.3286</v>
      </c>
      <c r="AB215" s="13">
        <v>84.0082</v>
      </c>
      <c r="AC215" s="13">
        <v>82.7047</v>
      </c>
      <c r="AD215" s="13">
        <v>81.8192</v>
      </c>
      <c r="AE215" s="13">
        <v>95.85</v>
      </c>
      <c r="AF215" s="13">
        <v>7.9082</v>
      </c>
      <c r="AG215" s="14">
        <f>IFERROR(__xludf.DUMMYFUNCTION("IFERROR(GOOGLEFINANCE(B215,""price""),"""")"),85.38)</f>
        <v>85.38</v>
      </c>
      <c r="AH215" s="14"/>
      <c r="AI215" s="14"/>
      <c r="AJ215" s="14"/>
      <c r="AK215" s="14"/>
      <c r="AL215" s="14"/>
      <c r="AM215" s="14"/>
      <c r="AN215" s="14"/>
    </row>
    <row r="216">
      <c r="A216" s="15">
        <v>46051.62799400904</v>
      </c>
      <c r="B216" s="16" t="s">
        <v>2646</v>
      </c>
      <c r="C216" s="16" t="s">
        <v>2647</v>
      </c>
      <c r="D216" s="17">
        <v>46054.0</v>
      </c>
      <c r="E216" s="18">
        <v>34.01</v>
      </c>
      <c r="F216" s="16" t="s">
        <v>270</v>
      </c>
      <c r="G216" s="19">
        <v>0.91</v>
      </c>
      <c r="H216" s="16" t="s">
        <v>4841</v>
      </c>
      <c r="I216" s="19">
        <v>29.8897</v>
      </c>
      <c r="J216" s="19">
        <v>77.2535</v>
      </c>
      <c r="K216" s="21">
        <v>1.3232</v>
      </c>
      <c r="L216" s="16" t="s">
        <v>2649</v>
      </c>
      <c r="M216" s="19">
        <v>1.6438</v>
      </c>
      <c r="N216" s="20">
        <v>5495671.0</v>
      </c>
      <c r="O216" s="21">
        <v>34.16</v>
      </c>
      <c r="P216" s="21">
        <v>33.68</v>
      </c>
      <c r="Q216" s="21">
        <v>33.78</v>
      </c>
      <c r="R216" s="21">
        <v>0.4456</v>
      </c>
      <c r="S216" s="21">
        <v>0.9802</v>
      </c>
      <c r="T216" s="16">
        <v>4344044.0</v>
      </c>
      <c r="U216" s="20">
        <v>7.3574546725E10</v>
      </c>
      <c r="V216" s="19">
        <v>88.8791</v>
      </c>
      <c r="W216" s="21">
        <v>82.1602</v>
      </c>
      <c r="X216" s="21">
        <v>32.3458</v>
      </c>
      <c r="Y216" s="21">
        <v>31.7329</v>
      </c>
      <c r="Z216" s="21">
        <v>33.2563</v>
      </c>
      <c r="AA216" s="21">
        <v>32.7739</v>
      </c>
      <c r="AB216" s="21">
        <v>32.5371</v>
      </c>
      <c r="AC216" s="21">
        <v>32.2984</v>
      </c>
      <c r="AD216" s="21">
        <v>32.0769</v>
      </c>
      <c r="AE216" s="21">
        <v>34.53</v>
      </c>
      <c r="AF216" s="21">
        <v>1.5059</v>
      </c>
      <c r="AG216" s="22">
        <f>IFERROR(__xludf.DUMMYFUNCTION("IFERROR(GOOGLEFINANCE(B216,""price""),"""")"),37.35)</f>
        <v>37.35</v>
      </c>
      <c r="AH216" s="22"/>
      <c r="AI216" s="22"/>
      <c r="AJ216" s="22"/>
      <c r="AK216" s="22"/>
      <c r="AL216" s="22"/>
      <c r="AM216" s="22"/>
      <c r="AN216" s="22"/>
    </row>
    <row r="217">
      <c r="A217" s="7">
        <v>46051.62799400904</v>
      </c>
      <c r="B217" s="8" t="s">
        <v>4976</v>
      </c>
      <c r="C217" s="8" t="s">
        <v>4977</v>
      </c>
      <c r="D217" s="9">
        <v>46054.0</v>
      </c>
      <c r="E217" s="10">
        <v>64.995</v>
      </c>
      <c r="F217" s="8" t="s">
        <v>107</v>
      </c>
      <c r="G217" s="11">
        <v>0.91</v>
      </c>
      <c r="H217" s="8" t="s">
        <v>4920</v>
      </c>
      <c r="I217" s="11">
        <v>22.5156</v>
      </c>
      <c r="J217" s="11">
        <v>66.5604</v>
      </c>
      <c r="K217" s="13">
        <v>1.516</v>
      </c>
      <c r="L217" s="8" t="s">
        <v>4979</v>
      </c>
      <c r="M217" s="11">
        <v>3.4952</v>
      </c>
      <c r="N217" s="12">
        <v>1337502.0</v>
      </c>
      <c r="O217" s="13">
        <v>66.118</v>
      </c>
      <c r="P217" s="13">
        <v>62.6028</v>
      </c>
      <c r="Q217" s="13">
        <v>62.63</v>
      </c>
      <c r="R217" s="13">
        <v>2.0216</v>
      </c>
      <c r="S217" s="13">
        <v>4.421</v>
      </c>
      <c r="T217" s="13">
        <v>955447.6</v>
      </c>
      <c r="U217" s="12">
        <v>3.770174587E9</v>
      </c>
      <c r="V217" s="11">
        <v>77.8815</v>
      </c>
      <c r="W217" s="13">
        <v>74.767</v>
      </c>
      <c r="X217" s="13">
        <v>58.4609</v>
      </c>
      <c r="Y217" s="13">
        <v>60.3151</v>
      </c>
      <c r="Z217" s="13">
        <v>63.3038</v>
      </c>
      <c r="AA217" s="13">
        <v>61.9113</v>
      </c>
      <c r="AB217" s="13">
        <v>60.7473</v>
      </c>
      <c r="AC217" s="13">
        <v>59.7002</v>
      </c>
      <c r="AD217" s="13">
        <v>59.2382</v>
      </c>
      <c r="AE217" s="13">
        <v>71.78</v>
      </c>
      <c r="AF217" s="13">
        <v>9.4525</v>
      </c>
      <c r="AG217" s="14">
        <f>IFERROR(__xludf.DUMMYFUNCTION("IFERROR(GOOGLEFINANCE(B217,""price""),"""")"),60.74)</f>
        <v>60.74</v>
      </c>
      <c r="AH217" s="14"/>
      <c r="AI217" s="14"/>
      <c r="AJ217" s="14"/>
      <c r="AK217" s="14"/>
      <c r="AL217" s="14"/>
      <c r="AM217" s="14"/>
      <c r="AN217" s="14"/>
    </row>
    <row r="218">
      <c r="A218" s="15">
        <v>46051.62799400904</v>
      </c>
      <c r="B218" s="16" t="s">
        <v>1393</v>
      </c>
      <c r="C218" s="16" t="s">
        <v>1394</v>
      </c>
      <c r="D218" s="17">
        <v>46054.0</v>
      </c>
      <c r="E218" s="18">
        <v>28.64</v>
      </c>
      <c r="F218" s="16" t="s">
        <v>917</v>
      </c>
      <c r="G218" s="19">
        <v>0.92</v>
      </c>
      <c r="H218" s="16" t="s">
        <v>4848</v>
      </c>
      <c r="I218" s="19">
        <v>22.9432</v>
      </c>
      <c r="J218" s="19">
        <v>56.9787</v>
      </c>
      <c r="K218" s="21">
        <v>1.3546</v>
      </c>
      <c r="L218" s="16" t="s">
        <v>1395</v>
      </c>
      <c r="M218" s="19">
        <v>-1.2414</v>
      </c>
      <c r="N218" s="20">
        <v>689396.0</v>
      </c>
      <c r="O218" s="21">
        <v>29.34</v>
      </c>
      <c r="P218" s="21">
        <v>28.62</v>
      </c>
      <c r="Q218" s="21">
        <v>28.94</v>
      </c>
      <c r="R218" s="21">
        <v>0.7055</v>
      </c>
      <c r="S218" s="21">
        <v>1.5267</v>
      </c>
      <c r="T218" s="21">
        <v>524806.2</v>
      </c>
      <c r="U218" s="20">
        <v>8.763495295E9</v>
      </c>
      <c r="V218" s="19">
        <v>84.434</v>
      </c>
      <c r="W218" s="21">
        <v>81.1006</v>
      </c>
      <c r="X218" s="21">
        <v>27.93</v>
      </c>
      <c r="Y218" s="21">
        <v>26.7292</v>
      </c>
      <c r="Z218" s="21">
        <v>28.4626</v>
      </c>
      <c r="AA218" s="21">
        <v>28.1116</v>
      </c>
      <c r="AB218" s="21">
        <v>28.0361</v>
      </c>
      <c r="AC218" s="21">
        <v>27.972</v>
      </c>
      <c r="AD218" s="21">
        <v>27.7169</v>
      </c>
      <c r="AE218" s="21">
        <v>32.72</v>
      </c>
      <c r="AF218" s="21">
        <v>12.4694</v>
      </c>
      <c r="AG218" s="22">
        <f>IFERROR(__xludf.DUMMYFUNCTION("IFERROR(GOOGLEFINANCE(B218,""price""),"""")"),34.66)</f>
        <v>34.66</v>
      </c>
      <c r="AH218" s="22"/>
      <c r="AI218" s="22"/>
      <c r="AJ218" s="22"/>
      <c r="AK218" s="22"/>
      <c r="AL218" s="22"/>
      <c r="AM218" s="22"/>
      <c r="AN218" s="22"/>
    </row>
    <row r="219">
      <c r="A219" s="7">
        <v>46051.62799400904</v>
      </c>
      <c r="B219" s="8" t="s">
        <v>4936</v>
      </c>
      <c r="C219" s="8" t="s">
        <v>4937</v>
      </c>
      <c r="D219" s="9">
        <v>46054.0</v>
      </c>
      <c r="E219" s="10">
        <v>20.1</v>
      </c>
      <c r="F219" s="8" t="s">
        <v>93</v>
      </c>
      <c r="G219" s="11">
        <v>0.93</v>
      </c>
      <c r="H219" s="8" t="s">
        <v>4848</v>
      </c>
      <c r="I219" s="11">
        <v>29.4843</v>
      </c>
      <c r="J219" s="11">
        <v>70.1963</v>
      </c>
      <c r="K219" s="13">
        <v>1.4395</v>
      </c>
      <c r="L219" s="8" t="s">
        <v>4938</v>
      </c>
      <c r="M219" s="11">
        <v>-1.4706</v>
      </c>
      <c r="N219" s="12">
        <v>1.2033898E7</v>
      </c>
      <c r="O219" s="13">
        <v>20.86</v>
      </c>
      <c r="P219" s="13">
        <v>19.625</v>
      </c>
      <c r="Q219" s="13">
        <v>20.68</v>
      </c>
      <c r="R219" s="13">
        <v>0.7076</v>
      </c>
      <c r="S219" s="13">
        <v>1.528</v>
      </c>
      <c r="T219" s="8">
        <v>8937144.0</v>
      </c>
      <c r="U219" s="12">
        <v>1.0591537273E10</v>
      </c>
      <c r="V219" s="11">
        <v>83.6427</v>
      </c>
      <c r="W219" s="13">
        <v>86.5724</v>
      </c>
      <c r="X219" s="13">
        <v>17.8469</v>
      </c>
      <c r="Y219" s="13">
        <v>17.627</v>
      </c>
      <c r="Z219" s="13">
        <v>19.6314</v>
      </c>
      <c r="AA219" s="13">
        <v>18.5759</v>
      </c>
      <c r="AB219" s="13">
        <v>18.2052</v>
      </c>
      <c r="AC219" s="13">
        <v>18.011</v>
      </c>
      <c r="AD219" s="13">
        <v>17.8956</v>
      </c>
      <c r="AE219" s="13">
        <v>20.975</v>
      </c>
      <c r="AF219" s="13">
        <v>4.1716</v>
      </c>
      <c r="AG219" s="14">
        <f>IFERROR(__xludf.DUMMYFUNCTION("IFERROR(GOOGLEFINANCE(B219,""price""),"""")"),19.99)</f>
        <v>19.99</v>
      </c>
      <c r="AH219" s="14"/>
      <c r="AI219" s="14"/>
      <c r="AJ219" s="14"/>
      <c r="AK219" s="14"/>
      <c r="AL219" s="14"/>
      <c r="AM219" s="14"/>
      <c r="AN219" s="14"/>
    </row>
    <row r="220">
      <c r="A220" s="15">
        <v>46051.62799400904</v>
      </c>
      <c r="B220" s="16" t="s">
        <v>5131</v>
      </c>
      <c r="C220" s="16" t="s">
        <v>5132</v>
      </c>
      <c r="D220" s="17">
        <v>46054.0</v>
      </c>
      <c r="E220" s="18">
        <v>94.095</v>
      </c>
      <c r="F220" s="16" t="s">
        <v>186</v>
      </c>
      <c r="G220" s="19">
        <v>0.93</v>
      </c>
      <c r="H220" s="16" t="s">
        <v>4844</v>
      </c>
      <c r="I220" s="19">
        <v>34.2013</v>
      </c>
      <c r="J220" s="19">
        <v>51.7569</v>
      </c>
      <c r="K220" s="21">
        <v>1.8151</v>
      </c>
      <c r="L220" s="16" t="s">
        <v>5133</v>
      </c>
      <c r="M220" s="19">
        <v>-0.7332</v>
      </c>
      <c r="N220" s="20">
        <v>794313.0</v>
      </c>
      <c r="O220" s="21">
        <v>95.805</v>
      </c>
      <c r="P220" s="21">
        <v>94.0</v>
      </c>
      <c r="Q220" s="21">
        <v>95.17</v>
      </c>
      <c r="R220" s="21">
        <v>2.2223</v>
      </c>
      <c r="S220" s="21">
        <v>4.7944</v>
      </c>
      <c r="T220" s="21">
        <v>466020.6</v>
      </c>
      <c r="U220" s="20">
        <v>5.124555805E9</v>
      </c>
      <c r="V220" s="19">
        <v>36.225</v>
      </c>
      <c r="W220" s="21">
        <v>61.4609</v>
      </c>
      <c r="X220" s="21">
        <v>89.0601</v>
      </c>
      <c r="Y220" s="21">
        <v>83.9282</v>
      </c>
      <c r="Z220" s="21">
        <v>96.2251</v>
      </c>
      <c r="AA220" s="21">
        <v>94.5276</v>
      </c>
      <c r="AB220" s="21">
        <v>92.5992</v>
      </c>
      <c r="AC220" s="21">
        <v>90.5109</v>
      </c>
      <c r="AD220" s="21">
        <v>88.2202</v>
      </c>
      <c r="AE220" s="21">
        <v>100.0</v>
      </c>
      <c r="AF220" s="21">
        <v>5.905</v>
      </c>
      <c r="AG220" s="22">
        <f>IFERROR(__xludf.DUMMYFUNCTION("IFERROR(GOOGLEFINANCE(B220,""price""),"""")"),65.88)</f>
        <v>65.88</v>
      </c>
      <c r="AH220" s="22"/>
      <c r="AI220" s="22"/>
      <c r="AJ220" s="22"/>
      <c r="AK220" s="22"/>
      <c r="AL220" s="22"/>
      <c r="AM220" s="22"/>
      <c r="AN220" s="22"/>
    </row>
    <row r="221">
      <c r="A221" s="7">
        <v>46051.62799400904</v>
      </c>
      <c r="B221" s="8" t="s">
        <v>5134</v>
      </c>
      <c r="C221" s="8" t="s">
        <v>5135</v>
      </c>
      <c r="D221" s="9">
        <v>46054.0</v>
      </c>
      <c r="E221" s="10">
        <v>6.73</v>
      </c>
      <c r="F221" s="8" t="s">
        <v>117</v>
      </c>
      <c r="G221" s="11">
        <v>0.93</v>
      </c>
      <c r="H221" s="8" t="s">
        <v>4952</v>
      </c>
      <c r="I221" s="11">
        <v>23.0093</v>
      </c>
      <c r="J221" s="11">
        <v>55.9654</v>
      </c>
      <c r="K221" s="13">
        <v>2.6277</v>
      </c>
      <c r="L221" s="8" t="s">
        <v>5136</v>
      </c>
      <c r="M221" s="11">
        <v>-4.1311</v>
      </c>
      <c r="N221" s="12">
        <v>1585845.0</v>
      </c>
      <c r="O221" s="13">
        <v>7.0</v>
      </c>
      <c r="P221" s="13">
        <v>6.41</v>
      </c>
      <c r="Q221" s="13">
        <v>6.87</v>
      </c>
      <c r="R221" s="13">
        <v>0.443</v>
      </c>
      <c r="S221" s="13">
        <v>0.9521</v>
      </c>
      <c r="T221" s="13">
        <v>671110.1</v>
      </c>
      <c r="U221" s="12">
        <v>1.44637094E8</v>
      </c>
      <c r="V221" s="11">
        <v>81.3337</v>
      </c>
      <c r="W221" s="13">
        <v>85.2086</v>
      </c>
      <c r="X221" s="13">
        <v>6.1056</v>
      </c>
      <c r="Y221" s="13">
        <v>5.5651</v>
      </c>
      <c r="Z221" s="13">
        <v>6.8091</v>
      </c>
      <c r="AA221" s="13">
        <v>6.4785</v>
      </c>
      <c r="AB221" s="13">
        <v>6.2646</v>
      </c>
      <c r="AC221" s="13">
        <v>5.9999</v>
      </c>
      <c r="AD221" s="13">
        <v>5.7296</v>
      </c>
      <c r="AE221" s="13">
        <v>11.0</v>
      </c>
      <c r="AF221" s="13">
        <v>38.8182</v>
      </c>
      <c r="AG221" s="14">
        <f>IFERROR(__xludf.DUMMYFUNCTION("IFERROR(GOOGLEFINANCE(B221,""price""),"""")"),6.63)</f>
        <v>6.63</v>
      </c>
      <c r="AH221" s="14"/>
      <c r="AI221" s="14"/>
      <c r="AJ221" s="14"/>
      <c r="AK221" s="14"/>
      <c r="AL221" s="14"/>
      <c r="AM221" s="14"/>
      <c r="AN221" s="14"/>
    </row>
    <row r="222">
      <c r="A222" s="15">
        <v>46051.62799400904</v>
      </c>
      <c r="B222" s="16" t="s">
        <v>2168</v>
      </c>
      <c r="C222" s="16" t="s">
        <v>2169</v>
      </c>
      <c r="D222" s="17">
        <v>46054.0</v>
      </c>
      <c r="E222" s="18">
        <v>121.46</v>
      </c>
      <c r="F222" s="16" t="s">
        <v>162</v>
      </c>
      <c r="G222" s="19">
        <v>0.93</v>
      </c>
      <c r="H222" s="16" t="s">
        <v>4844</v>
      </c>
      <c r="I222" s="19">
        <v>47.0831</v>
      </c>
      <c r="J222" s="19">
        <v>48.8886</v>
      </c>
      <c r="K222" s="21">
        <v>1.7636</v>
      </c>
      <c r="L222" s="16" t="s">
        <v>2170</v>
      </c>
      <c r="M222" s="19">
        <v>-5.2057</v>
      </c>
      <c r="N222" s="20">
        <v>1552465.0</v>
      </c>
      <c r="O222" s="21">
        <v>123.5</v>
      </c>
      <c r="P222" s="21">
        <v>115.0</v>
      </c>
      <c r="Q222" s="21">
        <v>122.38</v>
      </c>
      <c r="R222" s="21">
        <v>3.3086</v>
      </c>
      <c r="S222" s="21">
        <v>7.1244</v>
      </c>
      <c r="T222" s="21">
        <v>936838.6</v>
      </c>
      <c r="U222" s="20">
        <v>6.583132343E9</v>
      </c>
      <c r="V222" s="19">
        <v>55.9208</v>
      </c>
      <c r="W222" s="21">
        <v>67.5315</v>
      </c>
      <c r="X222" s="21">
        <v>116.127</v>
      </c>
      <c r="Y222" s="21">
        <v>107.0918</v>
      </c>
      <c r="Z222" s="21">
        <v>126.3867</v>
      </c>
      <c r="AA222" s="21">
        <v>123.4954</v>
      </c>
      <c r="AB222" s="21">
        <v>120.1494</v>
      </c>
      <c r="AC222" s="21">
        <v>115.7185</v>
      </c>
      <c r="AD222" s="21">
        <v>111.2768</v>
      </c>
      <c r="AE222" s="21">
        <v>132.18</v>
      </c>
      <c r="AF222" s="21">
        <v>8.1102</v>
      </c>
      <c r="AG222" s="22">
        <f>IFERROR(__xludf.DUMMYFUNCTION("IFERROR(GOOGLEFINANCE(B222,""price""),"""")"),140.38)</f>
        <v>140.38</v>
      </c>
      <c r="AH222" s="22"/>
      <c r="AI222" s="22"/>
      <c r="AJ222" s="22"/>
      <c r="AK222" s="22"/>
      <c r="AL222" s="22"/>
      <c r="AM222" s="22"/>
      <c r="AN222" s="22"/>
    </row>
    <row r="223">
      <c r="A223" s="7">
        <v>46051.62799400904</v>
      </c>
      <c r="B223" s="8" t="s">
        <v>5137</v>
      </c>
      <c r="C223" s="8" t="s">
        <v>5138</v>
      </c>
      <c r="D223" s="9">
        <v>46054.0</v>
      </c>
      <c r="E223" s="10">
        <v>30.05</v>
      </c>
      <c r="F223" s="8" t="s">
        <v>245</v>
      </c>
      <c r="G223" s="11">
        <v>0.94</v>
      </c>
      <c r="H223" s="8" t="s">
        <v>4868</v>
      </c>
      <c r="I223" s="11">
        <v>20.7737</v>
      </c>
      <c r="J223" s="11">
        <v>68.9096</v>
      </c>
      <c r="K223" s="13">
        <v>1.7244</v>
      </c>
      <c r="L223" s="8" t="s">
        <v>5139</v>
      </c>
      <c r="M223" s="11">
        <v>4.4491</v>
      </c>
      <c r="N223" s="12">
        <v>1051689.0</v>
      </c>
      <c r="O223" s="13">
        <v>30.73</v>
      </c>
      <c r="P223" s="13">
        <v>29.08</v>
      </c>
      <c r="Q223" s="13">
        <v>29.5</v>
      </c>
      <c r="R223" s="13">
        <v>1.1132</v>
      </c>
      <c r="S223" s="13">
        <v>2.3619</v>
      </c>
      <c r="T223" s="13">
        <v>650848.2</v>
      </c>
      <c r="U223" s="12">
        <v>2.914018967E9</v>
      </c>
      <c r="V223" s="11">
        <v>88.8028</v>
      </c>
      <c r="W223" s="13">
        <v>88.6657</v>
      </c>
      <c r="X223" s="13">
        <v>27.2072</v>
      </c>
      <c r="Y223" s="13">
        <v>24.0155</v>
      </c>
      <c r="Z223" s="13">
        <v>28.4555</v>
      </c>
      <c r="AA223" s="13">
        <v>27.6013</v>
      </c>
      <c r="AB223" s="13">
        <v>27.2281</v>
      </c>
      <c r="AC223" s="13">
        <v>26.6426</v>
      </c>
      <c r="AD223" s="13">
        <v>25.7706</v>
      </c>
      <c r="AE223" s="13">
        <v>30.73</v>
      </c>
      <c r="AF223" s="13">
        <v>2.2128</v>
      </c>
      <c r="AG223" s="14">
        <f>IFERROR(__xludf.DUMMYFUNCTION("IFERROR(GOOGLEFINANCE(B223,""price""),"""")"),28.18)</f>
        <v>28.18</v>
      </c>
      <c r="AH223" s="14"/>
      <c r="AI223" s="14"/>
      <c r="AJ223" s="14"/>
      <c r="AK223" s="14"/>
      <c r="AL223" s="14"/>
      <c r="AM223" s="14"/>
      <c r="AN223" s="14"/>
    </row>
    <row r="224">
      <c r="A224" s="15">
        <v>46051.62799400904</v>
      </c>
      <c r="B224" s="16" t="s">
        <v>2638</v>
      </c>
      <c r="C224" s="16" t="s">
        <v>2639</v>
      </c>
      <c r="D224" s="17">
        <v>46054.0</v>
      </c>
      <c r="E224" s="18">
        <v>140.395</v>
      </c>
      <c r="F224" s="16" t="s">
        <v>245</v>
      </c>
      <c r="G224" s="19">
        <v>0.95</v>
      </c>
      <c r="H224" s="16" t="s">
        <v>4848</v>
      </c>
      <c r="I224" s="19">
        <v>43.7394</v>
      </c>
      <c r="J224" s="19">
        <v>79.6617</v>
      </c>
      <c r="K224" s="21">
        <v>1.4384</v>
      </c>
      <c r="L224" s="16" t="s">
        <v>2641</v>
      </c>
      <c r="M224" s="19">
        <v>2.0461</v>
      </c>
      <c r="N224" s="20">
        <v>2.5533316E7</v>
      </c>
      <c r="O224" s="21">
        <v>142.34</v>
      </c>
      <c r="P224" s="21">
        <v>139.11</v>
      </c>
      <c r="Q224" s="21">
        <v>140.32</v>
      </c>
      <c r="R224" s="21">
        <v>2.6064</v>
      </c>
      <c r="S224" s="21">
        <v>5.5028</v>
      </c>
      <c r="T224" s="16">
        <v>1.7545159E7</v>
      </c>
      <c r="U224" s="20">
        <v>5.92068962091E11</v>
      </c>
      <c r="V224" s="19">
        <v>95.7856</v>
      </c>
      <c r="W224" s="21">
        <v>95.084</v>
      </c>
      <c r="X224" s="21">
        <v>122.0595</v>
      </c>
      <c r="Y224" s="21">
        <v>116.1958</v>
      </c>
      <c r="Z224" s="21">
        <v>135.4332</v>
      </c>
      <c r="AA224" s="21">
        <v>129.977</v>
      </c>
      <c r="AB224" s="21">
        <v>126.7541</v>
      </c>
      <c r="AC224" s="21">
        <v>123.5627</v>
      </c>
      <c r="AD224" s="21">
        <v>120.4831</v>
      </c>
      <c r="AE224" s="21">
        <v>142.34</v>
      </c>
      <c r="AF224" s="21">
        <v>1.3664</v>
      </c>
      <c r="AG224" s="22">
        <f>IFERROR(__xludf.DUMMYFUNCTION("IFERROR(GOOGLEFINANCE(B224,""price""),"""")"),152.51)</f>
        <v>152.51</v>
      </c>
      <c r="AH224" s="22"/>
      <c r="AI224" s="22"/>
      <c r="AJ224" s="22"/>
      <c r="AK224" s="22"/>
      <c r="AL224" s="22"/>
      <c r="AM224" s="22"/>
      <c r="AN224" s="22"/>
    </row>
    <row r="225">
      <c r="A225" s="7">
        <v>46051.62799400904</v>
      </c>
      <c r="B225" s="8" t="s">
        <v>4949</v>
      </c>
      <c r="C225" s="8" t="s">
        <v>4950</v>
      </c>
      <c r="D225" s="9">
        <v>46054.0</v>
      </c>
      <c r="E225" s="10">
        <v>11.95</v>
      </c>
      <c r="F225" s="8" t="s">
        <v>186</v>
      </c>
      <c r="G225" s="11">
        <v>0.95</v>
      </c>
      <c r="H225" s="8" t="s">
        <v>4848</v>
      </c>
      <c r="I225" s="11">
        <v>24.8983</v>
      </c>
      <c r="J225" s="11">
        <v>75.2791</v>
      </c>
      <c r="K225" s="13">
        <v>1.4412</v>
      </c>
      <c r="L225" s="8" t="s">
        <v>4951</v>
      </c>
      <c r="M225" s="11">
        <v>-0.1671</v>
      </c>
      <c r="N225" s="12">
        <v>5637283.0</v>
      </c>
      <c r="O225" s="13">
        <v>12.32</v>
      </c>
      <c r="P225" s="13">
        <v>11.7039</v>
      </c>
      <c r="Q225" s="13">
        <v>12.05</v>
      </c>
      <c r="R225" s="13">
        <v>0.4394</v>
      </c>
      <c r="S225" s="13">
        <v>0.9222</v>
      </c>
      <c r="T225" s="8">
        <v>4186466.0</v>
      </c>
      <c r="U225" s="12">
        <v>3.477229501E9</v>
      </c>
      <c r="V225" s="11">
        <v>90.138</v>
      </c>
      <c r="W225" s="13">
        <v>91.9602</v>
      </c>
      <c r="X225" s="13">
        <v>10.1318</v>
      </c>
      <c r="Y225" s="13">
        <v>9.5112</v>
      </c>
      <c r="Z225" s="13">
        <v>11.3436</v>
      </c>
      <c r="AA225" s="13">
        <v>10.707</v>
      </c>
      <c r="AB225" s="13">
        <v>10.4316</v>
      </c>
      <c r="AC225" s="13">
        <v>10.1817</v>
      </c>
      <c r="AD225" s="13">
        <v>9.9249</v>
      </c>
      <c r="AE225" s="13">
        <v>12.32</v>
      </c>
      <c r="AF225" s="13">
        <v>3.0032</v>
      </c>
      <c r="AG225" s="14">
        <f>IFERROR(__xludf.DUMMYFUNCTION("IFERROR(GOOGLEFINANCE(B225,""price""),"""")"),10.67)</f>
        <v>10.67</v>
      </c>
      <c r="AH225" s="14"/>
      <c r="AI225" s="14"/>
      <c r="AJ225" s="14"/>
      <c r="AK225" s="14"/>
      <c r="AL225" s="14"/>
      <c r="AM225" s="14"/>
      <c r="AN225" s="14"/>
    </row>
    <row r="226">
      <c r="A226" s="15">
        <v>46051.62799400904</v>
      </c>
      <c r="B226" s="16" t="s">
        <v>5067</v>
      </c>
      <c r="C226" s="16" t="s">
        <v>5068</v>
      </c>
      <c r="D226" s="17">
        <v>46054.0</v>
      </c>
      <c r="E226" s="18">
        <v>80.04</v>
      </c>
      <c r="F226" s="16" t="s">
        <v>102</v>
      </c>
      <c r="G226" s="19">
        <v>0.96</v>
      </c>
      <c r="H226" s="16" t="s">
        <v>4864</v>
      </c>
      <c r="I226" s="19">
        <v>45.6828</v>
      </c>
      <c r="J226" s="19">
        <v>44.4815</v>
      </c>
      <c r="K226" s="21">
        <v>1.4781</v>
      </c>
      <c r="L226" s="16" t="s">
        <v>5069</v>
      </c>
      <c r="M226" s="19">
        <v>-4.9067</v>
      </c>
      <c r="N226" s="20">
        <v>1426235.0</v>
      </c>
      <c r="O226" s="21">
        <v>82.715</v>
      </c>
      <c r="P226" s="21">
        <v>78.15</v>
      </c>
      <c r="Q226" s="21">
        <v>81.26</v>
      </c>
      <c r="R226" s="21">
        <v>2.6955</v>
      </c>
      <c r="S226" s="21">
        <v>5.6108</v>
      </c>
      <c r="T226" s="16">
        <v>1014165.0</v>
      </c>
      <c r="U226" s="20">
        <v>5.205528597E9</v>
      </c>
      <c r="V226" s="19">
        <v>21.2274</v>
      </c>
      <c r="W226" s="21">
        <v>40.1383</v>
      </c>
      <c r="X226" s="21">
        <v>76.0882</v>
      </c>
      <c r="Y226" s="21">
        <v>68.6237</v>
      </c>
      <c r="Z226" s="21">
        <v>84.5543</v>
      </c>
      <c r="AA226" s="21">
        <v>83.3417</v>
      </c>
      <c r="AB226" s="21">
        <v>80.8067</v>
      </c>
      <c r="AC226" s="21">
        <v>77.3928</v>
      </c>
      <c r="AD226" s="21">
        <v>73.5818</v>
      </c>
      <c r="AE226" s="21">
        <v>89.61</v>
      </c>
      <c r="AF226" s="21">
        <v>10.6796</v>
      </c>
      <c r="AG226" s="22">
        <f>IFERROR(__xludf.DUMMYFUNCTION("IFERROR(GOOGLEFINANCE(B226,""price""),"""")"),77.06)</f>
        <v>77.06</v>
      </c>
      <c r="AH226" s="22"/>
      <c r="AI226" s="22"/>
      <c r="AJ226" s="22"/>
      <c r="AK226" s="22"/>
      <c r="AL226" s="22"/>
      <c r="AM226" s="22"/>
      <c r="AN226" s="22"/>
    </row>
    <row r="227">
      <c r="A227" s="7">
        <v>46051.62799400904</v>
      </c>
      <c r="B227" s="8" t="s">
        <v>5006</v>
      </c>
      <c r="C227" s="8" t="s">
        <v>5007</v>
      </c>
      <c r="D227" s="9">
        <v>46054.0</v>
      </c>
      <c r="E227" s="10">
        <v>8.835</v>
      </c>
      <c r="F227" s="8" t="s">
        <v>162</v>
      </c>
      <c r="G227" s="11">
        <v>0.96</v>
      </c>
      <c r="H227" s="8" t="s">
        <v>4915</v>
      </c>
      <c r="I227" s="11">
        <v>28.4701</v>
      </c>
      <c r="J227" s="11">
        <v>69.5564</v>
      </c>
      <c r="K227" s="13">
        <v>1.857</v>
      </c>
      <c r="L227" s="8" t="s">
        <v>5008</v>
      </c>
      <c r="M227" s="11">
        <v>0.7412</v>
      </c>
      <c r="N227" s="12">
        <v>2252281.0</v>
      </c>
      <c r="O227" s="13">
        <v>9.025</v>
      </c>
      <c r="P227" s="13">
        <v>8.71</v>
      </c>
      <c r="Q227" s="13">
        <v>8.88</v>
      </c>
      <c r="R227" s="13">
        <v>0.2338</v>
      </c>
      <c r="S227" s="13">
        <v>0.488</v>
      </c>
      <c r="T227" s="8">
        <v>1324077.0</v>
      </c>
      <c r="U227" s="12">
        <v>1.224196785E9</v>
      </c>
      <c r="V227" s="11">
        <v>79.8998</v>
      </c>
      <c r="W227" s="13">
        <v>69.1637</v>
      </c>
      <c r="X227" s="13">
        <v>8.1355</v>
      </c>
      <c r="Y227" s="13">
        <v>8.4144</v>
      </c>
      <c r="Z227" s="13">
        <v>8.5179</v>
      </c>
      <c r="AA227" s="13">
        <v>8.3235</v>
      </c>
      <c r="AB227" s="13">
        <v>8.2139</v>
      </c>
      <c r="AC227" s="13">
        <v>8.1178</v>
      </c>
      <c r="AD227" s="13">
        <v>8.0893</v>
      </c>
      <c r="AE227" s="13">
        <v>11.133</v>
      </c>
      <c r="AF227" s="13">
        <v>20.6413</v>
      </c>
      <c r="AG227" s="14">
        <f>IFERROR(__xludf.DUMMYFUNCTION("IFERROR(GOOGLEFINANCE(B227,""price""),"""")"),10.84)</f>
        <v>10.84</v>
      </c>
      <c r="AH227" s="14"/>
      <c r="AI227" s="14"/>
      <c r="AJ227" s="14"/>
      <c r="AK227" s="14"/>
      <c r="AL227" s="14"/>
      <c r="AM227" s="14"/>
      <c r="AN227" s="14"/>
    </row>
    <row r="228">
      <c r="A228" s="15">
        <v>46051.62799400904</v>
      </c>
      <c r="B228" s="16" t="s">
        <v>5061</v>
      </c>
      <c r="C228" s="16" t="s">
        <v>5062</v>
      </c>
      <c r="D228" s="17">
        <v>46054.0</v>
      </c>
      <c r="E228" s="18">
        <v>8.555</v>
      </c>
      <c r="F228" s="16" t="s">
        <v>270</v>
      </c>
      <c r="G228" s="19">
        <v>0.96</v>
      </c>
      <c r="H228" s="16" t="s">
        <v>4848</v>
      </c>
      <c r="I228" s="19">
        <v>36.185</v>
      </c>
      <c r="J228" s="19">
        <v>69.9674</v>
      </c>
      <c r="K228" s="21">
        <v>1.4046</v>
      </c>
      <c r="L228" s="16" t="s">
        <v>5063</v>
      </c>
      <c r="M228" s="19">
        <v>1.9666</v>
      </c>
      <c r="N228" s="20">
        <v>1119868.0</v>
      </c>
      <c r="O228" s="21">
        <v>8.88</v>
      </c>
      <c r="P228" s="21">
        <v>8.4315</v>
      </c>
      <c r="Q228" s="21">
        <v>8.77</v>
      </c>
      <c r="R228" s="21">
        <v>0.2999</v>
      </c>
      <c r="S228" s="21">
        <v>0.6263</v>
      </c>
      <c r="T228" s="21">
        <v>804021.3</v>
      </c>
      <c r="U228" s="20">
        <v>5.11123349E8</v>
      </c>
      <c r="V228" s="19">
        <v>72.3806</v>
      </c>
      <c r="W228" s="21">
        <v>74.373</v>
      </c>
      <c r="X228" s="21">
        <v>7.176</v>
      </c>
      <c r="Y228" s="21">
        <v>6.1922</v>
      </c>
      <c r="Z228" s="21">
        <v>8.412</v>
      </c>
      <c r="AA228" s="21">
        <v>8.0178</v>
      </c>
      <c r="AB228" s="21">
        <v>7.695</v>
      </c>
      <c r="AC228" s="21">
        <v>7.322</v>
      </c>
      <c r="AD228" s="21">
        <v>6.9069</v>
      </c>
      <c r="AE228" s="21">
        <v>8.88</v>
      </c>
      <c r="AF228" s="21">
        <v>3.6599</v>
      </c>
      <c r="AG228" s="22">
        <f>IFERROR(__xludf.DUMMYFUNCTION("IFERROR(GOOGLEFINANCE(B228,""price""),"""")"),11.55)</f>
        <v>11.55</v>
      </c>
      <c r="AH228" s="22"/>
      <c r="AI228" s="22"/>
      <c r="AJ228" s="22"/>
      <c r="AK228" s="22"/>
      <c r="AL228" s="22"/>
      <c r="AM228" s="22"/>
      <c r="AN228" s="22"/>
    </row>
    <row r="229">
      <c r="A229" s="7">
        <v>46051.62799400904</v>
      </c>
      <c r="B229" s="8" t="s">
        <v>5045</v>
      </c>
      <c r="C229" s="8" t="s">
        <v>5046</v>
      </c>
      <c r="D229" s="9">
        <v>46054.0</v>
      </c>
      <c r="E229" s="10">
        <v>37.92</v>
      </c>
      <c r="F229" s="8" t="s">
        <v>270</v>
      </c>
      <c r="G229" s="11">
        <v>0.98</v>
      </c>
      <c r="H229" s="8" t="s">
        <v>4915</v>
      </c>
      <c r="I229" s="11">
        <v>30.4966</v>
      </c>
      <c r="J229" s="11">
        <v>64.4724</v>
      </c>
      <c r="K229" s="13">
        <v>1.9284</v>
      </c>
      <c r="L229" s="8" t="s">
        <v>5047</v>
      </c>
      <c r="M229" s="11">
        <v>2.2102</v>
      </c>
      <c r="N229" s="12">
        <v>3802581.0</v>
      </c>
      <c r="O229" s="13">
        <v>40.88</v>
      </c>
      <c r="P229" s="13">
        <v>37.19</v>
      </c>
      <c r="Q229" s="13">
        <v>39.51</v>
      </c>
      <c r="R229" s="13">
        <v>1.093</v>
      </c>
      <c r="S229" s="13">
        <v>2.2269</v>
      </c>
      <c r="T229" s="8">
        <v>2149119.0</v>
      </c>
      <c r="U229" s="12">
        <v>9.903682225E9</v>
      </c>
      <c r="V229" s="11">
        <v>75.6131</v>
      </c>
      <c r="W229" s="13">
        <v>82.2457</v>
      </c>
      <c r="X229" s="13">
        <v>35.0758</v>
      </c>
      <c r="Y229" s="13">
        <v>35.2677</v>
      </c>
      <c r="Z229" s="13">
        <v>37.087</v>
      </c>
      <c r="AA229" s="13">
        <v>36.2632</v>
      </c>
      <c r="AB229" s="13">
        <v>35.7415</v>
      </c>
      <c r="AC229" s="13">
        <v>35.2972</v>
      </c>
      <c r="AD229" s="13">
        <v>35.042</v>
      </c>
      <c r="AE229" s="13">
        <v>40.88</v>
      </c>
      <c r="AF229" s="13">
        <v>7.2407</v>
      </c>
      <c r="AG229" s="14">
        <f>IFERROR(__xludf.DUMMYFUNCTION("IFERROR(GOOGLEFINANCE(B229,""price""),"""")"),30.19)</f>
        <v>30.19</v>
      </c>
      <c r="AH229" s="14"/>
      <c r="AI229" s="14"/>
      <c r="AJ229" s="14"/>
      <c r="AK229" s="14"/>
      <c r="AL229" s="14"/>
      <c r="AM229" s="14"/>
      <c r="AN229" s="14"/>
    </row>
    <row r="230">
      <c r="A230" s="15">
        <v>46051.62799400904</v>
      </c>
      <c r="B230" s="16" t="s">
        <v>1396</v>
      </c>
      <c r="C230" s="16" t="s">
        <v>1397</v>
      </c>
      <c r="D230" s="17">
        <v>46054.0</v>
      </c>
      <c r="E230" s="18">
        <v>97.6</v>
      </c>
      <c r="F230" s="16" t="s">
        <v>93</v>
      </c>
      <c r="G230" s="19">
        <v>0.98</v>
      </c>
      <c r="H230" s="16" t="s">
        <v>4841</v>
      </c>
      <c r="I230" s="19">
        <v>21.6463</v>
      </c>
      <c r="J230" s="19">
        <v>49.8276</v>
      </c>
      <c r="K230" s="21">
        <v>1.331</v>
      </c>
      <c r="L230" s="16" t="s">
        <v>1398</v>
      </c>
      <c r="M230" s="19">
        <v>-1.1245</v>
      </c>
      <c r="N230" s="20">
        <v>4105462.0</v>
      </c>
      <c r="O230" s="21">
        <v>101.51</v>
      </c>
      <c r="P230" s="21">
        <v>96.54</v>
      </c>
      <c r="Q230" s="21">
        <v>99.75</v>
      </c>
      <c r="R230" s="21">
        <v>1.9359</v>
      </c>
      <c r="S230" s="21">
        <v>3.9437</v>
      </c>
      <c r="T230" s="16">
        <v>3195548.0</v>
      </c>
      <c r="U230" s="20">
        <v>5.5729152706E10</v>
      </c>
      <c r="V230" s="19">
        <v>27.8608</v>
      </c>
      <c r="W230" s="21">
        <v>31.6273</v>
      </c>
      <c r="X230" s="21">
        <v>94.6964</v>
      </c>
      <c r="Y230" s="21">
        <v>89.2883</v>
      </c>
      <c r="Z230" s="21">
        <v>98.5003</v>
      </c>
      <c r="AA230" s="21">
        <v>98.1481</v>
      </c>
      <c r="AB230" s="21">
        <v>97.0068</v>
      </c>
      <c r="AC230" s="21">
        <v>95.3928</v>
      </c>
      <c r="AD230" s="21">
        <v>93.6309</v>
      </c>
      <c r="AE230" s="21">
        <v>101.785</v>
      </c>
      <c r="AF230" s="21">
        <v>4.1116</v>
      </c>
      <c r="AG230" s="22">
        <f>IFERROR(__xludf.DUMMYFUNCTION("IFERROR(GOOGLEFINANCE(B230,""price""),"""")"),83.16)</f>
        <v>83.16</v>
      </c>
      <c r="AH230" s="22"/>
      <c r="AI230" s="22"/>
      <c r="AJ230" s="22"/>
      <c r="AK230" s="22"/>
      <c r="AL230" s="22"/>
      <c r="AM230" s="22"/>
      <c r="AN230" s="22"/>
    </row>
    <row r="231">
      <c r="A231" s="7">
        <v>46051.62799400904</v>
      </c>
      <c r="B231" s="8" t="s">
        <v>5140</v>
      </c>
      <c r="C231" s="8" t="s">
        <v>5141</v>
      </c>
      <c r="D231" s="9">
        <v>46054.0</v>
      </c>
      <c r="E231" s="10">
        <v>19.15</v>
      </c>
      <c r="F231" s="8" t="s">
        <v>308</v>
      </c>
      <c r="G231" s="11">
        <v>0.98</v>
      </c>
      <c r="H231" s="8" t="s">
        <v>4841</v>
      </c>
      <c r="I231" s="11">
        <v>26.3856</v>
      </c>
      <c r="J231" s="11">
        <v>56.0426</v>
      </c>
      <c r="K231" s="13">
        <v>1.3372</v>
      </c>
      <c r="L231" s="8" t="s">
        <v>5142</v>
      </c>
      <c r="M231" s="11">
        <v>0.0522</v>
      </c>
      <c r="N231" s="12">
        <v>1417364.0</v>
      </c>
      <c r="O231" s="13">
        <v>19.8</v>
      </c>
      <c r="P231" s="13">
        <v>17.85</v>
      </c>
      <c r="Q231" s="13">
        <v>19.15</v>
      </c>
      <c r="R231" s="13">
        <v>0.9939</v>
      </c>
      <c r="S231" s="13">
        <v>2.0251</v>
      </c>
      <c r="T231" s="8">
        <v>1100757.0</v>
      </c>
      <c r="U231" s="12">
        <v>1.673189703E9</v>
      </c>
      <c r="V231" s="11">
        <v>39.4762</v>
      </c>
      <c r="W231" s="13">
        <v>30.7767</v>
      </c>
      <c r="X231" s="13">
        <v>17.5664</v>
      </c>
      <c r="Y231" s="13">
        <v>16.2589</v>
      </c>
      <c r="Z231" s="13">
        <v>18.9739</v>
      </c>
      <c r="AA231" s="13">
        <v>18.6757</v>
      </c>
      <c r="AB231" s="13">
        <v>18.2896</v>
      </c>
      <c r="AC231" s="13">
        <v>17.7618</v>
      </c>
      <c r="AD231" s="13">
        <v>17.1469</v>
      </c>
      <c r="AE231" s="13">
        <v>20.82</v>
      </c>
      <c r="AF231" s="13">
        <v>8.0211</v>
      </c>
      <c r="AG231" s="14">
        <f>IFERROR(__xludf.DUMMYFUNCTION("IFERROR(GOOGLEFINANCE(B231,""price""),"""")"),20.69)</f>
        <v>20.69</v>
      </c>
      <c r="AH231" s="14"/>
      <c r="AI231" s="14"/>
      <c r="AJ231" s="14"/>
      <c r="AK231" s="14"/>
      <c r="AL231" s="14"/>
      <c r="AM231" s="14"/>
      <c r="AN231" s="14"/>
    </row>
    <row r="232">
      <c r="A232" s="15">
        <v>46051.62799400904</v>
      </c>
      <c r="B232" s="16" t="s">
        <v>1435</v>
      </c>
      <c r="C232" s="16" t="s">
        <v>1436</v>
      </c>
      <c r="D232" s="17">
        <v>46054.0</v>
      </c>
      <c r="E232" s="18">
        <v>126.24</v>
      </c>
      <c r="F232" s="16" t="s">
        <v>102</v>
      </c>
      <c r="G232" s="19">
        <v>0.99</v>
      </c>
      <c r="H232" s="16" t="s">
        <v>4920</v>
      </c>
      <c r="I232" s="19">
        <v>24.9044</v>
      </c>
      <c r="J232" s="19">
        <v>54.4657</v>
      </c>
      <c r="K232" s="21">
        <v>1.5206</v>
      </c>
      <c r="L232" s="16" t="s">
        <v>1437</v>
      </c>
      <c r="M232" s="19">
        <v>-0.0079</v>
      </c>
      <c r="N232" s="20">
        <v>1029007.0</v>
      </c>
      <c r="O232" s="21">
        <v>128.675</v>
      </c>
      <c r="P232" s="21">
        <v>125.86</v>
      </c>
      <c r="Q232" s="21">
        <v>128.04</v>
      </c>
      <c r="R232" s="21">
        <v>2.6001</v>
      </c>
      <c r="S232" s="21">
        <v>5.2706</v>
      </c>
      <c r="T232" s="21">
        <v>703641.0</v>
      </c>
      <c r="U232" s="20">
        <v>9.589866405E9</v>
      </c>
      <c r="V232" s="19">
        <v>60.413</v>
      </c>
      <c r="W232" s="21">
        <v>64.5951</v>
      </c>
      <c r="X232" s="21">
        <v>121.4562</v>
      </c>
      <c r="Y232" s="21">
        <v>116.0038</v>
      </c>
      <c r="Z232" s="21">
        <v>126.5703</v>
      </c>
      <c r="AA232" s="21">
        <v>125.2802</v>
      </c>
      <c r="AB232" s="21">
        <v>124.0526</v>
      </c>
      <c r="AC232" s="21">
        <v>122.7913</v>
      </c>
      <c r="AD232" s="21">
        <v>121.2046</v>
      </c>
      <c r="AE232" s="21">
        <v>130.14</v>
      </c>
      <c r="AF232" s="21">
        <v>2.9968</v>
      </c>
      <c r="AG232" s="22">
        <f>IFERROR(__xludf.DUMMYFUNCTION("IFERROR(GOOGLEFINANCE(B232,""price""),"""")"),110.14)</f>
        <v>110.14</v>
      </c>
      <c r="AH232" s="22"/>
      <c r="AI232" s="22"/>
      <c r="AJ232" s="22"/>
      <c r="AK232" s="22"/>
      <c r="AL232" s="22"/>
      <c r="AM232" s="22"/>
      <c r="AN232" s="22"/>
    </row>
    <row r="233">
      <c r="A233" s="7">
        <v>46051.62799400904</v>
      </c>
      <c r="B233" s="8" t="s">
        <v>5143</v>
      </c>
      <c r="C233" s="8" t="s">
        <v>5144</v>
      </c>
      <c r="D233" s="9">
        <v>46054.0</v>
      </c>
      <c r="E233" s="10">
        <v>16.075</v>
      </c>
      <c r="F233" s="8" t="s">
        <v>245</v>
      </c>
      <c r="G233" s="11">
        <v>0.99</v>
      </c>
      <c r="H233" s="8" t="s">
        <v>4915</v>
      </c>
      <c r="I233" s="11">
        <v>29.9777</v>
      </c>
      <c r="J233" s="11">
        <v>73.5174</v>
      </c>
      <c r="K233" s="13">
        <v>1.8744</v>
      </c>
      <c r="L233" s="8" t="s">
        <v>5145</v>
      </c>
      <c r="M233" s="11">
        <v>3.4427</v>
      </c>
      <c r="N233" s="12">
        <v>1.7740213E7</v>
      </c>
      <c r="O233" s="13">
        <v>16.255</v>
      </c>
      <c r="P233" s="13">
        <v>15.665</v>
      </c>
      <c r="Q233" s="13">
        <v>15.95</v>
      </c>
      <c r="R233" s="13">
        <v>0.4833</v>
      </c>
      <c r="S233" s="13">
        <v>0.9731</v>
      </c>
      <c r="T233" s="8">
        <v>9874896.0</v>
      </c>
      <c r="U233" s="12">
        <v>1.3343751366E10</v>
      </c>
      <c r="V233" s="11">
        <v>96.247</v>
      </c>
      <c r="W233" s="13">
        <v>92.4129</v>
      </c>
      <c r="X233" s="13">
        <v>14.3358</v>
      </c>
      <c r="Y233" s="13">
        <v>13.8017</v>
      </c>
      <c r="Z233" s="13">
        <v>15.1573</v>
      </c>
      <c r="AA233" s="13">
        <v>14.6576</v>
      </c>
      <c r="AB233" s="13">
        <v>14.4403</v>
      </c>
      <c r="AC233" s="13">
        <v>14.2087</v>
      </c>
      <c r="AD233" s="13">
        <v>13.988</v>
      </c>
      <c r="AE233" s="13">
        <v>16.255</v>
      </c>
      <c r="AF233" s="13">
        <v>1.1074</v>
      </c>
      <c r="AG233" s="14">
        <f>IFERROR(__xludf.DUMMYFUNCTION("IFERROR(GOOGLEFINANCE(B233,""price""),"""")"),20.66)</f>
        <v>20.66</v>
      </c>
      <c r="AH233" s="14"/>
      <c r="AI233" s="14"/>
      <c r="AJ233" s="14"/>
      <c r="AK233" s="14"/>
      <c r="AL233" s="14"/>
      <c r="AM233" s="14"/>
      <c r="AN233" s="14"/>
    </row>
    <row r="234">
      <c r="A234" s="7">
        <v>46052.46915422141</v>
      </c>
      <c r="B234" s="8" t="s">
        <v>1417</v>
      </c>
      <c r="C234" s="8" t="s">
        <v>1418</v>
      </c>
      <c r="D234" s="9">
        <v>46054.0</v>
      </c>
      <c r="E234" s="10">
        <v>13.05</v>
      </c>
      <c r="F234" s="8" t="s">
        <v>88</v>
      </c>
      <c r="G234" s="11">
        <v>0.13</v>
      </c>
      <c r="H234" s="8" t="s">
        <v>5146</v>
      </c>
      <c r="I234" s="11">
        <v>35.7511</v>
      </c>
      <c r="J234" s="11">
        <v>66.6105</v>
      </c>
      <c r="K234" s="13">
        <v>9.1427</v>
      </c>
      <c r="L234" s="8" t="s">
        <v>1419</v>
      </c>
      <c r="M234" s="11">
        <v>0.4619</v>
      </c>
      <c r="N234" s="12">
        <v>1.6769144E7</v>
      </c>
      <c r="O234" s="13">
        <v>13.06</v>
      </c>
      <c r="P234" s="13">
        <v>12.98</v>
      </c>
      <c r="Q234" s="13">
        <v>12.99</v>
      </c>
      <c r="R234" s="13">
        <v>0.0297</v>
      </c>
      <c r="S234" s="13">
        <v>0.4495</v>
      </c>
      <c r="T234" s="8">
        <v>3317914.0</v>
      </c>
      <c r="U234" s="12">
        <v>1.749694666E9</v>
      </c>
      <c r="V234" s="11">
        <v>41.6667</v>
      </c>
      <c r="W234" s="13">
        <v>31.9444</v>
      </c>
      <c r="X234" s="13">
        <v>12.9819</v>
      </c>
      <c r="Y234" s="13">
        <v>12.0268</v>
      </c>
      <c r="Z234" s="13">
        <v>13.0157</v>
      </c>
      <c r="AA234" s="13">
        <v>13.0038</v>
      </c>
      <c r="AB234" s="13">
        <v>12.9353</v>
      </c>
      <c r="AC234" s="13">
        <v>12.6984</v>
      </c>
      <c r="AD234" s="13">
        <v>12.2795</v>
      </c>
      <c r="AE234" s="13">
        <v>16.12</v>
      </c>
      <c r="AF234" s="13">
        <v>19.0447</v>
      </c>
      <c r="AG234" s="14" t="str">
        <f>IFERROR(__xludf.DUMMYFUNCTION("IFERROR(GOOGLEFINANCE(B234,""price""),"""")"),"")</f>
        <v/>
      </c>
      <c r="AH234" s="14"/>
      <c r="AI234" s="14"/>
      <c r="AJ234" s="14"/>
      <c r="AK234" s="14"/>
      <c r="AL234" s="14"/>
      <c r="AM234" s="14"/>
      <c r="AN234" s="14"/>
    </row>
    <row r="235">
      <c r="A235" s="15">
        <v>46052.46915422141</v>
      </c>
      <c r="B235" s="16" t="s">
        <v>5147</v>
      </c>
      <c r="C235" s="16" t="s">
        <v>5148</v>
      </c>
      <c r="D235" s="17">
        <v>46054.0</v>
      </c>
      <c r="E235" s="18">
        <v>2.355</v>
      </c>
      <c r="F235" s="16" t="s">
        <v>117</v>
      </c>
      <c r="G235" s="19">
        <v>0.81</v>
      </c>
      <c r="H235" s="16" t="s">
        <v>5149</v>
      </c>
      <c r="I235" s="19">
        <v>28.9182</v>
      </c>
      <c r="J235" s="19">
        <v>73.4292</v>
      </c>
      <c r="K235" s="21">
        <v>2.512</v>
      </c>
      <c r="L235" s="16" t="s">
        <v>5150</v>
      </c>
      <c r="M235" s="19">
        <v>13.7681</v>
      </c>
      <c r="N235" s="20">
        <v>1605425.0</v>
      </c>
      <c r="O235" s="21">
        <v>2.3884</v>
      </c>
      <c r="P235" s="21">
        <v>2.08</v>
      </c>
      <c r="Q235" s="21">
        <v>2.08</v>
      </c>
      <c r="R235" s="21">
        <v>0.1055</v>
      </c>
      <c r="S235" s="21">
        <v>0.2602</v>
      </c>
      <c r="T235" s="21">
        <v>740999.1</v>
      </c>
      <c r="U235" s="20">
        <v>1.89391875E8</v>
      </c>
      <c r="V235" s="19">
        <v>77.1655</v>
      </c>
      <c r="W235" s="21">
        <v>80.4196</v>
      </c>
      <c r="X235" s="21">
        <v>1.8689</v>
      </c>
      <c r="Y235" s="21">
        <v>1.9085</v>
      </c>
      <c r="Z235" s="21">
        <v>2.1305</v>
      </c>
      <c r="AA235" s="21">
        <v>2.0332</v>
      </c>
      <c r="AB235" s="21">
        <v>1.9882</v>
      </c>
      <c r="AC235" s="21">
        <v>1.9643</v>
      </c>
      <c r="AD235" s="21">
        <v>1.9483</v>
      </c>
      <c r="AE235" s="21">
        <v>3.1</v>
      </c>
      <c r="AF235" s="21">
        <v>24.0323</v>
      </c>
      <c r="AG235" s="22">
        <f>IFERROR(__xludf.DUMMYFUNCTION("IFERROR(GOOGLEFINANCE(B235,""price""),"""")"),2.3)</f>
        <v>2.3</v>
      </c>
      <c r="AH235" s="22"/>
      <c r="AI235" s="22"/>
      <c r="AJ235" s="22"/>
      <c r="AK235" s="22"/>
      <c r="AL235" s="22"/>
      <c r="AM235" s="22"/>
      <c r="AN235" s="22"/>
    </row>
    <row r="236">
      <c r="A236" s="7">
        <v>46052.46915422141</v>
      </c>
      <c r="B236" s="8" t="s">
        <v>5104</v>
      </c>
      <c r="C236" s="8" t="s">
        <v>5105</v>
      </c>
      <c r="D236" s="9">
        <v>46054.0</v>
      </c>
      <c r="E236" s="10">
        <v>8.495</v>
      </c>
      <c r="F236" s="8" t="s">
        <v>245</v>
      </c>
      <c r="G236" s="11">
        <v>0.89</v>
      </c>
      <c r="H236" s="8" t="s">
        <v>4962</v>
      </c>
      <c r="I236" s="11">
        <v>26.7349</v>
      </c>
      <c r="J236" s="11">
        <v>68.6969</v>
      </c>
      <c r="K236" s="13">
        <v>2.1712</v>
      </c>
      <c r="L236" s="8" t="s">
        <v>5107</v>
      </c>
      <c r="M236" s="11">
        <v>-0.6433</v>
      </c>
      <c r="N236" s="12">
        <v>1657030.0</v>
      </c>
      <c r="O236" s="13">
        <v>9.09</v>
      </c>
      <c r="P236" s="13">
        <v>8.375</v>
      </c>
      <c r="Q236" s="13">
        <v>8.94</v>
      </c>
      <c r="R236" s="13">
        <v>0.3281</v>
      </c>
      <c r="S236" s="13">
        <v>0.7351</v>
      </c>
      <c r="T236" s="13">
        <v>882768.9</v>
      </c>
      <c r="U236" s="12">
        <v>4.35876559E8</v>
      </c>
      <c r="V236" s="11">
        <v>82.5811</v>
      </c>
      <c r="W236" s="13">
        <v>89.7853</v>
      </c>
      <c r="X236" s="13">
        <v>7.6401</v>
      </c>
      <c r="Y236" s="13">
        <v>7.4205</v>
      </c>
      <c r="Z236" s="13">
        <v>8.2257</v>
      </c>
      <c r="AA236" s="13">
        <v>7.8603</v>
      </c>
      <c r="AB236" s="13">
        <v>7.7196</v>
      </c>
      <c r="AC236" s="13">
        <v>7.5846</v>
      </c>
      <c r="AD236" s="13">
        <v>7.4367</v>
      </c>
      <c r="AE236" s="13">
        <v>9.54</v>
      </c>
      <c r="AF236" s="13">
        <v>10.9539</v>
      </c>
      <c r="AG236" s="14">
        <f>IFERROR(__xludf.DUMMYFUNCTION("IFERROR(GOOGLEFINANCE(B236,""price""),"""")"),9.4)</f>
        <v>9.4</v>
      </c>
      <c r="AH236" s="14"/>
      <c r="AI236" s="14"/>
      <c r="AJ236" s="14"/>
      <c r="AK236" s="14"/>
      <c r="AL236" s="14"/>
      <c r="AM236" s="14"/>
      <c r="AN236" s="14"/>
    </row>
    <row r="237">
      <c r="A237" s="7">
        <v>46052.6258937698</v>
      </c>
      <c r="B237" s="8" t="s">
        <v>1417</v>
      </c>
      <c r="C237" s="8" t="s">
        <v>1418</v>
      </c>
      <c r="D237" s="9">
        <v>46054.0</v>
      </c>
      <c r="E237" s="10">
        <v>13.05</v>
      </c>
      <c r="F237" s="8" t="s">
        <v>88</v>
      </c>
      <c r="G237" s="11">
        <v>0.13</v>
      </c>
      <c r="H237" s="8" t="s">
        <v>5146</v>
      </c>
      <c r="I237" s="11">
        <v>35.7511</v>
      </c>
      <c r="J237" s="11">
        <v>66.6105</v>
      </c>
      <c r="K237" s="13">
        <v>9.1427</v>
      </c>
      <c r="L237" s="8" t="s">
        <v>1419</v>
      </c>
      <c r="M237" s="11">
        <v>0.4619</v>
      </c>
      <c r="N237" s="12">
        <v>1.6769144E7</v>
      </c>
      <c r="O237" s="13">
        <v>13.06</v>
      </c>
      <c r="P237" s="13">
        <v>12.98</v>
      </c>
      <c r="Q237" s="13">
        <v>12.99</v>
      </c>
      <c r="R237" s="13">
        <v>0.0297</v>
      </c>
      <c r="S237" s="13">
        <v>0.4495</v>
      </c>
      <c r="T237" s="8">
        <v>3317914.0</v>
      </c>
      <c r="U237" s="12">
        <v>1.749694666E9</v>
      </c>
      <c r="V237" s="11">
        <v>41.6667</v>
      </c>
      <c r="W237" s="13">
        <v>31.9444</v>
      </c>
      <c r="X237" s="13">
        <v>12.9819</v>
      </c>
      <c r="Y237" s="13">
        <v>12.0268</v>
      </c>
      <c r="Z237" s="13">
        <v>13.0157</v>
      </c>
      <c r="AA237" s="13">
        <v>13.0038</v>
      </c>
      <c r="AB237" s="13">
        <v>12.9353</v>
      </c>
      <c r="AC237" s="13">
        <v>12.6984</v>
      </c>
      <c r="AD237" s="13">
        <v>12.2795</v>
      </c>
      <c r="AE237" s="13">
        <v>16.12</v>
      </c>
      <c r="AF237" s="13">
        <v>19.0447</v>
      </c>
      <c r="AG237" s="14" t="str">
        <f>IFERROR(__xludf.DUMMYFUNCTION("IFERROR(GOOGLEFINANCE(B237,""price""),"""")"),"")</f>
        <v/>
      </c>
      <c r="AH237" s="14"/>
      <c r="AI237" s="14"/>
      <c r="AJ237" s="14"/>
      <c r="AK237" s="14"/>
      <c r="AL237" s="14"/>
      <c r="AM237" s="14"/>
      <c r="AN237" s="14"/>
    </row>
    <row r="238">
      <c r="A238" s="15">
        <v>46052.6258937698</v>
      </c>
      <c r="B238" s="16" t="s">
        <v>1386</v>
      </c>
      <c r="C238" s="16" t="s">
        <v>1387</v>
      </c>
      <c r="D238" s="17">
        <v>46054.0</v>
      </c>
      <c r="E238" s="18">
        <v>207.32</v>
      </c>
      <c r="F238" s="16" t="s">
        <v>102</v>
      </c>
      <c r="G238" s="19">
        <v>0.26</v>
      </c>
      <c r="H238" s="16" t="s">
        <v>5151</v>
      </c>
      <c r="I238" s="19">
        <v>45.98</v>
      </c>
      <c r="J238" s="19">
        <v>70.2222</v>
      </c>
      <c r="K238" s="21">
        <v>1.4723</v>
      </c>
      <c r="L238" s="16" t="s">
        <v>1388</v>
      </c>
      <c r="M238" s="19">
        <v>0.0579</v>
      </c>
      <c r="N238" s="20">
        <v>1000816.0</v>
      </c>
      <c r="O238" s="21">
        <v>207.41</v>
      </c>
      <c r="P238" s="21">
        <v>206.78</v>
      </c>
      <c r="Q238" s="21">
        <v>207.21</v>
      </c>
      <c r="R238" s="21">
        <v>0.4622</v>
      </c>
      <c r="S238" s="21">
        <v>3.5326</v>
      </c>
      <c r="T238" s="21">
        <v>725743.3</v>
      </c>
      <c r="U238" s="20">
        <v>9.908109137E9</v>
      </c>
      <c r="V238" s="19">
        <v>58.6014</v>
      </c>
      <c r="W238" s="21">
        <v>62.9159</v>
      </c>
      <c r="X238" s="21">
        <v>205.8376</v>
      </c>
      <c r="Y238" s="21">
        <v>191.0201</v>
      </c>
      <c r="Z238" s="21">
        <v>207.2545</v>
      </c>
      <c r="AA238" s="21">
        <v>206.8985</v>
      </c>
      <c r="AB238" s="21">
        <v>206.3387</v>
      </c>
      <c r="AC238" s="21">
        <v>205.0714</v>
      </c>
      <c r="AD238" s="21">
        <v>202.0296</v>
      </c>
      <c r="AE238" s="21">
        <v>216.44</v>
      </c>
      <c r="AF238" s="21">
        <v>4.2136</v>
      </c>
      <c r="AG238" s="22">
        <f>IFERROR(__xludf.DUMMYFUNCTION("IFERROR(GOOGLEFINANCE(B238,""price""),"""")"),207.79)</f>
        <v>207.79</v>
      </c>
      <c r="AH238" s="22"/>
      <c r="AI238" s="22"/>
      <c r="AJ238" s="22"/>
      <c r="AK238" s="22"/>
      <c r="AL238" s="22"/>
      <c r="AM238" s="22"/>
      <c r="AN238" s="22"/>
    </row>
    <row r="239">
      <c r="A239" s="7">
        <v>46052.6258937698</v>
      </c>
      <c r="B239" s="8" t="s">
        <v>5147</v>
      </c>
      <c r="C239" s="8" t="s">
        <v>5148</v>
      </c>
      <c r="D239" s="9">
        <v>46054.0</v>
      </c>
      <c r="E239" s="10">
        <v>2.335</v>
      </c>
      <c r="F239" s="8" t="s">
        <v>117</v>
      </c>
      <c r="G239" s="11">
        <v>0.81</v>
      </c>
      <c r="H239" s="8" t="s">
        <v>5152</v>
      </c>
      <c r="I239" s="11">
        <v>28.9182</v>
      </c>
      <c r="J239" s="11">
        <v>72.7474</v>
      </c>
      <c r="K239" s="13">
        <v>4.4095</v>
      </c>
      <c r="L239" s="8" t="s">
        <v>5150</v>
      </c>
      <c r="M239" s="11">
        <v>12.8019</v>
      </c>
      <c r="N239" s="12">
        <v>2818160.0</v>
      </c>
      <c r="O239" s="13">
        <v>2.3884</v>
      </c>
      <c r="P239" s="13">
        <v>2.08</v>
      </c>
      <c r="Q239" s="13">
        <v>2.08</v>
      </c>
      <c r="R239" s="13">
        <v>0.1055</v>
      </c>
      <c r="S239" s="13">
        <v>0.2602</v>
      </c>
      <c r="T239" s="13">
        <v>862272.6</v>
      </c>
      <c r="U239" s="12">
        <v>1.87783451E8</v>
      </c>
      <c r="V239" s="11">
        <v>75.5721</v>
      </c>
      <c r="W239" s="13">
        <v>79.8885</v>
      </c>
      <c r="X239" s="13">
        <v>1.8685</v>
      </c>
      <c r="Y239" s="13">
        <v>1.9083</v>
      </c>
      <c r="Z239" s="13">
        <v>2.126</v>
      </c>
      <c r="AA239" s="13">
        <v>2.0314</v>
      </c>
      <c r="AB239" s="13">
        <v>1.987</v>
      </c>
      <c r="AC239" s="13">
        <v>1.9636</v>
      </c>
      <c r="AD239" s="13">
        <v>1.9479</v>
      </c>
      <c r="AE239" s="13">
        <v>3.1</v>
      </c>
      <c r="AF239" s="13">
        <v>24.6774</v>
      </c>
      <c r="AG239" s="14">
        <f>IFERROR(__xludf.DUMMYFUNCTION("IFERROR(GOOGLEFINANCE(B239,""price""),"""")"),2.3)</f>
        <v>2.3</v>
      </c>
      <c r="AH239" s="14"/>
      <c r="AI239" s="14"/>
      <c r="AJ239" s="14"/>
      <c r="AK239" s="14"/>
      <c r="AL239" s="14"/>
      <c r="AM239" s="14"/>
      <c r="AN239" s="14"/>
    </row>
    <row r="240">
      <c r="A240" s="15">
        <v>46052.6258937698</v>
      </c>
      <c r="B240" s="16" t="s">
        <v>5153</v>
      </c>
      <c r="C240" s="16" t="s">
        <v>5154</v>
      </c>
      <c r="D240" s="17">
        <v>46054.0</v>
      </c>
      <c r="E240" s="18">
        <v>15.66</v>
      </c>
      <c r="F240" s="16" t="s">
        <v>162</v>
      </c>
      <c r="G240" s="19">
        <v>0.81</v>
      </c>
      <c r="H240" s="16" t="s">
        <v>5155</v>
      </c>
      <c r="I240" s="19">
        <v>33.9147</v>
      </c>
      <c r="J240" s="19">
        <v>75.3859</v>
      </c>
      <c r="K240" s="21">
        <v>1.4251</v>
      </c>
      <c r="L240" s="16" t="s">
        <v>5156</v>
      </c>
      <c r="M240" s="19">
        <v>1.0323</v>
      </c>
      <c r="N240" s="20">
        <v>617199.0</v>
      </c>
      <c r="O240" s="21">
        <v>16.04</v>
      </c>
      <c r="P240" s="21">
        <v>15.448</v>
      </c>
      <c r="Q240" s="21">
        <v>15.52</v>
      </c>
      <c r="R240" s="21">
        <v>0.4085</v>
      </c>
      <c r="S240" s="21">
        <v>1.0121</v>
      </c>
      <c r="T240" s="21">
        <v>441769.9</v>
      </c>
      <c r="U240" s="20">
        <v>2.365201037E9</v>
      </c>
      <c r="V240" s="19">
        <v>89.7542</v>
      </c>
      <c r="W240" s="21">
        <v>89.5165</v>
      </c>
      <c r="X240" s="21">
        <v>13.1652</v>
      </c>
      <c r="Y240" s="21">
        <v>13.2093</v>
      </c>
      <c r="Z240" s="21">
        <v>14.9265</v>
      </c>
      <c r="AA240" s="21">
        <v>14.2328</v>
      </c>
      <c r="AB240" s="21">
        <v>13.8596</v>
      </c>
      <c r="AC240" s="21">
        <v>13.6022</v>
      </c>
      <c r="AD240" s="21">
        <v>13.4559</v>
      </c>
      <c r="AE240" s="21">
        <v>16.6</v>
      </c>
      <c r="AF240" s="21">
        <v>5.6627</v>
      </c>
      <c r="AG240" s="22">
        <f>IFERROR(__xludf.DUMMYFUNCTION("IFERROR(GOOGLEFINANCE(B240,""price""),"""")"),17.85)</f>
        <v>17.85</v>
      </c>
      <c r="AH240" s="22"/>
      <c r="AI240" s="22"/>
      <c r="AJ240" s="22"/>
      <c r="AK240" s="22"/>
      <c r="AL240" s="22"/>
      <c r="AM240" s="22"/>
      <c r="AN240" s="22"/>
    </row>
    <row r="241">
      <c r="A241" s="7">
        <v>46052.6258937698</v>
      </c>
      <c r="B241" s="8" t="s">
        <v>1818</v>
      </c>
      <c r="C241" s="8" t="s">
        <v>1819</v>
      </c>
      <c r="D241" s="9">
        <v>46054.0</v>
      </c>
      <c r="E241" s="10">
        <v>2.2099</v>
      </c>
      <c r="F241" s="8" t="s">
        <v>117</v>
      </c>
      <c r="G241" s="11">
        <v>0.87</v>
      </c>
      <c r="H241" s="8" t="s">
        <v>4848</v>
      </c>
      <c r="I241" s="11">
        <v>37.1785</v>
      </c>
      <c r="J241" s="11">
        <v>52.7801</v>
      </c>
      <c r="K241" s="13">
        <v>1.384</v>
      </c>
      <c r="L241" s="8" t="s">
        <v>1820</v>
      </c>
      <c r="M241" s="11">
        <v>-9.0576</v>
      </c>
      <c r="N241" s="12">
        <v>1271858.0</v>
      </c>
      <c r="O241" s="13">
        <v>2.42</v>
      </c>
      <c r="P241" s="13">
        <v>2.19</v>
      </c>
      <c r="Q241" s="13">
        <v>2.36</v>
      </c>
      <c r="R241" s="13">
        <v>0.1261</v>
      </c>
      <c r="S241" s="13">
        <v>0.2889</v>
      </c>
      <c r="T241" s="13">
        <v>950538.2</v>
      </c>
      <c r="U241" s="12">
        <v>1.56968137E8</v>
      </c>
      <c r="V241" s="11">
        <v>65.6667</v>
      </c>
      <c r="W241" s="13">
        <v>77.2436</v>
      </c>
      <c r="X241" s="13">
        <v>1.9608</v>
      </c>
      <c r="Y241" s="13">
        <v>2.1986</v>
      </c>
      <c r="Z241" s="13">
        <v>2.3404</v>
      </c>
      <c r="AA241" s="13">
        <v>2.1996</v>
      </c>
      <c r="AB241" s="13">
        <v>2.119</v>
      </c>
      <c r="AC241" s="13">
        <v>2.0667</v>
      </c>
      <c r="AD241" s="13">
        <v>2.0446</v>
      </c>
      <c r="AE241" s="13">
        <v>2.74</v>
      </c>
      <c r="AF241" s="13">
        <v>19.3467</v>
      </c>
      <c r="AG241" s="14">
        <f>IFERROR(__xludf.DUMMYFUNCTION("IFERROR(GOOGLEFINANCE(B241,""price""),"""")"),2.17)</f>
        <v>2.17</v>
      </c>
      <c r="AH241" s="14"/>
      <c r="AI241" s="14"/>
      <c r="AJ241" s="14"/>
      <c r="AK241" s="14"/>
      <c r="AL241" s="14"/>
      <c r="AM241" s="14"/>
      <c r="AN241" s="14"/>
    </row>
    <row r="242">
      <c r="A242" s="15">
        <v>46052.6258937698</v>
      </c>
      <c r="B242" s="16" t="s">
        <v>5104</v>
      </c>
      <c r="C242" s="16" t="s">
        <v>5105</v>
      </c>
      <c r="D242" s="17">
        <v>46054.0</v>
      </c>
      <c r="E242" s="18">
        <v>8.41</v>
      </c>
      <c r="F242" s="16" t="s">
        <v>245</v>
      </c>
      <c r="G242" s="19">
        <v>0.89</v>
      </c>
      <c r="H242" s="16" t="s">
        <v>5086</v>
      </c>
      <c r="I242" s="19">
        <v>26.7349</v>
      </c>
      <c r="J242" s="19">
        <v>65.9629</v>
      </c>
      <c r="K242" s="21">
        <v>2.9174</v>
      </c>
      <c r="L242" s="16" t="s">
        <v>5107</v>
      </c>
      <c r="M242" s="19">
        <v>-1.6374</v>
      </c>
      <c r="N242" s="20">
        <v>2226488.0</v>
      </c>
      <c r="O242" s="21">
        <v>9.09</v>
      </c>
      <c r="P242" s="21">
        <v>8.375</v>
      </c>
      <c r="Q242" s="21">
        <v>8.94</v>
      </c>
      <c r="R242" s="21">
        <v>0.3281</v>
      </c>
      <c r="S242" s="21">
        <v>0.7351</v>
      </c>
      <c r="T242" s="21">
        <v>939714.7</v>
      </c>
      <c r="U242" s="20">
        <v>4.31515228E8</v>
      </c>
      <c r="V242" s="19">
        <v>81.1429</v>
      </c>
      <c r="W242" s="21">
        <v>89.3059</v>
      </c>
      <c r="X242" s="21">
        <v>7.6384</v>
      </c>
      <c r="Y242" s="21">
        <v>7.4196</v>
      </c>
      <c r="Z242" s="21">
        <v>8.2068</v>
      </c>
      <c r="AA242" s="21">
        <v>7.8526</v>
      </c>
      <c r="AB242" s="21">
        <v>7.7148</v>
      </c>
      <c r="AC242" s="21">
        <v>7.5816</v>
      </c>
      <c r="AD242" s="21">
        <v>7.4348</v>
      </c>
      <c r="AE242" s="21">
        <v>9.54</v>
      </c>
      <c r="AF242" s="21">
        <v>11.8449</v>
      </c>
      <c r="AG242" s="22">
        <f>IFERROR(__xludf.DUMMYFUNCTION("IFERROR(GOOGLEFINANCE(B242,""price""),"""")"),9.4)</f>
        <v>9.4</v>
      </c>
      <c r="AH242" s="22"/>
      <c r="AI242" s="22"/>
      <c r="AJ242" s="22"/>
      <c r="AK242" s="22"/>
      <c r="AL242" s="22"/>
      <c r="AM242" s="22"/>
      <c r="AN242" s="22"/>
    </row>
    <row r="243">
      <c r="A243" s="7">
        <v>46052.6258937698</v>
      </c>
      <c r="B243" s="8" t="s">
        <v>4824</v>
      </c>
      <c r="C243" s="8" t="s">
        <v>4825</v>
      </c>
      <c r="D243" s="9">
        <v>46054.0</v>
      </c>
      <c r="E243" s="10">
        <v>4.84</v>
      </c>
      <c r="F243" s="8" t="s">
        <v>117</v>
      </c>
      <c r="G243" s="11">
        <v>0.9</v>
      </c>
      <c r="H243" s="8" t="s">
        <v>5015</v>
      </c>
      <c r="I243" s="11">
        <v>42.1794</v>
      </c>
      <c r="J243" s="11">
        <v>80.7454</v>
      </c>
      <c r="K243" s="13">
        <v>2.4957</v>
      </c>
      <c r="L243" s="8" t="s">
        <v>4827</v>
      </c>
      <c r="M243" s="11">
        <v>8.2774</v>
      </c>
      <c r="N243" s="12">
        <v>3188807.0</v>
      </c>
      <c r="O243" s="13">
        <v>5.0</v>
      </c>
      <c r="P243" s="13">
        <v>3.9709</v>
      </c>
      <c r="Q243" s="13">
        <v>4.37</v>
      </c>
      <c r="R243" s="13">
        <v>0.3977</v>
      </c>
      <c r="S243" s="13">
        <v>0.8882</v>
      </c>
      <c r="T243" s="8">
        <v>1561541.0</v>
      </c>
      <c r="U243" s="12">
        <v>1.91324446E8</v>
      </c>
      <c r="V243" s="11">
        <v>88.5955</v>
      </c>
      <c r="W243" s="13">
        <v>86.8291</v>
      </c>
      <c r="X243" s="13">
        <v>2.8112</v>
      </c>
      <c r="Y243" s="13">
        <v>3.371</v>
      </c>
      <c r="Z243" s="13">
        <v>3.8671</v>
      </c>
      <c r="AA243" s="13">
        <v>3.3501</v>
      </c>
      <c r="AB243" s="13">
        <v>3.1617</v>
      </c>
      <c r="AC243" s="13">
        <v>3.0361</v>
      </c>
      <c r="AD243" s="13">
        <v>2.922</v>
      </c>
      <c r="AE243" s="13">
        <v>9.08</v>
      </c>
      <c r="AF243" s="13">
        <v>46.696</v>
      </c>
      <c r="AG243" s="14" t="str">
        <f>IFERROR(__xludf.DUMMYFUNCTION("IFERROR(GOOGLEFINANCE(B243,""price""),"""")"),"")</f>
        <v/>
      </c>
      <c r="AH243" s="14"/>
      <c r="AI243" s="14"/>
      <c r="AJ243" s="14"/>
      <c r="AK243" s="14"/>
      <c r="AL243" s="14"/>
      <c r="AM243" s="14"/>
      <c r="AN243" s="14"/>
    </row>
    <row r="244">
      <c r="A244" s="15">
        <v>46052.6258937698</v>
      </c>
      <c r="B244" s="16" t="s">
        <v>5157</v>
      </c>
      <c r="C244" s="16" t="s">
        <v>5158</v>
      </c>
      <c r="D244" s="17">
        <v>46054.0</v>
      </c>
      <c r="E244" s="18">
        <v>37.74</v>
      </c>
      <c r="F244" s="16" t="s">
        <v>93</v>
      </c>
      <c r="G244" s="19">
        <v>0.92</v>
      </c>
      <c r="H244" s="16" t="s">
        <v>4848</v>
      </c>
      <c r="I244" s="19">
        <v>22.0478</v>
      </c>
      <c r="J244" s="19">
        <v>70.6413</v>
      </c>
      <c r="K244" s="21">
        <v>1.4</v>
      </c>
      <c r="L244" s="16" t="s">
        <v>5159</v>
      </c>
      <c r="M244" s="19">
        <v>2.5543</v>
      </c>
      <c r="N244" s="20">
        <v>491319.0</v>
      </c>
      <c r="O244" s="21">
        <v>38.74</v>
      </c>
      <c r="P244" s="21">
        <v>37.27</v>
      </c>
      <c r="Q244" s="21">
        <v>37.5</v>
      </c>
      <c r="R244" s="21">
        <v>0.8162</v>
      </c>
      <c r="S244" s="21">
        <v>1.769</v>
      </c>
      <c r="T244" s="21">
        <v>373835.3</v>
      </c>
      <c r="U244" s="20">
        <v>2.314538938E9</v>
      </c>
      <c r="V244" s="19">
        <v>77.227</v>
      </c>
      <c r="W244" s="21">
        <v>72.7049</v>
      </c>
      <c r="X244" s="21">
        <v>34.893</v>
      </c>
      <c r="Y244" s="21">
        <v>33.1215</v>
      </c>
      <c r="Z244" s="21">
        <v>36.5596</v>
      </c>
      <c r="AA244" s="21">
        <v>35.8168</v>
      </c>
      <c r="AB244" s="21">
        <v>35.3878</v>
      </c>
      <c r="AC244" s="21">
        <v>34.9053</v>
      </c>
      <c r="AD244" s="21">
        <v>34.323</v>
      </c>
      <c r="AE244" s="21">
        <v>38.74</v>
      </c>
      <c r="AF244" s="21">
        <v>2.5813</v>
      </c>
      <c r="AG244" s="22">
        <f>IFERROR(__xludf.DUMMYFUNCTION("IFERROR(GOOGLEFINANCE(B244,""price""),"""")"),37.65)</f>
        <v>37.65</v>
      </c>
      <c r="AH244" s="22"/>
      <c r="AI244" s="22"/>
      <c r="AJ244" s="22"/>
      <c r="AK244" s="22"/>
      <c r="AL244" s="22"/>
      <c r="AM244" s="22"/>
      <c r="AN244" s="22"/>
    </row>
    <row r="245">
      <c r="A245" s="7">
        <v>46052.6258937698</v>
      </c>
      <c r="B245" s="8" t="s">
        <v>5160</v>
      </c>
      <c r="C245" s="8" t="s">
        <v>5161</v>
      </c>
      <c r="D245" s="9">
        <v>46054.0</v>
      </c>
      <c r="E245" s="10">
        <v>10.07</v>
      </c>
      <c r="F245" s="8" t="s">
        <v>102</v>
      </c>
      <c r="G245" s="11">
        <v>0.92</v>
      </c>
      <c r="H245" s="8" t="s">
        <v>4862</v>
      </c>
      <c r="I245" s="11">
        <v>22.0374</v>
      </c>
      <c r="J245" s="11">
        <v>54.0585</v>
      </c>
      <c r="K245" s="13">
        <v>1.5842</v>
      </c>
      <c r="L245" s="8" t="s">
        <v>5162</v>
      </c>
      <c r="M245" s="11">
        <v>1.3078</v>
      </c>
      <c r="N245" s="12">
        <v>801872.0</v>
      </c>
      <c r="O245" s="13">
        <v>10.36</v>
      </c>
      <c r="P245" s="13">
        <v>9.71</v>
      </c>
      <c r="Q245" s="13">
        <v>9.78</v>
      </c>
      <c r="R245" s="13">
        <v>0.4404</v>
      </c>
      <c r="S245" s="13">
        <v>0.9614</v>
      </c>
      <c r="T245" s="13">
        <v>542197.5</v>
      </c>
      <c r="U245" s="12">
        <v>4.08002506E8</v>
      </c>
      <c r="V245" s="11">
        <v>28.6161</v>
      </c>
      <c r="W245" s="13">
        <v>34.0623</v>
      </c>
      <c r="X245" s="13">
        <v>9.379</v>
      </c>
      <c r="Y245" s="13">
        <v>10.4981</v>
      </c>
      <c r="Z245" s="13">
        <v>10.04</v>
      </c>
      <c r="AA245" s="13">
        <v>9.9257</v>
      </c>
      <c r="AB245" s="13">
        <v>9.7349</v>
      </c>
      <c r="AC245" s="13">
        <v>9.561</v>
      </c>
      <c r="AD245" s="13">
        <v>9.5452</v>
      </c>
      <c r="AE245" s="13">
        <v>15.66</v>
      </c>
      <c r="AF245" s="13">
        <v>35.696</v>
      </c>
      <c r="AG245" s="14">
        <f>IFERROR(__xludf.DUMMYFUNCTION("IFERROR(GOOGLEFINANCE(B245,""price""),"""")"),9.2)</f>
        <v>9.2</v>
      </c>
      <c r="AH245" s="14"/>
      <c r="AI245" s="14"/>
      <c r="AJ245" s="14"/>
      <c r="AK245" s="14"/>
      <c r="AL245" s="14"/>
      <c r="AM245" s="14"/>
      <c r="AN245" s="14"/>
    </row>
    <row r="246">
      <c r="A246" s="15">
        <v>46052.6258937698</v>
      </c>
      <c r="B246" s="16" t="s">
        <v>5163</v>
      </c>
      <c r="C246" s="16" t="s">
        <v>5164</v>
      </c>
      <c r="D246" s="17">
        <v>46054.0</v>
      </c>
      <c r="E246" s="18">
        <v>64.29</v>
      </c>
      <c r="F246" s="16" t="s">
        <v>137</v>
      </c>
      <c r="G246" s="19">
        <v>0.93</v>
      </c>
      <c r="H246" s="16" t="s">
        <v>4844</v>
      </c>
      <c r="I246" s="19">
        <v>37.3625</v>
      </c>
      <c r="J246" s="19">
        <v>70.173</v>
      </c>
      <c r="K246" s="21">
        <v>1.7912</v>
      </c>
      <c r="L246" s="16" t="s">
        <v>5165</v>
      </c>
      <c r="M246" s="19">
        <v>1.58</v>
      </c>
      <c r="N246" s="20">
        <v>717646.0</v>
      </c>
      <c r="O246" s="21">
        <v>64.73</v>
      </c>
      <c r="P246" s="21">
        <v>62.485</v>
      </c>
      <c r="Q246" s="21">
        <v>62.58</v>
      </c>
      <c r="R246" s="21">
        <v>1.6675</v>
      </c>
      <c r="S246" s="21">
        <v>3.5823</v>
      </c>
      <c r="T246" s="21">
        <v>434954.3</v>
      </c>
      <c r="U246" s="20">
        <v>4.863559899E9</v>
      </c>
      <c r="V246" s="19">
        <v>69.2625</v>
      </c>
      <c r="W246" s="21">
        <v>67.3864</v>
      </c>
      <c r="X246" s="21">
        <v>56.751</v>
      </c>
      <c r="Y246" s="21">
        <v>54.6443</v>
      </c>
      <c r="Z246" s="21">
        <v>63.0022</v>
      </c>
      <c r="AA246" s="21">
        <v>60.9053</v>
      </c>
      <c r="AB246" s="21">
        <v>59.2418</v>
      </c>
      <c r="AC246" s="21">
        <v>57.5192</v>
      </c>
      <c r="AD246" s="21">
        <v>56.1228</v>
      </c>
      <c r="AE246" s="21">
        <v>66.11</v>
      </c>
      <c r="AF246" s="21">
        <v>2.753</v>
      </c>
      <c r="AG246" s="22">
        <f>IFERROR(__xludf.DUMMYFUNCTION("IFERROR(GOOGLEFINANCE(B246,""price""),"""")"),71.15)</f>
        <v>71.15</v>
      </c>
      <c r="AH246" s="22"/>
      <c r="AI246" s="22"/>
      <c r="AJ246" s="22"/>
      <c r="AK246" s="22"/>
      <c r="AL246" s="22"/>
      <c r="AM246" s="22"/>
      <c r="AN246" s="22"/>
    </row>
    <row r="247">
      <c r="A247" s="7">
        <v>46052.6258937698</v>
      </c>
      <c r="B247" s="8" t="s">
        <v>5166</v>
      </c>
      <c r="C247" s="8" t="s">
        <v>5167</v>
      </c>
      <c r="D247" s="9">
        <v>46054.0</v>
      </c>
      <c r="E247" s="10">
        <v>64.84</v>
      </c>
      <c r="F247" s="8" t="s">
        <v>112</v>
      </c>
      <c r="G247" s="11">
        <v>0.93</v>
      </c>
      <c r="H247" s="8" t="s">
        <v>4919</v>
      </c>
      <c r="I247" s="11">
        <v>28.9487</v>
      </c>
      <c r="J247" s="11">
        <v>49.6729</v>
      </c>
      <c r="K247" s="13">
        <v>2.1463</v>
      </c>
      <c r="L247" s="8" t="s">
        <v>5168</v>
      </c>
      <c r="M247" s="11">
        <v>-0.5521</v>
      </c>
      <c r="N247" s="12">
        <v>906224.0</v>
      </c>
      <c r="O247" s="13">
        <v>65.3</v>
      </c>
      <c r="P247" s="13">
        <v>63.44</v>
      </c>
      <c r="Q247" s="13">
        <v>64.4</v>
      </c>
      <c r="R247" s="13">
        <v>1.89</v>
      </c>
      <c r="S247" s="13">
        <v>4.0832</v>
      </c>
      <c r="T247" s="13">
        <v>485617.2</v>
      </c>
      <c r="U247" s="12">
        <v>3.164590275E9</v>
      </c>
      <c r="V247" s="11">
        <v>19.8176</v>
      </c>
      <c r="W247" s="13">
        <v>33.8097</v>
      </c>
      <c r="X247" s="13">
        <v>60.8354</v>
      </c>
      <c r="Y247" s="13">
        <v>52.4968</v>
      </c>
      <c r="Z247" s="13">
        <v>66.3394</v>
      </c>
      <c r="AA247" s="13">
        <v>65.64</v>
      </c>
      <c r="AB247" s="13">
        <v>64.0885</v>
      </c>
      <c r="AC247" s="13">
        <v>62.0239</v>
      </c>
      <c r="AD247" s="13">
        <v>59.4525</v>
      </c>
      <c r="AE247" s="13">
        <v>69.915</v>
      </c>
      <c r="AF247" s="13">
        <v>7.2588</v>
      </c>
      <c r="AG247" s="14" t="str">
        <f>IFERROR(__xludf.DUMMYFUNCTION("IFERROR(GOOGLEFINANCE(B247,""price""),"""")"),"")</f>
        <v/>
      </c>
      <c r="AH247" s="14"/>
      <c r="AI247" s="14"/>
      <c r="AJ247" s="14"/>
      <c r="AK247" s="14"/>
      <c r="AL247" s="14"/>
      <c r="AM247" s="14"/>
      <c r="AN247" s="14"/>
    </row>
    <row r="248">
      <c r="A248" s="15">
        <v>46052.6258937698</v>
      </c>
      <c r="B248" s="16" t="s">
        <v>5169</v>
      </c>
      <c r="C248" s="16" t="s">
        <v>5170</v>
      </c>
      <c r="D248" s="17">
        <v>46054.0</v>
      </c>
      <c r="E248" s="18">
        <v>13.175</v>
      </c>
      <c r="F248" s="16" t="s">
        <v>93</v>
      </c>
      <c r="G248" s="19">
        <v>0.94</v>
      </c>
      <c r="H248" s="16" t="s">
        <v>4868</v>
      </c>
      <c r="I248" s="19">
        <v>29.1243</v>
      </c>
      <c r="J248" s="19">
        <v>54.7761</v>
      </c>
      <c r="K248" s="21">
        <v>1.7265</v>
      </c>
      <c r="L248" s="16" t="s">
        <v>5171</v>
      </c>
      <c r="M248" s="19">
        <v>-2.6957</v>
      </c>
      <c r="N248" s="20">
        <v>7387796.0</v>
      </c>
      <c r="O248" s="21">
        <v>13.83</v>
      </c>
      <c r="P248" s="21">
        <v>12.94</v>
      </c>
      <c r="Q248" s="21">
        <v>13.35</v>
      </c>
      <c r="R248" s="21">
        <v>0.4108</v>
      </c>
      <c r="S248" s="21">
        <v>0.8747</v>
      </c>
      <c r="T248" s="16">
        <v>4531754.0</v>
      </c>
      <c r="U248" s="20">
        <v>5.477583834E9</v>
      </c>
      <c r="V248" s="19">
        <v>63.1022</v>
      </c>
      <c r="W248" s="21">
        <v>62.148</v>
      </c>
      <c r="X248" s="21">
        <v>12.6669</v>
      </c>
      <c r="Y248" s="21">
        <v>12.1319</v>
      </c>
      <c r="Z248" s="21">
        <v>13.1235</v>
      </c>
      <c r="AA248" s="21">
        <v>12.9683</v>
      </c>
      <c r="AB248" s="21">
        <v>12.8279</v>
      </c>
      <c r="AC248" s="21">
        <v>12.6269</v>
      </c>
      <c r="AD248" s="21">
        <v>12.4034</v>
      </c>
      <c r="AE248" s="21">
        <v>13.845</v>
      </c>
      <c r="AF248" s="21">
        <v>4.8393</v>
      </c>
      <c r="AG248" s="22">
        <f>IFERROR(__xludf.DUMMYFUNCTION("IFERROR(GOOGLEFINANCE(B248,""price""),"""")"),14.04)</f>
        <v>14.04</v>
      </c>
      <c r="AH248" s="22"/>
      <c r="AI248" s="22"/>
      <c r="AJ248" s="22"/>
      <c r="AK248" s="22"/>
      <c r="AL248" s="22"/>
      <c r="AM248" s="22"/>
      <c r="AN248" s="22"/>
    </row>
    <row r="249">
      <c r="A249" s="7">
        <v>46052.6258937698</v>
      </c>
      <c r="B249" s="8" t="s">
        <v>5172</v>
      </c>
      <c r="C249" s="8" t="s">
        <v>5173</v>
      </c>
      <c r="D249" s="9">
        <v>46054.0</v>
      </c>
      <c r="E249" s="10">
        <v>26.48</v>
      </c>
      <c r="F249" s="8" t="s">
        <v>117</v>
      </c>
      <c r="G249" s="11">
        <v>0.94</v>
      </c>
      <c r="H249" s="8" t="s">
        <v>4848</v>
      </c>
      <c r="I249" s="11">
        <v>47.9903</v>
      </c>
      <c r="J249" s="11">
        <v>65.1216</v>
      </c>
      <c r="K249" s="13">
        <v>1.4185</v>
      </c>
      <c r="L249" s="8" t="s">
        <v>5174</v>
      </c>
      <c r="M249" s="11">
        <v>3.1554</v>
      </c>
      <c r="N249" s="12">
        <v>1375054.0</v>
      </c>
      <c r="O249" s="13">
        <v>26.88</v>
      </c>
      <c r="P249" s="13">
        <v>25.22</v>
      </c>
      <c r="Q249" s="13">
        <v>25.35</v>
      </c>
      <c r="R249" s="13">
        <v>1.6931</v>
      </c>
      <c r="S249" s="13">
        <v>3.5941</v>
      </c>
      <c r="T249" s="13">
        <v>981650.8</v>
      </c>
      <c r="U249" s="12">
        <v>1.571516952E9</v>
      </c>
      <c r="V249" s="11">
        <v>53.8159</v>
      </c>
      <c r="W249" s="13">
        <v>61.3382</v>
      </c>
      <c r="X249" s="13">
        <v>20.9779</v>
      </c>
      <c r="Y249" s="13">
        <v>20.7919</v>
      </c>
      <c r="Z249" s="13">
        <v>25.8785</v>
      </c>
      <c r="AA249" s="13">
        <v>24.0386</v>
      </c>
      <c r="AB249" s="13">
        <v>22.7867</v>
      </c>
      <c r="AC249" s="13">
        <v>21.8281</v>
      </c>
      <c r="AD249" s="13">
        <v>21.203</v>
      </c>
      <c r="AE249" s="13">
        <v>29.98</v>
      </c>
      <c r="AF249" s="13">
        <v>11.6744</v>
      </c>
      <c r="AG249" s="14">
        <f>IFERROR(__xludf.DUMMYFUNCTION("IFERROR(GOOGLEFINANCE(B249,""price""),"""")"),45.32)</f>
        <v>45.32</v>
      </c>
      <c r="AH249" s="14"/>
      <c r="AI249" s="14"/>
      <c r="AJ249" s="14"/>
      <c r="AK249" s="14"/>
      <c r="AL249" s="14"/>
      <c r="AM249" s="14"/>
      <c r="AN249" s="14"/>
    </row>
    <row r="250">
      <c r="A250" s="15">
        <v>46052.6258937698</v>
      </c>
      <c r="B250" s="16" t="s">
        <v>4980</v>
      </c>
      <c r="C250" s="16" t="s">
        <v>4981</v>
      </c>
      <c r="D250" s="17">
        <v>46054.0</v>
      </c>
      <c r="E250" s="18">
        <v>4.655</v>
      </c>
      <c r="F250" s="16" t="s">
        <v>270</v>
      </c>
      <c r="G250" s="19">
        <v>0.94</v>
      </c>
      <c r="H250" s="16" t="s">
        <v>4844</v>
      </c>
      <c r="I250" s="19">
        <v>41.2068</v>
      </c>
      <c r="J250" s="19">
        <v>70.045</v>
      </c>
      <c r="K250" s="21">
        <v>1.8302</v>
      </c>
      <c r="L250" s="16" t="s">
        <v>4982</v>
      </c>
      <c r="M250" s="19">
        <v>-0.1073</v>
      </c>
      <c r="N250" s="20">
        <v>8321186.0</v>
      </c>
      <c r="O250" s="21">
        <v>4.67</v>
      </c>
      <c r="P250" s="21">
        <v>4.49</v>
      </c>
      <c r="Q250" s="21">
        <v>4.57</v>
      </c>
      <c r="R250" s="21">
        <v>0.1991</v>
      </c>
      <c r="S250" s="21">
        <v>0.4229</v>
      </c>
      <c r="T250" s="16">
        <v>4936861.0</v>
      </c>
      <c r="U250" s="20">
        <v>1.42849285E9</v>
      </c>
      <c r="V250" s="19">
        <v>72.1283</v>
      </c>
      <c r="W250" s="21">
        <v>73.4764</v>
      </c>
      <c r="X250" s="21">
        <v>3.9767</v>
      </c>
      <c r="Y250" s="21">
        <v>3.3389</v>
      </c>
      <c r="Z250" s="21">
        <v>4.5175</v>
      </c>
      <c r="AA250" s="21">
        <v>4.3414</v>
      </c>
      <c r="AB250" s="21">
        <v>4.1854</v>
      </c>
      <c r="AC250" s="21">
        <v>3.9584</v>
      </c>
      <c r="AD250" s="21">
        <v>3.6688</v>
      </c>
      <c r="AE250" s="21">
        <v>4.86</v>
      </c>
      <c r="AF250" s="21">
        <v>4.2181</v>
      </c>
      <c r="AG250" s="22">
        <f>IFERROR(__xludf.DUMMYFUNCTION("IFERROR(GOOGLEFINANCE(B250,""price""),"""")"),5.9)</f>
        <v>5.9</v>
      </c>
      <c r="AH250" s="22"/>
      <c r="AI250" s="22"/>
      <c r="AJ250" s="22"/>
      <c r="AK250" s="22"/>
      <c r="AL250" s="22"/>
      <c r="AM250" s="22"/>
      <c r="AN250" s="22"/>
    </row>
    <row r="251">
      <c r="A251" s="7">
        <v>46052.6258937698</v>
      </c>
      <c r="B251" s="8" t="s">
        <v>5175</v>
      </c>
      <c r="C251" s="8" t="s">
        <v>5176</v>
      </c>
      <c r="D251" s="9">
        <v>46054.0</v>
      </c>
      <c r="E251" s="10">
        <v>4.925</v>
      </c>
      <c r="F251" s="8" t="s">
        <v>93</v>
      </c>
      <c r="G251" s="11">
        <v>0.94</v>
      </c>
      <c r="H251" s="8" t="s">
        <v>4919</v>
      </c>
      <c r="I251" s="11">
        <v>33.7223</v>
      </c>
      <c r="J251" s="11">
        <v>38.8291</v>
      </c>
      <c r="K251" s="13">
        <v>2.0775</v>
      </c>
      <c r="L251" s="8" t="s">
        <v>5177</v>
      </c>
      <c r="M251" s="11">
        <v>-13.5965</v>
      </c>
      <c r="N251" s="12">
        <v>3.484711E7</v>
      </c>
      <c r="O251" s="13">
        <v>5.38</v>
      </c>
      <c r="P251" s="13">
        <v>4.81</v>
      </c>
      <c r="Q251" s="13">
        <v>5.32</v>
      </c>
      <c r="R251" s="13">
        <v>0.2998</v>
      </c>
      <c r="S251" s="13">
        <v>0.6362</v>
      </c>
      <c r="T251" s="8">
        <v>1.77877E7</v>
      </c>
      <c r="U251" s="12">
        <v>7.946477809E9</v>
      </c>
      <c r="V251" s="11">
        <v>51.7459</v>
      </c>
      <c r="W251" s="13">
        <v>70.0224</v>
      </c>
      <c r="X251" s="13">
        <v>5.2667</v>
      </c>
      <c r="Y251" s="13">
        <v>5.4049</v>
      </c>
      <c r="Z251" s="13">
        <v>5.5657</v>
      </c>
      <c r="AA251" s="13">
        <v>5.4442</v>
      </c>
      <c r="AB251" s="13">
        <v>5.3692</v>
      </c>
      <c r="AC251" s="13">
        <v>5.3488</v>
      </c>
      <c r="AD251" s="13">
        <v>5.3448</v>
      </c>
      <c r="AE251" s="13">
        <v>7.14</v>
      </c>
      <c r="AF251" s="13">
        <v>31.0224</v>
      </c>
      <c r="AG251" s="14">
        <f>IFERROR(__xludf.DUMMYFUNCTION("IFERROR(GOOGLEFINANCE(B251,""price""),"""")"),3.69)</f>
        <v>3.69</v>
      </c>
      <c r="AH251" s="14"/>
      <c r="AI251" s="14"/>
      <c r="AJ251" s="14"/>
      <c r="AK251" s="14"/>
      <c r="AL251" s="14"/>
      <c r="AM251" s="14"/>
      <c r="AN251" s="14"/>
    </row>
    <row r="252">
      <c r="A252" s="15">
        <v>46052.6258937698</v>
      </c>
      <c r="B252" s="16" t="s">
        <v>4106</v>
      </c>
      <c r="C252" s="16" t="s">
        <v>4107</v>
      </c>
      <c r="D252" s="17">
        <v>46054.0</v>
      </c>
      <c r="E252" s="18">
        <v>57.28</v>
      </c>
      <c r="F252" s="16" t="s">
        <v>102</v>
      </c>
      <c r="G252" s="19">
        <v>0.94</v>
      </c>
      <c r="H252" s="16" t="s">
        <v>4962</v>
      </c>
      <c r="I252" s="19">
        <v>26.9173</v>
      </c>
      <c r="J252" s="19">
        <v>48.7938</v>
      </c>
      <c r="K252" s="21">
        <v>2.201</v>
      </c>
      <c r="L252" s="16" t="s">
        <v>4109</v>
      </c>
      <c r="M252" s="19">
        <v>-0.6935</v>
      </c>
      <c r="N252" s="20">
        <v>2665863.0</v>
      </c>
      <c r="O252" s="21">
        <v>57.98</v>
      </c>
      <c r="P252" s="21">
        <v>55.87</v>
      </c>
      <c r="Q252" s="21">
        <v>56.71</v>
      </c>
      <c r="R252" s="21">
        <v>1.9333</v>
      </c>
      <c r="S252" s="21">
        <v>4.133</v>
      </c>
      <c r="T252" s="16">
        <v>1363016.0</v>
      </c>
      <c r="U252" s="20">
        <v>3.756967479E9</v>
      </c>
      <c r="V252" s="19">
        <v>22.253</v>
      </c>
      <c r="W252" s="21">
        <v>36.9628</v>
      </c>
      <c r="X252" s="21">
        <v>53.6324</v>
      </c>
      <c r="Y252" s="21">
        <v>51.1818</v>
      </c>
      <c r="Z252" s="21">
        <v>58.8618</v>
      </c>
      <c r="AA252" s="21">
        <v>58.2441</v>
      </c>
      <c r="AB252" s="21">
        <v>56.8407</v>
      </c>
      <c r="AC252" s="21">
        <v>55.1627</v>
      </c>
      <c r="AD252" s="21">
        <v>53.5363</v>
      </c>
      <c r="AE252" s="21">
        <v>62.505</v>
      </c>
      <c r="AF252" s="21">
        <v>8.3593</v>
      </c>
      <c r="AG252" s="22">
        <f>IFERROR(__xludf.DUMMYFUNCTION("IFERROR(GOOGLEFINANCE(B252,""price""),"""")"),63.18)</f>
        <v>63.18</v>
      </c>
      <c r="AH252" s="22"/>
      <c r="AI252" s="22"/>
      <c r="AJ252" s="22"/>
      <c r="AK252" s="22"/>
      <c r="AL252" s="22"/>
      <c r="AM252" s="22"/>
      <c r="AN252" s="22"/>
    </row>
    <row r="253">
      <c r="A253" s="7">
        <v>46052.6258937698</v>
      </c>
      <c r="B253" s="8" t="s">
        <v>5016</v>
      </c>
      <c r="C253" s="8" t="s">
        <v>5017</v>
      </c>
      <c r="D253" s="9">
        <v>46054.0</v>
      </c>
      <c r="E253" s="10">
        <v>165.84</v>
      </c>
      <c r="F253" s="8" t="s">
        <v>93</v>
      </c>
      <c r="G253" s="11">
        <v>0.95</v>
      </c>
      <c r="H253" s="8" t="s">
        <v>4868</v>
      </c>
      <c r="I253" s="11">
        <v>27.3198</v>
      </c>
      <c r="J253" s="11">
        <v>62.601</v>
      </c>
      <c r="K253" s="13">
        <v>1.7341</v>
      </c>
      <c r="L253" s="8" t="s">
        <v>5018</v>
      </c>
      <c r="M253" s="11">
        <v>0.4482</v>
      </c>
      <c r="N253" s="12">
        <v>571286.0</v>
      </c>
      <c r="O253" s="13">
        <v>166.75</v>
      </c>
      <c r="P253" s="13">
        <v>163.01</v>
      </c>
      <c r="Q253" s="13">
        <v>163.16</v>
      </c>
      <c r="R253" s="13">
        <v>5.0735</v>
      </c>
      <c r="S253" s="13">
        <v>10.6577</v>
      </c>
      <c r="T253" s="13">
        <v>345284.4</v>
      </c>
      <c r="U253" s="12">
        <v>4.100360369E9</v>
      </c>
      <c r="V253" s="11">
        <v>78.33</v>
      </c>
      <c r="W253" s="13">
        <v>61.9312</v>
      </c>
      <c r="X253" s="13">
        <v>151.092</v>
      </c>
      <c r="Y253" s="13">
        <v>125.2678</v>
      </c>
      <c r="Z253" s="13">
        <v>161.2003</v>
      </c>
      <c r="AA253" s="13">
        <v>159.1463</v>
      </c>
      <c r="AB253" s="13">
        <v>155.9262</v>
      </c>
      <c r="AC253" s="13">
        <v>149.8942</v>
      </c>
      <c r="AD253" s="13">
        <v>141.6808</v>
      </c>
      <c r="AE253" s="13">
        <v>168.68</v>
      </c>
      <c r="AF253" s="13">
        <v>1.6837</v>
      </c>
      <c r="AG253" s="14">
        <f>IFERROR(__xludf.DUMMYFUNCTION("IFERROR(GOOGLEFINANCE(B253,""price""),"""")"),144.95)</f>
        <v>144.95</v>
      </c>
      <c r="AH253" s="14"/>
      <c r="AI253" s="14"/>
      <c r="AJ253" s="14"/>
      <c r="AK253" s="14"/>
      <c r="AL253" s="14"/>
      <c r="AM253" s="14"/>
      <c r="AN253" s="14"/>
    </row>
    <row r="254">
      <c r="A254" s="15">
        <v>46052.6258937698</v>
      </c>
      <c r="B254" s="16" t="s">
        <v>5134</v>
      </c>
      <c r="C254" s="16" t="s">
        <v>5135</v>
      </c>
      <c r="D254" s="17">
        <v>46054.0</v>
      </c>
      <c r="E254" s="18">
        <v>6.01</v>
      </c>
      <c r="F254" s="16" t="s">
        <v>117</v>
      </c>
      <c r="G254" s="19">
        <v>0.95</v>
      </c>
      <c r="H254" s="16" t="s">
        <v>4975</v>
      </c>
      <c r="I254" s="19">
        <v>21.3725</v>
      </c>
      <c r="J254" s="19">
        <v>45.181</v>
      </c>
      <c r="K254" s="21">
        <v>2.4436</v>
      </c>
      <c r="L254" s="16" t="s">
        <v>5136</v>
      </c>
      <c r="M254" s="19">
        <v>-9.8951</v>
      </c>
      <c r="N254" s="20">
        <v>1678356.0</v>
      </c>
      <c r="O254" s="21">
        <v>6.69</v>
      </c>
      <c r="P254" s="21">
        <v>5.83</v>
      </c>
      <c r="Q254" s="21">
        <v>6.57</v>
      </c>
      <c r="R254" s="21">
        <v>0.4728</v>
      </c>
      <c r="S254" s="21">
        <v>0.9936</v>
      </c>
      <c r="T254" s="21">
        <v>795017.6</v>
      </c>
      <c r="U254" s="20">
        <v>1.29163291E8</v>
      </c>
      <c r="V254" s="19">
        <v>55.8943</v>
      </c>
      <c r="W254" s="21">
        <v>74.2899</v>
      </c>
      <c r="X254" s="21">
        <v>6.1092</v>
      </c>
      <c r="Y254" s="21">
        <v>5.5689</v>
      </c>
      <c r="Z254" s="21">
        <v>6.6211</v>
      </c>
      <c r="AA254" s="21">
        <v>6.4309</v>
      </c>
      <c r="AB254" s="21">
        <v>6.2468</v>
      </c>
      <c r="AC254" s="21">
        <v>5.9982</v>
      </c>
      <c r="AD254" s="21">
        <v>5.7346</v>
      </c>
      <c r="AE254" s="21">
        <v>11.0</v>
      </c>
      <c r="AF254" s="21">
        <v>45.3636</v>
      </c>
      <c r="AG254" s="22">
        <f>IFERROR(__xludf.DUMMYFUNCTION("IFERROR(GOOGLEFINANCE(B254,""price""),"""")"),6.63)</f>
        <v>6.63</v>
      </c>
      <c r="AH254" s="22"/>
      <c r="AI254" s="22"/>
      <c r="AJ254" s="22"/>
      <c r="AK254" s="22"/>
      <c r="AL254" s="22"/>
      <c r="AM254" s="22"/>
      <c r="AN254" s="22"/>
    </row>
    <row r="255">
      <c r="A255" s="7">
        <v>46052.6258937698</v>
      </c>
      <c r="B255" s="8" t="s">
        <v>5178</v>
      </c>
      <c r="C255" s="8" t="s">
        <v>5179</v>
      </c>
      <c r="D255" s="9">
        <v>46054.0</v>
      </c>
      <c r="E255" s="10">
        <v>50.79</v>
      </c>
      <c r="F255" s="8" t="s">
        <v>93</v>
      </c>
      <c r="G255" s="11">
        <v>0.95</v>
      </c>
      <c r="H255" s="8" t="s">
        <v>4841</v>
      </c>
      <c r="I255" s="11">
        <v>27.4978</v>
      </c>
      <c r="J255" s="11">
        <v>66.7143</v>
      </c>
      <c r="K255" s="13">
        <v>1.3463</v>
      </c>
      <c r="L255" s="8" t="s">
        <v>5180</v>
      </c>
      <c r="M255" s="11">
        <v>1.7224</v>
      </c>
      <c r="N255" s="12">
        <v>1521662.0</v>
      </c>
      <c r="O255" s="13">
        <v>51.06</v>
      </c>
      <c r="P255" s="13">
        <v>49.4701</v>
      </c>
      <c r="Q255" s="13">
        <v>49.6</v>
      </c>
      <c r="R255" s="13">
        <v>1.4108</v>
      </c>
      <c r="S255" s="13">
        <v>2.9637</v>
      </c>
      <c r="T255" s="8">
        <v>1165411.0</v>
      </c>
      <c r="U255" s="12">
        <v>6.599721739E9</v>
      </c>
      <c r="V255" s="11">
        <v>78.4965</v>
      </c>
      <c r="W255" s="13">
        <v>67.2189</v>
      </c>
      <c r="X255" s="13">
        <v>45.2388</v>
      </c>
      <c r="Y255" s="13">
        <v>45.3471</v>
      </c>
      <c r="Z255" s="13">
        <v>49.2338</v>
      </c>
      <c r="AA255" s="13">
        <v>47.8771</v>
      </c>
      <c r="AB255" s="13">
        <v>46.96</v>
      </c>
      <c r="AC255" s="13">
        <v>46.172</v>
      </c>
      <c r="AD255" s="13">
        <v>45.6879</v>
      </c>
      <c r="AE255" s="13">
        <v>51.5</v>
      </c>
      <c r="AF255" s="13">
        <v>1.3786</v>
      </c>
      <c r="AG255" s="14">
        <f>IFERROR(__xludf.DUMMYFUNCTION("IFERROR(GOOGLEFINANCE(B255,""price""),"""")"),48.13)</f>
        <v>48.13</v>
      </c>
      <c r="AH255" s="14"/>
      <c r="AI255" s="14"/>
      <c r="AJ255" s="14"/>
      <c r="AK255" s="14"/>
      <c r="AL255" s="14"/>
      <c r="AM255" s="14"/>
      <c r="AN255" s="14"/>
    </row>
    <row r="256">
      <c r="A256" s="15">
        <v>46052.6258937698</v>
      </c>
      <c r="B256" s="16" t="s">
        <v>2226</v>
      </c>
      <c r="C256" s="16" t="s">
        <v>2227</v>
      </c>
      <c r="D256" s="17">
        <v>46054.0</v>
      </c>
      <c r="E256" s="18">
        <v>186.049</v>
      </c>
      <c r="F256" s="16" t="s">
        <v>102</v>
      </c>
      <c r="G256" s="19">
        <v>0.96</v>
      </c>
      <c r="H256" s="16" t="s">
        <v>4844</v>
      </c>
      <c r="I256" s="19">
        <v>23.795</v>
      </c>
      <c r="J256" s="19">
        <v>78.2967</v>
      </c>
      <c r="K256" s="21">
        <v>1.7847</v>
      </c>
      <c r="L256" s="16" t="s">
        <v>2228</v>
      </c>
      <c r="M256" s="19">
        <v>5.279</v>
      </c>
      <c r="N256" s="20">
        <v>2284036.0</v>
      </c>
      <c r="O256" s="21">
        <v>190.2225</v>
      </c>
      <c r="P256" s="21">
        <v>176.72</v>
      </c>
      <c r="Q256" s="21">
        <v>179.9</v>
      </c>
      <c r="R256" s="21">
        <v>10.1002</v>
      </c>
      <c r="S256" s="21">
        <v>21.045</v>
      </c>
      <c r="T256" s="16">
        <v>1410783.0</v>
      </c>
      <c r="U256" s="20">
        <v>9.795213347E9</v>
      </c>
      <c r="V256" s="19">
        <v>88.8722</v>
      </c>
      <c r="W256" s="21">
        <v>86.7622</v>
      </c>
      <c r="X256" s="21">
        <v>143.8684</v>
      </c>
      <c r="Y256" s="21">
        <v>131.7004</v>
      </c>
      <c r="Z256" s="21">
        <v>158.6913</v>
      </c>
      <c r="AA256" s="21">
        <v>146.7683</v>
      </c>
      <c r="AB256" s="21">
        <v>144.4752</v>
      </c>
      <c r="AC256" s="21">
        <v>143.7559</v>
      </c>
      <c r="AD256" s="21">
        <v>141.7951</v>
      </c>
      <c r="AE256" s="21">
        <v>190.2225</v>
      </c>
      <c r="AF256" s="21">
        <v>2.194</v>
      </c>
      <c r="AG256" s="22">
        <f>IFERROR(__xludf.DUMMYFUNCTION("IFERROR(GOOGLEFINANCE(B256,""price""),"""")"),241.46)</f>
        <v>241.46</v>
      </c>
      <c r="AH256" s="22"/>
      <c r="AI256" s="22"/>
      <c r="AJ256" s="22"/>
      <c r="AK256" s="22"/>
      <c r="AL256" s="22"/>
      <c r="AM256" s="22"/>
      <c r="AN256" s="22"/>
    </row>
    <row r="257">
      <c r="A257" s="7">
        <v>46052.6258937698</v>
      </c>
      <c r="B257" s="8" t="s">
        <v>5119</v>
      </c>
      <c r="C257" s="8" t="s">
        <v>5120</v>
      </c>
      <c r="D257" s="9">
        <v>46054.0</v>
      </c>
      <c r="E257" s="10">
        <v>89.9</v>
      </c>
      <c r="F257" s="8" t="s">
        <v>162</v>
      </c>
      <c r="G257" s="11">
        <v>0.96</v>
      </c>
      <c r="H257" s="8" t="s">
        <v>4844</v>
      </c>
      <c r="I257" s="11">
        <v>34.4488</v>
      </c>
      <c r="J257" s="11">
        <v>60.3599</v>
      </c>
      <c r="K257" s="13">
        <v>1.8159</v>
      </c>
      <c r="L257" s="8" t="s">
        <v>5121</v>
      </c>
      <c r="M257" s="11">
        <v>5.3804</v>
      </c>
      <c r="N257" s="12">
        <v>642436.0</v>
      </c>
      <c r="O257" s="13">
        <v>90.69</v>
      </c>
      <c r="P257" s="13">
        <v>79.67</v>
      </c>
      <c r="Q257" s="13">
        <v>80.26</v>
      </c>
      <c r="R257" s="13">
        <v>3.5847</v>
      </c>
      <c r="S257" s="13">
        <v>7.4561</v>
      </c>
      <c r="T257" s="13">
        <v>383790.3</v>
      </c>
      <c r="U257" s="12">
        <v>2.0237407E9</v>
      </c>
      <c r="V257" s="11">
        <v>39.0742</v>
      </c>
      <c r="W257" s="13">
        <v>36.7321</v>
      </c>
      <c r="X257" s="13">
        <v>77.6644</v>
      </c>
      <c r="Y257" s="13">
        <v>77.6102</v>
      </c>
      <c r="Z257" s="13">
        <v>87.9394</v>
      </c>
      <c r="AA257" s="13">
        <v>85.9527</v>
      </c>
      <c r="AB257" s="13">
        <v>83.2629</v>
      </c>
      <c r="AC257" s="13">
        <v>80.1836</v>
      </c>
      <c r="AD257" s="13">
        <v>77.6457</v>
      </c>
      <c r="AE257" s="13">
        <v>99.99</v>
      </c>
      <c r="AF257" s="13">
        <v>10.091</v>
      </c>
      <c r="AG257" s="14">
        <f>IFERROR(__xludf.DUMMYFUNCTION("IFERROR(GOOGLEFINANCE(B257,""price""),"""")"),108.48)</f>
        <v>108.48</v>
      </c>
      <c r="AH257" s="14"/>
      <c r="AI257" s="14"/>
      <c r="AJ257" s="14"/>
      <c r="AK257" s="14"/>
      <c r="AL257" s="14"/>
      <c r="AM257" s="14"/>
      <c r="AN257" s="14"/>
    </row>
    <row r="258">
      <c r="A258" s="15">
        <v>46052.6258937698</v>
      </c>
      <c r="B258" s="16" t="s">
        <v>5181</v>
      </c>
      <c r="C258" s="16" t="s">
        <v>5182</v>
      </c>
      <c r="D258" s="17">
        <v>46054.0</v>
      </c>
      <c r="E258" s="18">
        <v>19.215</v>
      </c>
      <c r="F258" s="16" t="s">
        <v>270</v>
      </c>
      <c r="G258" s="19">
        <v>0.97</v>
      </c>
      <c r="H258" s="16" t="s">
        <v>4848</v>
      </c>
      <c r="I258" s="19">
        <v>50.1118</v>
      </c>
      <c r="J258" s="19">
        <v>60.3027</v>
      </c>
      <c r="K258" s="21">
        <v>1.3935</v>
      </c>
      <c r="L258" s="16" t="s">
        <v>5183</v>
      </c>
      <c r="M258" s="19">
        <v>-2.4124</v>
      </c>
      <c r="N258" s="20">
        <v>5982054.0</v>
      </c>
      <c r="O258" s="21">
        <v>19.2258</v>
      </c>
      <c r="P258" s="21">
        <v>18.855</v>
      </c>
      <c r="Q258" s="21">
        <v>19.09</v>
      </c>
      <c r="R258" s="21">
        <v>0.3711</v>
      </c>
      <c r="S258" s="21">
        <v>0.7648</v>
      </c>
      <c r="T258" s="16">
        <v>4425860.0</v>
      </c>
      <c r="U258" s="20">
        <v>1.3556139475E10</v>
      </c>
      <c r="V258" s="19">
        <v>72.3167</v>
      </c>
      <c r="W258" s="21">
        <v>84.1947</v>
      </c>
      <c r="X258" s="21">
        <v>18.0949</v>
      </c>
      <c r="Y258" s="21">
        <v>17.7742</v>
      </c>
      <c r="Z258" s="21">
        <v>19.3573</v>
      </c>
      <c r="AA258" s="21">
        <v>18.9391</v>
      </c>
      <c r="AB258" s="21">
        <v>18.5923</v>
      </c>
      <c r="AC258" s="21">
        <v>18.2226</v>
      </c>
      <c r="AD258" s="21">
        <v>17.9394</v>
      </c>
      <c r="AE258" s="21">
        <v>20.77</v>
      </c>
      <c r="AF258" s="21">
        <v>7.4868</v>
      </c>
      <c r="AG258" s="22">
        <f>IFERROR(__xludf.DUMMYFUNCTION("IFERROR(GOOGLEFINANCE(B258,""price""),"""")"),21.76)</f>
        <v>21.76</v>
      </c>
      <c r="AH258" s="22"/>
      <c r="AI258" s="22"/>
      <c r="AJ258" s="22"/>
      <c r="AK258" s="22"/>
      <c r="AL258" s="22"/>
      <c r="AM258" s="22"/>
      <c r="AN258" s="22"/>
    </row>
    <row r="259">
      <c r="A259" s="7">
        <v>46052.891229777895</v>
      </c>
      <c r="B259" s="8" t="s">
        <v>1417</v>
      </c>
      <c r="C259" s="8" t="s">
        <v>1418</v>
      </c>
      <c r="D259" s="9">
        <v>46054.0</v>
      </c>
      <c r="E259" s="10">
        <v>13.05</v>
      </c>
      <c r="F259" s="8" t="s">
        <v>88</v>
      </c>
      <c r="G259" s="11">
        <v>0.13</v>
      </c>
      <c r="H259" s="8" t="s">
        <v>5146</v>
      </c>
      <c r="I259" s="11">
        <v>35.7511</v>
      </c>
      <c r="J259" s="11">
        <v>66.6105</v>
      </c>
      <c r="K259" s="13">
        <v>9.1427</v>
      </c>
      <c r="L259" s="8" t="s">
        <v>1419</v>
      </c>
      <c r="M259" s="11">
        <v>0.4619</v>
      </c>
      <c r="N259" s="12">
        <v>1.6769144E7</v>
      </c>
      <c r="O259" s="13">
        <v>13.06</v>
      </c>
      <c r="P259" s="13">
        <v>12.98</v>
      </c>
      <c r="Q259" s="13">
        <v>12.99</v>
      </c>
      <c r="R259" s="13">
        <v>0.0297</v>
      </c>
      <c r="S259" s="13">
        <v>0.4495</v>
      </c>
      <c r="T259" s="8">
        <v>3317914.0</v>
      </c>
      <c r="U259" s="12">
        <v>1.749694666E9</v>
      </c>
      <c r="V259" s="11">
        <v>41.6667</v>
      </c>
      <c r="W259" s="13">
        <v>31.9444</v>
      </c>
      <c r="X259" s="13">
        <v>12.9819</v>
      </c>
      <c r="Y259" s="13">
        <v>12.0268</v>
      </c>
      <c r="Z259" s="13">
        <v>13.0157</v>
      </c>
      <c r="AA259" s="13">
        <v>13.0038</v>
      </c>
      <c r="AB259" s="13">
        <v>12.9353</v>
      </c>
      <c r="AC259" s="13">
        <v>12.6984</v>
      </c>
      <c r="AD259" s="13">
        <v>12.2795</v>
      </c>
      <c r="AE259" s="13">
        <v>16.12</v>
      </c>
      <c r="AF259" s="13">
        <v>19.0447</v>
      </c>
      <c r="AG259" s="14" t="str">
        <f>IFERROR(__xludf.DUMMYFUNCTION("IFERROR(GOOGLEFINANCE(B259,""price""),"""")"),"")</f>
        <v/>
      </c>
      <c r="AH259" s="14"/>
      <c r="AI259" s="14"/>
      <c r="AJ259" s="14"/>
      <c r="AK259" s="14"/>
      <c r="AL259" s="14"/>
      <c r="AM259" s="14"/>
      <c r="AN259" s="14"/>
    </row>
    <row r="260">
      <c r="A260" s="15">
        <v>46052.891229777895</v>
      </c>
      <c r="B260" s="16" t="s">
        <v>1386</v>
      </c>
      <c r="C260" s="16" t="s">
        <v>1387</v>
      </c>
      <c r="D260" s="17">
        <v>46054.0</v>
      </c>
      <c r="E260" s="18">
        <v>207.34</v>
      </c>
      <c r="F260" s="16" t="s">
        <v>102</v>
      </c>
      <c r="G260" s="19">
        <v>0.26</v>
      </c>
      <c r="H260" s="16" t="s">
        <v>5184</v>
      </c>
      <c r="I260" s="19">
        <v>45.98</v>
      </c>
      <c r="J260" s="19">
        <v>70.5569</v>
      </c>
      <c r="K260" s="21">
        <v>1.7731</v>
      </c>
      <c r="L260" s="16" t="s">
        <v>1388</v>
      </c>
      <c r="M260" s="19">
        <v>0.0676</v>
      </c>
      <c r="N260" s="20">
        <v>1205241.0</v>
      </c>
      <c r="O260" s="21">
        <v>207.41</v>
      </c>
      <c r="P260" s="21">
        <v>206.78</v>
      </c>
      <c r="Q260" s="21">
        <v>207.21</v>
      </c>
      <c r="R260" s="21">
        <v>0.4622</v>
      </c>
      <c r="S260" s="21">
        <v>3.5326</v>
      </c>
      <c r="T260" s="21">
        <v>746185.8</v>
      </c>
      <c r="U260" s="20">
        <v>9.909064964E9</v>
      </c>
      <c r="V260" s="19">
        <v>59.1862</v>
      </c>
      <c r="W260" s="21">
        <v>63.1109</v>
      </c>
      <c r="X260" s="21">
        <v>205.838</v>
      </c>
      <c r="Y260" s="21">
        <v>191.0203</v>
      </c>
      <c r="Z260" s="21">
        <v>207.2589</v>
      </c>
      <c r="AA260" s="21">
        <v>206.9003</v>
      </c>
      <c r="AB260" s="21">
        <v>206.3398</v>
      </c>
      <c r="AC260" s="21">
        <v>205.0721</v>
      </c>
      <c r="AD260" s="21">
        <v>202.03</v>
      </c>
      <c r="AE260" s="21">
        <v>216.44</v>
      </c>
      <c r="AF260" s="21">
        <v>4.2044</v>
      </c>
      <c r="AG260" s="22">
        <f>IFERROR(__xludf.DUMMYFUNCTION("IFERROR(GOOGLEFINANCE(B260,""price""),"""")"),207.79)</f>
        <v>207.79</v>
      </c>
      <c r="AH260" s="22"/>
      <c r="AI260" s="22"/>
      <c r="AJ260" s="22"/>
      <c r="AK260" s="22"/>
      <c r="AL260" s="22"/>
      <c r="AM260" s="22"/>
      <c r="AN260" s="22"/>
    </row>
    <row r="261">
      <c r="A261" s="7">
        <v>46052.891229777895</v>
      </c>
      <c r="B261" s="8" t="s">
        <v>1470</v>
      </c>
      <c r="C261" s="8" t="s">
        <v>1471</v>
      </c>
      <c r="D261" s="9">
        <v>46054.0</v>
      </c>
      <c r="E261" s="10">
        <v>41.88</v>
      </c>
      <c r="F261" s="8" t="s">
        <v>107</v>
      </c>
      <c r="G261" s="11">
        <v>0.26</v>
      </c>
      <c r="H261" s="8" t="s">
        <v>5185</v>
      </c>
      <c r="I261" s="11">
        <v>25.6205</v>
      </c>
      <c r="J261" s="11">
        <v>61.41</v>
      </c>
      <c r="K261" s="13">
        <v>1.6151</v>
      </c>
      <c r="L261" s="8" t="s">
        <v>1472</v>
      </c>
      <c r="M261" s="11">
        <v>0.0239</v>
      </c>
      <c r="N261" s="12">
        <v>3520841.0</v>
      </c>
      <c r="O261" s="13">
        <v>41.92</v>
      </c>
      <c r="P261" s="13">
        <v>41.85</v>
      </c>
      <c r="Q261" s="13">
        <v>41.87</v>
      </c>
      <c r="R261" s="13">
        <v>0.193</v>
      </c>
      <c r="S261" s="13">
        <v>1.4875</v>
      </c>
      <c r="T261" s="8">
        <v>2289636.0</v>
      </c>
      <c r="U261" s="12">
        <v>6.16771491E9</v>
      </c>
      <c r="V261" s="11">
        <v>77.8928</v>
      </c>
      <c r="W261" s="13">
        <v>83.2116</v>
      </c>
      <c r="X261" s="13">
        <v>41.8874</v>
      </c>
      <c r="Y261" s="13">
        <v>36.6449</v>
      </c>
      <c r="Z261" s="13">
        <v>41.8313</v>
      </c>
      <c r="AA261" s="13">
        <v>41.7126</v>
      </c>
      <c r="AB261" s="13">
        <v>41.456</v>
      </c>
      <c r="AC261" s="13">
        <v>40.706</v>
      </c>
      <c r="AD261" s="13">
        <v>39.3332</v>
      </c>
      <c r="AE261" s="13">
        <v>44.27</v>
      </c>
      <c r="AF261" s="13">
        <v>5.3987</v>
      </c>
      <c r="AG261" s="14">
        <f>IFERROR(__xludf.DUMMYFUNCTION("IFERROR(GOOGLEFINANCE(B261,""price""),"""")"),42.15)</f>
        <v>42.15</v>
      </c>
      <c r="AH261" s="14"/>
      <c r="AI261" s="14"/>
      <c r="AJ261" s="14"/>
      <c r="AK261" s="14"/>
      <c r="AL261" s="14"/>
      <c r="AM261" s="14"/>
      <c r="AN261" s="14"/>
    </row>
    <row r="262">
      <c r="A262" s="15">
        <v>46052.891229777895</v>
      </c>
      <c r="B262" s="16" t="s">
        <v>1842</v>
      </c>
      <c r="C262" s="16" t="s">
        <v>1843</v>
      </c>
      <c r="D262" s="17">
        <v>46054.0</v>
      </c>
      <c r="E262" s="18">
        <v>4.42</v>
      </c>
      <c r="F262" s="16" t="s">
        <v>88</v>
      </c>
      <c r="G262" s="19">
        <v>0.26</v>
      </c>
      <c r="H262" s="16" t="s">
        <v>5186</v>
      </c>
      <c r="I262" s="19">
        <v>64.2132</v>
      </c>
      <c r="J262" s="19">
        <v>62.1073</v>
      </c>
      <c r="K262" s="21">
        <v>1.438</v>
      </c>
      <c r="L262" s="16" t="s">
        <v>1844</v>
      </c>
      <c r="M262" s="19">
        <v>0.2268</v>
      </c>
      <c r="N262" s="20">
        <v>2069423.0</v>
      </c>
      <c r="O262" s="21">
        <v>4.43</v>
      </c>
      <c r="P262" s="21">
        <v>4.415</v>
      </c>
      <c r="Q262" s="21">
        <v>4.42</v>
      </c>
      <c r="R262" s="21">
        <v>0.0315</v>
      </c>
      <c r="S262" s="21">
        <v>0.245</v>
      </c>
      <c r="T262" s="16">
        <v>1580325.0</v>
      </c>
      <c r="U262" s="20">
        <v>4.3391935E8</v>
      </c>
      <c r="V262" s="19">
        <v>12.5</v>
      </c>
      <c r="W262" s="21">
        <v>19.4444</v>
      </c>
      <c r="X262" s="21">
        <v>4.0964</v>
      </c>
      <c r="Y262" s="21">
        <v>3.3005</v>
      </c>
      <c r="Z262" s="21">
        <v>4.4412</v>
      </c>
      <c r="AA262" s="21">
        <v>4.4097</v>
      </c>
      <c r="AB262" s="21">
        <v>4.2747</v>
      </c>
      <c r="AC262" s="21">
        <v>4.0122</v>
      </c>
      <c r="AD262" s="21">
        <v>3.6822</v>
      </c>
      <c r="AE262" s="21">
        <v>4.48</v>
      </c>
      <c r="AF262" s="21">
        <v>1.3393</v>
      </c>
      <c r="AG262" s="22">
        <f>IFERROR(__xludf.DUMMYFUNCTION("IFERROR(GOOGLEFINANCE(B262,""price""),"""")"),4.51)</f>
        <v>4.51</v>
      </c>
      <c r="AH262" s="22"/>
      <c r="AI262" s="22"/>
      <c r="AJ262" s="22"/>
      <c r="AK262" s="22"/>
      <c r="AL262" s="22"/>
      <c r="AM262" s="22"/>
      <c r="AN262" s="22"/>
    </row>
    <row r="263">
      <c r="A263" s="7">
        <v>46052.891229777895</v>
      </c>
      <c r="B263" s="8" t="s">
        <v>1689</v>
      </c>
      <c r="C263" s="8" t="s">
        <v>1690</v>
      </c>
      <c r="D263" s="9">
        <v>46054.0</v>
      </c>
      <c r="E263" s="10">
        <v>24.64</v>
      </c>
      <c r="F263" s="8" t="s">
        <v>286</v>
      </c>
      <c r="G263" s="11">
        <v>0.36</v>
      </c>
      <c r="H263" s="8" t="s">
        <v>5187</v>
      </c>
      <c r="I263" s="11">
        <v>40.929</v>
      </c>
      <c r="J263" s="11">
        <v>74.0727</v>
      </c>
      <c r="K263" s="13">
        <v>1.8099</v>
      </c>
      <c r="L263" s="8" t="s">
        <v>1691</v>
      </c>
      <c r="M263" s="11">
        <v>-0.0406</v>
      </c>
      <c r="N263" s="12">
        <v>1083985.0</v>
      </c>
      <c r="O263" s="13">
        <v>24.68</v>
      </c>
      <c r="P263" s="13">
        <v>24.59</v>
      </c>
      <c r="Q263" s="13">
        <v>24.65</v>
      </c>
      <c r="R263" s="13">
        <v>0.2229</v>
      </c>
      <c r="S263" s="13">
        <v>1.2493</v>
      </c>
      <c r="T263" s="13">
        <v>671583.6</v>
      </c>
      <c r="U263" s="12">
        <v>1.243970323E9</v>
      </c>
      <c r="V263" s="11">
        <v>84.1207</v>
      </c>
      <c r="W263" s="13">
        <v>88.9099</v>
      </c>
      <c r="X263" s="13">
        <v>23.884</v>
      </c>
      <c r="Y263" s="13">
        <v>23.3824</v>
      </c>
      <c r="Z263" s="13">
        <v>24.5345</v>
      </c>
      <c r="AA263" s="13">
        <v>24.2282</v>
      </c>
      <c r="AB263" s="13">
        <v>23.9209</v>
      </c>
      <c r="AC263" s="13">
        <v>23.3624</v>
      </c>
      <c r="AD263" s="13">
        <v>22.7206</v>
      </c>
      <c r="AE263" s="13">
        <v>40.77</v>
      </c>
      <c r="AF263" s="13">
        <v>39.5634</v>
      </c>
      <c r="AG263" s="14">
        <f>IFERROR(__xludf.DUMMYFUNCTION("IFERROR(GOOGLEFINANCE(B263,""price""),"""")"),115.0)</f>
        <v>115</v>
      </c>
      <c r="AH263" s="14"/>
      <c r="AI263" s="14"/>
      <c r="AJ263" s="14"/>
      <c r="AK263" s="14"/>
      <c r="AL263" s="14"/>
      <c r="AM263" s="14"/>
      <c r="AN263" s="14"/>
    </row>
    <row r="264">
      <c r="A264" s="15">
        <v>46052.891229777895</v>
      </c>
      <c r="B264" s="16" t="s">
        <v>5188</v>
      </c>
      <c r="C264" s="16" t="s">
        <v>5189</v>
      </c>
      <c r="D264" s="17">
        <v>46054.0</v>
      </c>
      <c r="E264" s="18">
        <v>23.61</v>
      </c>
      <c r="F264" s="16" t="s">
        <v>88</v>
      </c>
      <c r="G264" s="19">
        <v>0.36</v>
      </c>
      <c r="H264" s="16" t="s">
        <v>5190</v>
      </c>
      <c r="I264" s="19">
        <v>39.258</v>
      </c>
      <c r="J264" s="19">
        <v>70.7321</v>
      </c>
      <c r="K264" s="21">
        <v>1.3191</v>
      </c>
      <c r="L264" s="16" t="s">
        <v>5191</v>
      </c>
      <c r="M264" s="19">
        <v>-0.1269</v>
      </c>
      <c r="N264" s="20">
        <v>3471108.0</v>
      </c>
      <c r="O264" s="21">
        <v>23.69</v>
      </c>
      <c r="P264" s="21">
        <v>23.6</v>
      </c>
      <c r="Q264" s="21">
        <v>23.68</v>
      </c>
      <c r="R264" s="21">
        <v>0.3593</v>
      </c>
      <c r="S264" s="21">
        <v>1.9922</v>
      </c>
      <c r="T264" s="16">
        <v>2466070.0</v>
      </c>
      <c r="U264" s="20">
        <v>5.756395804E9</v>
      </c>
      <c r="V264" s="19">
        <v>45.873</v>
      </c>
      <c r="W264" s="21">
        <v>62.7737</v>
      </c>
      <c r="X264" s="21">
        <v>20.6704</v>
      </c>
      <c r="Y264" s="21">
        <v>22.2738</v>
      </c>
      <c r="Z264" s="21">
        <v>23.5861</v>
      </c>
      <c r="AA264" s="21">
        <v>22.7391</v>
      </c>
      <c r="AB264" s="21">
        <v>21.9815</v>
      </c>
      <c r="AC264" s="21">
        <v>21.3126</v>
      </c>
      <c r="AD264" s="21">
        <v>21.0434</v>
      </c>
      <c r="AE264" s="21">
        <v>30.32</v>
      </c>
      <c r="AF264" s="21">
        <v>22.1306</v>
      </c>
      <c r="AG264" s="22">
        <f>IFERROR(__xludf.DUMMYFUNCTION("IFERROR(GOOGLEFINANCE(B264,""price""),"""")"),24.2)</f>
        <v>24.2</v>
      </c>
      <c r="AH264" s="22"/>
      <c r="AI264" s="22"/>
      <c r="AJ264" s="22"/>
      <c r="AK264" s="22"/>
      <c r="AL264" s="22"/>
      <c r="AM264" s="22"/>
      <c r="AN264" s="22"/>
    </row>
    <row r="265">
      <c r="A265" s="7">
        <v>46052.891229777895</v>
      </c>
      <c r="B265" s="8" t="s">
        <v>1653</v>
      </c>
      <c r="C265" s="8" t="s">
        <v>1654</v>
      </c>
      <c r="D265" s="9">
        <v>46054.0</v>
      </c>
      <c r="E265" s="10">
        <v>163.03</v>
      </c>
      <c r="F265" s="8" t="s">
        <v>117</v>
      </c>
      <c r="G265" s="11">
        <v>0.75</v>
      </c>
      <c r="H265" s="8" t="s">
        <v>5192</v>
      </c>
      <c r="I265" s="11">
        <v>23.1347</v>
      </c>
      <c r="J265" s="11">
        <v>46.9999</v>
      </c>
      <c r="K265" s="13">
        <v>1.4678</v>
      </c>
      <c r="L265" s="8" t="s">
        <v>1655</v>
      </c>
      <c r="M265" s="11">
        <v>-0.6641</v>
      </c>
      <c r="N265" s="12">
        <v>1181811.0</v>
      </c>
      <c r="O265" s="13">
        <v>165.79</v>
      </c>
      <c r="P265" s="13">
        <v>160.995</v>
      </c>
      <c r="Q265" s="13">
        <v>164.12</v>
      </c>
      <c r="R265" s="13">
        <v>4.3524</v>
      </c>
      <c r="S265" s="13">
        <v>11.6171</v>
      </c>
      <c r="T265" s="13">
        <v>832556.0</v>
      </c>
      <c r="U265" s="12">
        <v>1.1697400909E10</v>
      </c>
      <c r="V265" s="11">
        <v>17.7059</v>
      </c>
      <c r="W265" s="13">
        <v>22.6125</v>
      </c>
      <c r="X265" s="13">
        <v>159.2429</v>
      </c>
      <c r="Y265" s="13">
        <v>163.2965</v>
      </c>
      <c r="Z265" s="13">
        <v>165.9254</v>
      </c>
      <c r="AA265" s="13">
        <v>165.5497</v>
      </c>
      <c r="AB265" s="13">
        <v>162.9455</v>
      </c>
      <c r="AC265" s="13">
        <v>158.9346</v>
      </c>
      <c r="AD265" s="13">
        <v>156.1139</v>
      </c>
      <c r="AE265" s="13">
        <v>232.2</v>
      </c>
      <c r="AF265" s="13">
        <v>29.789</v>
      </c>
      <c r="AG265" s="14">
        <f>IFERROR(__xludf.DUMMYFUNCTION("IFERROR(GOOGLEFINANCE(B265,""price""),"""")"),173.14)</f>
        <v>173.14</v>
      </c>
      <c r="AH265" s="14"/>
      <c r="AI265" s="14"/>
      <c r="AJ265" s="14"/>
      <c r="AK265" s="14"/>
      <c r="AL265" s="14"/>
      <c r="AM265" s="14"/>
      <c r="AN265" s="14"/>
    </row>
    <row r="266">
      <c r="A266" s="15">
        <v>46052.891229777895</v>
      </c>
      <c r="B266" s="16" t="s">
        <v>5025</v>
      </c>
      <c r="C266" s="16" t="s">
        <v>5026</v>
      </c>
      <c r="D266" s="17">
        <v>46054.0</v>
      </c>
      <c r="E266" s="18">
        <v>69.45</v>
      </c>
      <c r="F266" s="16" t="s">
        <v>102</v>
      </c>
      <c r="G266" s="19">
        <v>0.79</v>
      </c>
      <c r="H266" s="16" t="s">
        <v>5193</v>
      </c>
      <c r="I266" s="19">
        <v>21.9749</v>
      </c>
      <c r="J266" s="19">
        <v>52.081</v>
      </c>
      <c r="K266" s="21">
        <v>1.6195</v>
      </c>
      <c r="L266" s="16" t="s">
        <v>5028</v>
      </c>
      <c r="M266" s="19">
        <v>-1.2512</v>
      </c>
      <c r="N266" s="20">
        <v>627851.0</v>
      </c>
      <c r="O266" s="21">
        <v>71.52</v>
      </c>
      <c r="P266" s="21">
        <v>68.65</v>
      </c>
      <c r="Q266" s="21">
        <v>71.35</v>
      </c>
      <c r="R266" s="21">
        <v>1.9961</v>
      </c>
      <c r="S266" s="21">
        <v>5.0657</v>
      </c>
      <c r="T266" s="21">
        <v>418523.5</v>
      </c>
      <c r="U266" s="20">
        <v>2.343982069E9</v>
      </c>
      <c r="V266" s="19">
        <v>37.4805</v>
      </c>
      <c r="W266" s="21">
        <v>45.0093</v>
      </c>
      <c r="X266" s="21">
        <v>66.4422</v>
      </c>
      <c r="Y266" s="21">
        <v>69.0832</v>
      </c>
      <c r="Z266" s="21">
        <v>70.2798</v>
      </c>
      <c r="AA266" s="21">
        <v>69.3138</v>
      </c>
      <c r="AB266" s="21">
        <v>68.3157</v>
      </c>
      <c r="AC266" s="21">
        <v>67.3262</v>
      </c>
      <c r="AD266" s="21">
        <v>66.617</v>
      </c>
      <c r="AE266" s="21">
        <v>82.275</v>
      </c>
      <c r="AF266" s="21">
        <v>15.588</v>
      </c>
      <c r="AG266" s="22">
        <f>IFERROR(__xludf.DUMMYFUNCTION("IFERROR(GOOGLEFINANCE(B266,""price""),"""")"),67.83)</f>
        <v>67.83</v>
      </c>
      <c r="AH266" s="22"/>
      <c r="AI266" s="22"/>
      <c r="AJ266" s="22"/>
      <c r="AK266" s="22"/>
      <c r="AL266" s="22"/>
      <c r="AM266" s="22"/>
      <c r="AN266" s="22"/>
    </row>
    <row r="267">
      <c r="A267" s="7">
        <v>46052.891229777895</v>
      </c>
      <c r="B267" s="8" t="s">
        <v>5153</v>
      </c>
      <c r="C267" s="8" t="s">
        <v>5154</v>
      </c>
      <c r="D267" s="9">
        <v>46054.0</v>
      </c>
      <c r="E267" s="10">
        <v>15.64</v>
      </c>
      <c r="F267" s="8" t="s">
        <v>162</v>
      </c>
      <c r="G267" s="11">
        <v>0.81</v>
      </c>
      <c r="H267" s="8" t="s">
        <v>5194</v>
      </c>
      <c r="I267" s="11">
        <v>33.9147</v>
      </c>
      <c r="J267" s="11">
        <v>75.2427</v>
      </c>
      <c r="K267" s="13">
        <v>1.5389</v>
      </c>
      <c r="L267" s="8" t="s">
        <v>5156</v>
      </c>
      <c r="M267" s="11">
        <v>0.9032</v>
      </c>
      <c r="N267" s="12">
        <v>666495.0</v>
      </c>
      <c r="O267" s="13">
        <v>16.04</v>
      </c>
      <c r="P267" s="13">
        <v>15.448</v>
      </c>
      <c r="Q267" s="13">
        <v>15.52</v>
      </c>
      <c r="R267" s="13">
        <v>0.4085</v>
      </c>
      <c r="S267" s="13">
        <v>1.0121</v>
      </c>
      <c r="T267" s="13">
        <v>446699.5</v>
      </c>
      <c r="U267" s="12">
        <v>2.362180346E9</v>
      </c>
      <c r="V267" s="11">
        <v>89.4907</v>
      </c>
      <c r="W267" s="13">
        <v>89.4286</v>
      </c>
      <c r="X267" s="13">
        <v>13.1648</v>
      </c>
      <c r="Y267" s="13">
        <v>13.2091</v>
      </c>
      <c r="Z267" s="13">
        <v>14.9221</v>
      </c>
      <c r="AA267" s="13">
        <v>14.231</v>
      </c>
      <c r="AB267" s="13">
        <v>13.8584</v>
      </c>
      <c r="AC267" s="13">
        <v>13.6014</v>
      </c>
      <c r="AD267" s="13">
        <v>13.4554</v>
      </c>
      <c r="AE267" s="13">
        <v>16.6</v>
      </c>
      <c r="AF267" s="13">
        <v>5.7831</v>
      </c>
      <c r="AG267" s="14">
        <f>IFERROR(__xludf.DUMMYFUNCTION("IFERROR(GOOGLEFINANCE(B267,""price""),"""")"),17.85)</f>
        <v>17.85</v>
      </c>
      <c r="AH267" s="14"/>
      <c r="AI267" s="14"/>
      <c r="AJ267" s="14"/>
      <c r="AK267" s="14"/>
      <c r="AL267" s="14"/>
      <c r="AM267" s="14"/>
      <c r="AN267" s="14"/>
    </row>
    <row r="268">
      <c r="A268" s="15">
        <v>46052.891229777895</v>
      </c>
      <c r="B268" s="16" t="s">
        <v>5147</v>
      </c>
      <c r="C268" s="16" t="s">
        <v>5148</v>
      </c>
      <c r="D268" s="17">
        <v>46054.0</v>
      </c>
      <c r="E268" s="18">
        <v>2.34</v>
      </c>
      <c r="F268" s="16" t="s">
        <v>117</v>
      </c>
      <c r="G268" s="19">
        <v>0.81</v>
      </c>
      <c r="H268" s="16" t="s">
        <v>5195</v>
      </c>
      <c r="I268" s="19">
        <v>28.9182</v>
      </c>
      <c r="J268" s="19">
        <v>72.9211</v>
      </c>
      <c r="K268" s="21">
        <v>4.9198</v>
      </c>
      <c r="L268" s="16" t="s">
        <v>5150</v>
      </c>
      <c r="M268" s="19">
        <v>13.0435</v>
      </c>
      <c r="N268" s="20">
        <v>3144319.0</v>
      </c>
      <c r="O268" s="21">
        <v>2.3884</v>
      </c>
      <c r="P268" s="21">
        <v>2.08</v>
      </c>
      <c r="Q268" s="21">
        <v>2.08</v>
      </c>
      <c r="R268" s="21">
        <v>0.1055</v>
      </c>
      <c r="S268" s="21">
        <v>0.2602</v>
      </c>
      <c r="T268" s="21">
        <v>894888.5</v>
      </c>
      <c r="U268" s="20">
        <v>1.88185557E8</v>
      </c>
      <c r="V268" s="19">
        <v>75.9705</v>
      </c>
      <c r="W268" s="21">
        <v>80.0213</v>
      </c>
      <c r="X268" s="21">
        <v>1.8686</v>
      </c>
      <c r="Y268" s="21">
        <v>1.9083</v>
      </c>
      <c r="Z268" s="21">
        <v>2.1271</v>
      </c>
      <c r="AA268" s="21">
        <v>2.0318</v>
      </c>
      <c r="AB268" s="21">
        <v>1.9873</v>
      </c>
      <c r="AC268" s="21">
        <v>1.9637</v>
      </c>
      <c r="AD268" s="21">
        <v>1.948</v>
      </c>
      <c r="AE268" s="21">
        <v>3.1</v>
      </c>
      <c r="AF268" s="21">
        <v>24.5161</v>
      </c>
      <c r="AG268" s="22">
        <f>IFERROR(__xludf.DUMMYFUNCTION("IFERROR(GOOGLEFINANCE(B268,""price""),"""")"),2.3)</f>
        <v>2.3</v>
      </c>
      <c r="AH268" s="22"/>
      <c r="AI268" s="22"/>
      <c r="AJ268" s="22"/>
      <c r="AK268" s="22"/>
      <c r="AL268" s="22"/>
      <c r="AM268" s="22"/>
      <c r="AN268" s="22"/>
    </row>
    <row r="269">
      <c r="A269" s="7">
        <v>46052.891229777895</v>
      </c>
      <c r="B269" s="8" t="s">
        <v>5108</v>
      </c>
      <c r="C269" s="8" t="s">
        <v>5109</v>
      </c>
      <c r="D269" s="9">
        <v>46054.0</v>
      </c>
      <c r="E269" s="10">
        <v>38.88</v>
      </c>
      <c r="F269" s="8" t="s">
        <v>190</v>
      </c>
      <c r="G269" s="11">
        <v>0.82</v>
      </c>
      <c r="H269" s="8" t="s">
        <v>5196</v>
      </c>
      <c r="I269" s="11">
        <v>26.7103</v>
      </c>
      <c r="J269" s="11">
        <v>56.4416</v>
      </c>
      <c r="K269" s="13">
        <v>1.4615</v>
      </c>
      <c r="L269" s="8" t="s">
        <v>5111</v>
      </c>
      <c r="M269" s="11">
        <v>-0.3077</v>
      </c>
      <c r="N269" s="12">
        <v>915726.0</v>
      </c>
      <c r="O269" s="13">
        <v>39.86</v>
      </c>
      <c r="P269" s="13">
        <v>38.59</v>
      </c>
      <c r="Q269" s="13">
        <v>38.94</v>
      </c>
      <c r="R269" s="13">
        <v>1.3251</v>
      </c>
      <c r="S269" s="13">
        <v>3.2131</v>
      </c>
      <c r="T269" s="13">
        <v>668303.0</v>
      </c>
      <c r="U269" s="12">
        <v>1.788074803E9</v>
      </c>
      <c r="V269" s="11">
        <v>41.7674</v>
      </c>
      <c r="W269" s="13">
        <v>51.2664</v>
      </c>
      <c r="X269" s="13">
        <v>36.25</v>
      </c>
      <c r="Y269" s="13">
        <v>34.8719</v>
      </c>
      <c r="Z269" s="13">
        <v>39.3502</v>
      </c>
      <c r="AA269" s="13">
        <v>38.459</v>
      </c>
      <c r="AB269" s="13">
        <v>37.4564</v>
      </c>
      <c r="AC269" s="13">
        <v>36.1961</v>
      </c>
      <c r="AD269" s="13">
        <v>34.9444</v>
      </c>
      <c r="AE269" s="13">
        <v>55.635</v>
      </c>
      <c r="AF269" s="13">
        <v>30.1159</v>
      </c>
      <c r="AG269" s="14">
        <f>IFERROR(__xludf.DUMMYFUNCTION("IFERROR(GOOGLEFINANCE(B269,""price""),"""")"),22.21)</f>
        <v>22.21</v>
      </c>
      <c r="AH269" s="14"/>
      <c r="AI269" s="14"/>
      <c r="AJ269" s="14"/>
      <c r="AK269" s="14"/>
      <c r="AL269" s="14"/>
      <c r="AM269" s="14"/>
      <c r="AN269" s="14"/>
    </row>
    <row r="270">
      <c r="A270" s="15">
        <v>46052.891229777895</v>
      </c>
      <c r="B270" s="16" t="s">
        <v>5112</v>
      </c>
      <c r="C270" s="16" t="s">
        <v>5113</v>
      </c>
      <c r="D270" s="17">
        <v>46054.0</v>
      </c>
      <c r="E270" s="18">
        <v>42.34</v>
      </c>
      <c r="F270" s="16" t="s">
        <v>1119</v>
      </c>
      <c r="G270" s="19">
        <v>0.83</v>
      </c>
      <c r="H270" s="16" t="s">
        <v>5030</v>
      </c>
      <c r="I270" s="19">
        <v>21.4292</v>
      </c>
      <c r="J270" s="19">
        <v>73.2902</v>
      </c>
      <c r="K270" s="21">
        <v>1.3232</v>
      </c>
      <c r="L270" s="16" t="s">
        <v>5115</v>
      </c>
      <c r="M270" s="19">
        <v>0.8335</v>
      </c>
      <c r="N270" s="20">
        <v>3079101.0</v>
      </c>
      <c r="O270" s="21">
        <v>42.5885</v>
      </c>
      <c r="P270" s="21">
        <v>41.525</v>
      </c>
      <c r="Q270" s="21">
        <v>42.43</v>
      </c>
      <c r="R270" s="21">
        <v>1.1369</v>
      </c>
      <c r="S270" s="21">
        <v>2.7347</v>
      </c>
      <c r="T270" s="16">
        <v>2441389.0</v>
      </c>
      <c r="U270" s="20">
        <v>1.522162545E10</v>
      </c>
      <c r="V270" s="19">
        <v>91.5394</v>
      </c>
      <c r="W270" s="21">
        <v>93.5747</v>
      </c>
      <c r="X270" s="21">
        <v>38.3895</v>
      </c>
      <c r="Y270" s="21">
        <v>39.3164</v>
      </c>
      <c r="Z270" s="21">
        <v>40.5602</v>
      </c>
      <c r="AA270" s="21">
        <v>39.236</v>
      </c>
      <c r="AB270" s="21">
        <v>38.8189</v>
      </c>
      <c r="AC270" s="21">
        <v>38.5302</v>
      </c>
      <c r="AD270" s="21">
        <v>38.4501</v>
      </c>
      <c r="AE270" s="21">
        <v>52.03</v>
      </c>
      <c r="AF270" s="21">
        <v>18.6239</v>
      </c>
      <c r="AG270" s="22">
        <f>IFERROR(__xludf.DUMMYFUNCTION("IFERROR(GOOGLEFINANCE(B270,""price""),"""")"),45.12)</f>
        <v>45.12</v>
      </c>
      <c r="AH270" s="22"/>
      <c r="AI270" s="22"/>
      <c r="AJ270" s="22"/>
      <c r="AK270" s="22"/>
      <c r="AL270" s="22"/>
      <c r="AM270" s="22"/>
      <c r="AN270" s="22"/>
    </row>
    <row r="271">
      <c r="A271" s="7">
        <v>46052.891229777895</v>
      </c>
      <c r="B271" s="8" t="s">
        <v>5100</v>
      </c>
      <c r="C271" s="8" t="s">
        <v>5101</v>
      </c>
      <c r="D271" s="9">
        <v>46054.0</v>
      </c>
      <c r="E271" s="10">
        <v>23.15</v>
      </c>
      <c r="F271" s="8" t="s">
        <v>102</v>
      </c>
      <c r="G271" s="11">
        <v>0.84</v>
      </c>
      <c r="H271" s="8" t="s">
        <v>5197</v>
      </c>
      <c r="I271" s="11">
        <v>29.5443</v>
      </c>
      <c r="J271" s="11">
        <v>72.9531</v>
      </c>
      <c r="K271" s="13">
        <v>1.399</v>
      </c>
      <c r="L271" s="8" t="s">
        <v>5103</v>
      </c>
      <c r="M271" s="11">
        <v>3.0721</v>
      </c>
      <c r="N271" s="12">
        <v>462528.0</v>
      </c>
      <c r="O271" s="13">
        <v>23.195</v>
      </c>
      <c r="P271" s="13">
        <v>22.0</v>
      </c>
      <c r="Q271" s="13">
        <v>22.35</v>
      </c>
      <c r="R271" s="13">
        <v>0.7194</v>
      </c>
      <c r="S271" s="13">
        <v>1.721</v>
      </c>
      <c r="T271" s="13">
        <v>345890.1</v>
      </c>
      <c r="U271" s="12">
        <v>1.12851194E9</v>
      </c>
      <c r="V271" s="11">
        <v>85.1923</v>
      </c>
      <c r="W271" s="13">
        <v>76.4485</v>
      </c>
      <c r="X271" s="13">
        <v>19.7718</v>
      </c>
      <c r="Y271" s="13">
        <v>18.1682</v>
      </c>
      <c r="Z271" s="13">
        <v>22.1423</v>
      </c>
      <c r="AA271" s="13">
        <v>21.3416</v>
      </c>
      <c r="AB271" s="13">
        <v>20.8007</v>
      </c>
      <c r="AC271" s="13">
        <v>20.2796</v>
      </c>
      <c r="AD271" s="13">
        <v>19.6958</v>
      </c>
      <c r="AE271" s="13">
        <v>24.3758</v>
      </c>
      <c r="AF271" s="13">
        <v>5.0288</v>
      </c>
      <c r="AG271" s="14">
        <f>IFERROR(__xludf.DUMMYFUNCTION("IFERROR(GOOGLEFINANCE(B271,""price""),"""")"),19.9)</f>
        <v>19.9</v>
      </c>
      <c r="AH271" s="14"/>
      <c r="AI271" s="14"/>
      <c r="AJ271" s="14"/>
      <c r="AK271" s="14"/>
      <c r="AL271" s="14"/>
      <c r="AM271" s="14"/>
      <c r="AN271" s="14"/>
    </row>
    <row r="272">
      <c r="A272" s="15">
        <v>46052.891229777895</v>
      </c>
      <c r="B272" s="16" t="s">
        <v>5116</v>
      </c>
      <c r="C272" s="16" t="s">
        <v>5117</v>
      </c>
      <c r="D272" s="17">
        <v>46054.0</v>
      </c>
      <c r="E272" s="18">
        <v>7.94</v>
      </c>
      <c r="F272" s="16" t="s">
        <v>270</v>
      </c>
      <c r="G272" s="19">
        <v>0.85</v>
      </c>
      <c r="H272" s="16" t="s">
        <v>4862</v>
      </c>
      <c r="I272" s="19">
        <v>37.2239</v>
      </c>
      <c r="J272" s="19">
        <v>69.2821</v>
      </c>
      <c r="K272" s="21">
        <v>1.6158</v>
      </c>
      <c r="L272" s="16" t="s">
        <v>5118</v>
      </c>
      <c r="M272" s="19">
        <v>0.2525</v>
      </c>
      <c r="N272" s="20">
        <v>2820414.0</v>
      </c>
      <c r="O272" s="21">
        <v>8.05</v>
      </c>
      <c r="P272" s="21">
        <v>7.75</v>
      </c>
      <c r="Q272" s="21">
        <v>7.83</v>
      </c>
      <c r="R272" s="21">
        <v>0.2883</v>
      </c>
      <c r="S272" s="21">
        <v>0.6767</v>
      </c>
      <c r="T272" s="16">
        <v>1897319.0</v>
      </c>
      <c r="U272" s="20">
        <v>1.167822495E9</v>
      </c>
      <c r="V272" s="19">
        <v>82.4031</v>
      </c>
      <c r="W272" s="21">
        <v>76.184</v>
      </c>
      <c r="X272" s="21">
        <v>6.9174</v>
      </c>
      <c r="Y272" s="21">
        <v>7.0272</v>
      </c>
      <c r="Z272" s="21">
        <v>7.6436</v>
      </c>
      <c r="AA272" s="21">
        <v>7.31</v>
      </c>
      <c r="AB272" s="21">
        <v>7.138</v>
      </c>
      <c r="AC272" s="21">
        <v>6.985</v>
      </c>
      <c r="AD272" s="21">
        <v>6.8653</v>
      </c>
      <c r="AE272" s="21">
        <v>8.9</v>
      </c>
      <c r="AF272" s="21">
        <v>10.7865</v>
      </c>
      <c r="AG272" s="22">
        <f>IFERROR(__xludf.DUMMYFUNCTION("IFERROR(GOOGLEFINANCE(B272,""price""),"""")"),9.56)</f>
        <v>9.56</v>
      </c>
      <c r="AH272" s="22"/>
      <c r="AI272" s="22"/>
      <c r="AJ272" s="22"/>
      <c r="AK272" s="22"/>
      <c r="AL272" s="22"/>
      <c r="AM272" s="22"/>
      <c r="AN272" s="22"/>
    </row>
    <row r="273">
      <c r="A273" s="7">
        <v>46052.891229777895</v>
      </c>
      <c r="B273" s="8" t="s">
        <v>1580</v>
      </c>
      <c r="C273" s="8" t="s">
        <v>1581</v>
      </c>
      <c r="D273" s="9">
        <v>46054.0</v>
      </c>
      <c r="E273" s="10">
        <v>78.66</v>
      </c>
      <c r="F273" s="8" t="s">
        <v>112</v>
      </c>
      <c r="G273" s="11">
        <v>0.85</v>
      </c>
      <c r="H273" s="8" t="s">
        <v>4915</v>
      </c>
      <c r="I273" s="11">
        <v>29.2275</v>
      </c>
      <c r="J273" s="11">
        <v>47.5113</v>
      </c>
      <c r="K273" s="13">
        <v>1.9115</v>
      </c>
      <c r="L273" s="8" t="s">
        <v>1582</v>
      </c>
      <c r="M273" s="11">
        <v>-0.5563</v>
      </c>
      <c r="N273" s="12">
        <v>2787073.0</v>
      </c>
      <c r="O273" s="13">
        <v>78.98</v>
      </c>
      <c r="P273" s="13">
        <v>77.2</v>
      </c>
      <c r="Q273" s="13">
        <v>78.43</v>
      </c>
      <c r="R273" s="13">
        <v>2.2973</v>
      </c>
      <c r="S273" s="13">
        <v>5.3951</v>
      </c>
      <c r="T273" s="8">
        <v>1608011.0</v>
      </c>
      <c r="U273" s="12">
        <v>1.2183251032E10</v>
      </c>
      <c r="V273" s="11">
        <v>19.0071</v>
      </c>
      <c r="W273" s="13">
        <v>30.5561</v>
      </c>
      <c r="X273" s="13">
        <v>75.6192</v>
      </c>
      <c r="Y273" s="13">
        <v>74.7976</v>
      </c>
      <c r="Z273" s="13">
        <v>80.4726</v>
      </c>
      <c r="AA273" s="13">
        <v>80.0634</v>
      </c>
      <c r="AB273" s="13">
        <v>78.5883</v>
      </c>
      <c r="AC273" s="13">
        <v>76.7492</v>
      </c>
      <c r="AD273" s="13">
        <v>75.135</v>
      </c>
      <c r="AE273" s="13">
        <v>90.75</v>
      </c>
      <c r="AF273" s="13">
        <v>13.3223</v>
      </c>
      <c r="AG273" s="14">
        <f>IFERROR(__xludf.DUMMYFUNCTION("IFERROR(GOOGLEFINANCE(B273,""price""),"""")"),72.19)</f>
        <v>72.19</v>
      </c>
      <c r="AH273" s="14"/>
      <c r="AI273" s="14"/>
      <c r="AJ273" s="14"/>
      <c r="AK273" s="14"/>
      <c r="AL273" s="14"/>
      <c r="AM273" s="14"/>
      <c r="AN273" s="14"/>
    </row>
    <row r="274">
      <c r="A274" s="15">
        <v>46052.891229777895</v>
      </c>
      <c r="B274" s="16" t="s">
        <v>5198</v>
      </c>
      <c r="C274" s="16" t="s">
        <v>5199</v>
      </c>
      <c r="D274" s="17">
        <v>46054.0</v>
      </c>
      <c r="E274" s="18">
        <v>20.08</v>
      </c>
      <c r="F274" s="16" t="s">
        <v>102</v>
      </c>
      <c r="G274" s="19">
        <v>0.86</v>
      </c>
      <c r="H274" s="16" t="s">
        <v>4920</v>
      </c>
      <c r="I274" s="19">
        <v>30.4002</v>
      </c>
      <c r="J274" s="19">
        <v>63.6351</v>
      </c>
      <c r="K274" s="21">
        <v>1.5022</v>
      </c>
      <c r="L274" s="16" t="s">
        <v>5200</v>
      </c>
      <c r="M274" s="19">
        <v>3.3453</v>
      </c>
      <c r="N274" s="20">
        <v>727349.0</v>
      </c>
      <c r="O274" s="21">
        <v>20.14</v>
      </c>
      <c r="P274" s="21">
        <v>19.28</v>
      </c>
      <c r="Q274" s="21">
        <v>19.36</v>
      </c>
      <c r="R274" s="21">
        <v>0.6153</v>
      </c>
      <c r="S274" s="21">
        <v>1.4389</v>
      </c>
      <c r="T274" s="21">
        <v>518153.2</v>
      </c>
      <c r="U274" s="20">
        <v>1.370459562E9</v>
      </c>
      <c r="V274" s="19">
        <v>61.0632</v>
      </c>
      <c r="W274" s="21">
        <v>57.3398</v>
      </c>
      <c r="X274" s="21">
        <v>17.6488</v>
      </c>
      <c r="Y274" s="21">
        <v>18.6305</v>
      </c>
      <c r="Z274" s="21">
        <v>19.5987</v>
      </c>
      <c r="AA274" s="21">
        <v>19.161</v>
      </c>
      <c r="AB274" s="21">
        <v>18.6698</v>
      </c>
      <c r="AC274" s="21">
        <v>18.1979</v>
      </c>
      <c r="AD274" s="21">
        <v>18.001</v>
      </c>
      <c r="AE274" s="21">
        <v>23.12</v>
      </c>
      <c r="AF274" s="21">
        <v>13.1488</v>
      </c>
      <c r="AG274" s="22">
        <f>IFERROR(__xludf.DUMMYFUNCTION("IFERROR(GOOGLEFINANCE(B274,""price""),"""")"),15.38)</f>
        <v>15.38</v>
      </c>
      <c r="AH274" s="22"/>
      <c r="AI274" s="22"/>
      <c r="AJ274" s="22"/>
      <c r="AK274" s="22"/>
      <c r="AL274" s="22"/>
      <c r="AM274" s="22"/>
      <c r="AN274" s="22"/>
    </row>
    <row r="275">
      <c r="A275" s="7">
        <v>46052.891229777895</v>
      </c>
      <c r="B275" s="8" t="s">
        <v>5201</v>
      </c>
      <c r="C275" s="8" t="s">
        <v>5202</v>
      </c>
      <c r="D275" s="9">
        <v>46054.0</v>
      </c>
      <c r="E275" s="10">
        <v>47.58</v>
      </c>
      <c r="F275" s="8" t="s">
        <v>162</v>
      </c>
      <c r="G275" s="11">
        <v>0.87</v>
      </c>
      <c r="H275" s="8" t="s">
        <v>4844</v>
      </c>
      <c r="I275" s="11">
        <v>45.5833</v>
      </c>
      <c r="J275" s="11">
        <v>62.0352</v>
      </c>
      <c r="K275" s="13">
        <v>1.8356</v>
      </c>
      <c r="L275" s="8" t="s">
        <v>5203</v>
      </c>
      <c r="M275" s="11">
        <v>-1.4703</v>
      </c>
      <c r="N275" s="12">
        <v>800861.0</v>
      </c>
      <c r="O275" s="13">
        <v>48.09</v>
      </c>
      <c r="P275" s="13">
        <v>47.135</v>
      </c>
      <c r="Q275" s="13">
        <v>47.775</v>
      </c>
      <c r="R275" s="13">
        <v>1.0742</v>
      </c>
      <c r="S275" s="13">
        <v>2.4587</v>
      </c>
      <c r="T275" s="13">
        <v>465246.5</v>
      </c>
      <c r="U275" s="12">
        <v>2.909683997E9</v>
      </c>
      <c r="V275" s="11">
        <v>68.5883</v>
      </c>
      <c r="W275" s="13">
        <v>71.1495</v>
      </c>
      <c r="X275" s="13">
        <v>43.2642</v>
      </c>
      <c r="Y275" s="13">
        <v>39.535</v>
      </c>
      <c r="Z275" s="13">
        <v>47.5634</v>
      </c>
      <c r="AA275" s="13">
        <v>46.4551</v>
      </c>
      <c r="AB275" s="13">
        <v>45.1753</v>
      </c>
      <c r="AC275" s="13">
        <v>43.4124</v>
      </c>
      <c r="AD275" s="13">
        <v>41.509</v>
      </c>
      <c r="AE275" s="13">
        <v>48.89</v>
      </c>
      <c r="AF275" s="13">
        <v>2.6795</v>
      </c>
      <c r="AG275" s="14">
        <f>IFERROR(__xludf.DUMMYFUNCTION("IFERROR(GOOGLEFINANCE(B275,""price""),"""")"),38.97)</f>
        <v>38.97</v>
      </c>
      <c r="AH275" s="14"/>
      <c r="AI275" s="14"/>
      <c r="AJ275" s="14"/>
      <c r="AK275" s="14"/>
      <c r="AL275" s="14"/>
      <c r="AM275" s="14"/>
      <c r="AN275" s="14"/>
    </row>
    <row r="276">
      <c r="A276" s="15">
        <v>46052.891229777895</v>
      </c>
      <c r="B276" s="16" t="s">
        <v>1818</v>
      </c>
      <c r="C276" s="16" t="s">
        <v>1819</v>
      </c>
      <c r="D276" s="17">
        <v>46054.0</v>
      </c>
      <c r="E276" s="18">
        <v>2.22</v>
      </c>
      <c r="F276" s="16" t="s">
        <v>117</v>
      </c>
      <c r="G276" s="19">
        <v>0.87</v>
      </c>
      <c r="H276" s="16" t="s">
        <v>4862</v>
      </c>
      <c r="I276" s="19">
        <v>37.1785</v>
      </c>
      <c r="J276" s="19">
        <v>53.2883</v>
      </c>
      <c r="K276" s="21">
        <v>1.5935</v>
      </c>
      <c r="L276" s="16" t="s">
        <v>1820</v>
      </c>
      <c r="M276" s="19">
        <v>-8.642</v>
      </c>
      <c r="N276" s="20">
        <v>1464365.0</v>
      </c>
      <c r="O276" s="21">
        <v>2.42</v>
      </c>
      <c r="P276" s="21">
        <v>2.19</v>
      </c>
      <c r="Q276" s="21">
        <v>2.36</v>
      </c>
      <c r="R276" s="21">
        <v>0.1261</v>
      </c>
      <c r="S276" s="21">
        <v>0.2889</v>
      </c>
      <c r="T276" s="21">
        <v>969788.9</v>
      </c>
      <c r="U276" s="20">
        <v>1.57685535E8</v>
      </c>
      <c r="V276" s="19">
        <v>66.1692</v>
      </c>
      <c r="W276" s="21">
        <v>77.4111</v>
      </c>
      <c r="X276" s="21">
        <v>1.961</v>
      </c>
      <c r="Y276" s="21">
        <v>2.1987</v>
      </c>
      <c r="Z276" s="21">
        <v>2.3426</v>
      </c>
      <c r="AA276" s="21">
        <v>2.2005</v>
      </c>
      <c r="AB276" s="21">
        <v>2.1196</v>
      </c>
      <c r="AC276" s="21">
        <v>2.0671</v>
      </c>
      <c r="AD276" s="21">
        <v>2.0448</v>
      </c>
      <c r="AE276" s="21">
        <v>2.74</v>
      </c>
      <c r="AF276" s="21">
        <v>18.9781</v>
      </c>
      <c r="AG276" s="22">
        <f>IFERROR(__xludf.DUMMYFUNCTION("IFERROR(GOOGLEFINANCE(B276,""price""),"""")"),2.17)</f>
        <v>2.17</v>
      </c>
      <c r="AH276" s="22"/>
      <c r="AI276" s="22"/>
      <c r="AJ276" s="22"/>
      <c r="AK276" s="22"/>
      <c r="AL276" s="22"/>
      <c r="AM276" s="22"/>
      <c r="AN276" s="22"/>
    </row>
    <row r="277">
      <c r="A277" s="7">
        <v>46052.891229777895</v>
      </c>
      <c r="B277" s="8" t="s">
        <v>1467</v>
      </c>
      <c r="C277" s="8" t="s">
        <v>1468</v>
      </c>
      <c r="D277" s="9">
        <v>46054.0</v>
      </c>
      <c r="E277" s="10">
        <v>119.26</v>
      </c>
      <c r="F277" s="8" t="s">
        <v>102</v>
      </c>
      <c r="G277" s="11">
        <v>0.87</v>
      </c>
      <c r="H277" s="8" t="s">
        <v>4841</v>
      </c>
      <c r="I277" s="11">
        <v>20.8084</v>
      </c>
      <c r="J277" s="11">
        <v>59.3054</v>
      </c>
      <c r="K277" s="13">
        <v>1.3249</v>
      </c>
      <c r="L277" s="8" t="s">
        <v>1469</v>
      </c>
      <c r="M277" s="11">
        <v>-0.848</v>
      </c>
      <c r="N277" s="12">
        <v>6034411.0</v>
      </c>
      <c r="O277" s="13">
        <v>120.78</v>
      </c>
      <c r="P277" s="13">
        <v>118.92</v>
      </c>
      <c r="Q277" s="13">
        <v>119.0</v>
      </c>
      <c r="R277" s="13">
        <v>2.5496</v>
      </c>
      <c r="S277" s="13">
        <v>5.8347</v>
      </c>
      <c r="T277" s="8">
        <v>4520884.0</v>
      </c>
      <c r="U277" s="12">
        <v>7.2884033316E10</v>
      </c>
      <c r="V277" s="11">
        <v>89.1913</v>
      </c>
      <c r="W277" s="13">
        <v>88.592</v>
      </c>
      <c r="X277" s="13">
        <v>116.1471</v>
      </c>
      <c r="Y277" s="13">
        <v>106.6978</v>
      </c>
      <c r="Z277" s="13">
        <v>117.0519</v>
      </c>
      <c r="AA277" s="13">
        <v>116.1382</v>
      </c>
      <c r="AB277" s="13">
        <v>116.0453</v>
      </c>
      <c r="AC277" s="13">
        <v>115.5159</v>
      </c>
      <c r="AD277" s="13">
        <v>113.8897</v>
      </c>
      <c r="AE277" s="13">
        <v>124.07</v>
      </c>
      <c r="AF277" s="13">
        <v>3.8768</v>
      </c>
      <c r="AG277" s="14">
        <f>IFERROR(__xludf.DUMMYFUNCTION("IFERROR(GOOGLEFINANCE(B277,""price""),"""")"),142.53)</f>
        <v>142.53</v>
      </c>
      <c r="AH277" s="14"/>
      <c r="AI277" s="14"/>
      <c r="AJ277" s="14"/>
      <c r="AK277" s="14"/>
      <c r="AL277" s="14"/>
      <c r="AM277" s="14"/>
      <c r="AN277" s="14"/>
    </row>
    <row r="278">
      <c r="A278" s="15">
        <v>46052.891229777895</v>
      </c>
      <c r="B278" s="16" t="s">
        <v>5035</v>
      </c>
      <c r="C278" s="16" t="s">
        <v>5036</v>
      </c>
      <c r="D278" s="17">
        <v>46054.0</v>
      </c>
      <c r="E278" s="18">
        <v>27.55</v>
      </c>
      <c r="F278" s="16" t="s">
        <v>107</v>
      </c>
      <c r="G278" s="19">
        <v>0.88</v>
      </c>
      <c r="H278" s="16" t="s">
        <v>4848</v>
      </c>
      <c r="I278" s="19">
        <v>31.8934</v>
      </c>
      <c r="J278" s="19">
        <v>59.612</v>
      </c>
      <c r="K278" s="21">
        <v>1.4479</v>
      </c>
      <c r="L278" s="16" t="s">
        <v>5037</v>
      </c>
      <c r="M278" s="19">
        <v>1.4359</v>
      </c>
      <c r="N278" s="20">
        <v>1.8949358E7</v>
      </c>
      <c r="O278" s="21">
        <v>28.0</v>
      </c>
      <c r="P278" s="21">
        <v>26.92</v>
      </c>
      <c r="Q278" s="21">
        <v>27.29</v>
      </c>
      <c r="R278" s="21">
        <v>0.993</v>
      </c>
      <c r="S278" s="21">
        <v>2.2552</v>
      </c>
      <c r="T278" s="16">
        <v>1.4026344E7</v>
      </c>
      <c r="U278" s="20">
        <v>1.9581641622E10</v>
      </c>
      <c r="V278" s="19">
        <v>55.8854</v>
      </c>
      <c r="W278" s="21">
        <v>64.6181</v>
      </c>
      <c r="X278" s="21">
        <v>24.6671</v>
      </c>
      <c r="Y278" s="21">
        <v>27.3597</v>
      </c>
      <c r="Z278" s="21">
        <v>27.6013</v>
      </c>
      <c r="AA278" s="21">
        <v>26.7665</v>
      </c>
      <c r="AB278" s="21">
        <v>25.9967</v>
      </c>
      <c r="AC278" s="21">
        <v>25.269</v>
      </c>
      <c r="AD278" s="21">
        <v>24.9742</v>
      </c>
      <c r="AE278" s="21">
        <v>40.09</v>
      </c>
      <c r="AF278" s="21">
        <v>31.2796</v>
      </c>
      <c r="AG278" s="22">
        <f>IFERROR(__xludf.DUMMYFUNCTION("IFERROR(GOOGLEFINANCE(B278,""price""),"""")"),39.01)</f>
        <v>39.01</v>
      </c>
      <c r="AH278" s="22"/>
      <c r="AI278" s="22"/>
      <c r="AJ278" s="22"/>
      <c r="AK278" s="22"/>
      <c r="AL278" s="22"/>
      <c r="AM278" s="22"/>
      <c r="AN278" s="22"/>
    </row>
    <row r="279">
      <c r="A279" s="7">
        <v>46052.891229777895</v>
      </c>
      <c r="B279" s="8" t="s">
        <v>5031</v>
      </c>
      <c r="C279" s="8" t="s">
        <v>5032</v>
      </c>
      <c r="D279" s="9">
        <v>46054.0</v>
      </c>
      <c r="E279" s="10">
        <v>8.18</v>
      </c>
      <c r="F279" s="8" t="s">
        <v>149</v>
      </c>
      <c r="G279" s="11">
        <v>0.88</v>
      </c>
      <c r="H279" s="8" t="s">
        <v>4920</v>
      </c>
      <c r="I279" s="11">
        <v>24.0822</v>
      </c>
      <c r="J279" s="11">
        <v>68.4465</v>
      </c>
      <c r="K279" s="13">
        <v>1.5294</v>
      </c>
      <c r="L279" s="8" t="s">
        <v>5034</v>
      </c>
      <c r="M279" s="11">
        <v>0.4914</v>
      </c>
      <c r="N279" s="12">
        <v>2239586.0</v>
      </c>
      <c r="O279" s="13">
        <v>8.33</v>
      </c>
      <c r="P279" s="13">
        <v>8.11</v>
      </c>
      <c r="Q279" s="13">
        <v>8.11</v>
      </c>
      <c r="R279" s="13">
        <v>0.2082</v>
      </c>
      <c r="S279" s="13">
        <v>0.4715</v>
      </c>
      <c r="T279" s="8">
        <v>1568946.0</v>
      </c>
      <c r="U279" s="12">
        <v>1.723223866E9</v>
      </c>
      <c r="V279" s="11">
        <v>81.7741</v>
      </c>
      <c r="W279" s="13">
        <v>71.6411</v>
      </c>
      <c r="X279" s="13">
        <v>7.5072</v>
      </c>
      <c r="Y279" s="13">
        <v>7.4939</v>
      </c>
      <c r="Z279" s="13">
        <v>7.9073</v>
      </c>
      <c r="AA279" s="13">
        <v>7.7379</v>
      </c>
      <c r="AB279" s="13">
        <v>7.637</v>
      </c>
      <c r="AC279" s="13">
        <v>7.5255</v>
      </c>
      <c r="AD279" s="13">
        <v>7.4302</v>
      </c>
      <c r="AE279" s="13">
        <v>8.52</v>
      </c>
      <c r="AF279" s="13">
        <v>3.9906</v>
      </c>
      <c r="AG279" s="14">
        <f>IFERROR(__xludf.DUMMYFUNCTION("IFERROR(GOOGLEFINANCE(B279,""price""),"""")"),8.5)</f>
        <v>8.5</v>
      </c>
      <c r="AH279" s="14"/>
      <c r="AI279" s="14"/>
      <c r="AJ279" s="14"/>
      <c r="AK279" s="14"/>
      <c r="AL279" s="14"/>
      <c r="AM279" s="14"/>
      <c r="AN279" s="14"/>
    </row>
    <row r="280">
      <c r="A280" s="15">
        <v>46052.891229777895</v>
      </c>
      <c r="B280" s="16" t="s">
        <v>5204</v>
      </c>
      <c r="C280" s="16" t="s">
        <v>5205</v>
      </c>
      <c r="D280" s="17">
        <v>46054.0</v>
      </c>
      <c r="E280" s="18">
        <v>49.48</v>
      </c>
      <c r="F280" s="16" t="s">
        <v>917</v>
      </c>
      <c r="G280" s="19">
        <v>0.88</v>
      </c>
      <c r="H280" s="16" t="s">
        <v>4941</v>
      </c>
      <c r="I280" s="19">
        <v>22.7254</v>
      </c>
      <c r="J280" s="19">
        <v>71.3349</v>
      </c>
      <c r="K280" s="21">
        <v>2.3479</v>
      </c>
      <c r="L280" s="16" t="s">
        <v>5206</v>
      </c>
      <c r="M280" s="19">
        <v>0.4466</v>
      </c>
      <c r="N280" s="20">
        <v>1180862.0</v>
      </c>
      <c r="O280" s="21">
        <v>49.6</v>
      </c>
      <c r="P280" s="21">
        <v>48.68</v>
      </c>
      <c r="Q280" s="21">
        <v>49.04</v>
      </c>
      <c r="R280" s="21">
        <v>0.7954</v>
      </c>
      <c r="S280" s="21">
        <v>1.8099</v>
      </c>
      <c r="T280" s="21">
        <v>580226.8</v>
      </c>
      <c r="U280" s="20">
        <v>4.984905979E9</v>
      </c>
      <c r="V280" s="19">
        <v>93.3904</v>
      </c>
      <c r="W280" s="21">
        <v>92.4819</v>
      </c>
      <c r="X280" s="21">
        <v>46.9292</v>
      </c>
      <c r="Y280" s="21">
        <v>46.6605</v>
      </c>
      <c r="Z280" s="21">
        <v>48.7072</v>
      </c>
      <c r="AA280" s="21">
        <v>47.8444</v>
      </c>
      <c r="AB280" s="21">
        <v>47.4124</v>
      </c>
      <c r="AC280" s="21">
        <v>47.0685</v>
      </c>
      <c r="AD280" s="21">
        <v>46.8401</v>
      </c>
      <c r="AE280" s="21">
        <v>50.765</v>
      </c>
      <c r="AF280" s="21">
        <v>2.5313</v>
      </c>
      <c r="AG280" s="22">
        <f>IFERROR(__xludf.DUMMYFUNCTION("IFERROR(GOOGLEFINANCE(B280,""price""),"""")"),56.96)</f>
        <v>56.96</v>
      </c>
      <c r="AH280" s="22"/>
      <c r="AI280" s="22"/>
      <c r="AJ280" s="22"/>
      <c r="AK280" s="22"/>
      <c r="AL280" s="22"/>
      <c r="AM280" s="22"/>
      <c r="AN280" s="22"/>
    </row>
    <row r="281">
      <c r="A281" s="7">
        <v>46052.891229777895</v>
      </c>
      <c r="B281" s="8" t="s">
        <v>1509</v>
      </c>
      <c r="C281" s="8" t="s">
        <v>1510</v>
      </c>
      <c r="D281" s="9">
        <v>46054.0</v>
      </c>
      <c r="E281" s="10">
        <v>55.05</v>
      </c>
      <c r="F281" s="8" t="s">
        <v>117</v>
      </c>
      <c r="G281" s="11">
        <v>0.88</v>
      </c>
      <c r="H281" s="8" t="s">
        <v>4841</v>
      </c>
      <c r="I281" s="11">
        <v>26.471</v>
      </c>
      <c r="J281" s="11">
        <v>54.0573</v>
      </c>
      <c r="K281" s="13">
        <v>1.3164</v>
      </c>
      <c r="L281" s="8" t="s">
        <v>1511</v>
      </c>
      <c r="M281" s="11">
        <v>1.4186</v>
      </c>
      <c r="N281" s="12">
        <v>1.6199328E7</v>
      </c>
      <c r="O281" s="13">
        <v>55.07</v>
      </c>
      <c r="P281" s="13">
        <v>54.33</v>
      </c>
      <c r="Q281" s="13">
        <v>54.53</v>
      </c>
      <c r="R281" s="13">
        <v>1.1527</v>
      </c>
      <c r="S281" s="13">
        <v>2.6098</v>
      </c>
      <c r="T281" s="8">
        <v>1.2741046E7</v>
      </c>
      <c r="U281" s="12">
        <v>1.12068202979E11</v>
      </c>
      <c r="V281" s="11">
        <v>31.6166</v>
      </c>
      <c r="W281" s="13">
        <v>36.6643</v>
      </c>
      <c r="X281" s="13">
        <v>52.85</v>
      </c>
      <c r="Y281" s="13">
        <v>50.2487</v>
      </c>
      <c r="Z281" s="13">
        <v>54.8758</v>
      </c>
      <c r="AA281" s="13">
        <v>54.7011</v>
      </c>
      <c r="AB281" s="13">
        <v>53.9568</v>
      </c>
      <c r="AC281" s="13">
        <v>52.6574</v>
      </c>
      <c r="AD281" s="13">
        <v>51.2561</v>
      </c>
      <c r="AE281" s="13">
        <v>63.33</v>
      </c>
      <c r="AF281" s="13">
        <v>13.0744</v>
      </c>
      <c r="AG281" s="14">
        <f>IFERROR(__xludf.DUMMYFUNCTION("IFERROR(GOOGLEFINANCE(B281,""price""),"""")"),58.62)</f>
        <v>58.62</v>
      </c>
      <c r="AH281" s="14"/>
      <c r="AI281" s="14"/>
      <c r="AJ281" s="14"/>
      <c r="AK281" s="14"/>
      <c r="AL281" s="14"/>
      <c r="AM281" s="14"/>
      <c r="AN281" s="14"/>
    </row>
    <row r="282">
      <c r="A282" s="15">
        <v>46052.891229777895</v>
      </c>
      <c r="B282" s="16" t="s">
        <v>5207</v>
      </c>
      <c r="C282" s="16" t="s">
        <v>5208</v>
      </c>
      <c r="D282" s="17">
        <v>46054.0</v>
      </c>
      <c r="E282" s="18">
        <v>9.54</v>
      </c>
      <c r="F282" s="16" t="s">
        <v>102</v>
      </c>
      <c r="G282" s="19">
        <v>0.89</v>
      </c>
      <c r="H282" s="16" t="s">
        <v>4848</v>
      </c>
      <c r="I282" s="19">
        <v>23.3118</v>
      </c>
      <c r="J282" s="19">
        <v>63.9884</v>
      </c>
      <c r="K282" s="21">
        <v>1.3987</v>
      </c>
      <c r="L282" s="16" t="s">
        <v>5209</v>
      </c>
      <c r="M282" s="19">
        <v>2.0321</v>
      </c>
      <c r="N282" s="20">
        <v>715288.0</v>
      </c>
      <c r="O282" s="21">
        <v>9.61</v>
      </c>
      <c r="P282" s="21">
        <v>9.21</v>
      </c>
      <c r="Q282" s="21">
        <v>9.21</v>
      </c>
      <c r="R282" s="21">
        <v>0.3693</v>
      </c>
      <c r="S282" s="21">
        <v>0.8283</v>
      </c>
      <c r="T282" s="21">
        <v>509844.1</v>
      </c>
      <c r="U282" s="20">
        <v>6.10097261E8</v>
      </c>
      <c r="V282" s="19">
        <v>76.2514</v>
      </c>
      <c r="W282" s="21">
        <v>62.6828</v>
      </c>
      <c r="X282" s="21">
        <v>8.3122</v>
      </c>
      <c r="Y282" s="21">
        <v>8.2966</v>
      </c>
      <c r="Z282" s="21">
        <v>9.0629</v>
      </c>
      <c r="AA282" s="21">
        <v>8.7862</v>
      </c>
      <c r="AB282" s="21">
        <v>8.5977</v>
      </c>
      <c r="AC282" s="21">
        <v>8.4281</v>
      </c>
      <c r="AD282" s="21">
        <v>8.3271</v>
      </c>
      <c r="AE282" s="21">
        <v>10.94</v>
      </c>
      <c r="AF282" s="21">
        <v>12.7971</v>
      </c>
      <c r="AG282" s="22">
        <f>IFERROR(__xludf.DUMMYFUNCTION("IFERROR(GOOGLEFINANCE(B282,""price""),"""")"),8.36)</f>
        <v>8.36</v>
      </c>
      <c r="AH282" s="22"/>
      <c r="AI282" s="22"/>
      <c r="AJ282" s="22"/>
      <c r="AK282" s="22"/>
      <c r="AL282" s="22"/>
      <c r="AM282" s="22"/>
      <c r="AN282" s="22"/>
    </row>
    <row r="283">
      <c r="A283" s="7">
        <v>46052.891229777895</v>
      </c>
      <c r="B283" s="8" t="s">
        <v>4969</v>
      </c>
      <c r="C283" s="8" t="s">
        <v>4970</v>
      </c>
      <c r="D283" s="9">
        <v>46054.0</v>
      </c>
      <c r="E283" s="10">
        <v>69.7</v>
      </c>
      <c r="F283" s="8" t="s">
        <v>286</v>
      </c>
      <c r="G283" s="11">
        <v>0.89</v>
      </c>
      <c r="H283" s="8" t="s">
        <v>4841</v>
      </c>
      <c r="I283" s="11">
        <v>22.8465</v>
      </c>
      <c r="J283" s="11">
        <v>62.278</v>
      </c>
      <c r="K283" s="13">
        <v>1.3047</v>
      </c>
      <c r="L283" s="8" t="s">
        <v>4971</v>
      </c>
      <c r="M283" s="11">
        <v>-0.9803</v>
      </c>
      <c r="N283" s="12">
        <v>1824390.0</v>
      </c>
      <c r="O283" s="13">
        <v>70.82</v>
      </c>
      <c r="P283" s="13">
        <v>67.64</v>
      </c>
      <c r="Q283" s="13">
        <v>70.82</v>
      </c>
      <c r="R283" s="13">
        <v>2.6756</v>
      </c>
      <c r="S283" s="13">
        <v>6.028</v>
      </c>
      <c r="T283" s="8">
        <v>1467665.0</v>
      </c>
      <c r="U283" s="12">
        <v>3.401940875E9</v>
      </c>
      <c r="V283" s="11">
        <v>78.8017</v>
      </c>
      <c r="W283" s="13">
        <v>85.0857</v>
      </c>
      <c r="X283" s="13">
        <v>62.868</v>
      </c>
      <c r="Y283" s="13">
        <v>70.1075</v>
      </c>
      <c r="Z283" s="13">
        <v>70.0396</v>
      </c>
      <c r="AA283" s="13">
        <v>67.3679</v>
      </c>
      <c r="AB283" s="13">
        <v>65.4515</v>
      </c>
      <c r="AC283" s="13">
        <v>63.4223</v>
      </c>
      <c r="AD283" s="13">
        <v>62.603</v>
      </c>
      <c r="AE283" s="13">
        <v>162.19</v>
      </c>
      <c r="AF283" s="13">
        <v>57.0257</v>
      </c>
      <c r="AG283" s="14">
        <f>IFERROR(__xludf.DUMMYFUNCTION("IFERROR(GOOGLEFINANCE(B283,""price""),"""")"),64.8)</f>
        <v>64.8</v>
      </c>
      <c r="AH283" s="14"/>
      <c r="AI283" s="14"/>
      <c r="AJ283" s="14"/>
      <c r="AK283" s="14"/>
      <c r="AL283" s="14"/>
      <c r="AM283" s="14"/>
      <c r="AN283" s="14"/>
    </row>
    <row r="284">
      <c r="A284" s="15">
        <v>46052.891229777895</v>
      </c>
      <c r="B284" s="16" t="s">
        <v>2787</v>
      </c>
      <c r="C284" s="16" t="s">
        <v>2788</v>
      </c>
      <c r="D284" s="17">
        <v>46054.0</v>
      </c>
      <c r="E284" s="18">
        <v>179.44</v>
      </c>
      <c r="F284" s="16" t="s">
        <v>286</v>
      </c>
      <c r="G284" s="19">
        <v>0.89</v>
      </c>
      <c r="H284" s="16" t="s">
        <v>4862</v>
      </c>
      <c r="I284" s="19">
        <v>25.6104</v>
      </c>
      <c r="J284" s="19">
        <v>71.5788</v>
      </c>
      <c r="K284" s="21">
        <v>1.5794</v>
      </c>
      <c r="L284" s="16" t="s">
        <v>2790</v>
      </c>
      <c r="M284" s="19">
        <v>0.8713</v>
      </c>
      <c r="N284" s="20">
        <v>8239609.0</v>
      </c>
      <c r="O284" s="21">
        <v>180.09</v>
      </c>
      <c r="P284" s="21">
        <v>175.1438</v>
      </c>
      <c r="Q284" s="21">
        <v>177.84</v>
      </c>
      <c r="R284" s="21">
        <v>3.8775</v>
      </c>
      <c r="S284" s="21">
        <v>8.7545</v>
      </c>
      <c r="T284" s="16">
        <v>5541085.0</v>
      </c>
      <c r="U284" s="20">
        <v>2.79323264227E11</v>
      </c>
      <c r="V284" s="19">
        <v>89.3128</v>
      </c>
      <c r="W284" s="21">
        <v>92.2212</v>
      </c>
      <c r="X284" s="21">
        <v>160.907</v>
      </c>
      <c r="Y284" s="21">
        <v>158.7657</v>
      </c>
      <c r="Z284" s="21">
        <v>175.8192</v>
      </c>
      <c r="AA284" s="21">
        <v>170.0339</v>
      </c>
      <c r="AB284" s="21">
        <v>166.5204</v>
      </c>
      <c r="AC284" s="21">
        <v>163.6436</v>
      </c>
      <c r="AD284" s="21">
        <v>162.1662</v>
      </c>
      <c r="AE284" s="21">
        <v>186.69</v>
      </c>
      <c r="AF284" s="21">
        <v>3.8834</v>
      </c>
      <c r="AG284" s="22">
        <f>IFERROR(__xludf.DUMMYFUNCTION("IFERROR(GOOGLEFINANCE(B284,""price""),"""")"),160.45)</f>
        <v>160.45</v>
      </c>
      <c r="AH284" s="22"/>
      <c r="AI284" s="22"/>
      <c r="AJ284" s="22"/>
      <c r="AK284" s="22"/>
      <c r="AL284" s="22"/>
      <c r="AM284" s="22"/>
      <c r="AN284" s="22"/>
    </row>
    <row r="285">
      <c r="A285" s="7">
        <v>46052.891229777895</v>
      </c>
      <c r="B285" s="8" t="s">
        <v>5104</v>
      </c>
      <c r="C285" s="8" t="s">
        <v>5105</v>
      </c>
      <c r="D285" s="9">
        <v>46054.0</v>
      </c>
      <c r="E285" s="10">
        <v>8.48</v>
      </c>
      <c r="F285" s="8" t="s">
        <v>245</v>
      </c>
      <c r="G285" s="11">
        <v>0.89</v>
      </c>
      <c r="H285" s="8" t="s">
        <v>5210</v>
      </c>
      <c r="I285" s="11">
        <v>26.7349</v>
      </c>
      <c r="J285" s="11">
        <v>68.1981</v>
      </c>
      <c r="K285" s="13">
        <v>3.2177</v>
      </c>
      <c r="L285" s="8" t="s">
        <v>5107</v>
      </c>
      <c r="M285" s="11">
        <v>-0.8187</v>
      </c>
      <c r="N285" s="12">
        <v>2455698.0</v>
      </c>
      <c r="O285" s="13">
        <v>9.09</v>
      </c>
      <c r="P285" s="13">
        <v>8.375</v>
      </c>
      <c r="Q285" s="13">
        <v>8.94</v>
      </c>
      <c r="R285" s="13">
        <v>0.3281</v>
      </c>
      <c r="S285" s="13">
        <v>0.7351</v>
      </c>
      <c r="T285" s="13">
        <v>962635.7</v>
      </c>
      <c r="U285" s="12">
        <v>4.35106913E8</v>
      </c>
      <c r="V285" s="11">
        <v>82.3273</v>
      </c>
      <c r="W285" s="13">
        <v>89.7007</v>
      </c>
      <c r="X285" s="13">
        <v>7.6398</v>
      </c>
      <c r="Y285" s="13">
        <v>7.4203</v>
      </c>
      <c r="Z285" s="13">
        <v>8.2223</v>
      </c>
      <c r="AA285" s="13">
        <v>7.859</v>
      </c>
      <c r="AB285" s="13">
        <v>7.7188</v>
      </c>
      <c r="AC285" s="13">
        <v>7.5841</v>
      </c>
      <c r="AD285" s="13">
        <v>7.4364</v>
      </c>
      <c r="AE285" s="13">
        <v>9.54</v>
      </c>
      <c r="AF285" s="13">
        <v>11.1111</v>
      </c>
      <c r="AG285" s="14">
        <f>IFERROR(__xludf.DUMMYFUNCTION("IFERROR(GOOGLEFINANCE(B285,""price""),"""")"),9.4)</f>
        <v>9.4</v>
      </c>
      <c r="AH285" s="14"/>
      <c r="AI285" s="14"/>
      <c r="AJ285" s="14"/>
      <c r="AK285" s="14"/>
      <c r="AL285" s="14"/>
      <c r="AM285" s="14"/>
      <c r="AN285" s="14"/>
    </row>
    <row r="286">
      <c r="A286" s="15">
        <v>46052.891229777895</v>
      </c>
      <c r="B286" s="16" t="s">
        <v>5211</v>
      </c>
      <c r="C286" s="16" t="s">
        <v>5212</v>
      </c>
      <c r="D286" s="17">
        <v>46054.0</v>
      </c>
      <c r="E286" s="18">
        <v>52.97</v>
      </c>
      <c r="F286" s="16" t="s">
        <v>308</v>
      </c>
      <c r="G286" s="19">
        <v>0.89</v>
      </c>
      <c r="H286" s="16" t="s">
        <v>5213</v>
      </c>
      <c r="I286" s="19">
        <v>29.5187</v>
      </c>
      <c r="J286" s="19">
        <v>53.1948</v>
      </c>
      <c r="K286" s="21">
        <v>2.6635</v>
      </c>
      <c r="L286" s="16" t="s">
        <v>5214</v>
      </c>
      <c r="M286" s="19">
        <v>-1.6342</v>
      </c>
      <c r="N286" s="20">
        <v>3437191.0</v>
      </c>
      <c r="O286" s="21">
        <v>54.1548</v>
      </c>
      <c r="P286" s="21">
        <v>52.41</v>
      </c>
      <c r="Q286" s="21">
        <v>53.56</v>
      </c>
      <c r="R286" s="21">
        <v>1.472</v>
      </c>
      <c r="S286" s="21">
        <v>3.3159</v>
      </c>
      <c r="T286" s="16">
        <v>1494198.0</v>
      </c>
      <c r="U286" s="20">
        <v>5.975324747E9</v>
      </c>
      <c r="V286" s="19">
        <v>51.294</v>
      </c>
      <c r="W286" s="21">
        <v>55.0546</v>
      </c>
      <c r="X286" s="21">
        <v>51.0736</v>
      </c>
      <c r="Y286" s="21">
        <v>0.0</v>
      </c>
      <c r="Z286" s="21">
        <v>53.3203</v>
      </c>
      <c r="AA286" s="21">
        <v>52.7556</v>
      </c>
      <c r="AB286" s="21">
        <v>51.9791</v>
      </c>
      <c r="AC286" s="21">
        <v>50.77</v>
      </c>
      <c r="AD286" s="21">
        <v>49.4168</v>
      </c>
      <c r="AE286" s="21">
        <v>55.25</v>
      </c>
      <c r="AF286" s="21">
        <v>4.1267</v>
      </c>
      <c r="AG286" s="22">
        <f>IFERROR(__xludf.DUMMYFUNCTION("IFERROR(GOOGLEFINANCE(B286,""price""),"""")"),45.41)</f>
        <v>45.41</v>
      </c>
      <c r="AH286" s="22"/>
      <c r="AI286" s="22"/>
      <c r="AJ286" s="22"/>
      <c r="AK286" s="22"/>
      <c r="AL286" s="22"/>
      <c r="AM286" s="22"/>
      <c r="AN286" s="22"/>
    </row>
    <row r="287">
      <c r="A287" s="7">
        <v>46052.891229777895</v>
      </c>
      <c r="B287" s="8" t="s">
        <v>5215</v>
      </c>
      <c r="C287" s="8" t="s">
        <v>5216</v>
      </c>
      <c r="D287" s="9">
        <v>46054.0</v>
      </c>
      <c r="E287" s="10">
        <v>6.55</v>
      </c>
      <c r="F287" s="8" t="s">
        <v>917</v>
      </c>
      <c r="G287" s="11">
        <v>0.9</v>
      </c>
      <c r="H287" s="8" t="s">
        <v>4920</v>
      </c>
      <c r="I287" s="11">
        <v>38.1377</v>
      </c>
      <c r="J287" s="11">
        <v>60.2162</v>
      </c>
      <c r="K287" s="13">
        <v>1.5035</v>
      </c>
      <c r="L287" s="8" t="s">
        <v>5217</v>
      </c>
      <c r="M287" s="11">
        <v>1.2365</v>
      </c>
      <c r="N287" s="12">
        <v>6848135.0</v>
      </c>
      <c r="O287" s="13">
        <v>6.57</v>
      </c>
      <c r="P287" s="13">
        <v>6.43</v>
      </c>
      <c r="Q287" s="13">
        <v>6.5</v>
      </c>
      <c r="R287" s="13">
        <v>0.1407</v>
      </c>
      <c r="S287" s="13">
        <v>0.3142</v>
      </c>
      <c r="T287" s="8">
        <v>4958795.0</v>
      </c>
      <c r="U287" s="12">
        <v>5.032011668E9</v>
      </c>
      <c r="V287" s="11">
        <v>65.5601</v>
      </c>
      <c r="W287" s="13">
        <v>73.6172</v>
      </c>
      <c r="X287" s="13">
        <v>6.1782</v>
      </c>
      <c r="Y287" s="13">
        <v>5.8461</v>
      </c>
      <c r="Z287" s="13">
        <v>6.4971</v>
      </c>
      <c r="AA287" s="13">
        <v>6.3967</v>
      </c>
      <c r="AB287" s="13">
        <v>6.3104</v>
      </c>
      <c r="AC287" s="13">
        <v>6.2044</v>
      </c>
      <c r="AD287" s="13">
        <v>6.0833</v>
      </c>
      <c r="AE287" s="13">
        <v>6.68</v>
      </c>
      <c r="AF287" s="13">
        <v>1.9461</v>
      </c>
      <c r="AG287" s="14">
        <f>IFERROR(__xludf.DUMMYFUNCTION("IFERROR(GOOGLEFINANCE(B287,""price""),"""")"),6.39)</f>
        <v>6.39</v>
      </c>
      <c r="AH287" s="14"/>
      <c r="AI287" s="14"/>
      <c r="AJ287" s="14"/>
      <c r="AK287" s="14"/>
      <c r="AL287" s="14"/>
      <c r="AM287" s="14"/>
      <c r="AN287" s="14"/>
    </row>
    <row r="288">
      <c r="A288" s="15">
        <v>46052.891229777895</v>
      </c>
      <c r="B288" s="16" t="s">
        <v>4824</v>
      </c>
      <c r="C288" s="16" t="s">
        <v>4825</v>
      </c>
      <c r="D288" s="17">
        <v>46054.0</v>
      </c>
      <c r="E288" s="18">
        <v>4.89</v>
      </c>
      <c r="F288" s="16" t="s">
        <v>117</v>
      </c>
      <c r="G288" s="19">
        <v>0.9</v>
      </c>
      <c r="H288" s="16" t="s">
        <v>4978</v>
      </c>
      <c r="I288" s="19">
        <v>42.1794</v>
      </c>
      <c r="J288" s="19">
        <v>81.0837</v>
      </c>
      <c r="K288" s="21">
        <v>2.7925</v>
      </c>
      <c r="L288" s="16" t="s">
        <v>4827</v>
      </c>
      <c r="M288" s="19">
        <v>9.396</v>
      </c>
      <c r="N288" s="20">
        <v>3568033.0</v>
      </c>
      <c r="O288" s="21">
        <v>5.0</v>
      </c>
      <c r="P288" s="21">
        <v>3.9709</v>
      </c>
      <c r="Q288" s="21">
        <v>4.37</v>
      </c>
      <c r="R288" s="21">
        <v>0.3977</v>
      </c>
      <c r="S288" s="21">
        <v>0.8882</v>
      </c>
      <c r="T288" s="16">
        <v>1599464.0</v>
      </c>
      <c r="U288" s="20">
        <v>1.93300939E8</v>
      </c>
      <c r="V288" s="19">
        <v>89.3233</v>
      </c>
      <c r="W288" s="21">
        <v>87.0717</v>
      </c>
      <c r="X288" s="21">
        <v>2.8122</v>
      </c>
      <c r="Y288" s="21">
        <v>3.3715</v>
      </c>
      <c r="Z288" s="21">
        <v>3.8782</v>
      </c>
      <c r="AA288" s="21">
        <v>3.3546</v>
      </c>
      <c r="AB288" s="21">
        <v>3.1646</v>
      </c>
      <c r="AC288" s="21">
        <v>3.0379</v>
      </c>
      <c r="AD288" s="21">
        <v>2.9231</v>
      </c>
      <c r="AE288" s="21">
        <v>9.08</v>
      </c>
      <c r="AF288" s="21">
        <v>46.1454</v>
      </c>
      <c r="AG288" s="22" t="str">
        <f>IFERROR(__xludf.DUMMYFUNCTION("IFERROR(GOOGLEFINANCE(B288,""price""),"""")"),"")</f>
        <v/>
      </c>
      <c r="AH288" s="22"/>
      <c r="AI288" s="22"/>
      <c r="AJ288" s="22"/>
      <c r="AK288" s="22"/>
      <c r="AL288" s="22"/>
      <c r="AM288" s="22"/>
      <c r="AN288" s="22"/>
    </row>
    <row r="289">
      <c r="A289" s="7">
        <v>46052.891229777895</v>
      </c>
      <c r="B289" s="8" t="s">
        <v>5218</v>
      </c>
      <c r="C289" s="8" t="s">
        <v>5219</v>
      </c>
      <c r="D289" s="9">
        <v>46054.0</v>
      </c>
      <c r="E289" s="10">
        <v>36.15</v>
      </c>
      <c r="F289" s="8" t="s">
        <v>107</v>
      </c>
      <c r="G289" s="11">
        <v>0.9</v>
      </c>
      <c r="H289" s="8" t="s">
        <v>5213</v>
      </c>
      <c r="I289" s="11">
        <v>40.7142</v>
      </c>
      <c r="J289" s="11">
        <v>63.7106</v>
      </c>
      <c r="K289" s="13">
        <v>2.6781</v>
      </c>
      <c r="L289" s="8" t="s">
        <v>5220</v>
      </c>
      <c r="M289" s="11">
        <v>0.3888</v>
      </c>
      <c r="N289" s="12">
        <v>2619643.0</v>
      </c>
      <c r="O289" s="13">
        <v>36.37</v>
      </c>
      <c r="P289" s="13">
        <v>35.63</v>
      </c>
      <c r="Q289" s="13">
        <v>35.63</v>
      </c>
      <c r="R289" s="13">
        <v>0.9833</v>
      </c>
      <c r="S289" s="13">
        <v>2.1783</v>
      </c>
      <c r="T289" s="8">
        <v>1123378.0</v>
      </c>
      <c r="U289" s="12">
        <v>3.310024763E9</v>
      </c>
      <c r="V289" s="11">
        <v>64.3058</v>
      </c>
      <c r="W289" s="13">
        <v>72.4561</v>
      </c>
      <c r="X289" s="13">
        <v>32.3354</v>
      </c>
      <c r="Y289" s="13">
        <v>34.4479</v>
      </c>
      <c r="Z289" s="13">
        <v>36.253</v>
      </c>
      <c r="AA289" s="13">
        <v>35.0943</v>
      </c>
      <c r="AB289" s="13">
        <v>34.1474</v>
      </c>
      <c r="AC289" s="13">
        <v>33.3869</v>
      </c>
      <c r="AD289" s="13">
        <v>33.1392</v>
      </c>
      <c r="AE289" s="13">
        <v>44.78</v>
      </c>
      <c r="AF289" s="13">
        <v>19.272</v>
      </c>
      <c r="AG289" s="14">
        <f>IFERROR(__xludf.DUMMYFUNCTION("IFERROR(GOOGLEFINANCE(B289,""price""),"""")"),38.21)</f>
        <v>38.21</v>
      </c>
      <c r="AH289" s="14"/>
      <c r="AI289" s="14"/>
      <c r="AJ289" s="14"/>
      <c r="AK289" s="14"/>
      <c r="AL289" s="14"/>
      <c r="AM289" s="14"/>
      <c r="AN289" s="14"/>
    </row>
    <row r="290">
      <c r="A290" s="15">
        <v>46052.891229777895</v>
      </c>
      <c r="B290" s="16" t="s">
        <v>5221</v>
      </c>
      <c r="C290" s="16" t="s">
        <v>5222</v>
      </c>
      <c r="D290" s="17">
        <v>46054.0</v>
      </c>
      <c r="E290" s="18">
        <v>160.54</v>
      </c>
      <c r="F290" s="16" t="s">
        <v>162</v>
      </c>
      <c r="G290" s="19">
        <v>0.91</v>
      </c>
      <c r="H290" s="16" t="s">
        <v>4868</v>
      </c>
      <c r="I290" s="19">
        <v>41.5755</v>
      </c>
      <c r="J290" s="19">
        <v>58.6914</v>
      </c>
      <c r="K290" s="21">
        <v>1.6711</v>
      </c>
      <c r="L290" s="16" t="s">
        <v>5223</v>
      </c>
      <c r="M290" s="19">
        <v>-0.5944</v>
      </c>
      <c r="N290" s="20">
        <v>2558980.0</v>
      </c>
      <c r="O290" s="21">
        <v>161.3</v>
      </c>
      <c r="P290" s="21">
        <v>159.031</v>
      </c>
      <c r="Q290" s="21">
        <v>159.81</v>
      </c>
      <c r="R290" s="21">
        <v>2.8795</v>
      </c>
      <c r="S290" s="21">
        <v>6.3584</v>
      </c>
      <c r="T290" s="16">
        <v>1591918.0</v>
      </c>
      <c r="U290" s="20">
        <v>2.1515720914E10</v>
      </c>
      <c r="V290" s="19">
        <v>50.8625</v>
      </c>
      <c r="W290" s="21">
        <v>48.2188</v>
      </c>
      <c r="X290" s="21">
        <v>152.879</v>
      </c>
      <c r="Y290" s="21">
        <v>133.0998</v>
      </c>
      <c r="Z290" s="21">
        <v>160.2291</v>
      </c>
      <c r="AA290" s="21">
        <v>158.4323</v>
      </c>
      <c r="AB290" s="21">
        <v>155.6343</v>
      </c>
      <c r="AC290" s="21">
        <v>150.8464</v>
      </c>
      <c r="AD290" s="21">
        <v>144.3762</v>
      </c>
      <c r="AE290" s="21">
        <v>164.48</v>
      </c>
      <c r="AF290" s="21">
        <v>2.3954</v>
      </c>
      <c r="AG290" s="22">
        <f>IFERROR(__xludf.DUMMYFUNCTION("IFERROR(GOOGLEFINANCE(B290,""price""),"""")"),143.06)</f>
        <v>143.06</v>
      </c>
      <c r="AH290" s="22"/>
      <c r="AI290" s="22"/>
      <c r="AJ290" s="22"/>
      <c r="AK290" s="22"/>
      <c r="AL290" s="22"/>
      <c r="AM290" s="22"/>
      <c r="AN290" s="22"/>
    </row>
    <row r="291">
      <c r="A291" s="7">
        <v>46052.891229777895</v>
      </c>
      <c r="B291" s="8" t="s">
        <v>3542</v>
      </c>
      <c r="C291" s="8" t="s">
        <v>3543</v>
      </c>
      <c r="D291" s="9">
        <v>46054.0</v>
      </c>
      <c r="E291" s="10">
        <v>146.96</v>
      </c>
      <c r="F291" s="8" t="s">
        <v>308</v>
      </c>
      <c r="G291" s="11">
        <v>0.91</v>
      </c>
      <c r="H291" s="8" t="s">
        <v>4868</v>
      </c>
      <c r="I291" s="11">
        <v>25.8712</v>
      </c>
      <c r="J291" s="11">
        <v>55.0816</v>
      </c>
      <c r="K291" s="13">
        <v>1.6837</v>
      </c>
      <c r="L291" s="8" t="s">
        <v>3545</v>
      </c>
      <c r="M291" s="11">
        <v>-2.4947</v>
      </c>
      <c r="N291" s="12">
        <v>4716954.0</v>
      </c>
      <c r="O291" s="13">
        <v>151.195</v>
      </c>
      <c r="P291" s="13">
        <v>146.01</v>
      </c>
      <c r="Q291" s="13">
        <v>148.78</v>
      </c>
      <c r="R291" s="13">
        <v>3.3551</v>
      </c>
      <c r="S291" s="13">
        <v>7.3554</v>
      </c>
      <c r="T291" s="8">
        <v>2971877.0</v>
      </c>
      <c r="U291" s="12">
        <v>8.2562126875E10</v>
      </c>
      <c r="V291" s="11">
        <v>64.0837</v>
      </c>
      <c r="W291" s="13">
        <v>67.4356</v>
      </c>
      <c r="X291" s="13">
        <v>138.581</v>
      </c>
      <c r="Y291" s="13">
        <v>132.1466</v>
      </c>
      <c r="Z291" s="13">
        <v>148.2169</v>
      </c>
      <c r="AA291" s="13">
        <v>145.5688</v>
      </c>
      <c r="AB291" s="13">
        <v>143.0477</v>
      </c>
      <c r="AC291" s="13">
        <v>140.3425</v>
      </c>
      <c r="AD291" s="13">
        <v>137.7147</v>
      </c>
      <c r="AE291" s="13">
        <v>152.5</v>
      </c>
      <c r="AF291" s="13">
        <v>3.6328</v>
      </c>
      <c r="AG291" s="14">
        <f>IFERROR(__xludf.DUMMYFUNCTION("IFERROR(GOOGLEFINANCE(B291,""price""),"""")"),143.77)</f>
        <v>143.77</v>
      </c>
      <c r="AH291" s="14"/>
      <c r="AI291" s="14"/>
      <c r="AJ291" s="14"/>
      <c r="AK291" s="14"/>
      <c r="AL291" s="14"/>
      <c r="AM291" s="14"/>
      <c r="AN291" s="14"/>
    </row>
    <row r="292">
      <c r="A292" s="15">
        <v>46052.891229777895</v>
      </c>
      <c r="B292" s="16" t="s">
        <v>5224</v>
      </c>
      <c r="C292" s="16" t="s">
        <v>5225</v>
      </c>
      <c r="D292" s="17">
        <v>46054.0</v>
      </c>
      <c r="E292" s="18">
        <v>48.0</v>
      </c>
      <c r="F292" s="16" t="s">
        <v>107</v>
      </c>
      <c r="G292" s="19">
        <v>0.91</v>
      </c>
      <c r="H292" s="16" t="s">
        <v>4844</v>
      </c>
      <c r="I292" s="19">
        <v>40.7306</v>
      </c>
      <c r="J292" s="19">
        <v>60.2132</v>
      </c>
      <c r="K292" s="21">
        <v>1.7817</v>
      </c>
      <c r="L292" s="16" t="s">
        <v>5226</v>
      </c>
      <c r="M292" s="19">
        <v>0.2925</v>
      </c>
      <c r="N292" s="20">
        <v>1672481.0</v>
      </c>
      <c r="O292" s="21">
        <v>48.04</v>
      </c>
      <c r="P292" s="21">
        <v>47.0</v>
      </c>
      <c r="Q292" s="21">
        <v>47.58</v>
      </c>
      <c r="R292" s="21">
        <v>1.0099</v>
      </c>
      <c r="S292" s="21">
        <v>2.2162</v>
      </c>
      <c r="T292" s="21">
        <v>985271.6</v>
      </c>
      <c r="U292" s="20">
        <v>4.734384948E9</v>
      </c>
      <c r="V292" s="19">
        <v>44.017</v>
      </c>
      <c r="W292" s="21">
        <v>54.4643</v>
      </c>
      <c r="X292" s="21">
        <v>44.2994</v>
      </c>
      <c r="Y292" s="21">
        <v>45.0247</v>
      </c>
      <c r="Z292" s="21">
        <v>48.0477</v>
      </c>
      <c r="AA292" s="21">
        <v>47.1833</v>
      </c>
      <c r="AB292" s="21">
        <v>46.1697</v>
      </c>
      <c r="AC292" s="21">
        <v>45.146</v>
      </c>
      <c r="AD292" s="21">
        <v>44.5339</v>
      </c>
      <c r="AE292" s="21">
        <v>50.09</v>
      </c>
      <c r="AF292" s="21">
        <v>4.1725</v>
      </c>
      <c r="AG292" s="22">
        <f>IFERROR(__xludf.DUMMYFUNCTION("IFERROR(GOOGLEFINANCE(B292,""price""),"""")"),56.37)</f>
        <v>56.37</v>
      </c>
      <c r="AH292" s="22"/>
      <c r="AI292" s="22"/>
      <c r="AJ292" s="22"/>
      <c r="AK292" s="22"/>
      <c r="AL292" s="22"/>
      <c r="AM292" s="22"/>
      <c r="AN292" s="22"/>
    </row>
    <row r="293">
      <c r="A293" s="7">
        <v>46052.891229777895</v>
      </c>
      <c r="B293" s="8" t="s">
        <v>4976</v>
      </c>
      <c r="C293" s="8" t="s">
        <v>4977</v>
      </c>
      <c r="D293" s="9">
        <v>46054.0</v>
      </c>
      <c r="E293" s="10">
        <v>64.22</v>
      </c>
      <c r="F293" s="8" t="s">
        <v>107</v>
      </c>
      <c r="G293" s="11">
        <v>0.91</v>
      </c>
      <c r="H293" s="8" t="s">
        <v>4841</v>
      </c>
      <c r="I293" s="11">
        <v>21.0035</v>
      </c>
      <c r="J293" s="11">
        <v>61.3044</v>
      </c>
      <c r="K293" s="13">
        <v>1.3263</v>
      </c>
      <c r="L293" s="8" t="s">
        <v>4979</v>
      </c>
      <c r="M293" s="11">
        <v>-1.8343</v>
      </c>
      <c r="N293" s="12">
        <v>1323709.0</v>
      </c>
      <c r="O293" s="13">
        <v>65.81</v>
      </c>
      <c r="P293" s="13">
        <v>63.78</v>
      </c>
      <c r="Q293" s="13">
        <v>65.0</v>
      </c>
      <c r="R293" s="13">
        <v>2.0222</v>
      </c>
      <c r="S293" s="13">
        <v>4.421</v>
      </c>
      <c r="T293" s="8">
        <v>1076016.0</v>
      </c>
      <c r="U293" s="12">
        <v>3.725218988E9</v>
      </c>
      <c r="V293" s="11">
        <v>79.3138</v>
      </c>
      <c r="W293" s="13">
        <v>77.3928</v>
      </c>
      <c r="X293" s="13">
        <v>58.6602</v>
      </c>
      <c r="Y293" s="13">
        <v>60.3582</v>
      </c>
      <c r="Z293" s="13">
        <v>63.5809</v>
      </c>
      <c r="AA293" s="13">
        <v>62.1563</v>
      </c>
      <c r="AB293" s="13">
        <v>60.9686</v>
      </c>
      <c r="AC293" s="13">
        <v>59.8763</v>
      </c>
      <c r="AD293" s="13">
        <v>59.3581</v>
      </c>
      <c r="AE293" s="13">
        <v>70.6699</v>
      </c>
      <c r="AF293" s="13">
        <v>9.1268</v>
      </c>
      <c r="AG293" s="14">
        <f>IFERROR(__xludf.DUMMYFUNCTION("IFERROR(GOOGLEFINANCE(B293,""price""),"""")"),60.74)</f>
        <v>60.74</v>
      </c>
      <c r="AH293" s="14"/>
      <c r="AI293" s="14"/>
      <c r="AJ293" s="14"/>
      <c r="AK293" s="14"/>
      <c r="AL293" s="14"/>
      <c r="AM293" s="14"/>
      <c r="AN293" s="14"/>
    </row>
    <row r="294">
      <c r="A294" s="15">
        <v>46052.891229777895</v>
      </c>
      <c r="B294" s="16" t="s">
        <v>5227</v>
      </c>
      <c r="C294" s="16" t="s">
        <v>5228</v>
      </c>
      <c r="D294" s="17">
        <v>46054.0</v>
      </c>
      <c r="E294" s="18">
        <v>202.72</v>
      </c>
      <c r="F294" s="16" t="s">
        <v>162</v>
      </c>
      <c r="G294" s="19">
        <v>0.91</v>
      </c>
      <c r="H294" s="16" t="s">
        <v>4864</v>
      </c>
      <c r="I294" s="19">
        <v>26.867</v>
      </c>
      <c r="J294" s="19">
        <v>52.0722</v>
      </c>
      <c r="K294" s="21">
        <v>1.4803</v>
      </c>
      <c r="L294" s="16" t="s">
        <v>5229</v>
      </c>
      <c r="M294" s="19">
        <v>-1.2134</v>
      </c>
      <c r="N294" s="20">
        <v>1721740.0</v>
      </c>
      <c r="O294" s="21">
        <v>203.71</v>
      </c>
      <c r="P294" s="21">
        <v>199.78</v>
      </c>
      <c r="Q294" s="21">
        <v>203.17</v>
      </c>
      <c r="R294" s="21">
        <v>4.6631</v>
      </c>
      <c r="S294" s="21">
        <v>10.2421</v>
      </c>
      <c r="T294" s="16">
        <v>1205454.0</v>
      </c>
      <c r="U294" s="20">
        <v>1.930266366E10</v>
      </c>
      <c r="V294" s="19">
        <v>45.1751</v>
      </c>
      <c r="W294" s="21">
        <v>45.3499</v>
      </c>
      <c r="X294" s="21">
        <v>194.0565</v>
      </c>
      <c r="Y294" s="21">
        <v>169.4945</v>
      </c>
      <c r="Z294" s="21">
        <v>204.8227</v>
      </c>
      <c r="AA294" s="21">
        <v>203.2821</v>
      </c>
      <c r="AB294" s="21">
        <v>199.4012</v>
      </c>
      <c r="AC294" s="21">
        <v>192.2926</v>
      </c>
      <c r="AD294" s="21">
        <v>182.8446</v>
      </c>
      <c r="AE294" s="21">
        <v>212.0</v>
      </c>
      <c r="AF294" s="21">
        <v>4.3774</v>
      </c>
      <c r="AG294" s="22">
        <f>IFERROR(__xludf.DUMMYFUNCTION("IFERROR(GOOGLEFINANCE(B294,""price""),"""")"),227.04)</f>
        <v>227.04</v>
      </c>
      <c r="AH294" s="22"/>
      <c r="AI294" s="22"/>
      <c r="AJ294" s="22"/>
      <c r="AK294" s="22"/>
      <c r="AL294" s="22"/>
      <c r="AM294" s="22"/>
      <c r="AN294" s="22"/>
    </row>
    <row r="295">
      <c r="A295" s="7">
        <v>46052.891229777895</v>
      </c>
      <c r="B295" s="8" t="s">
        <v>5230</v>
      </c>
      <c r="C295" s="8" t="s">
        <v>5231</v>
      </c>
      <c r="D295" s="9">
        <v>46054.0</v>
      </c>
      <c r="E295" s="10">
        <v>138.99</v>
      </c>
      <c r="F295" s="8" t="s">
        <v>129</v>
      </c>
      <c r="G295" s="11">
        <v>0.91</v>
      </c>
      <c r="H295" s="8" t="s">
        <v>4915</v>
      </c>
      <c r="I295" s="11">
        <v>28.1748</v>
      </c>
      <c r="J295" s="11">
        <v>65.1293</v>
      </c>
      <c r="K295" s="13">
        <v>1.8786</v>
      </c>
      <c r="L295" s="8" t="s">
        <v>5232</v>
      </c>
      <c r="M295" s="11">
        <v>0.0792</v>
      </c>
      <c r="N295" s="12">
        <v>2047353.0</v>
      </c>
      <c r="O295" s="13">
        <v>138.99</v>
      </c>
      <c r="P295" s="13">
        <v>136.2601</v>
      </c>
      <c r="Q295" s="13">
        <v>137.5</v>
      </c>
      <c r="R295" s="13">
        <v>2.8361</v>
      </c>
      <c r="S295" s="13">
        <v>6.2627</v>
      </c>
      <c r="T295" s="8">
        <v>1116989.0</v>
      </c>
      <c r="U295" s="12">
        <v>1.9334969652E10</v>
      </c>
      <c r="V295" s="11">
        <v>86.7809</v>
      </c>
      <c r="W295" s="13">
        <v>91.3022</v>
      </c>
      <c r="X295" s="13">
        <v>129.8164</v>
      </c>
      <c r="Y295" s="13">
        <v>129.9996</v>
      </c>
      <c r="Z295" s="13">
        <v>137.928</v>
      </c>
      <c r="AA295" s="13">
        <v>134.2681</v>
      </c>
      <c r="AB295" s="13">
        <v>132.4692</v>
      </c>
      <c r="AC295" s="13">
        <v>131.4251</v>
      </c>
      <c r="AD295" s="13">
        <v>130.9202</v>
      </c>
      <c r="AE295" s="13">
        <v>143.48</v>
      </c>
      <c r="AF295" s="13">
        <v>3.1294</v>
      </c>
      <c r="AG295" s="14">
        <f>IFERROR(__xludf.DUMMYFUNCTION("IFERROR(GOOGLEFINANCE(B295,""price""),"""")"),107.51)</f>
        <v>107.51</v>
      </c>
      <c r="AH295" s="14"/>
      <c r="AI295" s="14"/>
      <c r="AJ295" s="14"/>
      <c r="AK295" s="14"/>
      <c r="AL295" s="14"/>
      <c r="AM295" s="14"/>
      <c r="AN295" s="14"/>
    </row>
    <row r="296">
      <c r="A296" s="15">
        <v>46052.891229777895</v>
      </c>
      <c r="B296" s="16" t="s">
        <v>5233</v>
      </c>
      <c r="C296" s="16" t="s">
        <v>5234</v>
      </c>
      <c r="D296" s="17">
        <v>46054.0</v>
      </c>
      <c r="E296" s="18">
        <v>110.27</v>
      </c>
      <c r="F296" s="16" t="s">
        <v>117</v>
      </c>
      <c r="G296" s="19">
        <v>0.91</v>
      </c>
      <c r="H296" s="16" t="s">
        <v>4868</v>
      </c>
      <c r="I296" s="19">
        <v>27.0881</v>
      </c>
      <c r="J296" s="19">
        <v>59.782</v>
      </c>
      <c r="K296" s="21">
        <v>1.6802</v>
      </c>
      <c r="L296" s="16" t="s">
        <v>5235</v>
      </c>
      <c r="M296" s="19">
        <v>1.7814</v>
      </c>
      <c r="N296" s="20">
        <v>1.9060604E7</v>
      </c>
      <c r="O296" s="21">
        <v>110.535</v>
      </c>
      <c r="P296" s="21">
        <v>107.95</v>
      </c>
      <c r="Q296" s="21">
        <v>108.59</v>
      </c>
      <c r="R296" s="21">
        <v>2.4415</v>
      </c>
      <c r="S296" s="21">
        <v>5.3906</v>
      </c>
      <c r="T296" s="16">
        <v>1.207251E7</v>
      </c>
      <c r="U296" s="20">
        <v>2.73692607517E11</v>
      </c>
      <c r="V296" s="19">
        <v>39.9529</v>
      </c>
      <c r="W296" s="21">
        <v>24.9463</v>
      </c>
      <c r="X296" s="21">
        <v>104.3706</v>
      </c>
      <c r="Y296" s="21">
        <v>94.3467</v>
      </c>
      <c r="Z296" s="21">
        <v>108.7298</v>
      </c>
      <c r="AA296" s="21">
        <v>107.9095</v>
      </c>
      <c r="AB296" s="21">
        <v>106.1187</v>
      </c>
      <c r="AC296" s="21">
        <v>102.9947</v>
      </c>
      <c r="AD296" s="21">
        <v>98.9703</v>
      </c>
      <c r="AE296" s="21">
        <v>112.9</v>
      </c>
      <c r="AF296" s="21">
        <v>2.3295</v>
      </c>
      <c r="AG296" s="22">
        <f>IFERROR(__xludf.DUMMYFUNCTION("IFERROR(GOOGLEFINANCE(B296,""price""),"""")"),121.42)</f>
        <v>121.42</v>
      </c>
      <c r="AH296" s="22"/>
      <c r="AI296" s="22"/>
      <c r="AJ296" s="22"/>
      <c r="AK296" s="22"/>
      <c r="AL296" s="22"/>
      <c r="AM296" s="22"/>
      <c r="AN296" s="22"/>
    </row>
    <row r="297">
      <c r="A297" s="7">
        <v>46052.891229777895</v>
      </c>
      <c r="B297" s="8" t="s">
        <v>5236</v>
      </c>
      <c r="C297" s="8" t="s">
        <v>5237</v>
      </c>
      <c r="D297" s="9">
        <v>46054.0</v>
      </c>
      <c r="E297" s="10">
        <v>12.92</v>
      </c>
      <c r="F297" s="8" t="s">
        <v>162</v>
      </c>
      <c r="G297" s="11">
        <v>0.91</v>
      </c>
      <c r="H297" s="8" t="s">
        <v>4848</v>
      </c>
      <c r="I297" s="11">
        <v>22.9047</v>
      </c>
      <c r="J297" s="11">
        <v>72.5019</v>
      </c>
      <c r="K297" s="13">
        <v>1.4361</v>
      </c>
      <c r="L297" s="8" t="s">
        <v>5238</v>
      </c>
      <c r="M297" s="11">
        <v>4.1935</v>
      </c>
      <c r="N297" s="12">
        <v>845411.0</v>
      </c>
      <c r="O297" s="13">
        <v>12.94</v>
      </c>
      <c r="P297" s="13">
        <v>12.35</v>
      </c>
      <c r="Q297" s="13">
        <v>12.41</v>
      </c>
      <c r="R297" s="13">
        <v>0.3848</v>
      </c>
      <c r="S297" s="13">
        <v>0.843</v>
      </c>
      <c r="T297" s="13">
        <v>610905.4</v>
      </c>
      <c r="U297" s="12">
        <v>5.24861135E8</v>
      </c>
      <c r="V297" s="11">
        <v>93.0185</v>
      </c>
      <c r="W297" s="13">
        <v>87.6102</v>
      </c>
      <c r="X297" s="13">
        <v>11.6988</v>
      </c>
      <c r="Y297" s="13">
        <v>11.7113</v>
      </c>
      <c r="Z297" s="13">
        <v>12.2392</v>
      </c>
      <c r="AA297" s="13">
        <v>11.872</v>
      </c>
      <c r="AB297" s="13">
        <v>11.7715</v>
      </c>
      <c r="AC297" s="13">
        <v>11.7504</v>
      </c>
      <c r="AD297" s="13">
        <v>11.7019</v>
      </c>
      <c r="AE297" s="13">
        <v>13.556</v>
      </c>
      <c r="AF297" s="13">
        <v>4.6916</v>
      </c>
      <c r="AG297" s="14">
        <f>IFERROR(__xludf.DUMMYFUNCTION("IFERROR(GOOGLEFINANCE(B297,""price""),"""")"),15.48)</f>
        <v>15.48</v>
      </c>
      <c r="AH297" s="14"/>
      <c r="AI297" s="14"/>
      <c r="AJ297" s="14"/>
      <c r="AK297" s="14"/>
      <c r="AL297" s="14"/>
      <c r="AM297" s="14"/>
      <c r="AN297" s="14"/>
    </row>
    <row r="298">
      <c r="A298" s="15">
        <v>46052.891229777895</v>
      </c>
      <c r="B298" s="16" t="s">
        <v>5057</v>
      </c>
      <c r="C298" s="16" t="s">
        <v>5058</v>
      </c>
      <c r="D298" s="17">
        <v>46054.0</v>
      </c>
      <c r="E298" s="18">
        <v>198.55</v>
      </c>
      <c r="F298" s="16" t="s">
        <v>102</v>
      </c>
      <c r="G298" s="19">
        <v>0.92</v>
      </c>
      <c r="H298" s="16" t="s">
        <v>4841</v>
      </c>
      <c r="I298" s="19">
        <v>48.6287</v>
      </c>
      <c r="J298" s="19">
        <v>67.5543</v>
      </c>
      <c r="K298" s="21">
        <v>1.3012</v>
      </c>
      <c r="L298" s="16" t="s">
        <v>5059</v>
      </c>
      <c r="M298" s="19">
        <v>-0.5858</v>
      </c>
      <c r="N298" s="20">
        <v>1045280.0</v>
      </c>
      <c r="O298" s="21">
        <v>200.18</v>
      </c>
      <c r="P298" s="21">
        <v>196.53</v>
      </c>
      <c r="Q298" s="21">
        <v>198.35</v>
      </c>
      <c r="R298" s="21">
        <v>3.802</v>
      </c>
      <c r="S298" s="21">
        <v>8.2722</v>
      </c>
      <c r="T298" s="21">
        <v>802316.2</v>
      </c>
      <c r="U298" s="20">
        <v>1.4861355192E10</v>
      </c>
      <c r="V298" s="19">
        <v>88.9759</v>
      </c>
      <c r="W298" s="21">
        <v>83.1359</v>
      </c>
      <c r="X298" s="21">
        <v>181.6868</v>
      </c>
      <c r="Y298" s="21">
        <v>179.3714</v>
      </c>
      <c r="Z298" s="21">
        <v>196.5072</v>
      </c>
      <c r="AA298" s="21">
        <v>191.5429</v>
      </c>
      <c r="AB298" s="21">
        <v>187.5805</v>
      </c>
      <c r="AC298" s="21">
        <v>183.1373</v>
      </c>
      <c r="AD298" s="21">
        <v>179.3669</v>
      </c>
      <c r="AE298" s="21">
        <v>221.1</v>
      </c>
      <c r="AF298" s="21">
        <v>10.199</v>
      </c>
      <c r="AG298" s="22">
        <f>IFERROR(__xludf.DUMMYFUNCTION("IFERROR(GOOGLEFINANCE(B298,""price""),"""")"),201.09)</f>
        <v>201.09</v>
      </c>
      <c r="AH298" s="22"/>
      <c r="AI298" s="22"/>
      <c r="AJ298" s="22"/>
      <c r="AK298" s="22"/>
      <c r="AL298" s="22"/>
      <c r="AM298" s="22"/>
      <c r="AN298" s="22"/>
    </row>
    <row r="299">
      <c r="A299" s="7">
        <v>46052.891229777895</v>
      </c>
      <c r="B299" s="8" t="s">
        <v>5239</v>
      </c>
      <c r="C299" s="8" t="s">
        <v>5240</v>
      </c>
      <c r="D299" s="9">
        <v>46054.0</v>
      </c>
      <c r="E299" s="10">
        <v>13.09</v>
      </c>
      <c r="F299" s="8" t="s">
        <v>117</v>
      </c>
      <c r="G299" s="11">
        <v>0.92</v>
      </c>
      <c r="H299" s="8" t="s">
        <v>4848</v>
      </c>
      <c r="I299" s="11">
        <v>41.7455</v>
      </c>
      <c r="J299" s="11">
        <v>62.28</v>
      </c>
      <c r="K299" s="13">
        <v>1.4413</v>
      </c>
      <c r="L299" s="8" t="s">
        <v>5241</v>
      </c>
      <c r="M299" s="11">
        <v>0.153</v>
      </c>
      <c r="N299" s="12">
        <v>1.0287237E7</v>
      </c>
      <c r="O299" s="13">
        <v>13.095</v>
      </c>
      <c r="P299" s="13">
        <v>12.925</v>
      </c>
      <c r="Q299" s="13">
        <v>13.045</v>
      </c>
      <c r="R299" s="13">
        <v>0.2981</v>
      </c>
      <c r="S299" s="13">
        <v>0.645</v>
      </c>
      <c r="T299" s="8">
        <v>7246729.0</v>
      </c>
      <c r="U299" s="12">
        <v>1.5076667605E10</v>
      </c>
      <c r="V299" s="11">
        <v>56.0516</v>
      </c>
      <c r="W299" s="13">
        <v>59.6561</v>
      </c>
      <c r="X299" s="13">
        <v>11.9502</v>
      </c>
      <c r="Y299" s="13">
        <v>10.8172</v>
      </c>
      <c r="Z299" s="13">
        <v>13.0534</v>
      </c>
      <c r="AA299" s="13">
        <v>12.8011</v>
      </c>
      <c r="AB299" s="13">
        <v>12.4842</v>
      </c>
      <c r="AC299" s="13">
        <v>12.0413</v>
      </c>
      <c r="AD299" s="13">
        <v>11.5239</v>
      </c>
      <c r="AE299" s="13">
        <v>13.49</v>
      </c>
      <c r="AF299" s="13">
        <v>2.9652</v>
      </c>
      <c r="AG299" s="14">
        <f>IFERROR(__xludf.DUMMYFUNCTION("IFERROR(GOOGLEFINANCE(B299,""price""),"""")"),13.47)</f>
        <v>13.47</v>
      </c>
      <c r="AH299" s="14"/>
      <c r="AI299" s="14"/>
      <c r="AJ299" s="14"/>
      <c r="AK299" s="14"/>
      <c r="AL299" s="14"/>
      <c r="AM299" s="14"/>
      <c r="AN299" s="14"/>
    </row>
    <row r="300">
      <c r="A300" s="15">
        <v>46052.891229777895</v>
      </c>
      <c r="B300" s="16" t="s">
        <v>1489</v>
      </c>
      <c r="C300" s="16" t="s">
        <v>1490</v>
      </c>
      <c r="D300" s="17">
        <v>46054.0</v>
      </c>
      <c r="E300" s="18">
        <v>78.32</v>
      </c>
      <c r="F300" s="16" t="s">
        <v>308</v>
      </c>
      <c r="G300" s="19">
        <v>0.92</v>
      </c>
      <c r="H300" s="16" t="s">
        <v>4848</v>
      </c>
      <c r="I300" s="19">
        <v>22.8666</v>
      </c>
      <c r="J300" s="19">
        <v>60.6026</v>
      </c>
      <c r="K300" s="21">
        <v>1.383</v>
      </c>
      <c r="L300" s="16" t="s">
        <v>1491</v>
      </c>
      <c r="M300" s="19">
        <v>-0.1403</v>
      </c>
      <c r="N300" s="20">
        <v>2.6458381E7</v>
      </c>
      <c r="O300" s="21">
        <v>78.795</v>
      </c>
      <c r="P300" s="21">
        <v>77.72</v>
      </c>
      <c r="Q300" s="21">
        <v>78.09</v>
      </c>
      <c r="R300" s="21">
        <v>1.4573</v>
      </c>
      <c r="S300" s="21">
        <v>3.1605</v>
      </c>
      <c r="T300" s="16">
        <v>1.995539E7</v>
      </c>
      <c r="U300" s="20">
        <v>3.09449721067E11</v>
      </c>
      <c r="V300" s="19">
        <v>88.578</v>
      </c>
      <c r="W300" s="21">
        <v>92.3553</v>
      </c>
      <c r="X300" s="21">
        <v>76.7552</v>
      </c>
      <c r="Y300" s="21">
        <v>70.066</v>
      </c>
      <c r="Z300" s="21">
        <v>77.258</v>
      </c>
      <c r="AA300" s="21">
        <v>76.395</v>
      </c>
      <c r="AB300" s="21">
        <v>76.1757</v>
      </c>
      <c r="AC300" s="21">
        <v>75.5649</v>
      </c>
      <c r="AD300" s="21">
        <v>74.2424</v>
      </c>
      <c r="AE300" s="21">
        <v>80.815</v>
      </c>
      <c r="AF300" s="21">
        <v>3.0873</v>
      </c>
      <c r="AG300" s="22">
        <f>IFERROR(__xludf.DUMMYFUNCTION("IFERROR(GOOGLEFINANCE(B300,""price""),"""")"),82.22)</f>
        <v>82.22</v>
      </c>
      <c r="AH300" s="22"/>
      <c r="AI300" s="22"/>
      <c r="AJ300" s="22"/>
      <c r="AK300" s="22"/>
      <c r="AL300" s="22"/>
      <c r="AM300" s="22"/>
      <c r="AN300" s="22"/>
    </row>
    <row r="301">
      <c r="A301" s="7">
        <v>46052.891229777895</v>
      </c>
      <c r="B301" s="8" t="s">
        <v>5242</v>
      </c>
      <c r="C301" s="8" t="s">
        <v>5243</v>
      </c>
      <c r="D301" s="9">
        <v>46054.0</v>
      </c>
      <c r="E301" s="10">
        <v>89.31</v>
      </c>
      <c r="F301" s="8" t="s">
        <v>112</v>
      </c>
      <c r="G301" s="11">
        <v>0.92</v>
      </c>
      <c r="H301" s="8" t="s">
        <v>4920</v>
      </c>
      <c r="I301" s="11">
        <v>28.3558</v>
      </c>
      <c r="J301" s="11">
        <v>62.0507</v>
      </c>
      <c r="K301" s="13">
        <v>1.5157</v>
      </c>
      <c r="L301" s="8" t="s">
        <v>5244</v>
      </c>
      <c r="M301" s="11">
        <v>-1.2713</v>
      </c>
      <c r="N301" s="12">
        <v>2336971.0</v>
      </c>
      <c r="O301" s="13">
        <v>90.75</v>
      </c>
      <c r="P301" s="13">
        <v>87.9</v>
      </c>
      <c r="Q301" s="13">
        <v>90.27</v>
      </c>
      <c r="R301" s="13">
        <v>1.7687</v>
      </c>
      <c r="S301" s="13">
        <v>3.8591</v>
      </c>
      <c r="T301" s="8">
        <v>1646218.0</v>
      </c>
      <c r="U301" s="12">
        <v>1.2533499208E10</v>
      </c>
      <c r="V301" s="11">
        <v>87.2193</v>
      </c>
      <c r="W301" s="13">
        <v>91.207</v>
      </c>
      <c r="X301" s="13">
        <v>83.6901</v>
      </c>
      <c r="Y301" s="13">
        <v>76.5626</v>
      </c>
      <c r="Z301" s="13">
        <v>89.0661</v>
      </c>
      <c r="AA301" s="13">
        <v>87.2405</v>
      </c>
      <c r="AB301" s="13">
        <v>85.7458</v>
      </c>
      <c r="AC301" s="13">
        <v>83.9065</v>
      </c>
      <c r="AD301" s="13">
        <v>81.7073</v>
      </c>
      <c r="AE301" s="13">
        <v>90.8025</v>
      </c>
      <c r="AF301" s="13">
        <v>1.6437</v>
      </c>
      <c r="AG301" s="14">
        <f>IFERROR(__xludf.DUMMYFUNCTION("IFERROR(GOOGLEFINANCE(B301,""price""),"""")"),91.73)</f>
        <v>91.73</v>
      </c>
      <c r="AH301" s="14"/>
      <c r="AI301" s="14"/>
      <c r="AJ301" s="14"/>
      <c r="AK301" s="14"/>
      <c r="AL301" s="14"/>
      <c r="AM301" s="14"/>
      <c r="AN301" s="14"/>
    </row>
    <row r="302">
      <c r="A302" s="15">
        <v>46052.891229777895</v>
      </c>
      <c r="B302" s="16" t="s">
        <v>4881</v>
      </c>
      <c r="C302" s="16" t="s">
        <v>4882</v>
      </c>
      <c r="D302" s="17">
        <v>46054.0</v>
      </c>
      <c r="E302" s="18">
        <v>647.36</v>
      </c>
      <c r="F302" s="16" t="s">
        <v>137</v>
      </c>
      <c r="G302" s="19">
        <v>0.92</v>
      </c>
      <c r="H302" s="16" t="s">
        <v>4841</v>
      </c>
      <c r="I302" s="19">
        <v>39.1456</v>
      </c>
      <c r="J302" s="19">
        <v>52.9471</v>
      </c>
      <c r="K302" s="21">
        <v>1.3465</v>
      </c>
      <c r="L302" s="16" t="s">
        <v>4883</v>
      </c>
      <c r="M302" s="19">
        <v>2.5765</v>
      </c>
      <c r="N302" s="20">
        <v>732594.0</v>
      </c>
      <c r="O302" s="21">
        <v>648.44</v>
      </c>
      <c r="P302" s="21">
        <v>624.9501</v>
      </c>
      <c r="Q302" s="21">
        <v>628.11</v>
      </c>
      <c r="R302" s="21">
        <v>16.0608</v>
      </c>
      <c r="S302" s="21">
        <v>34.8942</v>
      </c>
      <c r="T302" s="21">
        <v>577032.1</v>
      </c>
      <c r="U302" s="20">
        <v>2.8718294019E10</v>
      </c>
      <c r="V302" s="19">
        <v>14.144</v>
      </c>
      <c r="W302" s="21">
        <v>14.5275</v>
      </c>
      <c r="X302" s="21">
        <v>605.0624</v>
      </c>
      <c r="Y302" s="21">
        <v>530.8251</v>
      </c>
      <c r="Z302" s="21">
        <v>652.301</v>
      </c>
      <c r="AA302" s="21">
        <v>647.4127</v>
      </c>
      <c r="AB302" s="21">
        <v>632.6231</v>
      </c>
      <c r="AC302" s="21">
        <v>611.3008</v>
      </c>
      <c r="AD302" s="21">
        <v>585.3937</v>
      </c>
      <c r="AE302" s="21">
        <v>695.34</v>
      </c>
      <c r="AF302" s="21">
        <v>6.9002</v>
      </c>
      <c r="AG302" s="22">
        <f>IFERROR(__xludf.DUMMYFUNCTION("IFERROR(GOOGLEFINANCE(B302,""price""),"""")"),520.38)</f>
        <v>520.38</v>
      </c>
      <c r="AH302" s="22"/>
      <c r="AI302" s="22"/>
      <c r="AJ302" s="22"/>
      <c r="AK302" s="22"/>
      <c r="AL302" s="22"/>
      <c r="AM302" s="22"/>
      <c r="AN302" s="22"/>
    </row>
    <row r="303">
      <c r="A303" s="7">
        <v>46052.891229777895</v>
      </c>
      <c r="B303" s="8" t="s">
        <v>5160</v>
      </c>
      <c r="C303" s="8" t="s">
        <v>5161</v>
      </c>
      <c r="D303" s="9">
        <v>46054.0</v>
      </c>
      <c r="E303" s="10">
        <v>10.13</v>
      </c>
      <c r="F303" s="8" t="s">
        <v>102</v>
      </c>
      <c r="G303" s="11">
        <v>0.92</v>
      </c>
      <c r="H303" s="8" t="s">
        <v>5245</v>
      </c>
      <c r="I303" s="11">
        <v>22.0374</v>
      </c>
      <c r="J303" s="11">
        <v>54.9178</v>
      </c>
      <c r="K303" s="13">
        <v>5.0777</v>
      </c>
      <c r="L303" s="8" t="s">
        <v>5162</v>
      </c>
      <c r="M303" s="11">
        <v>1.9115</v>
      </c>
      <c r="N303" s="12">
        <v>2570105.0</v>
      </c>
      <c r="O303" s="13">
        <v>10.36</v>
      </c>
      <c r="P303" s="13">
        <v>9.71</v>
      </c>
      <c r="Q303" s="13">
        <v>9.78</v>
      </c>
      <c r="R303" s="13">
        <v>0.4404</v>
      </c>
      <c r="S303" s="13">
        <v>0.9614</v>
      </c>
      <c r="T303" s="13">
        <v>719020.8</v>
      </c>
      <c r="U303" s="12">
        <v>4.10433504E8</v>
      </c>
      <c r="V303" s="11">
        <v>29.9675</v>
      </c>
      <c r="W303" s="13">
        <v>34.5127</v>
      </c>
      <c r="X303" s="13">
        <v>9.3802</v>
      </c>
      <c r="Y303" s="13">
        <v>10.4987</v>
      </c>
      <c r="Z303" s="13">
        <v>10.0534</v>
      </c>
      <c r="AA303" s="13">
        <v>9.9312</v>
      </c>
      <c r="AB303" s="13">
        <v>9.7383</v>
      </c>
      <c r="AC303" s="13">
        <v>9.5632</v>
      </c>
      <c r="AD303" s="13">
        <v>9.5465</v>
      </c>
      <c r="AE303" s="13">
        <v>15.66</v>
      </c>
      <c r="AF303" s="13">
        <v>35.3129</v>
      </c>
      <c r="AG303" s="14">
        <f>IFERROR(__xludf.DUMMYFUNCTION("IFERROR(GOOGLEFINANCE(B303,""price""),"""")"),9.2)</f>
        <v>9.2</v>
      </c>
      <c r="AH303" s="14"/>
      <c r="AI303" s="14"/>
      <c r="AJ303" s="14"/>
      <c r="AK303" s="14"/>
      <c r="AL303" s="14"/>
      <c r="AM303" s="14"/>
      <c r="AN303" s="14"/>
    </row>
    <row r="304">
      <c r="A304" s="15">
        <v>46052.891229777895</v>
      </c>
      <c r="B304" s="16" t="s">
        <v>5246</v>
      </c>
      <c r="C304" s="16" t="s">
        <v>5247</v>
      </c>
      <c r="D304" s="17">
        <v>46054.0</v>
      </c>
      <c r="E304" s="18">
        <v>21.08</v>
      </c>
      <c r="F304" s="16" t="s">
        <v>102</v>
      </c>
      <c r="G304" s="19">
        <v>0.92</v>
      </c>
      <c r="H304" s="16" t="s">
        <v>4904</v>
      </c>
      <c r="I304" s="19">
        <v>38.9022</v>
      </c>
      <c r="J304" s="19">
        <v>64.4006</v>
      </c>
      <c r="K304" s="21">
        <v>4.1071</v>
      </c>
      <c r="L304" s="16" t="s">
        <v>5248</v>
      </c>
      <c r="M304" s="19">
        <v>-0.1894</v>
      </c>
      <c r="N304" s="20">
        <v>1556605.0</v>
      </c>
      <c r="O304" s="21">
        <v>21.43</v>
      </c>
      <c r="P304" s="21">
        <v>20.52</v>
      </c>
      <c r="Q304" s="21">
        <v>20.75</v>
      </c>
      <c r="R304" s="21">
        <v>0.7613</v>
      </c>
      <c r="S304" s="21">
        <v>1.6483</v>
      </c>
      <c r="T304" s="21">
        <v>499710.5</v>
      </c>
      <c r="U304" s="20">
        <v>6.05591785E8</v>
      </c>
      <c r="V304" s="19">
        <v>77.5216</v>
      </c>
      <c r="W304" s="21">
        <v>74.9658</v>
      </c>
      <c r="X304" s="21">
        <v>18.1426</v>
      </c>
      <c r="Y304" s="21">
        <v>18.4179</v>
      </c>
      <c r="Z304" s="21">
        <v>20.8211</v>
      </c>
      <c r="AA304" s="21">
        <v>20.0418</v>
      </c>
      <c r="AB304" s="21">
        <v>19.313</v>
      </c>
      <c r="AC304" s="21">
        <v>18.4505</v>
      </c>
      <c r="AD304" s="21">
        <v>17.6856</v>
      </c>
      <c r="AE304" s="21">
        <v>35.8</v>
      </c>
      <c r="AF304" s="21">
        <v>41.1173</v>
      </c>
      <c r="AG304" s="22">
        <f>IFERROR(__xludf.DUMMYFUNCTION("IFERROR(GOOGLEFINANCE(B304,""price""),"""")"),15.67)</f>
        <v>15.67</v>
      </c>
      <c r="AH304" s="22"/>
      <c r="AI304" s="22"/>
      <c r="AJ304" s="22"/>
      <c r="AK304" s="22"/>
      <c r="AL304" s="22"/>
      <c r="AM304" s="22"/>
      <c r="AN304" s="22"/>
    </row>
    <row r="305">
      <c r="A305" s="7">
        <v>46052.891229777895</v>
      </c>
      <c r="B305" s="8" t="s">
        <v>5157</v>
      </c>
      <c r="C305" s="8" t="s">
        <v>5158</v>
      </c>
      <c r="D305" s="9">
        <v>46054.0</v>
      </c>
      <c r="E305" s="10">
        <v>37.45</v>
      </c>
      <c r="F305" s="8" t="s">
        <v>93</v>
      </c>
      <c r="G305" s="11">
        <v>0.92</v>
      </c>
      <c r="H305" s="8" t="s">
        <v>4978</v>
      </c>
      <c r="I305" s="11">
        <v>22.0478</v>
      </c>
      <c r="J305" s="11">
        <v>69.0339</v>
      </c>
      <c r="K305" s="13">
        <v>2.7666</v>
      </c>
      <c r="L305" s="8" t="s">
        <v>5159</v>
      </c>
      <c r="M305" s="11">
        <v>1.7663</v>
      </c>
      <c r="N305" s="12">
        <v>970941.0</v>
      </c>
      <c r="O305" s="13">
        <v>38.74</v>
      </c>
      <c r="P305" s="13">
        <v>37.27</v>
      </c>
      <c r="Q305" s="13">
        <v>37.5</v>
      </c>
      <c r="R305" s="13">
        <v>0.8162</v>
      </c>
      <c r="S305" s="13">
        <v>1.769</v>
      </c>
      <c r="T305" s="13">
        <v>421797.5</v>
      </c>
      <c r="U305" s="12">
        <v>2.296753662E9</v>
      </c>
      <c r="V305" s="11">
        <v>75.0547</v>
      </c>
      <c r="W305" s="13">
        <v>71.9808</v>
      </c>
      <c r="X305" s="13">
        <v>34.8872</v>
      </c>
      <c r="Y305" s="13">
        <v>33.1186</v>
      </c>
      <c r="Z305" s="13">
        <v>36.4951</v>
      </c>
      <c r="AA305" s="13">
        <v>35.7904</v>
      </c>
      <c r="AB305" s="13">
        <v>35.3713</v>
      </c>
      <c r="AC305" s="13">
        <v>34.895</v>
      </c>
      <c r="AD305" s="13">
        <v>34.3166</v>
      </c>
      <c r="AE305" s="13">
        <v>38.74</v>
      </c>
      <c r="AF305" s="13">
        <v>3.3299</v>
      </c>
      <c r="AG305" s="14">
        <f>IFERROR(__xludf.DUMMYFUNCTION("IFERROR(GOOGLEFINANCE(B305,""price""),"""")"),37.65)</f>
        <v>37.65</v>
      </c>
      <c r="AH305" s="14"/>
      <c r="AI305" s="14"/>
      <c r="AJ305" s="14"/>
      <c r="AK305" s="14"/>
      <c r="AL305" s="14"/>
      <c r="AM305" s="14"/>
      <c r="AN305" s="14"/>
    </row>
    <row r="306">
      <c r="A306" s="15">
        <v>46052.891229777895</v>
      </c>
      <c r="B306" s="16" t="s">
        <v>5249</v>
      </c>
      <c r="C306" s="16" t="s">
        <v>5250</v>
      </c>
      <c r="D306" s="17">
        <v>46054.0</v>
      </c>
      <c r="E306" s="18">
        <v>41.07</v>
      </c>
      <c r="F306" s="16" t="s">
        <v>117</v>
      </c>
      <c r="G306" s="19">
        <v>0.92</v>
      </c>
      <c r="H306" s="16" t="s">
        <v>4848</v>
      </c>
      <c r="I306" s="19">
        <v>31.2464</v>
      </c>
      <c r="J306" s="19">
        <v>59.3641</v>
      </c>
      <c r="K306" s="21">
        <v>1.3579</v>
      </c>
      <c r="L306" s="16" t="s">
        <v>5251</v>
      </c>
      <c r="M306" s="19">
        <v>-1.2266</v>
      </c>
      <c r="N306" s="20">
        <v>1585511.0</v>
      </c>
      <c r="O306" s="21">
        <v>41.785</v>
      </c>
      <c r="P306" s="21">
        <v>39.66</v>
      </c>
      <c r="Q306" s="21">
        <v>41.29</v>
      </c>
      <c r="R306" s="21">
        <v>2.1361</v>
      </c>
      <c r="S306" s="21">
        <v>4.6204</v>
      </c>
      <c r="T306" s="16">
        <v>1226933.0</v>
      </c>
      <c r="U306" s="20">
        <v>2.516508963E9</v>
      </c>
      <c r="V306" s="19">
        <v>60.0274</v>
      </c>
      <c r="W306" s="21">
        <v>65.4808</v>
      </c>
      <c r="X306" s="21">
        <v>34.62</v>
      </c>
      <c r="Y306" s="21">
        <v>34.326</v>
      </c>
      <c r="Z306" s="21">
        <v>41.7647</v>
      </c>
      <c r="AA306" s="21">
        <v>39.7051</v>
      </c>
      <c r="AB306" s="21">
        <v>37.849</v>
      </c>
      <c r="AC306" s="21">
        <v>35.9211</v>
      </c>
      <c r="AD306" s="21">
        <v>34.4166</v>
      </c>
      <c r="AE306" s="21">
        <v>54.74</v>
      </c>
      <c r="AF306" s="21">
        <v>24.9726</v>
      </c>
      <c r="AG306" s="22">
        <f>IFERROR(__xludf.DUMMYFUNCTION("IFERROR(GOOGLEFINANCE(B306,""price""),"""")"),47.91)</f>
        <v>47.91</v>
      </c>
      <c r="AH306" s="22"/>
      <c r="AI306" s="22"/>
      <c r="AJ306" s="22"/>
      <c r="AK306" s="22"/>
      <c r="AL306" s="22"/>
      <c r="AM306" s="22"/>
      <c r="AN306" s="22"/>
    </row>
    <row r="307">
      <c r="A307" s="7">
        <v>46052.891229777895</v>
      </c>
      <c r="B307" s="8" t="s">
        <v>5131</v>
      </c>
      <c r="C307" s="8" t="s">
        <v>5132</v>
      </c>
      <c r="D307" s="9">
        <v>46054.0</v>
      </c>
      <c r="E307" s="10">
        <v>94.44</v>
      </c>
      <c r="F307" s="8" t="s">
        <v>186</v>
      </c>
      <c r="G307" s="11">
        <v>0.92</v>
      </c>
      <c r="H307" s="8" t="s">
        <v>4841</v>
      </c>
      <c r="I307" s="11">
        <v>32.0072</v>
      </c>
      <c r="J307" s="11">
        <v>52.8471</v>
      </c>
      <c r="K307" s="13">
        <v>1.3389</v>
      </c>
      <c r="L307" s="8" t="s">
        <v>5133</v>
      </c>
      <c r="M307" s="11">
        <v>0.2867</v>
      </c>
      <c r="N307" s="12">
        <v>661491.0</v>
      </c>
      <c r="O307" s="13">
        <v>94.81</v>
      </c>
      <c r="P307" s="13">
        <v>92.13</v>
      </c>
      <c r="Q307" s="13">
        <v>93.46</v>
      </c>
      <c r="R307" s="13">
        <v>2.255</v>
      </c>
      <c r="S307" s="13">
        <v>4.928</v>
      </c>
      <c r="T307" s="13">
        <v>521653.7</v>
      </c>
      <c r="U307" s="12">
        <v>5.143344876E9</v>
      </c>
      <c r="V307" s="11">
        <v>23.0875</v>
      </c>
      <c r="W307" s="13">
        <v>41.6792</v>
      </c>
      <c r="X307" s="13">
        <v>89.3832</v>
      </c>
      <c r="Y307" s="13">
        <v>84.0336</v>
      </c>
      <c r="Z307" s="13">
        <v>95.8414</v>
      </c>
      <c r="AA307" s="13">
        <v>94.5258</v>
      </c>
      <c r="AB307" s="13">
        <v>92.7084</v>
      </c>
      <c r="AC307" s="13">
        <v>90.6538</v>
      </c>
      <c r="AD307" s="13">
        <v>88.3601</v>
      </c>
      <c r="AE307" s="13">
        <v>100.0</v>
      </c>
      <c r="AF307" s="13">
        <v>5.56</v>
      </c>
      <c r="AG307" s="14">
        <f>IFERROR(__xludf.DUMMYFUNCTION("IFERROR(GOOGLEFINANCE(B307,""price""),"""")"),65.88)</f>
        <v>65.88</v>
      </c>
      <c r="AH307" s="14"/>
      <c r="AI307" s="14"/>
      <c r="AJ307" s="14"/>
      <c r="AK307" s="14"/>
      <c r="AL307" s="14"/>
      <c r="AM307" s="14"/>
      <c r="AN307" s="14"/>
    </row>
    <row r="308">
      <c r="A308" s="15">
        <v>46052.891229777895</v>
      </c>
      <c r="B308" s="16" t="s">
        <v>2534</v>
      </c>
      <c r="C308" s="16" t="s">
        <v>2535</v>
      </c>
      <c r="D308" s="17">
        <v>46054.0</v>
      </c>
      <c r="E308" s="18">
        <v>29.59</v>
      </c>
      <c r="F308" s="16" t="s">
        <v>270</v>
      </c>
      <c r="G308" s="19">
        <v>0.92</v>
      </c>
      <c r="H308" s="16" t="s">
        <v>4848</v>
      </c>
      <c r="I308" s="19">
        <v>34.5411</v>
      </c>
      <c r="J308" s="19">
        <v>77.5925</v>
      </c>
      <c r="K308" s="21">
        <v>1.3726</v>
      </c>
      <c r="L308" s="16" t="s">
        <v>2536</v>
      </c>
      <c r="M308" s="19">
        <v>1.4398</v>
      </c>
      <c r="N308" s="20">
        <v>1796532.0</v>
      </c>
      <c r="O308" s="21">
        <v>30.15</v>
      </c>
      <c r="P308" s="21">
        <v>28.81</v>
      </c>
      <c r="Q308" s="21">
        <v>29.78</v>
      </c>
      <c r="R308" s="21">
        <v>0.787</v>
      </c>
      <c r="S308" s="21">
        <v>1.7086</v>
      </c>
      <c r="T308" s="16">
        <v>1345745.0</v>
      </c>
      <c r="U308" s="20">
        <v>5.189187785E9</v>
      </c>
      <c r="V308" s="19">
        <v>88.2421</v>
      </c>
      <c r="W308" s="21">
        <v>89.7197</v>
      </c>
      <c r="X308" s="21">
        <v>25.8024</v>
      </c>
      <c r="Y308" s="21">
        <v>24.9753</v>
      </c>
      <c r="Z308" s="21">
        <v>28.4219</v>
      </c>
      <c r="AA308" s="21">
        <v>27.3385</v>
      </c>
      <c r="AB308" s="21">
        <v>26.7558</v>
      </c>
      <c r="AC308" s="21">
        <v>26.2008</v>
      </c>
      <c r="AD308" s="21">
        <v>25.7187</v>
      </c>
      <c r="AE308" s="21">
        <v>30.15</v>
      </c>
      <c r="AF308" s="21">
        <v>1.8574</v>
      </c>
      <c r="AG308" s="22">
        <f>IFERROR(__xludf.DUMMYFUNCTION("IFERROR(GOOGLEFINANCE(B308,""price""),"""")"),35.95)</f>
        <v>35.95</v>
      </c>
      <c r="AH308" s="22"/>
      <c r="AI308" s="22"/>
      <c r="AJ308" s="22"/>
      <c r="AK308" s="22"/>
      <c r="AL308" s="22"/>
      <c r="AM308" s="22"/>
      <c r="AN308" s="22"/>
    </row>
    <row r="309">
      <c r="A309" s="7">
        <v>46052.891229777895</v>
      </c>
      <c r="B309" s="8" t="s">
        <v>5252</v>
      </c>
      <c r="C309" s="8" t="s">
        <v>5253</v>
      </c>
      <c r="D309" s="9">
        <v>46054.0</v>
      </c>
      <c r="E309" s="10">
        <v>29.53</v>
      </c>
      <c r="F309" s="8" t="s">
        <v>162</v>
      </c>
      <c r="G309" s="11">
        <v>0.93</v>
      </c>
      <c r="H309" s="8" t="s">
        <v>4848</v>
      </c>
      <c r="I309" s="11">
        <v>32.8224</v>
      </c>
      <c r="J309" s="11">
        <v>66.1442</v>
      </c>
      <c r="K309" s="13">
        <v>1.3728</v>
      </c>
      <c r="L309" s="8" t="s">
        <v>5254</v>
      </c>
      <c r="M309" s="11">
        <v>-0.7061</v>
      </c>
      <c r="N309" s="12">
        <v>672121.0</v>
      </c>
      <c r="O309" s="13">
        <v>30.31</v>
      </c>
      <c r="P309" s="13">
        <v>29.22</v>
      </c>
      <c r="Q309" s="13">
        <v>29.81</v>
      </c>
      <c r="R309" s="13">
        <v>0.9387</v>
      </c>
      <c r="S309" s="13">
        <v>2.0193</v>
      </c>
      <c r="T309" s="13">
        <v>515174.0</v>
      </c>
      <c r="U309" s="12">
        <v>1.265009434E9</v>
      </c>
      <c r="V309" s="11">
        <v>83.5084</v>
      </c>
      <c r="W309" s="13">
        <v>69.5736</v>
      </c>
      <c r="X309" s="13">
        <v>25.9726</v>
      </c>
      <c r="Y309" s="13">
        <v>27.1389</v>
      </c>
      <c r="Z309" s="13">
        <v>28.7204</v>
      </c>
      <c r="AA309" s="13">
        <v>27.8035</v>
      </c>
      <c r="AB309" s="13">
        <v>27.2623</v>
      </c>
      <c r="AC309" s="13">
        <v>27.0099</v>
      </c>
      <c r="AD309" s="13">
        <v>27.0086</v>
      </c>
      <c r="AE309" s="13">
        <v>32.79</v>
      </c>
      <c r="AF309" s="13">
        <v>9.9421</v>
      </c>
      <c r="AG309" s="14">
        <f>IFERROR(__xludf.DUMMYFUNCTION("IFERROR(GOOGLEFINANCE(B309,""price""),"""")"),34.61)</f>
        <v>34.61</v>
      </c>
      <c r="AH309" s="14"/>
      <c r="AI309" s="14"/>
      <c r="AJ309" s="14"/>
      <c r="AK309" s="14"/>
      <c r="AL309" s="14"/>
      <c r="AM309" s="14"/>
      <c r="AN309" s="14"/>
    </row>
    <row r="310">
      <c r="A310" s="15">
        <v>46052.891229777895</v>
      </c>
      <c r="B310" s="16" t="s">
        <v>5255</v>
      </c>
      <c r="C310" s="16" t="s">
        <v>5256</v>
      </c>
      <c r="D310" s="17">
        <v>46054.0</v>
      </c>
      <c r="E310" s="18">
        <v>34.39</v>
      </c>
      <c r="F310" s="16" t="s">
        <v>102</v>
      </c>
      <c r="G310" s="19">
        <v>0.93</v>
      </c>
      <c r="H310" s="16" t="s">
        <v>4841</v>
      </c>
      <c r="I310" s="19">
        <v>50.8816</v>
      </c>
      <c r="J310" s="19">
        <v>69.4589</v>
      </c>
      <c r="K310" s="21">
        <v>1.3083</v>
      </c>
      <c r="L310" s="16" t="s">
        <v>5257</v>
      </c>
      <c r="M310" s="19">
        <v>-1.2065</v>
      </c>
      <c r="N310" s="20">
        <v>1290122.0</v>
      </c>
      <c r="O310" s="21">
        <v>34.92</v>
      </c>
      <c r="P310" s="21">
        <v>34.18</v>
      </c>
      <c r="Q310" s="21">
        <v>34.51</v>
      </c>
      <c r="R310" s="21">
        <v>0.8408</v>
      </c>
      <c r="S310" s="21">
        <v>1.8023</v>
      </c>
      <c r="T310" s="21">
        <v>985630.8</v>
      </c>
      <c r="U310" s="20">
        <v>2.616842913E9</v>
      </c>
      <c r="V310" s="19">
        <v>88.5155</v>
      </c>
      <c r="W310" s="21">
        <v>89.4191</v>
      </c>
      <c r="X310" s="21">
        <v>29.9262</v>
      </c>
      <c r="Y310" s="21">
        <v>25.7439</v>
      </c>
      <c r="Z310" s="21">
        <v>34.2618</v>
      </c>
      <c r="AA310" s="21">
        <v>32.8255</v>
      </c>
      <c r="AB310" s="21">
        <v>31.5661</v>
      </c>
      <c r="AC310" s="21">
        <v>29.9668</v>
      </c>
      <c r="AD310" s="21">
        <v>28.1913</v>
      </c>
      <c r="AE310" s="21">
        <v>35.1</v>
      </c>
      <c r="AF310" s="21">
        <v>2.0228</v>
      </c>
      <c r="AG310" s="22">
        <f>IFERROR(__xludf.DUMMYFUNCTION("IFERROR(GOOGLEFINANCE(B310,""price""),"""")"),38.85)</f>
        <v>38.85</v>
      </c>
      <c r="AH310" s="22"/>
      <c r="AI310" s="22"/>
      <c r="AJ310" s="22"/>
      <c r="AK310" s="22"/>
      <c r="AL310" s="22"/>
      <c r="AM310" s="22"/>
      <c r="AN310" s="22"/>
    </row>
    <row r="311">
      <c r="A311" s="7">
        <v>46052.891229777895</v>
      </c>
      <c r="B311" s="8" t="s">
        <v>5163</v>
      </c>
      <c r="C311" s="8" t="s">
        <v>5164</v>
      </c>
      <c r="D311" s="9">
        <v>46054.0</v>
      </c>
      <c r="E311" s="10">
        <v>64.19</v>
      </c>
      <c r="F311" s="8" t="s">
        <v>137</v>
      </c>
      <c r="G311" s="11">
        <v>0.93</v>
      </c>
      <c r="H311" s="8" t="s">
        <v>4952</v>
      </c>
      <c r="I311" s="11">
        <v>37.3625</v>
      </c>
      <c r="J311" s="11">
        <v>69.9058</v>
      </c>
      <c r="K311" s="13">
        <v>2.6149</v>
      </c>
      <c r="L311" s="8" t="s">
        <v>5165</v>
      </c>
      <c r="M311" s="11">
        <v>1.422</v>
      </c>
      <c r="N311" s="12">
        <v>1047669.0</v>
      </c>
      <c r="O311" s="13">
        <v>64.73</v>
      </c>
      <c r="P311" s="13">
        <v>62.485</v>
      </c>
      <c r="Q311" s="13">
        <v>62.58</v>
      </c>
      <c r="R311" s="13">
        <v>1.6675</v>
      </c>
      <c r="S311" s="13">
        <v>3.5823</v>
      </c>
      <c r="T311" s="13">
        <v>467956.6</v>
      </c>
      <c r="U311" s="12">
        <v>4.855994866E9</v>
      </c>
      <c r="V311" s="11">
        <v>68.8548</v>
      </c>
      <c r="W311" s="13">
        <v>67.2505</v>
      </c>
      <c r="X311" s="13">
        <v>56.749</v>
      </c>
      <c r="Y311" s="13">
        <v>54.6433</v>
      </c>
      <c r="Z311" s="13">
        <v>62.98</v>
      </c>
      <c r="AA311" s="13">
        <v>60.8962</v>
      </c>
      <c r="AB311" s="13">
        <v>59.2361</v>
      </c>
      <c r="AC311" s="13">
        <v>57.5157</v>
      </c>
      <c r="AD311" s="13">
        <v>56.1206</v>
      </c>
      <c r="AE311" s="13">
        <v>66.11</v>
      </c>
      <c r="AF311" s="13">
        <v>2.9043</v>
      </c>
      <c r="AG311" s="14">
        <f>IFERROR(__xludf.DUMMYFUNCTION("IFERROR(GOOGLEFINANCE(B311,""price""),"""")"),71.15)</f>
        <v>71.15</v>
      </c>
      <c r="AH311" s="14"/>
      <c r="AI311" s="14"/>
      <c r="AJ311" s="14"/>
      <c r="AK311" s="14"/>
      <c r="AL311" s="14"/>
      <c r="AM311" s="14"/>
      <c r="AN311" s="14"/>
    </row>
    <row r="312">
      <c r="A312" s="15">
        <v>46052.891229777895</v>
      </c>
      <c r="B312" s="16" t="s">
        <v>5166</v>
      </c>
      <c r="C312" s="16" t="s">
        <v>5167</v>
      </c>
      <c r="D312" s="17">
        <v>46054.0</v>
      </c>
      <c r="E312" s="18">
        <v>63.9</v>
      </c>
      <c r="F312" s="16" t="s">
        <v>112</v>
      </c>
      <c r="G312" s="19">
        <v>0.93</v>
      </c>
      <c r="H312" s="16" t="s">
        <v>5060</v>
      </c>
      <c r="I312" s="19">
        <v>28.9487</v>
      </c>
      <c r="J312" s="19">
        <v>46.3288</v>
      </c>
      <c r="K312" s="21">
        <v>3.6936</v>
      </c>
      <c r="L312" s="16" t="s">
        <v>5168</v>
      </c>
      <c r="M312" s="19">
        <v>-1.9939</v>
      </c>
      <c r="N312" s="20">
        <v>1559532.0</v>
      </c>
      <c r="O312" s="21">
        <v>65.3</v>
      </c>
      <c r="P312" s="21">
        <v>63.44</v>
      </c>
      <c r="Q312" s="21">
        <v>64.4</v>
      </c>
      <c r="R312" s="21">
        <v>1.89</v>
      </c>
      <c r="S312" s="21">
        <v>4.0832</v>
      </c>
      <c r="T312" s="21">
        <v>550948.0</v>
      </c>
      <c r="U312" s="20">
        <v>3.118712501E9</v>
      </c>
      <c r="V312" s="19">
        <v>14.9785</v>
      </c>
      <c r="W312" s="21">
        <v>32.1966</v>
      </c>
      <c r="X312" s="21">
        <v>60.8166</v>
      </c>
      <c r="Y312" s="21">
        <v>52.4874</v>
      </c>
      <c r="Z312" s="21">
        <v>66.1305</v>
      </c>
      <c r="AA312" s="21">
        <v>65.5545</v>
      </c>
      <c r="AB312" s="21">
        <v>64.0347</v>
      </c>
      <c r="AC312" s="21">
        <v>61.9904</v>
      </c>
      <c r="AD312" s="21">
        <v>59.4316</v>
      </c>
      <c r="AE312" s="21">
        <v>69.915</v>
      </c>
      <c r="AF312" s="21">
        <v>8.6033</v>
      </c>
      <c r="AG312" s="22" t="str">
        <f>IFERROR(__xludf.DUMMYFUNCTION("IFERROR(GOOGLEFINANCE(B312,""price""),"""")"),"")</f>
        <v/>
      </c>
      <c r="AH312" s="22"/>
      <c r="AI312" s="22"/>
      <c r="AJ312" s="22"/>
      <c r="AK312" s="22"/>
      <c r="AL312" s="22"/>
      <c r="AM312" s="22"/>
      <c r="AN312" s="22"/>
    </row>
    <row r="313">
      <c r="A313" s="7">
        <v>46052.891229777895</v>
      </c>
      <c r="B313" s="8" t="s">
        <v>1506</v>
      </c>
      <c r="C313" s="8" t="s">
        <v>1507</v>
      </c>
      <c r="D313" s="9">
        <v>46054.0</v>
      </c>
      <c r="E313" s="10">
        <v>34.3</v>
      </c>
      <c r="F313" s="8" t="s">
        <v>186</v>
      </c>
      <c r="G313" s="11">
        <v>0.93</v>
      </c>
      <c r="H313" s="8" t="s">
        <v>4862</v>
      </c>
      <c r="I313" s="11">
        <v>20.4628</v>
      </c>
      <c r="J313" s="11">
        <v>50.559</v>
      </c>
      <c r="K313" s="13">
        <v>1.5855</v>
      </c>
      <c r="L313" s="8" t="s">
        <v>1508</v>
      </c>
      <c r="M313" s="11">
        <v>-0.0583</v>
      </c>
      <c r="N313" s="12">
        <v>1423937.0</v>
      </c>
      <c r="O313" s="13">
        <v>34.46</v>
      </c>
      <c r="P313" s="13">
        <v>33.77</v>
      </c>
      <c r="Q313" s="13">
        <v>33.77</v>
      </c>
      <c r="R313" s="13">
        <v>0.8745</v>
      </c>
      <c r="S313" s="13">
        <v>1.8749</v>
      </c>
      <c r="T313" s="13">
        <v>963227.3</v>
      </c>
      <c r="U313" s="12">
        <v>5.054762002E9</v>
      </c>
      <c r="V313" s="11">
        <v>19.164</v>
      </c>
      <c r="W313" s="13">
        <v>17.7188</v>
      </c>
      <c r="X313" s="13">
        <v>33.0802</v>
      </c>
      <c r="Y313" s="13">
        <v>28.2238</v>
      </c>
      <c r="Z313" s="13">
        <v>34.5181</v>
      </c>
      <c r="AA313" s="13">
        <v>34.4454</v>
      </c>
      <c r="AB313" s="13">
        <v>33.9662</v>
      </c>
      <c r="AC313" s="13">
        <v>33.1137</v>
      </c>
      <c r="AD313" s="13">
        <v>31.7928</v>
      </c>
      <c r="AE313" s="13">
        <v>36.34</v>
      </c>
      <c r="AF313" s="13">
        <v>5.6136</v>
      </c>
      <c r="AG313" s="14">
        <f>IFERROR(__xludf.DUMMYFUNCTION("IFERROR(GOOGLEFINANCE(B313,""price""),"""")"),32.91)</f>
        <v>32.91</v>
      </c>
      <c r="AH313" s="14"/>
      <c r="AI313" s="14"/>
      <c r="AJ313" s="14"/>
      <c r="AK313" s="14"/>
      <c r="AL313" s="14"/>
      <c r="AM313" s="14"/>
      <c r="AN313" s="14"/>
    </row>
    <row r="314">
      <c r="A314" s="15">
        <v>46052.891229777895</v>
      </c>
      <c r="B314" s="16" t="s">
        <v>5041</v>
      </c>
      <c r="C314" s="16" t="s">
        <v>5042</v>
      </c>
      <c r="D314" s="17">
        <v>46054.0</v>
      </c>
      <c r="E314" s="18">
        <v>28.74</v>
      </c>
      <c r="F314" s="16" t="s">
        <v>93</v>
      </c>
      <c r="G314" s="19">
        <v>0.94</v>
      </c>
      <c r="H314" s="16" t="s">
        <v>4862</v>
      </c>
      <c r="I314" s="19">
        <v>25.7696</v>
      </c>
      <c r="J314" s="19">
        <v>69.8537</v>
      </c>
      <c r="K314" s="21">
        <v>1.5995</v>
      </c>
      <c r="L314" s="16" t="s">
        <v>5043</v>
      </c>
      <c r="M314" s="19">
        <v>-0.2083</v>
      </c>
      <c r="N314" s="20">
        <v>2344045.0</v>
      </c>
      <c r="O314" s="21">
        <v>28.895</v>
      </c>
      <c r="P314" s="21">
        <v>28.365</v>
      </c>
      <c r="Q314" s="21">
        <v>28.76</v>
      </c>
      <c r="R314" s="21">
        <v>0.6844</v>
      </c>
      <c r="S314" s="21">
        <v>1.4559</v>
      </c>
      <c r="T314" s="16">
        <v>1575171.0</v>
      </c>
      <c r="U314" s="20">
        <v>3.003640844E9</v>
      </c>
      <c r="V314" s="19">
        <v>88.2417</v>
      </c>
      <c r="W314" s="21">
        <v>80.1808</v>
      </c>
      <c r="X314" s="21">
        <v>25.9702</v>
      </c>
      <c r="Y314" s="21">
        <v>25.3807</v>
      </c>
      <c r="Z314" s="21">
        <v>27.6944</v>
      </c>
      <c r="AA314" s="21">
        <v>26.8861</v>
      </c>
      <c r="AB314" s="21">
        <v>26.4765</v>
      </c>
      <c r="AC314" s="21">
        <v>26.0802</v>
      </c>
      <c r="AD314" s="21">
        <v>25.742</v>
      </c>
      <c r="AE314" s="21">
        <v>29.21</v>
      </c>
      <c r="AF314" s="21">
        <v>1.609</v>
      </c>
      <c r="AG314" s="22">
        <f>IFERROR(__xludf.DUMMYFUNCTION("IFERROR(GOOGLEFINANCE(B314,""price""),"""")"),29.39)</f>
        <v>29.39</v>
      </c>
      <c r="AH314" s="22"/>
      <c r="AI314" s="22"/>
      <c r="AJ314" s="22"/>
      <c r="AK314" s="22"/>
      <c r="AL314" s="22"/>
      <c r="AM314" s="22"/>
      <c r="AN314" s="22"/>
    </row>
    <row r="315">
      <c r="A315" s="7">
        <v>46052.891229777895</v>
      </c>
      <c r="B315" s="8" t="s">
        <v>4106</v>
      </c>
      <c r="C315" s="8" t="s">
        <v>4107</v>
      </c>
      <c r="D315" s="9">
        <v>46054.0</v>
      </c>
      <c r="E315" s="10">
        <v>57.0</v>
      </c>
      <c r="F315" s="8" t="s">
        <v>102</v>
      </c>
      <c r="G315" s="11">
        <v>0.94</v>
      </c>
      <c r="H315" s="8" t="s">
        <v>4983</v>
      </c>
      <c r="I315" s="11">
        <v>26.9173</v>
      </c>
      <c r="J315" s="11">
        <v>47.8009</v>
      </c>
      <c r="K315" s="13">
        <v>3.3106</v>
      </c>
      <c r="L315" s="8" t="s">
        <v>4109</v>
      </c>
      <c r="M315" s="11">
        <v>-1.1789</v>
      </c>
      <c r="N315" s="12">
        <v>4009727.0</v>
      </c>
      <c r="O315" s="13">
        <v>57.98</v>
      </c>
      <c r="P315" s="13">
        <v>55.87</v>
      </c>
      <c r="Q315" s="13">
        <v>56.71</v>
      </c>
      <c r="R315" s="13">
        <v>1.9333</v>
      </c>
      <c r="S315" s="13">
        <v>4.133</v>
      </c>
      <c r="T315" s="8">
        <v>1497403.0</v>
      </c>
      <c r="U315" s="12">
        <v>3.738602414E9</v>
      </c>
      <c r="V315" s="11">
        <v>20.8463</v>
      </c>
      <c r="W315" s="13">
        <v>36.4939</v>
      </c>
      <c r="X315" s="13">
        <v>53.6268</v>
      </c>
      <c r="Y315" s="13">
        <v>51.1791</v>
      </c>
      <c r="Z315" s="13">
        <v>58.7996</v>
      </c>
      <c r="AA315" s="13">
        <v>58.2186</v>
      </c>
      <c r="AB315" s="13">
        <v>56.8247</v>
      </c>
      <c r="AC315" s="13">
        <v>55.1527</v>
      </c>
      <c r="AD315" s="13">
        <v>53.5301</v>
      </c>
      <c r="AE315" s="13">
        <v>62.505</v>
      </c>
      <c r="AF315" s="13">
        <v>8.8073</v>
      </c>
      <c r="AG315" s="14">
        <f>IFERROR(__xludf.DUMMYFUNCTION("IFERROR(GOOGLEFINANCE(B315,""price""),"""")"),63.18)</f>
        <v>63.18</v>
      </c>
      <c r="AH315" s="14"/>
      <c r="AI315" s="14"/>
      <c r="AJ315" s="14"/>
      <c r="AK315" s="14"/>
      <c r="AL315" s="14"/>
      <c r="AM315" s="14"/>
      <c r="AN315" s="14"/>
    </row>
    <row r="316">
      <c r="A316" s="15">
        <v>46052.891229777895</v>
      </c>
      <c r="B316" s="16" t="s">
        <v>5175</v>
      </c>
      <c r="C316" s="16" t="s">
        <v>5176</v>
      </c>
      <c r="D316" s="17">
        <v>46054.0</v>
      </c>
      <c r="E316" s="18">
        <v>4.91</v>
      </c>
      <c r="F316" s="16" t="s">
        <v>93</v>
      </c>
      <c r="G316" s="19">
        <v>0.94</v>
      </c>
      <c r="H316" s="16" t="s">
        <v>5015</v>
      </c>
      <c r="I316" s="19">
        <v>33.7223</v>
      </c>
      <c r="J316" s="19">
        <v>38.5757</v>
      </c>
      <c r="K316" s="21">
        <v>2.5082</v>
      </c>
      <c r="L316" s="16" t="s">
        <v>5177</v>
      </c>
      <c r="M316" s="19">
        <v>-13.8596</v>
      </c>
      <c r="N316" s="20">
        <v>4.2072389E7</v>
      </c>
      <c r="O316" s="21">
        <v>5.38</v>
      </c>
      <c r="P316" s="21">
        <v>4.81</v>
      </c>
      <c r="Q316" s="21">
        <v>5.32</v>
      </c>
      <c r="R316" s="21">
        <v>0.2998</v>
      </c>
      <c r="S316" s="21">
        <v>0.6362</v>
      </c>
      <c r="T316" s="16">
        <v>1.8510228E7</v>
      </c>
      <c r="U316" s="20">
        <v>7.922275338E9</v>
      </c>
      <c r="V316" s="19">
        <v>51.3728</v>
      </c>
      <c r="W316" s="21">
        <v>69.898</v>
      </c>
      <c r="X316" s="21">
        <v>5.2664</v>
      </c>
      <c r="Y316" s="21">
        <v>5.4048</v>
      </c>
      <c r="Z316" s="21">
        <v>5.5624</v>
      </c>
      <c r="AA316" s="21">
        <v>5.4428</v>
      </c>
      <c r="AB316" s="21">
        <v>5.3683</v>
      </c>
      <c r="AC316" s="21">
        <v>5.3482</v>
      </c>
      <c r="AD316" s="21">
        <v>5.3445</v>
      </c>
      <c r="AE316" s="21">
        <v>7.14</v>
      </c>
      <c r="AF316" s="21">
        <v>31.2325</v>
      </c>
      <c r="AG316" s="22">
        <f>IFERROR(__xludf.DUMMYFUNCTION("IFERROR(GOOGLEFINANCE(B316,""price""),"""")"),3.69)</f>
        <v>3.69</v>
      </c>
      <c r="AH316" s="22"/>
      <c r="AI316" s="22"/>
      <c r="AJ316" s="22"/>
      <c r="AK316" s="22"/>
      <c r="AL316" s="22"/>
      <c r="AM316" s="22"/>
      <c r="AN316" s="22"/>
    </row>
    <row r="317">
      <c r="A317" s="7">
        <v>46052.891229777895</v>
      </c>
      <c r="B317" s="8" t="s">
        <v>1316</v>
      </c>
      <c r="C317" s="8" t="s">
        <v>1317</v>
      </c>
      <c r="D317" s="9">
        <v>46054.0</v>
      </c>
      <c r="E317" s="10">
        <v>72.98</v>
      </c>
      <c r="F317" s="8" t="s">
        <v>917</v>
      </c>
      <c r="G317" s="11">
        <v>0.94</v>
      </c>
      <c r="H317" s="8" t="s">
        <v>4844</v>
      </c>
      <c r="I317" s="11">
        <v>23.5468</v>
      </c>
      <c r="J317" s="11">
        <v>57.147</v>
      </c>
      <c r="K317" s="13">
        <v>1.7626</v>
      </c>
      <c r="L317" s="8" t="s">
        <v>1318</v>
      </c>
      <c r="M317" s="11">
        <v>0.2335</v>
      </c>
      <c r="N317" s="12">
        <v>1663628.0</v>
      </c>
      <c r="O317" s="13">
        <v>73.27</v>
      </c>
      <c r="P317" s="13">
        <v>71.8</v>
      </c>
      <c r="Q317" s="13">
        <v>72.55</v>
      </c>
      <c r="R317" s="13">
        <v>1.4793</v>
      </c>
      <c r="S317" s="13">
        <v>3.1367</v>
      </c>
      <c r="T317" s="8">
        <v>1034638.0</v>
      </c>
      <c r="U317" s="12">
        <v>5.508047721E9</v>
      </c>
      <c r="V317" s="11">
        <v>62.7583</v>
      </c>
      <c r="W317" s="13">
        <v>68.1407</v>
      </c>
      <c r="X317" s="13">
        <v>71.0638</v>
      </c>
      <c r="Y317" s="13">
        <v>64.744</v>
      </c>
      <c r="Z317" s="13">
        <v>72.6459</v>
      </c>
      <c r="AA317" s="13">
        <v>71.9279</v>
      </c>
      <c r="AB317" s="13">
        <v>71.2939</v>
      </c>
      <c r="AC317" s="13">
        <v>70.1677</v>
      </c>
      <c r="AD317" s="13">
        <v>68.3774</v>
      </c>
      <c r="AE317" s="13">
        <v>74.23</v>
      </c>
      <c r="AF317" s="13">
        <v>1.684</v>
      </c>
      <c r="AG317" s="14">
        <f>IFERROR(__xludf.DUMMYFUNCTION("IFERROR(GOOGLEFINANCE(B317,""price""),"""")"),73.8)</f>
        <v>73.8</v>
      </c>
      <c r="AH317" s="14"/>
      <c r="AI317" s="14"/>
      <c r="AJ317" s="14"/>
      <c r="AK317" s="14"/>
      <c r="AL317" s="14"/>
      <c r="AM317" s="14"/>
      <c r="AN317" s="14"/>
    </row>
    <row r="318">
      <c r="A318" s="15">
        <v>46052.891229777895</v>
      </c>
      <c r="B318" s="16" t="s">
        <v>2531</v>
      </c>
      <c r="C318" s="16" t="s">
        <v>2532</v>
      </c>
      <c r="D318" s="17">
        <v>46054.0</v>
      </c>
      <c r="E318" s="18">
        <v>42.33</v>
      </c>
      <c r="F318" s="16" t="s">
        <v>93</v>
      </c>
      <c r="G318" s="19">
        <v>0.94</v>
      </c>
      <c r="H318" s="16" t="s">
        <v>4858</v>
      </c>
      <c r="I318" s="19">
        <v>26.7745</v>
      </c>
      <c r="J318" s="19">
        <v>64.101</v>
      </c>
      <c r="K318" s="21">
        <v>1.9944</v>
      </c>
      <c r="L318" s="16" t="s">
        <v>2533</v>
      </c>
      <c r="M318" s="19">
        <v>-0.0472</v>
      </c>
      <c r="N318" s="20">
        <v>1828493.0</v>
      </c>
      <c r="O318" s="21">
        <v>42.51</v>
      </c>
      <c r="P318" s="21">
        <v>41.85</v>
      </c>
      <c r="Q318" s="21">
        <v>42.13</v>
      </c>
      <c r="R318" s="21">
        <v>0.8809</v>
      </c>
      <c r="S318" s="21">
        <v>1.8646</v>
      </c>
      <c r="T318" s="16">
        <v>1016089.0</v>
      </c>
      <c r="U318" s="20">
        <v>5.943834271E9</v>
      </c>
      <c r="V318" s="19">
        <v>62.7141</v>
      </c>
      <c r="W318" s="21">
        <v>59.7314</v>
      </c>
      <c r="X318" s="21">
        <v>39.3688</v>
      </c>
      <c r="Y318" s="21">
        <v>37.7453</v>
      </c>
      <c r="Z318" s="21">
        <v>41.8278</v>
      </c>
      <c r="AA318" s="21">
        <v>40.9927</v>
      </c>
      <c r="AB318" s="21">
        <v>40.3298</v>
      </c>
      <c r="AC318" s="21">
        <v>39.5579</v>
      </c>
      <c r="AD318" s="21">
        <v>38.7954</v>
      </c>
      <c r="AE318" s="21">
        <v>43.775</v>
      </c>
      <c r="AF318" s="21">
        <v>3.301</v>
      </c>
      <c r="AG318" s="22">
        <f>IFERROR(__xludf.DUMMYFUNCTION("IFERROR(GOOGLEFINANCE(B318,""price""),"""")"),43.84)</f>
        <v>43.84</v>
      </c>
      <c r="AH318" s="22"/>
      <c r="AI318" s="22"/>
      <c r="AJ318" s="22"/>
      <c r="AK318" s="22"/>
      <c r="AL318" s="22"/>
      <c r="AM318" s="22"/>
      <c r="AN318" s="22"/>
    </row>
    <row r="319">
      <c r="A319" s="7">
        <v>46052.891229777895</v>
      </c>
      <c r="B319" s="8" t="s">
        <v>5258</v>
      </c>
      <c r="C319" s="8" t="s">
        <v>5259</v>
      </c>
      <c r="D319" s="9">
        <v>46054.0</v>
      </c>
      <c r="E319" s="10">
        <v>79.32</v>
      </c>
      <c r="F319" s="8" t="s">
        <v>107</v>
      </c>
      <c r="G319" s="11">
        <v>0.94</v>
      </c>
      <c r="H319" s="8" t="s">
        <v>4862</v>
      </c>
      <c r="I319" s="11">
        <v>31.6404</v>
      </c>
      <c r="J319" s="11">
        <v>47.3135</v>
      </c>
      <c r="K319" s="13">
        <v>1.5606</v>
      </c>
      <c r="L319" s="8" t="s">
        <v>5260</v>
      </c>
      <c r="M319" s="11">
        <v>-2.7464</v>
      </c>
      <c r="N319" s="12">
        <v>2094834.0</v>
      </c>
      <c r="O319" s="13">
        <v>82.045</v>
      </c>
      <c r="P319" s="13">
        <v>77.58</v>
      </c>
      <c r="Q319" s="13">
        <v>80.58</v>
      </c>
      <c r="R319" s="13">
        <v>3.3398</v>
      </c>
      <c r="S319" s="13">
        <v>7.1387</v>
      </c>
      <c r="T319" s="8">
        <v>1340660.0</v>
      </c>
      <c r="U319" s="12">
        <v>1.0174631813E10</v>
      </c>
      <c r="V319" s="11">
        <v>28.4531</v>
      </c>
      <c r="W319" s="13">
        <v>39.9105</v>
      </c>
      <c r="X319" s="13">
        <v>74.4198</v>
      </c>
      <c r="Y319" s="13">
        <v>83.0945</v>
      </c>
      <c r="Z319" s="13">
        <v>82.4111</v>
      </c>
      <c r="AA319" s="13">
        <v>81.4522</v>
      </c>
      <c r="AB319" s="13">
        <v>79.4025</v>
      </c>
      <c r="AC319" s="13">
        <v>77.5392</v>
      </c>
      <c r="AD319" s="13">
        <v>77.1021</v>
      </c>
      <c r="AE319" s="13">
        <v>118.23</v>
      </c>
      <c r="AF319" s="13">
        <v>32.9104</v>
      </c>
      <c r="AG319" s="14">
        <f>IFERROR(__xludf.DUMMYFUNCTION("IFERROR(GOOGLEFINANCE(B319,""price""),"""")"),118.37)</f>
        <v>118.37</v>
      </c>
      <c r="AH319" s="14"/>
      <c r="AI319" s="14"/>
      <c r="AJ319" s="14"/>
      <c r="AK319" s="14"/>
      <c r="AL319" s="14"/>
      <c r="AM319" s="14"/>
      <c r="AN319" s="14"/>
    </row>
    <row r="320">
      <c r="A320" s="15">
        <v>46052.891229777895</v>
      </c>
      <c r="B320" s="16" t="s">
        <v>5261</v>
      </c>
      <c r="C320" s="16" t="s">
        <v>5262</v>
      </c>
      <c r="D320" s="17">
        <v>46054.0</v>
      </c>
      <c r="E320" s="18">
        <v>92.41</v>
      </c>
      <c r="F320" s="16" t="s">
        <v>308</v>
      </c>
      <c r="G320" s="19">
        <v>0.94</v>
      </c>
      <c r="H320" s="16" t="s">
        <v>4862</v>
      </c>
      <c r="I320" s="19">
        <v>35.5652</v>
      </c>
      <c r="J320" s="19">
        <v>72.9749</v>
      </c>
      <c r="K320" s="21">
        <v>1.6182</v>
      </c>
      <c r="L320" s="16" t="s">
        <v>5263</v>
      </c>
      <c r="M320" s="19">
        <v>-0.3881</v>
      </c>
      <c r="N320" s="20">
        <v>644126.0</v>
      </c>
      <c r="O320" s="21">
        <v>94.92</v>
      </c>
      <c r="P320" s="21">
        <v>91.55</v>
      </c>
      <c r="Q320" s="21">
        <v>92.25</v>
      </c>
      <c r="R320" s="21">
        <v>3.1862</v>
      </c>
      <c r="S320" s="21">
        <v>6.7758</v>
      </c>
      <c r="T320" s="21">
        <v>431849.4</v>
      </c>
      <c r="U320" s="20">
        <v>3.892723167E9</v>
      </c>
      <c r="V320" s="19">
        <v>91.615</v>
      </c>
      <c r="W320" s="21">
        <v>94.6513</v>
      </c>
      <c r="X320" s="21">
        <v>79.4664</v>
      </c>
      <c r="Y320" s="21">
        <v>78.0877</v>
      </c>
      <c r="Z320" s="21">
        <v>89.1157</v>
      </c>
      <c r="AA320" s="21">
        <v>84.128</v>
      </c>
      <c r="AB320" s="21">
        <v>82.3293</v>
      </c>
      <c r="AC320" s="21">
        <v>81.3754</v>
      </c>
      <c r="AD320" s="21">
        <v>80.5176</v>
      </c>
      <c r="AE320" s="21">
        <v>94.92</v>
      </c>
      <c r="AF320" s="21">
        <v>2.6443</v>
      </c>
      <c r="AG320" s="22">
        <f>IFERROR(__xludf.DUMMYFUNCTION("IFERROR(GOOGLEFINANCE(B320,""price""),"""")"),127.32)</f>
        <v>127.32</v>
      </c>
      <c r="AH320" s="22"/>
      <c r="AI320" s="22"/>
      <c r="AJ320" s="22"/>
      <c r="AK320" s="22"/>
      <c r="AL320" s="22"/>
      <c r="AM320" s="22"/>
      <c r="AN320" s="22"/>
    </row>
    <row r="321">
      <c r="A321" s="7">
        <v>46052.891229777895</v>
      </c>
      <c r="B321" s="8" t="s">
        <v>4252</v>
      </c>
      <c r="C321" s="8" t="s">
        <v>4253</v>
      </c>
      <c r="D321" s="9">
        <v>46054.0</v>
      </c>
      <c r="E321" s="10">
        <v>93.19</v>
      </c>
      <c r="F321" s="8" t="s">
        <v>102</v>
      </c>
      <c r="G321" s="11">
        <v>0.94</v>
      </c>
      <c r="H321" s="8" t="s">
        <v>4848</v>
      </c>
      <c r="I321" s="11">
        <v>30.2464</v>
      </c>
      <c r="J321" s="11">
        <v>59.1944</v>
      </c>
      <c r="K321" s="13">
        <v>1.449</v>
      </c>
      <c r="L321" s="8" t="s">
        <v>4255</v>
      </c>
      <c r="M321" s="11">
        <v>-1.0196</v>
      </c>
      <c r="N321" s="12">
        <v>999621.0</v>
      </c>
      <c r="O321" s="13">
        <v>93.89</v>
      </c>
      <c r="P321" s="13">
        <v>91.91</v>
      </c>
      <c r="Q321" s="13">
        <v>93.13</v>
      </c>
      <c r="R321" s="13">
        <v>2.1358</v>
      </c>
      <c r="S321" s="13">
        <v>4.5487</v>
      </c>
      <c r="T321" s="13">
        <v>722267.6</v>
      </c>
      <c r="U321" s="12">
        <v>6.491204187E9</v>
      </c>
      <c r="V321" s="11">
        <v>72.5339</v>
      </c>
      <c r="W321" s="13">
        <v>78.3781</v>
      </c>
      <c r="X321" s="13">
        <v>86.614</v>
      </c>
      <c r="Y321" s="13">
        <v>80.3513</v>
      </c>
      <c r="Z321" s="13">
        <v>93.4277</v>
      </c>
      <c r="AA321" s="13">
        <v>91.5917</v>
      </c>
      <c r="AB321" s="13">
        <v>89.6386</v>
      </c>
      <c r="AC321" s="13">
        <v>87.1022</v>
      </c>
      <c r="AD321" s="13">
        <v>84.3172</v>
      </c>
      <c r="AE321" s="13">
        <v>95.19</v>
      </c>
      <c r="AF321" s="13">
        <v>2.1011</v>
      </c>
      <c r="AG321" s="14">
        <f>IFERROR(__xludf.DUMMYFUNCTION("IFERROR(GOOGLEFINANCE(B321,""price""),"""")"),106.75)</f>
        <v>106.75</v>
      </c>
      <c r="AH321" s="14"/>
      <c r="AI321" s="14"/>
      <c r="AJ321" s="14"/>
      <c r="AK321" s="14"/>
      <c r="AL321" s="14"/>
      <c r="AM321" s="14"/>
      <c r="AN321" s="14"/>
    </row>
    <row r="322">
      <c r="A322" s="15">
        <v>46052.891229777895</v>
      </c>
      <c r="B322" s="16" t="s">
        <v>5169</v>
      </c>
      <c r="C322" s="16" t="s">
        <v>5170</v>
      </c>
      <c r="D322" s="17">
        <v>46054.0</v>
      </c>
      <c r="E322" s="18">
        <v>13.22</v>
      </c>
      <c r="F322" s="16" t="s">
        <v>93</v>
      </c>
      <c r="G322" s="19">
        <v>0.94</v>
      </c>
      <c r="H322" s="16" t="s">
        <v>4975</v>
      </c>
      <c r="I322" s="19">
        <v>29.1243</v>
      </c>
      <c r="J322" s="19">
        <v>55.5945</v>
      </c>
      <c r="K322" s="21">
        <v>2.4371</v>
      </c>
      <c r="L322" s="16" t="s">
        <v>5171</v>
      </c>
      <c r="M322" s="19">
        <v>-2.3634</v>
      </c>
      <c r="N322" s="20">
        <v>1.0428398E7</v>
      </c>
      <c r="O322" s="21">
        <v>13.83</v>
      </c>
      <c r="P322" s="21">
        <v>12.94</v>
      </c>
      <c r="Q322" s="21">
        <v>13.35</v>
      </c>
      <c r="R322" s="21">
        <v>0.4108</v>
      </c>
      <c r="S322" s="21">
        <v>0.8747</v>
      </c>
      <c r="T322" s="16">
        <v>4835815.0</v>
      </c>
      <c r="U322" s="20">
        <v>5.496292849E9</v>
      </c>
      <c r="V322" s="19">
        <v>64.3022</v>
      </c>
      <c r="W322" s="21">
        <v>62.548</v>
      </c>
      <c r="X322" s="21">
        <v>12.6678</v>
      </c>
      <c r="Y322" s="21">
        <v>12.1323</v>
      </c>
      <c r="Z322" s="21">
        <v>13.1335</v>
      </c>
      <c r="AA322" s="21">
        <v>12.9724</v>
      </c>
      <c r="AB322" s="21">
        <v>12.8304</v>
      </c>
      <c r="AC322" s="21">
        <v>12.6286</v>
      </c>
      <c r="AD322" s="21">
        <v>12.4044</v>
      </c>
      <c r="AE322" s="21">
        <v>13.845</v>
      </c>
      <c r="AF322" s="21">
        <v>4.5143</v>
      </c>
      <c r="AG322" s="22">
        <f>IFERROR(__xludf.DUMMYFUNCTION("IFERROR(GOOGLEFINANCE(B322,""price""),"""")"),14.04)</f>
        <v>14.04</v>
      </c>
      <c r="AH322" s="22"/>
      <c r="AI322" s="22"/>
      <c r="AJ322" s="22"/>
      <c r="AK322" s="22"/>
      <c r="AL322" s="22"/>
      <c r="AM322" s="22"/>
      <c r="AN322" s="22"/>
    </row>
    <row r="323">
      <c r="A323" s="7">
        <v>46052.891229777895</v>
      </c>
      <c r="B323" s="8" t="s">
        <v>5172</v>
      </c>
      <c r="C323" s="8" t="s">
        <v>5173</v>
      </c>
      <c r="D323" s="9">
        <v>46054.0</v>
      </c>
      <c r="E323" s="10">
        <v>26.45</v>
      </c>
      <c r="F323" s="8" t="s">
        <v>117</v>
      </c>
      <c r="G323" s="11">
        <v>0.94</v>
      </c>
      <c r="H323" s="8" t="s">
        <v>4868</v>
      </c>
      <c r="I323" s="11">
        <v>47.9903</v>
      </c>
      <c r="J323" s="11">
        <v>65.027</v>
      </c>
      <c r="K323" s="13">
        <v>1.7258</v>
      </c>
      <c r="L323" s="8" t="s">
        <v>5174</v>
      </c>
      <c r="M323" s="11">
        <v>3.0386</v>
      </c>
      <c r="N323" s="12">
        <v>1672942.0</v>
      </c>
      <c r="O323" s="13">
        <v>26.88</v>
      </c>
      <c r="P323" s="13">
        <v>25.22</v>
      </c>
      <c r="Q323" s="13">
        <v>25.35</v>
      </c>
      <c r="R323" s="13">
        <v>1.6931</v>
      </c>
      <c r="S323" s="13">
        <v>3.5941</v>
      </c>
      <c r="T323" s="8">
        <v>1011440.0</v>
      </c>
      <c r="U323" s="12">
        <v>1.569736532E9</v>
      </c>
      <c r="V323" s="11">
        <v>53.632</v>
      </c>
      <c r="W323" s="13">
        <v>61.2769</v>
      </c>
      <c r="X323" s="13">
        <v>20.9773</v>
      </c>
      <c r="Y323" s="13">
        <v>20.7916</v>
      </c>
      <c r="Z323" s="13">
        <v>25.8718</v>
      </c>
      <c r="AA323" s="13">
        <v>24.0359</v>
      </c>
      <c r="AB323" s="13">
        <v>22.785</v>
      </c>
      <c r="AC323" s="13">
        <v>21.8271</v>
      </c>
      <c r="AD323" s="13">
        <v>21.2023</v>
      </c>
      <c r="AE323" s="13">
        <v>29.98</v>
      </c>
      <c r="AF323" s="13">
        <v>11.7745</v>
      </c>
      <c r="AG323" s="14">
        <f>IFERROR(__xludf.DUMMYFUNCTION("IFERROR(GOOGLEFINANCE(B323,""price""),"""")"),45.32)</f>
        <v>45.32</v>
      </c>
      <c r="AH323" s="14"/>
      <c r="AI323" s="14"/>
      <c r="AJ323" s="14"/>
      <c r="AK323" s="14"/>
      <c r="AL323" s="14"/>
      <c r="AM323" s="14"/>
      <c r="AN323" s="14"/>
    </row>
    <row r="324">
      <c r="A324" s="15">
        <v>46052.891229777895</v>
      </c>
      <c r="B324" s="16" t="s">
        <v>1492</v>
      </c>
      <c r="C324" s="16" t="s">
        <v>1493</v>
      </c>
      <c r="D324" s="17">
        <v>46054.0</v>
      </c>
      <c r="E324" s="18">
        <v>24.49</v>
      </c>
      <c r="F324" s="16" t="s">
        <v>93</v>
      </c>
      <c r="G324" s="19">
        <v>0.94</v>
      </c>
      <c r="H324" s="16" t="s">
        <v>4848</v>
      </c>
      <c r="I324" s="19">
        <v>21.1962</v>
      </c>
      <c r="J324" s="19">
        <v>55.3055</v>
      </c>
      <c r="K324" s="21">
        <v>1.4366</v>
      </c>
      <c r="L324" s="16" t="s">
        <v>1494</v>
      </c>
      <c r="M324" s="19">
        <v>0.2867</v>
      </c>
      <c r="N324" s="20">
        <v>1.0270538E7</v>
      </c>
      <c r="O324" s="21">
        <v>24.685</v>
      </c>
      <c r="P324" s="21">
        <v>24.35</v>
      </c>
      <c r="Q324" s="21">
        <v>24.43</v>
      </c>
      <c r="R324" s="21">
        <v>0.5229</v>
      </c>
      <c r="S324" s="21">
        <v>1.1097</v>
      </c>
      <c r="T324" s="16">
        <v>7068772.0</v>
      </c>
      <c r="U324" s="20">
        <v>1.1877650037E10</v>
      </c>
      <c r="V324" s="19">
        <v>47.503</v>
      </c>
      <c r="W324" s="21">
        <v>43.2666</v>
      </c>
      <c r="X324" s="21">
        <v>23.6169</v>
      </c>
      <c r="Y324" s="21">
        <v>21.9479</v>
      </c>
      <c r="Z324" s="21">
        <v>24.3438</v>
      </c>
      <c r="AA324" s="21">
        <v>24.2373</v>
      </c>
      <c r="AB324" s="21">
        <v>24.0016</v>
      </c>
      <c r="AC324" s="21">
        <v>23.613</v>
      </c>
      <c r="AD324" s="21">
        <v>23.1237</v>
      </c>
      <c r="AE324" s="21">
        <v>25.2099</v>
      </c>
      <c r="AF324" s="21">
        <v>2.8556</v>
      </c>
      <c r="AG324" s="22">
        <f>IFERROR(__xludf.DUMMYFUNCTION("IFERROR(GOOGLEFINANCE(B324,""price""),"""")"),24.05)</f>
        <v>24.05</v>
      </c>
      <c r="AH324" s="22"/>
      <c r="AI324" s="22"/>
      <c r="AJ324" s="22"/>
      <c r="AK324" s="22"/>
      <c r="AL324" s="22"/>
      <c r="AM324" s="22"/>
      <c r="AN324" s="22"/>
    </row>
    <row r="325">
      <c r="A325" s="7">
        <v>46052.891229777895</v>
      </c>
      <c r="B325" s="8" t="s">
        <v>5264</v>
      </c>
      <c r="C325" s="8" t="s">
        <v>5265</v>
      </c>
      <c r="D325" s="9">
        <v>46054.0</v>
      </c>
      <c r="E325" s="10">
        <v>32.52</v>
      </c>
      <c r="F325" s="8" t="s">
        <v>93</v>
      </c>
      <c r="G325" s="11">
        <v>0.94</v>
      </c>
      <c r="H325" s="8" t="s">
        <v>4952</v>
      </c>
      <c r="I325" s="11">
        <v>22.5527</v>
      </c>
      <c r="J325" s="11">
        <v>60.2905</v>
      </c>
      <c r="K325" s="13">
        <v>2.6484</v>
      </c>
      <c r="L325" s="8" t="s">
        <v>5266</v>
      </c>
      <c r="M325" s="11">
        <v>1.7522</v>
      </c>
      <c r="N325" s="12">
        <v>1031013.0</v>
      </c>
      <c r="O325" s="13">
        <v>32.53</v>
      </c>
      <c r="P325" s="13">
        <v>31.83</v>
      </c>
      <c r="Q325" s="13">
        <v>31.94</v>
      </c>
      <c r="R325" s="13">
        <v>0.679</v>
      </c>
      <c r="S325" s="13">
        <v>1.4516</v>
      </c>
      <c r="T325" s="13">
        <v>444370.2</v>
      </c>
      <c r="U325" s="12">
        <v>1.161060382E9</v>
      </c>
      <c r="V325" s="11">
        <v>54.72</v>
      </c>
      <c r="W325" s="13">
        <v>49.8844</v>
      </c>
      <c r="X325" s="13">
        <v>30.7458</v>
      </c>
      <c r="Y325" s="13">
        <v>30.33</v>
      </c>
      <c r="Z325" s="13">
        <v>31.9131</v>
      </c>
      <c r="AA325" s="13">
        <v>31.4848</v>
      </c>
      <c r="AB325" s="13">
        <v>31.1765</v>
      </c>
      <c r="AC325" s="13">
        <v>30.8307</v>
      </c>
      <c r="AD325" s="13">
        <v>30.533</v>
      </c>
      <c r="AE325" s="13">
        <v>33.83</v>
      </c>
      <c r="AF325" s="13">
        <v>3.8723</v>
      </c>
      <c r="AG325" s="14">
        <f>IFERROR(__xludf.DUMMYFUNCTION("IFERROR(GOOGLEFINANCE(B325,""price""),"""")"),34.31)</f>
        <v>34.31</v>
      </c>
      <c r="AH325" s="14"/>
      <c r="AI325" s="14"/>
      <c r="AJ325" s="14"/>
      <c r="AK325" s="14"/>
      <c r="AL325" s="14"/>
      <c r="AM325" s="14"/>
      <c r="AN325" s="14"/>
    </row>
    <row r="326">
      <c r="A326" s="15">
        <v>46052.891229777895</v>
      </c>
      <c r="B326" s="16" t="s">
        <v>1512</v>
      </c>
      <c r="C326" s="16" t="s">
        <v>1513</v>
      </c>
      <c r="D326" s="17">
        <v>46054.0</v>
      </c>
      <c r="E326" s="18">
        <v>76.73</v>
      </c>
      <c r="F326" s="16" t="s">
        <v>917</v>
      </c>
      <c r="G326" s="19">
        <v>0.95</v>
      </c>
      <c r="H326" s="16" t="s">
        <v>4868</v>
      </c>
      <c r="I326" s="19">
        <v>22.6714</v>
      </c>
      <c r="J326" s="19">
        <v>61.0487</v>
      </c>
      <c r="K326" s="21">
        <v>1.7406</v>
      </c>
      <c r="L326" s="16" t="s">
        <v>1514</v>
      </c>
      <c r="M326" s="19">
        <v>0.4714</v>
      </c>
      <c r="N326" s="20">
        <v>3549704.0</v>
      </c>
      <c r="O326" s="21">
        <v>76.76</v>
      </c>
      <c r="P326" s="21">
        <v>75.73</v>
      </c>
      <c r="Q326" s="21">
        <v>76.11</v>
      </c>
      <c r="R326" s="21">
        <v>1.1201</v>
      </c>
      <c r="S326" s="21">
        <v>2.3538</v>
      </c>
      <c r="T326" s="16">
        <v>2184694.0</v>
      </c>
      <c r="U326" s="20">
        <v>1.7664331739E10</v>
      </c>
      <c r="V326" s="19">
        <v>82.1384</v>
      </c>
      <c r="W326" s="21">
        <v>86.3465</v>
      </c>
      <c r="X326" s="21">
        <v>74.5482</v>
      </c>
      <c r="Y326" s="21">
        <v>72.0943</v>
      </c>
      <c r="Z326" s="21">
        <v>76.3627</v>
      </c>
      <c r="AA326" s="21">
        <v>75.4267</v>
      </c>
      <c r="AB326" s="21">
        <v>75.0703</v>
      </c>
      <c r="AC326" s="21">
        <v>74.885</v>
      </c>
      <c r="AD326" s="21">
        <v>74.4748</v>
      </c>
      <c r="AE326" s="21">
        <v>79.32</v>
      </c>
      <c r="AF326" s="21">
        <v>3.2653</v>
      </c>
      <c r="AG326" s="22">
        <f>IFERROR(__xludf.DUMMYFUNCTION("IFERROR(GOOGLEFINANCE(B326,""price""),"""")"),83.58)</f>
        <v>83.58</v>
      </c>
      <c r="AH326" s="22"/>
      <c r="AI326" s="22"/>
      <c r="AJ326" s="22"/>
      <c r="AK326" s="22"/>
      <c r="AL326" s="22"/>
      <c r="AM326" s="22"/>
      <c r="AN326" s="22"/>
    </row>
    <row r="327">
      <c r="A327" s="7">
        <v>46052.891229777895</v>
      </c>
      <c r="B327" s="8" t="s">
        <v>5267</v>
      </c>
      <c r="C327" s="8" t="s">
        <v>5268</v>
      </c>
      <c r="D327" s="9">
        <v>46054.0</v>
      </c>
      <c r="E327" s="10">
        <v>67.31</v>
      </c>
      <c r="F327" s="8" t="s">
        <v>107</v>
      </c>
      <c r="G327" s="11">
        <v>0.95</v>
      </c>
      <c r="H327" s="8" t="s">
        <v>4848</v>
      </c>
      <c r="I327" s="11">
        <v>36.1938</v>
      </c>
      <c r="J327" s="11">
        <v>65.6766</v>
      </c>
      <c r="K327" s="13">
        <v>1.4236</v>
      </c>
      <c r="L327" s="8" t="s">
        <v>5269</v>
      </c>
      <c r="M327" s="11">
        <v>0.5828</v>
      </c>
      <c r="N327" s="12">
        <v>5377467.0</v>
      </c>
      <c r="O327" s="13">
        <v>67.34</v>
      </c>
      <c r="P327" s="13">
        <v>66.16</v>
      </c>
      <c r="Q327" s="13">
        <v>66.52</v>
      </c>
      <c r="R327" s="13">
        <v>1.6871</v>
      </c>
      <c r="S327" s="13">
        <v>3.5646</v>
      </c>
      <c r="T327" s="8">
        <v>3806555.0</v>
      </c>
      <c r="U327" s="12">
        <v>3.2347149875E10</v>
      </c>
      <c r="V327" s="11">
        <v>72.2514</v>
      </c>
      <c r="W327" s="13">
        <v>81.4275</v>
      </c>
      <c r="X327" s="13">
        <v>61.0972</v>
      </c>
      <c r="Y327" s="13">
        <v>58.5433</v>
      </c>
      <c r="Z327" s="13">
        <v>66.9266</v>
      </c>
      <c r="AA327" s="13">
        <v>64.7441</v>
      </c>
      <c r="AB327" s="13">
        <v>63.328</v>
      </c>
      <c r="AC327" s="13">
        <v>62.1282</v>
      </c>
      <c r="AD327" s="13">
        <v>60.9582</v>
      </c>
      <c r="AE327" s="13">
        <v>69.75</v>
      </c>
      <c r="AF327" s="13">
        <v>3.4982</v>
      </c>
      <c r="AG327" s="14">
        <f>IFERROR(__xludf.DUMMYFUNCTION("IFERROR(GOOGLEFINANCE(B327,""price""),"""")"),69.73)</f>
        <v>69.73</v>
      </c>
      <c r="AH327" s="14"/>
      <c r="AI327" s="14"/>
      <c r="AJ327" s="14"/>
      <c r="AK327" s="14"/>
      <c r="AL327" s="14"/>
      <c r="AM327" s="14"/>
      <c r="AN327" s="14"/>
    </row>
    <row r="328">
      <c r="A328" s="15">
        <v>46052.891229777895</v>
      </c>
      <c r="B328" s="16" t="s">
        <v>5270</v>
      </c>
      <c r="C328" s="16" t="s">
        <v>5271</v>
      </c>
      <c r="D328" s="17">
        <v>46054.0</v>
      </c>
      <c r="E328" s="18">
        <v>329.5</v>
      </c>
      <c r="F328" s="16" t="s">
        <v>335</v>
      </c>
      <c r="G328" s="19">
        <v>0.95</v>
      </c>
      <c r="H328" s="16" t="s">
        <v>4915</v>
      </c>
      <c r="I328" s="19">
        <v>45.7911</v>
      </c>
      <c r="J328" s="19">
        <v>69.2576</v>
      </c>
      <c r="K328" s="21">
        <v>1.8511</v>
      </c>
      <c r="L328" s="16" t="s">
        <v>5272</v>
      </c>
      <c r="M328" s="19">
        <v>-0.8396</v>
      </c>
      <c r="N328" s="20">
        <v>627325.0</v>
      </c>
      <c r="O328" s="21">
        <v>331.2</v>
      </c>
      <c r="P328" s="21">
        <v>325.32</v>
      </c>
      <c r="Q328" s="21">
        <v>327.71</v>
      </c>
      <c r="R328" s="21">
        <v>6.7969</v>
      </c>
      <c r="S328" s="21">
        <v>14.2637</v>
      </c>
      <c r="T328" s="21">
        <v>362160.9</v>
      </c>
      <c r="U328" s="20">
        <v>1.7228555219E10</v>
      </c>
      <c r="V328" s="19">
        <v>78.35</v>
      </c>
      <c r="W328" s="21">
        <v>77.1279</v>
      </c>
      <c r="X328" s="21">
        <v>298.3514</v>
      </c>
      <c r="Y328" s="21">
        <v>294.183</v>
      </c>
      <c r="Z328" s="21">
        <v>327.1541</v>
      </c>
      <c r="AA328" s="21">
        <v>317.8848</v>
      </c>
      <c r="AB328" s="21">
        <v>310.5223</v>
      </c>
      <c r="AC328" s="21">
        <v>303.2061</v>
      </c>
      <c r="AD328" s="21">
        <v>297.9625</v>
      </c>
      <c r="AE328" s="21">
        <v>347.435</v>
      </c>
      <c r="AF328" s="21">
        <v>5.1621</v>
      </c>
      <c r="AG328" s="22">
        <f>IFERROR(__xludf.DUMMYFUNCTION("IFERROR(GOOGLEFINANCE(B328,""price""),"""")"),322.2)</f>
        <v>322.2</v>
      </c>
      <c r="AH328" s="22"/>
      <c r="AI328" s="22"/>
      <c r="AJ328" s="22"/>
      <c r="AK328" s="22"/>
      <c r="AL328" s="22"/>
      <c r="AM328" s="22"/>
      <c r="AN328" s="22"/>
    </row>
    <row r="329">
      <c r="A329" s="7">
        <v>46052.891229777895</v>
      </c>
      <c r="B329" s="8" t="s">
        <v>5016</v>
      </c>
      <c r="C329" s="8" t="s">
        <v>5017</v>
      </c>
      <c r="D329" s="9">
        <v>46054.0</v>
      </c>
      <c r="E329" s="10">
        <v>165.17</v>
      </c>
      <c r="F329" s="8" t="s">
        <v>93</v>
      </c>
      <c r="G329" s="11">
        <v>0.95</v>
      </c>
      <c r="H329" s="8" t="s">
        <v>5015</v>
      </c>
      <c r="I329" s="11">
        <v>27.3198</v>
      </c>
      <c r="J329" s="11">
        <v>61.8562</v>
      </c>
      <c r="K329" s="13">
        <v>2.5386</v>
      </c>
      <c r="L329" s="8" t="s">
        <v>5018</v>
      </c>
      <c r="M329" s="11">
        <v>0.0424</v>
      </c>
      <c r="N329" s="12">
        <v>836322.0</v>
      </c>
      <c r="O329" s="13">
        <v>166.75</v>
      </c>
      <c r="P329" s="13">
        <v>163.01</v>
      </c>
      <c r="Q329" s="13">
        <v>163.16</v>
      </c>
      <c r="R329" s="13">
        <v>5.0735</v>
      </c>
      <c r="S329" s="13">
        <v>10.6577</v>
      </c>
      <c r="T329" s="13">
        <v>371788.0</v>
      </c>
      <c r="U329" s="12">
        <v>4.083794755E9</v>
      </c>
      <c r="V329" s="11">
        <v>76.8864</v>
      </c>
      <c r="W329" s="13">
        <v>61.45</v>
      </c>
      <c r="X329" s="13">
        <v>151.0786</v>
      </c>
      <c r="Y329" s="13">
        <v>125.2611</v>
      </c>
      <c r="Z329" s="13">
        <v>161.0514</v>
      </c>
      <c r="AA329" s="13">
        <v>159.0853</v>
      </c>
      <c r="AB329" s="13">
        <v>155.8879</v>
      </c>
      <c r="AC329" s="13">
        <v>149.8703</v>
      </c>
      <c r="AD329" s="13">
        <v>141.6659</v>
      </c>
      <c r="AE329" s="13">
        <v>168.68</v>
      </c>
      <c r="AF329" s="13">
        <v>2.0809</v>
      </c>
      <c r="AG329" s="14">
        <f>IFERROR(__xludf.DUMMYFUNCTION("IFERROR(GOOGLEFINANCE(B329,""price""),"""")"),144.95)</f>
        <v>144.95</v>
      </c>
      <c r="AH329" s="14"/>
      <c r="AI329" s="14"/>
      <c r="AJ329" s="14"/>
      <c r="AK329" s="14"/>
      <c r="AL329" s="14"/>
      <c r="AM329" s="14"/>
      <c r="AN329" s="14"/>
    </row>
    <row r="330">
      <c r="A330" s="15">
        <v>46052.891229777895</v>
      </c>
      <c r="B330" s="16" t="s">
        <v>5178</v>
      </c>
      <c r="C330" s="16" t="s">
        <v>5179</v>
      </c>
      <c r="D330" s="17">
        <v>46054.0</v>
      </c>
      <c r="E330" s="18">
        <v>50.68</v>
      </c>
      <c r="F330" s="16" t="s">
        <v>93</v>
      </c>
      <c r="G330" s="19">
        <v>0.95</v>
      </c>
      <c r="H330" s="16" t="s">
        <v>4844</v>
      </c>
      <c r="I330" s="19">
        <v>27.4978</v>
      </c>
      <c r="J330" s="19">
        <v>66.3753</v>
      </c>
      <c r="K330" s="21">
        <v>1.848</v>
      </c>
      <c r="L330" s="16" t="s">
        <v>5180</v>
      </c>
      <c r="M330" s="19">
        <v>1.5021</v>
      </c>
      <c r="N330" s="20">
        <v>2088730.0</v>
      </c>
      <c r="O330" s="21">
        <v>51.06</v>
      </c>
      <c r="P330" s="21">
        <v>49.4701</v>
      </c>
      <c r="Q330" s="21">
        <v>49.6</v>
      </c>
      <c r="R330" s="21">
        <v>1.4108</v>
      </c>
      <c r="S330" s="21">
        <v>2.9637</v>
      </c>
      <c r="T330" s="16">
        <v>1222118.0</v>
      </c>
      <c r="U330" s="20">
        <v>6.585428189E9</v>
      </c>
      <c r="V330" s="19">
        <v>77.7804</v>
      </c>
      <c r="W330" s="21">
        <v>66.9802</v>
      </c>
      <c r="X330" s="21">
        <v>45.2366</v>
      </c>
      <c r="Y330" s="21">
        <v>45.3461</v>
      </c>
      <c r="Z330" s="21">
        <v>49.2094</v>
      </c>
      <c r="AA330" s="21">
        <v>47.8671</v>
      </c>
      <c r="AB330" s="21">
        <v>46.9538</v>
      </c>
      <c r="AC330" s="21">
        <v>46.1681</v>
      </c>
      <c r="AD330" s="21">
        <v>45.6854</v>
      </c>
      <c r="AE330" s="21">
        <v>51.5</v>
      </c>
      <c r="AF330" s="21">
        <v>1.5922</v>
      </c>
      <c r="AG330" s="22">
        <f>IFERROR(__xludf.DUMMYFUNCTION("IFERROR(GOOGLEFINANCE(B330,""price""),"""")"),48.13)</f>
        <v>48.13</v>
      </c>
      <c r="AH330" s="22"/>
      <c r="AI330" s="22"/>
      <c r="AJ330" s="22"/>
      <c r="AK330" s="22"/>
      <c r="AL330" s="22"/>
      <c r="AM330" s="22"/>
      <c r="AN330" s="22"/>
    </row>
    <row r="331">
      <c r="A331" s="7">
        <v>46052.891229777895</v>
      </c>
      <c r="B331" s="8" t="s">
        <v>5134</v>
      </c>
      <c r="C331" s="8" t="s">
        <v>5135</v>
      </c>
      <c r="D331" s="9">
        <v>46054.0</v>
      </c>
      <c r="E331" s="10">
        <v>5.97</v>
      </c>
      <c r="F331" s="8" t="s">
        <v>117</v>
      </c>
      <c r="G331" s="11">
        <v>0.95</v>
      </c>
      <c r="H331" s="8" t="s">
        <v>4952</v>
      </c>
      <c r="I331" s="11">
        <v>21.3725</v>
      </c>
      <c r="J331" s="11">
        <v>44.6996</v>
      </c>
      <c r="K331" s="13">
        <v>2.6313</v>
      </c>
      <c r="L331" s="8" t="s">
        <v>5136</v>
      </c>
      <c r="M331" s="11">
        <v>-10.4948</v>
      </c>
      <c r="N331" s="12">
        <v>1807239.0</v>
      </c>
      <c r="O331" s="13">
        <v>6.69</v>
      </c>
      <c r="P331" s="13">
        <v>5.83</v>
      </c>
      <c r="Q331" s="13">
        <v>6.57</v>
      </c>
      <c r="R331" s="13">
        <v>0.4728</v>
      </c>
      <c r="S331" s="13">
        <v>0.9936</v>
      </c>
      <c r="T331" s="13">
        <v>807905.9</v>
      </c>
      <c r="U331" s="12">
        <v>1.28303636E8</v>
      </c>
      <c r="V331" s="11">
        <v>55.0813</v>
      </c>
      <c r="W331" s="13">
        <v>74.0189</v>
      </c>
      <c r="X331" s="13">
        <v>6.1084</v>
      </c>
      <c r="Y331" s="13">
        <v>5.5685</v>
      </c>
      <c r="Z331" s="13">
        <v>6.6123</v>
      </c>
      <c r="AA331" s="13">
        <v>6.4273</v>
      </c>
      <c r="AB331" s="13">
        <v>6.2445</v>
      </c>
      <c r="AC331" s="13">
        <v>5.9968</v>
      </c>
      <c r="AD331" s="13">
        <v>5.7337</v>
      </c>
      <c r="AE331" s="13">
        <v>11.0</v>
      </c>
      <c r="AF331" s="13">
        <v>45.7273</v>
      </c>
      <c r="AG331" s="14">
        <f>IFERROR(__xludf.DUMMYFUNCTION("IFERROR(GOOGLEFINANCE(B331,""price""),"""")"),6.63)</f>
        <v>6.63</v>
      </c>
      <c r="AH331" s="14"/>
      <c r="AI331" s="14"/>
      <c r="AJ331" s="14"/>
      <c r="AK331" s="14"/>
      <c r="AL331" s="14"/>
      <c r="AM331" s="14"/>
      <c r="AN331" s="14"/>
    </row>
    <row r="332">
      <c r="A332" s="15">
        <v>46052.891229777895</v>
      </c>
      <c r="B332" s="16" t="s">
        <v>5061</v>
      </c>
      <c r="C332" s="16" t="s">
        <v>5062</v>
      </c>
      <c r="D332" s="17">
        <v>46054.0</v>
      </c>
      <c r="E332" s="18">
        <v>8.47</v>
      </c>
      <c r="F332" s="16" t="s">
        <v>270</v>
      </c>
      <c r="G332" s="19">
        <v>0.95</v>
      </c>
      <c r="H332" s="16" t="s">
        <v>4864</v>
      </c>
      <c r="I332" s="19">
        <v>35.5799</v>
      </c>
      <c r="J332" s="19">
        <v>66.4334</v>
      </c>
      <c r="K332" s="21">
        <v>1.467</v>
      </c>
      <c r="L332" s="16" t="s">
        <v>5063</v>
      </c>
      <c r="M332" s="19">
        <v>-1.1669</v>
      </c>
      <c r="N332" s="20">
        <v>1205516.0</v>
      </c>
      <c r="O332" s="21">
        <v>8.52</v>
      </c>
      <c r="P332" s="21">
        <v>8.31</v>
      </c>
      <c r="Q332" s="21">
        <v>8.39</v>
      </c>
      <c r="R332" s="21">
        <v>0.2971</v>
      </c>
      <c r="S332" s="21">
        <v>0.6263</v>
      </c>
      <c r="T332" s="21">
        <v>873798.4</v>
      </c>
      <c r="U332" s="20">
        <v>5.06044937E8</v>
      </c>
      <c r="V332" s="19">
        <v>67.1421</v>
      </c>
      <c r="W332" s="21">
        <v>71.0381</v>
      </c>
      <c r="X332" s="21">
        <v>7.2235</v>
      </c>
      <c r="Y332" s="21">
        <v>6.215</v>
      </c>
      <c r="Z332" s="21">
        <v>8.4275</v>
      </c>
      <c r="AA332" s="21">
        <v>8.0601</v>
      </c>
      <c r="AB332" s="21">
        <v>7.7401</v>
      </c>
      <c r="AC332" s="21">
        <v>7.3635</v>
      </c>
      <c r="AD332" s="21">
        <v>6.942</v>
      </c>
      <c r="AE332" s="21">
        <v>8.88</v>
      </c>
      <c r="AF332" s="21">
        <v>4.6171</v>
      </c>
      <c r="AG332" s="22">
        <f>IFERROR(__xludf.DUMMYFUNCTION("IFERROR(GOOGLEFINANCE(B332,""price""),"""")"),11.55)</f>
        <v>11.55</v>
      </c>
      <c r="AH332" s="22"/>
      <c r="AI332" s="22"/>
      <c r="AJ332" s="22"/>
      <c r="AK332" s="22"/>
      <c r="AL332" s="22"/>
      <c r="AM332" s="22"/>
      <c r="AN332" s="22"/>
    </row>
    <row r="333">
      <c r="A333" s="7">
        <v>46052.891229777895</v>
      </c>
      <c r="B333" s="8" t="s">
        <v>5273</v>
      </c>
      <c r="C333" s="8" t="s">
        <v>5274</v>
      </c>
      <c r="D333" s="9">
        <v>46054.0</v>
      </c>
      <c r="E333" s="10">
        <v>9.68</v>
      </c>
      <c r="F333" s="8" t="s">
        <v>245</v>
      </c>
      <c r="G333" s="11">
        <v>0.95</v>
      </c>
      <c r="H333" s="8" t="s">
        <v>4841</v>
      </c>
      <c r="I333" s="11">
        <v>28.4898</v>
      </c>
      <c r="J333" s="11">
        <v>64.26</v>
      </c>
      <c r="K333" s="13">
        <v>1.3464</v>
      </c>
      <c r="L333" s="8" t="s">
        <v>5275</v>
      </c>
      <c r="M333" s="11">
        <v>-1.925</v>
      </c>
      <c r="N333" s="12">
        <v>2251781.0</v>
      </c>
      <c r="O333" s="13">
        <v>9.9</v>
      </c>
      <c r="P333" s="13">
        <v>9.445</v>
      </c>
      <c r="Q333" s="13">
        <v>9.75</v>
      </c>
      <c r="R333" s="13">
        <v>0.3473</v>
      </c>
      <c r="S333" s="13">
        <v>0.7287</v>
      </c>
      <c r="T333" s="8">
        <v>1776462.0</v>
      </c>
      <c r="U333" s="12">
        <v>1.483890083E9</v>
      </c>
      <c r="V333" s="11">
        <v>85.2546</v>
      </c>
      <c r="W333" s="13">
        <v>91.0393</v>
      </c>
      <c r="X333" s="13">
        <v>8.7372</v>
      </c>
      <c r="Y333" s="13">
        <v>8.3185</v>
      </c>
      <c r="Z333" s="13">
        <v>9.4805</v>
      </c>
      <c r="AA333" s="13">
        <v>9.0425</v>
      </c>
      <c r="AB333" s="13">
        <v>8.8488</v>
      </c>
      <c r="AC333" s="13">
        <v>8.6628</v>
      </c>
      <c r="AD333" s="13">
        <v>8.4603</v>
      </c>
      <c r="AE333" s="13">
        <v>10.1071</v>
      </c>
      <c r="AF333" s="13">
        <v>4.2257</v>
      </c>
      <c r="AG333" s="14">
        <f>IFERROR(__xludf.DUMMYFUNCTION("IFERROR(GOOGLEFINANCE(B333,""price""),"""")"),12.4)</f>
        <v>12.4</v>
      </c>
      <c r="AH333" s="14"/>
      <c r="AI333" s="14"/>
      <c r="AJ333" s="14"/>
      <c r="AK333" s="14"/>
      <c r="AL333" s="14"/>
      <c r="AM333" s="14"/>
      <c r="AN333" s="14"/>
    </row>
    <row r="334">
      <c r="A334" s="15">
        <v>46052.891229777895</v>
      </c>
      <c r="B334" s="16" t="s">
        <v>5276</v>
      </c>
      <c r="C334" s="16" t="s">
        <v>5277</v>
      </c>
      <c r="D334" s="17">
        <v>46054.0</v>
      </c>
      <c r="E334" s="18">
        <v>31.47</v>
      </c>
      <c r="F334" s="16" t="s">
        <v>102</v>
      </c>
      <c r="G334" s="19">
        <v>0.95</v>
      </c>
      <c r="H334" s="16" t="s">
        <v>4841</v>
      </c>
      <c r="I334" s="19">
        <v>51.8142</v>
      </c>
      <c r="J334" s="19">
        <v>64.1489</v>
      </c>
      <c r="K334" s="21">
        <v>1.3014</v>
      </c>
      <c r="L334" s="16" t="s">
        <v>5278</v>
      </c>
      <c r="M334" s="19">
        <v>-0.3483</v>
      </c>
      <c r="N334" s="20">
        <v>457042.0</v>
      </c>
      <c r="O334" s="21">
        <v>31.8</v>
      </c>
      <c r="P334" s="21">
        <v>31.01</v>
      </c>
      <c r="Q334" s="21">
        <v>31.24</v>
      </c>
      <c r="R334" s="21">
        <v>0.7983</v>
      </c>
      <c r="S334" s="21">
        <v>1.6806</v>
      </c>
      <c r="T334" s="21">
        <v>344522.3</v>
      </c>
      <c r="U334" s="20">
        <v>1.837552724E9</v>
      </c>
      <c r="V334" s="19">
        <v>77.4554</v>
      </c>
      <c r="W334" s="21">
        <v>77.802</v>
      </c>
      <c r="X334" s="21">
        <v>28.8212</v>
      </c>
      <c r="Y334" s="21">
        <v>25.9413</v>
      </c>
      <c r="Z334" s="21">
        <v>31.2703</v>
      </c>
      <c r="AA334" s="21">
        <v>30.4751</v>
      </c>
      <c r="AB334" s="21">
        <v>29.8327</v>
      </c>
      <c r="AC334" s="21">
        <v>29.1035</v>
      </c>
      <c r="AD334" s="21">
        <v>28.2026</v>
      </c>
      <c r="AE334" s="21">
        <v>32.15</v>
      </c>
      <c r="AF334" s="21">
        <v>2.1151</v>
      </c>
      <c r="AG334" s="22">
        <f>IFERROR(__xludf.DUMMYFUNCTION("IFERROR(GOOGLEFINANCE(B334,""price""),"""")"),27.19)</f>
        <v>27.19</v>
      </c>
      <c r="AH334" s="22"/>
      <c r="AI334" s="22"/>
      <c r="AJ334" s="22"/>
      <c r="AK334" s="22"/>
      <c r="AL334" s="22"/>
      <c r="AM334" s="22"/>
      <c r="AN334" s="22"/>
    </row>
    <row r="335">
      <c r="A335" s="7">
        <v>46052.891229777895</v>
      </c>
      <c r="B335" s="8" t="s">
        <v>5279</v>
      </c>
      <c r="C335" s="8" t="s">
        <v>5280</v>
      </c>
      <c r="D335" s="9">
        <v>46054.0</v>
      </c>
      <c r="E335" s="10">
        <v>65.79</v>
      </c>
      <c r="F335" s="8" t="s">
        <v>107</v>
      </c>
      <c r="G335" s="11">
        <v>0.95</v>
      </c>
      <c r="H335" s="8" t="s">
        <v>4848</v>
      </c>
      <c r="I335" s="11">
        <v>39.9194</v>
      </c>
      <c r="J335" s="11">
        <v>57.518</v>
      </c>
      <c r="K335" s="13">
        <v>1.3722</v>
      </c>
      <c r="L335" s="8" t="s">
        <v>5281</v>
      </c>
      <c r="M335" s="11">
        <v>-0.1972</v>
      </c>
      <c r="N335" s="12">
        <v>418594.0</v>
      </c>
      <c r="O335" s="13">
        <v>66.84</v>
      </c>
      <c r="P335" s="13">
        <v>64.665</v>
      </c>
      <c r="Q335" s="13">
        <v>65.07</v>
      </c>
      <c r="R335" s="13">
        <v>2.0945</v>
      </c>
      <c r="S335" s="13">
        <v>4.3868</v>
      </c>
      <c r="T335" s="13">
        <v>319770.8</v>
      </c>
      <c r="U335" s="12">
        <v>2.366073548E9</v>
      </c>
      <c r="V335" s="11">
        <v>45.0199</v>
      </c>
      <c r="W335" s="13">
        <v>57.9545</v>
      </c>
      <c r="X335" s="13">
        <v>59.3498</v>
      </c>
      <c r="Y335" s="13">
        <v>53.2496</v>
      </c>
      <c r="Z335" s="13">
        <v>66.5866</v>
      </c>
      <c r="AA335" s="13">
        <v>64.96</v>
      </c>
      <c r="AB335" s="13">
        <v>63.0119</v>
      </c>
      <c r="AC335" s="13">
        <v>60.6986</v>
      </c>
      <c r="AD335" s="13">
        <v>58.1788</v>
      </c>
      <c r="AE335" s="13">
        <v>69.8</v>
      </c>
      <c r="AF335" s="13">
        <v>5.745</v>
      </c>
      <c r="AG335" s="14">
        <f>IFERROR(__xludf.DUMMYFUNCTION("IFERROR(GOOGLEFINANCE(B335,""price""),"""")"),75.25)</f>
        <v>75.25</v>
      </c>
      <c r="AH335" s="14"/>
      <c r="AI335" s="14"/>
      <c r="AJ335" s="14"/>
      <c r="AK335" s="14"/>
      <c r="AL335" s="14"/>
      <c r="AM335" s="14"/>
      <c r="AN335" s="14"/>
    </row>
    <row r="336">
      <c r="A336" s="15">
        <v>46052.891229777895</v>
      </c>
      <c r="B336" s="16" t="s">
        <v>4980</v>
      </c>
      <c r="C336" s="16" t="s">
        <v>4981</v>
      </c>
      <c r="D336" s="17">
        <v>46054.0</v>
      </c>
      <c r="E336" s="18">
        <v>4.68</v>
      </c>
      <c r="F336" s="16" t="s">
        <v>270</v>
      </c>
      <c r="G336" s="19">
        <v>0.95</v>
      </c>
      <c r="H336" s="16" t="s">
        <v>4919</v>
      </c>
      <c r="I336" s="19">
        <v>41.2068</v>
      </c>
      <c r="J336" s="19">
        <v>70.9457</v>
      </c>
      <c r="K336" s="21">
        <v>2.1437</v>
      </c>
      <c r="L336" s="16" t="s">
        <v>4982</v>
      </c>
      <c r="M336" s="19">
        <v>0.4292</v>
      </c>
      <c r="N336" s="20">
        <v>9746924.0</v>
      </c>
      <c r="O336" s="21">
        <v>4.705</v>
      </c>
      <c r="P336" s="21">
        <v>4.49</v>
      </c>
      <c r="Q336" s="21">
        <v>4.57</v>
      </c>
      <c r="R336" s="21">
        <v>0.2016</v>
      </c>
      <c r="S336" s="21">
        <v>0.4229</v>
      </c>
      <c r="T336" s="16">
        <v>5079434.0</v>
      </c>
      <c r="U336" s="20">
        <v>1.43616467E9</v>
      </c>
      <c r="V336" s="19">
        <v>73.3104</v>
      </c>
      <c r="W336" s="21">
        <v>73.8704</v>
      </c>
      <c r="X336" s="21">
        <v>3.9772</v>
      </c>
      <c r="Y336" s="21">
        <v>3.3392</v>
      </c>
      <c r="Z336" s="21">
        <v>4.5231</v>
      </c>
      <c r="AA336" s="21">
        <v>4.3437</v>
      </c>
      <c r="AB336" s="21">
        <v>4.1868</v>
      </c>
      <c r="AC336" s="21">
        <v>3.9593</v>
      </c>
      <c r="AD336" s="21">
        <v>3.6694</v>
      </c>
      <c r="AE336" s="21">
        <v>4.86</v>
      </c>
      <c r="AF336" s="21">
        <v>3.7037</v>
      </c>
      <c r="AG336" s="22">
        <f>IFERROR(__xludf.DUMMYFUNCTION("IFERROR(GOOGLEFINANCE(B336,""price""),"""")"),5.9)</f>
        <v>5.9</v>
      </c>
      <c r="AH336" s="22"/>
      <c r="AI336" s="22"/>
      <c r="AJ336" s="22"/>
      <c r="AK336" s="22"/>
      <c r="AL336" s="22"/>
      <c r="AM336" s="22"/>
      <c r="AN336" s="22"/>
    </row>
    <row r="337">
      <c r="A337" s="7">
        <v>46052.891229777895</v>
      </c>
      <c r="B337" s="8" t="s">
        <v>5282</v>
      </c>
      <c r="C337" s="8" t="s">
        <v>5283</v>
      </c>
      <c r="D337" s="9">
        <v>46054.0</v>
      </c>
      <c r="E337" s="10">
        <v>20.48</v>
      </c>
      <c r="F337" s="8" t="s">
        <v>270</v>
      </c>
      <c r="G337" s="11">
        <v>0.95</v>
      </c>
      <c r="H337" s="8" t="s">
        <v>4848</v>
      </c>
      <c r="I337" s="11">
        <v>54.5988</v>
      </c>
      <c r="J337" s="11">
        <v>63.5928</v>
      </c>
      <c r="K337" s="13">
        <v>1.4096</v>
      </c>
      <c r="L337" s="8" t="s">
        <v>5284</v>
      </c>
      <c r="M337" s="11">
        <v>-1.633</v>
      </c>
      <c r="N337" s="12">
        <v>2603701.0</v>
      </c>
      <c r="O337" s="13">
        <v>20.5099</v>
      </c>
      <c r="P337" s="13">
        <v>20.075</v>
      </c>
      <c r="Q337" s="13">
        <v>20.23</v>
      </c>
      <c r="R337" s="13">
        <v>0.3589</v>
      </c>
      <c r="S337" s="13">
        <v>0.7586</v>
      </c>
      <c r="T337" s="8">
        <v>1985291.0</v>
      </c>
      <c r="U337" s="12">
        <v>4.05274869E9</v>
      </c>
      <c r="V337" s="11">
        <v>72.1041</v>
      </c>
      <c r="W337" s="13">
        <v>83.4212</v>
      </c>
      <c r="X337" s="13">
        <v>19.2343</v>
      </c>
      <c r="Y337" s="13">
        <v>18.9039</v>
      </c>
      <c r="Z337" s="13">
        <v>20.5309</v>
      </c>
      <c r="AA337" s="13">
        <v>20.1051</v>
      </c>
      <c r="AB337" s="13">
        <v>19.7447</v>
      </c>
      <c r="AC337" s="13">
        <v>19.357</v>
      </c>
      <c r="AD337" s="13">
        <v>19.0646</v>
      </c>
      <c r="AE337" s="13">
        <v>21.97</v>
      </c>
      <c r="AF337" s="13">
        <v>6.782</v>
      </c>
      <c r="AG337" s="14">
        <f>IFERROR(__xludf.DUMMYFUNCTION("IFERROR(GOOGLEFINANCE(B337,""price""),"""")"),23.58)</f>
        <v>23.58</v>
      </c>
      <c r="AH337" s="14"/>
      <c r="AI337" s="14"/>
      <c r="AJ337" s="14"/>
      <c r="AK337" s="14"/>
      <c r="AL337" s="14"/>
      <c r="AM337" s="14"/>
      <c r="AN337" s="14"/>
    </row>
    <row r="338">
      <c r="A338" s="15">
        <v>46052.891229777895</v>
      </c>
      <c r="B338" s="16" t="s">
        <v>5285</v>
      </c>
      <c r="C338" s="16" t="s">
        <v>5286</v>
      </c>
      <c r="D338" s="17">
        <v>46054.0</v>
      </c>
      <c r="E338" s="18">
        <v>41.29</v>
      </c>
      <c r="F338" s="16" t="s">
        <v>917</v>
      </c>
      <c r="G338" s="19">
        <v>0.96</v>
      </c>
      <c r="H338" s="16" t="s">
        <v>4915</v>
      </c>
      <c r="I338" s="19">
        <v>25.4757</v>
      </c>
      <c r="J338" s="19">
        <v>66.5209</v>
      </c>
      <c r="K338" s="21">
        <v>1.8759</v>
      </c>
      <c r="L338" s="16" t="s">
        <v>5287</v>
      </c>
      <c r="M338" s="19">
        <v>1.2258</v>
      </c>
      <c r="N338" s="20">
        <v>1153727.0</v>
      </c>
      <c r="O338" s="21">
        <v>41.31</v>
      </c>
      <c r="P338" s="21">
        <v>40.38</v>
      </c>
      <c r="Q338" s="21">
        <v>40.79</v>
      </c>
      <c r="R338" s="21">
        <v>0.671</v>
      </c>
      <c r="S338" s="21">
        <v>1.4049</v>
      </c>
      <c r="T338" s="21">
        <v>678515.1</v>
      </c>
      <c r="U338" s="20">
        <v>3.359839313E9</v>
      </c>
      <c r="V338" s="19">
        <v>81.346</v>
      </c>
      <c r="W338" s="21">
        <v>80.5391</v>
      </c>
      <c r="X338" s="21">
        <v>39.5162</v>
      </c>
      <c r="Y338" s="21">
        <v>38.6504</v>
      </c>
      <c r="Z338" s="21">
        <v>40.5856</v>
      </c>
      <c r="AA338" s="21">
        <v>39.9848</v>
      </c>
      <c r="AB338" s="21">
        <v>39.7147</v>
      </c>
      <c r="AC338" s="21">
        <v>39.4539</v>
      </c>
      <c r="AD338" s="21">
        <v>39.1489</v>
      </c>
      <c r="AE338" s="21">
        <v>43.09</v>
      </c>
      <c r="AF338" s="21">
        <v>4.1773</v>
      </c>
      <c r="AG338" s="22">
        <f>IFERROR(__xludf.DUMMYFUNCTION("IFERROR(GOOGLEFINANCE(B338,""price""),"""")"),41.87)</f>
        <v>41.87</v>
      </c>
      <c r="AH338" s="22"/>
      <c r="AI338" s="22"/>
      <c r="AJ338" s="22"/>
      <c r="AK338" s="22"/>
      <c r="AL338" s="22"/>
      <c r="AM338" s="22"/>
      <c r="AN338" s="22"/>
    </row>
    <row r="339">
      <c r="A339" s="7">
        <v>46052.891229777895</v>
      </c>
      <c r="B339" s="8" t="s">
        <v>2168</v>
      </c>
      <c r="C339" s="8" t="s">
        <v>2169</v>
      </c>
      <c r="D339" s="9">
        <v>46054.0</v>
      </c>
      <c r="E339" s="10">
        <v>117.66</v>
      </c>
      <c r="F339" s="8" t="s">
        <v>162</v>
      </c>
      <c r="G339" s="11">
        <v>0.96</v>
      </c>
      <c r="H339" s="8" t="s">
        <v>4864</v>
      </c>
      <c r="I339" s="11">
        <v>45.0174</v>
      </c>
      <c r="J339" s="11">
        <v>41.0462</v>
      </c>
      <c r="K339" s="13">
        <v>1.4971</v>
      </c>
      <c r="L339" s="8" t="s">
        <v>2170</v>
      </c>
      <c r="M339" s="11">
        <v>-3.6916</v>
      </c>
      <c r="N339" s="12">
        <v>1477096.0</v>
      </c>
      <c r="O339" s="13">
        <v>121.415</v>
      </c>
      <c r="P339" s="13">
        <v>117.06</v>
      </c>
      <c r="Q339" s="13">
        <v>119.66</v>
      </c>
      <c r="R339" s="13">
        <v>3.4372</v>
      </c>
      <c r="S339" s="13">
        <v>7.1244</v>
      </c>
      <c r="T339" s="8">
        <v>1050227.0</v>
      </c>
      <c r="U339" s="12">
        <v>6.377171994E9</v>
      </c>
      <c r="V339" s="11">
        <v>38.3672</v>
      </c>
      <c r="W339" s="13">
        <v>54.9951</v>
      </c>
      <c r="X339" s="13">
        <v>116.3482</v>
      </c>
      <c r="Y339" s="13">
        <v>107.2039</v>
      </c>
      <c r="Z339" s="13">
        <v>124.5702</v>
      </c>
      <c r="AA339" s="13">
        <v>123.0236</v>
      </c>
      <c r="AB339" s="13">
        <v>120.0454</v>
      </c>
      <c r="AC339" s="13">
        <v>115.8123</v>
      </c>
      <c r="AD339" s="13">
        <v>111.4341</v>
      </c>
      <c r="AE339" s="13">
        <v>132.18</v>
      </c>
      <c r="AF339" s="13">
        <v>10.985</v>
      </c>
      <c r="AG339" s="14">
        <f>IFERROR(__xludf.DUMMYFUNCTION("IFERROR(GOOGLEFINANCE(B339,""price""),"""")"),140.38)</f>
        <v>140.38</v>
      </c>
      <c r="AH339" s="14"/>
      <c r="AI339" s="14"/>
      <c r="AJ339" s="14"/>
      <c r="AK339" s="14"/>
      <c r="AL339" s="14"/>
      <c r="AM339" s="14"/>
      <c r="AN339" s="14"/>
    </row>
    <row r="340">
      <c r="A340" s="15">
        <v>46052.891229777895</v>
      </c>
      <c r="B340" s="16" t="s">
        <v>5125</v>
      </c>
      <c r="C340" s="16" t="s">
        <v>5126</v>
      </c>
      <c r="D340" s="17">
        <v>46054.0</v>
      </c>
      <c r="E340" s="18">
        <v>35.78</v>
      </c>
      <c r="F340" s="16" t="s">
        <v>308</v>
      </c>
      <c r="G340" s="19">
        <v>0.96</v>
      </c>
      <c r="H340" s="16" t="s">
        <v>4841</v>
      </c>
      <c r="I340" s="19">
        <v>54.1377</v>
      </c>
      <c r="J340" s="19">
        <v>65.9758</v>
      </c>
      <c r="K340" s="21">
        <v>1.3186</v>
      </c>
      <c r="L340" s="16" t="s">
        <v>5127</v>
      </c>
      <c r="M340" s="19">
        <v>-3.6099</v>
      </c>
      <c r="N340" s="20">
        <v>2292265.0</v>
      </c>
      <c r="O340" s="21">
        <v>37.4154</v>
      </c>
      <c r="P340" s="21">
        <v>35.17</v>
      </c>
      <c r="Q340" s="21">
        <v>36.75</v>
      </c>
      <c r="R340" s="21">
        <v>1.179</v>
      </c>
      <c r="S340" s="21">
        <v>2.4479</v>
      </c>
      <c r="T340" s="16">
        <v>1818712.0</v>
      </c>
      <c r="U340" s="20">
        <v>8.720017494E9</v>
      </c>
      <c r="V340" s="19">
        <v>76.5218</v>
      </c>
      <c r="W340" s="21">
        <v>83.8596</v>
      </c>
      <c r="X340" s="21">
        <v>30.6764</v>
      </c>
      <c r="Y340" s="21">
        <v>26.3382</v>
      </c>
      <c r="Z340" s="21">
        <v>35.5529</v>
      </c>
      <c r="AA340" s="21">
        <v>33.9723</v>
      </c>
      <c r="AB340" s="21">
        <v>32.536</v>
      </c>
      <c r="AC340" s="21">
        <v>30.7584</v>
      </c>
      <c r="AD340" s="21">
        <v>28.9041</v>
      </c>
      <c r="AE340" s="21">
        <v>37.94</v>
      </c>
      <c r="AF340" s="21">
        <v>5.6932</v>
      </c>
      <c r="AG340" s="22">
        <f>IFERROR(__xludf.DUMMYFUNCTION("IFERROR(GOOGLEFINANCE(B340,""price""),"""")"),26.29)</f>
        <v>26.29</v>
      </c>
      <c r="AH340" s="22"/>
      <c r="AI340" s="22"/>
      <c r="AJ340" s="22"/>
      <c r="AK340" s="22"/>
      <c r="AL340" s="22"/>
      <c r="AM340" s="22"/>
      <c r="AN340" s="22"/>
    </row>
    <row r="341">
      <c r="A341" s="7">
        <v>46052.891229777895</v>
      </c>
      <c r="B341" s="8" t="s">
        <v>4972</v>
      </c>
      <c r="C341" s="8" t="s">
        <v>4973</v>
      </c>
      <c r="D341" s="9">
        <v>46054.0</v>
      </c>
      <c r="E341" s="10">
        <v>75.92</v>
      </c>
      <c r="F341" s="8" t="s">
        <v>308</v>
      </c>
      <c r="G341" s="11">
        <v>0.96</v>
      </c>
      <c r="H341" s="8" t="s">
        <v>4841</v>
      </c>
      <c r="I341" s="11">
        <v>42.1101</v>
      </c>
      <c r="J341" s="11">
        <v>58.609</v>
      </c>
      <c r="K341" s="13">
        <v>1.3364</v>
      </c>
      <c r="L341" s="8" t="s">
        <v>4974</v>
      </c>
      <c r="M341" s="11">
        <v>-4.3347</v>
      </c>
      <c r="N341" s="12">
        <v>1.2510667E7</v>
      </c>
      <c r="O341" s="13">
        <v>78.56</v>
      </c>
      <c r="P341" s="13">
        <v>75.08</v>
      </c>
      <c r="Q341" s="13">
        <v>78.33</v>
      </c>
      <c r="R341" s="13">
        <v>2.8909</v>
      </c>
      <c r="S341" s="13">
        <v>5.9956</v>
      </c>
      <c r="T341" s="8">
        <v>9913358.0</v>
      </c>
      <c r="U341" s="12">
        <v>4.1030724286E10</v>
      </c>
      <c r="V341" s="11">
        <v>68.4492</v>
      </c>
      <c r="W341" s="13">
        <v>66.134</v>
      </c>
      <c r="X341" s="13">
        <v>66.409</v>
      </c>
      <c r="Y341" s="13">
        <v>65.2646</v>
      </c>
      <c r="Z341" s="13">
        <v>76.5027</v>
      </c>
      <c r="AA341" s="13">
        <v>73.7182</v>
      </c>
      <c r="AB341" s="13">
        <v>71.2871</v>
      </c>
      <c r="AC341" s="13">
        <v>68.8209</v>
      </c>
      <c r="AD341" s="13">
        <v>66.896</v>
      </c>
      <c r="AE341" s="13">
        <v>81.4299</v>
      </c>
      <c r="AF341" s="13">
        <v>6.7664</v>
      </c>
      <c r="AG341" s="14">
        <f>IFERROR(__xludf.DUMMYFUNCTION("IFERROR(GOOGLEFINANCE(B341,""price""),"""")"),71.56)</f>
        <v>71.56</v>
      </c>
      <c r="AH341" s="14"/>
      <c r="AI341" s="14"/>
      <c r="AJ341" s="14"/>
      <c r="AK341" s="14"/>
      <c r="AL341" s="14"/>
      <c r="AM341" s="14"/>
      <c r="AN341" s="14"/>
    </row>
    <row r="342">
      <c r="A342" s="15">
        <v>46052.891229777895</v>
      </c>
      <c r="B342" s="16" t="s">
        <v>2226</v>
      </c>
      <c r="C342" s="16" t="s">
        <v>2227</v>
      </c>
      <c r="D342" s="17">
        <v>46054.0</v>
      </c>
      <c r="E342" s="18">
        <v>184.66</v>
      </c>
      <c r="F342" s="16" t="s">
        <v>102</v>
      </c>
      <c r="G342" s="19">
        <v>0.96</v>
      </c>
      <c r="H342" s="16" t="s">
        <v>4941</v>
      </c>
      <c r="I342" s="19">
        <v>23.795</v>
      </c>
      <c r="J342" s="19">
        <v>77.9012</v>
      </c>
      <c r="K342" s="21">
        <v>2.3018</v>
      </c>
      <c r="L342" s="16" t="s">
        <v>2228</v>
      </c>
      <c r="M342" s="19">
        <v>4.493</v>
      </c>
      <c r="N342" s="20">
        <v>2945838.0</v>
      </c>
      <c r="O342" s="21">
        <v>190.2225</v>
      </c>
      <c r="P342" s="21">
        <v>176.72</v>
      </c>
      <c r="Q342" s="21">
        <v>179.9</v>
      </c>
      <c r="R342" s="21">
        <v>10.1002</v>
      </c>
      <c r="S342" s="21">
        <v>21.045</v>
      </c>
      <c r="T342" s="16">
        <v>1476963.0</v>
      </c>
      <c r="U342" s="20">
        <v>9.722084486E9</v>
      </c>
      <c r="V342" s="19">
        <v>88.1914</v>
      </c>
      <c r="W342" s="21">
        <v>86.5352</v>
      </c>
      <c r="X342" s="21">
        <v>143.8406</v>
      </c>
      <c r="Y342" s="21">
        <v>131.6866</v>
      </c>
      <c r="Z342" s="21">
        <v>158.3827</v>
      </c>
      <c r="AA342" s="21">
        <v>146.6421</v>
      </c>
      <c r="AB342" s="21">
        <v>144.3958</v>
      </c>
      <c r="AC342" s="21">
        <v>143.7063</v>
      </c>
      <c r="AD342" s="21">
        <v>141.7642</v>
      </c>
      <c r="AE342" s="21">
        <v>190.2225</v>
      </c>
      <c r="AF342" s="21">
        <v>2.9242</v>
      </c>
      <c r="AG342" s="22">
        <f>IFERROR(__xludf.DUMMYFUNCTION("IFERROR(GOOGLEFINANCE(B342,""price""),"""")"),241.46)</f>
        <v>241.46</v>
      </c>
      <c r="AH342" s="22"/>
      <c r="AI342" s="22"/>
      <c r="AJ342" s="22"/>
      <c r="AK342" s="22"/>
      <c r="AL342" s="22"/>
      <c r="AM342" s="22"/>
      <c r="AN342" s="22"/>
    </row>
    <row r="343">
      <c r="A343" s="7">
        <v>46052.891229777895</v>
      </c>
      <c r="B343" s="8" t="s">
        <v>1086</v>
      </c>
      <c r="C343" s="8" t="s">
        <v>1087</v>
      </c>
      <c r="D343" s="9">
        <v>46054.0</v>
      </c>
      <c r="E343" s="10">
        <v>18.03</v>
      </c>
      <c r="F343" s="8" t="s">
        <v>93</v>
      </c>
      <c r="G343" s="11">
        <v>0.96</v>
      </c>
      <c r="H343" s="8" t="s">
        <v>4868</v>
      </c>
      <c r="I343" s="11">
        <v>27.2222</v>
      </c>
      <c r="J343" s="11">
        <v>61.5668</v>
      </c>
      <c r="K343" s="13">
        <v>1.6985</v>
      </c>
      <c r="L343" s="8" t="s">
        <v>1088</v>
      </c>
      <c r="M343" s="11">
        <v>1.2921</v>
      </c>
      <c r="N343" s="12">
        <v>1211514.0</v>
      </c>
      <c r="O343" s="13">
        <v>18.09</v>
      </c>
      <c r="P343" s="13">
        <v>17.78</v>
      </c>
      <c r="Q343" s="13">
        <v>17.78</v>
      </c>
      <c r="R343" s="13">
        <v>0.4145</v>
      </c>
      <c r="S343" s="13">
        <v>0.8647</v>
      </c>
      <c r="T343" s="13">
        <v>786000.1</v>
      </c>
      <c r="U343" s="12">
        <v>1.870900604E9</v>
      </c>
      <c r="V343" s="11">
        <v>58.4677</v>
      </c>
      <c r="W343" s="13">
        <v>51.787</v>
      </c>
      <c r="X343" s="13">
        <v>17.0154</v>
      </c>
      <c r="Y343" s="13">
        <v>16.6432</v>
      </c>
      <c r="Z343" s="13">
        <v>17.7313</v>
      </c>
      <c r="AA343" s="13">
        <v>17.4968</v>
      </c>
      <c r="AB343" s="13">
        <v>17.31</v>
      </c>
      <c r="AC343" s="13">
        <v>17.1063</v>
      </c>
      <c r="AD343" s="13">
        <v>16.9273</v>
      </c>
      <c r="AE343" s="13">
        <v>18.415</v>
      </c>
      <c r="AF343" s="13">
        <v>2.0907</v>
      </c>
      <c r="AG343" s="14">
        <f>IFERROR(__xludf.DUMMYFUNCTION("IFERROR(GOOGLEFINANCE(B343,""price""),"""")"),18.73)</f>
        <v>18.73</v>
      </c>
      <c r="AH343" s="14"/>
      <c r="AI343" s="14"/>
      <c r="AJ343" s="14"/>
      <c r="AK343" s="14"/>
      <c r="AL343" s="14"/>
      <c r="AM343" s="14"/>
      <c r="AN343" s="14"/>
    </row>
    <row r="344">
      <c r="A344" s="15">
        <v>46052.891229777895</v>
      </c>
      <c r="B344" s="16" t="s">
        <v>5119</v>
      </c>
      <c r="C344" s="16" t="s">
        <v>5120</v>
      </c>
      <c r="D344" s="17">
        <v>46054.0</v>
      </c>
      <c r="E344" s="18">
        <v>90.22</v>
      </c>
      <c r="F344" s="16" t="s">
        <v>162</v>
      </c>
      <c r="G344" s="19">
        <v>0.96</v>
      </c>
      <c r="H344" s="16" t="s">
        <v>5015</v>
      </c>
      <c r="I344" s="19">
        <v>34.4488</v>
      </c>
      <c r="J344" s="19">
        <v>60.8202</v>
      </c>
      <c r="K344" s="21">
        <v>2.5478</v>
      </c>
      <c r="L344" s="16" t="s">
        <v>5121</v>
      </c>
      <c r="M344" s="19">
        <v>5.7555</v>
      </c>
      <c r="N344" s="20">
        <v>901388.0</v>
      </c>
      <c r="O344" s="21">
        <v>90.69</v>
      </c>
      <c r="P344" s="21">
        <v>79.67</v>
      </c>
      <c r="Q344" s="21">
        <v>80.26</v>
      </c>
      <c r="R344" s="21">
        <v>3.5847</v>
      </c>
      <c r="S344" s="21">
        <v>7.4561</v>
      </c>
      <c r="T344" s="21">
        <v>409685.5</v>
      </c>
      <c r="U344" s="20">
        <v>2.030944226E9</v>
      </c>
      <c r="V344" s="19">
        <v>39.8585</v>
      </c>
      <c r="W344" s="21">
        <v>36.9936</v>
      </c>
      <c r="X344" s="21">
        <v>77.6708</v>
      </c>
      <c r="Y344" s="21">
        <v>77.6133</v>
      </c>
      <c r="Z344" s="21">
        <v>88.0106</v>
      </c>
      <c r="AA344" s="21">
        <v>85.9818</v>
      </c>
      <c r="AB344" s="21">
        <v>83.2812</v>
      </c>
      <c r="AC344" s="21">
        <v>80.195</v>
      </c>
      <c r="AD344" s="21">
        <v>77.6528</v>
      </c>
      <c r="AE344" s="21">
        <v>99.99</v>
      </c>
      <c r="AF344" s="21">
        <v>9.771</v>
      </c>
      <c r="AG344" s="22">
        <f>IFERROR(__xludf.DUMMYFUNCTION("IFERROR(GOOGLEFINANCE(B344,""price""),"""")"),108.48)</f>
        <v>108.48</v>
      </c>
      <c r="AH344" s="22"/>
      <c r="AI344" s="22"/>
      <c r="AJ344" s="22"/>
      <c r="AK344" s="22"/>
      <c r="AL344" s="22"/>
      <c r="AM344" s="22"/>
      <c r="AN344" s="22"/>
    </row>
    <row r="345">
      <c r="A345" s="7">
        <v>46052.891229777895</v>
      </c>
      <c r="B345" s="8" t="s">
        <v>1486</v>
      </c>
      <c r="C345" s="8" t="s">
        <v>1487</v>
      </c>
      <c r="D345" s="9">
        <v>46054.0</v>
      </c>
      <c r="E345" s="10">
        <v>63.04</v>
      </c>
      <c r="F345" s="8" t="s">
        <v>93</v>
      </c>
      <c r="G345" s="11">
        <v>0.97</v>
      </c>
      <c r="H345" s="8" t="s">
        <v>4864</v>
      </c>
      <c r="I345" s="11">
        <v>28.8608</v>
      </c>
      <c r="J345" s="11">
        <v>54.991</v>
      </c>
      <c r="K345" s="13">
        <v>1.4648</v>
      </c>
      <c r="L345" s="8" t="s">
        <v>1488</v>
      </c>
      <c r="M345" s="11">
        <v>-1.1757</v>
      </c>
      <c r="N345" s="12">
        <v>607026.0</v>
      </c>
      <c r="O345" s="13">
        <v>63.745</v>
      </c>
      <c r="P345" s="13">
        <v>62.45</v>
      </c>
      <c r="Q345" s="13">
        <v>63.43</v>
      </c>
      <c r="R345" s="13">
        <v>0.9002</v>
      </c>
      <c r="S345" s="13">
        <v>1.8656</v>
      </c>
      <c r="T345" s="13">
        <v>440680.6</v>
      </c>
      <c r="U345" s="12">
        <v>3.5139698008E10</v>
      </c>
      <c r="V345" s="11">
        <v>71.0636</v>
      </c>
      <c r="W345" s="13">
        <v>67.142</v>
      </c>
      <c r="X345" s="13">
        <v>61.1884</v>
      </c>
      <c r="Y345" s="13">
        <v>60.3582</v>
      </c>
      <c r="Z345" s="13">
        <v>63.0843</v>
      </c>
      <c r="AA345" s="13">
        <v>62.6648</v>
      </c>
      <c r="AB345" s="13">
        <v>62.2168</v>
      </c>
      <c r="AC345" s="13">
        <v>61.6951</v>
      </c>
      <c r="AD345" s="13">
        <v>61.2443</v>
      </c>
      <c r="AE345" s="13">
        <v>66.81</v>
      </c>
      <c r="AF345" s="13">
        <v>5.6429</v>
      </c>
      <c r="AG345" s="14">
        <f>IFERROR(__xludf.DUMMYFUNCTION("IFERROR(GOOGLEFINANCE(B345,""price""),"""")"),65.27)</f>
        <v>65.27</v>
      </c>
      <c r="AH345" s="14"/>
      <c r="AI345" s="14"/>
      <c r="AJ345" s="14"/>
      <c r="AK345" s="14"/>
      <c r="AL345" s="14"/>
      <c r="AM345" s="14"/>
      <c r="AN345" s="14"/>
    </row>
    <row r="346">
      <c r="A346" s="15">
        <v>46052.891229777895</v>
      </c>
      <c r="B346" s="16" t="s">
        <v>5288</v>
      </c>
      <c r="C346" s="16" t="s">
        <v>5289</v>
      </c>
      <c r="D346" s="17">
        <v>46054.0</v>
      </c>
      <c r="E346" s="18">
        <v>50.42</v>
      </c>
      <c r="F346" s="16" t="s">
        <v>102</v>
      </c>
      <c r="G346" s="19">
        <v>0.97</v>
      </c>
      <c r="H346" s="16" t="s">
        <v>4962</v>
      </c>
      <c r="I346" s="19">
        <v>33.4954</v>
      </c>
      <c r="J346" s="19">
        <v>57.5809</v>
      </c>
      <c r="K346" s="21">
        <v>2.1527</v>
      </c>
      <c r="L346" s="16" t="s">
        <v>5290</v>
      </c>
      <c r="M346" s="19">
        <v>0.9207</v>
      </c>
      <c r="N346" s="20">
        <v>1013075.0</v>
      </c>
      <c r="O346" s="21">
        <v>50.6</v>
      </c>
      <c r="P346" s="21">
        <v>49.35</v>
      </c>
      <c r="Q346" s="21">
        <v>49.35</v>
      </c>
      <c r="R346" s="21">
        <v>1.4713</v>
      </c>
      <c r="S346" s="21">
        <v>3.019</v>
      </c>
      <c r="T346" s="21">
        <v>532323.8</v>
      </c>
      <c r="U346" s="20">
        <v>1.557280249E9</v>
      </c>
      <c r="V346" s="19">
        <v>49.1122</v>
      </c>
      <c r="W346" s="21">
        <v>42.903</v>
      </c>
      <c r="X346" s="21">
        <v>47.199</v>
      </c>
      <c r="Y346" s="21">
        <v>47.6721</v>
      </c>
      <c r="Z346" s="21">
        <v>50.0261</v>
      </c>
      <c r="AA346" s="21">
        <v>49.3027</v>
      </c>
      <c r="AB346" s="21">
        <v>48.5277</v>
      </c>
      <c r="AC346" s="21">
        <v>47.671</v>
      </c>
      <c r="AD346" s="21">
        <v>47.1034</v>
      </c>
      <c r="AE346" s="21">
        <v>66.29</v>
      </c>
      <c r="AF346" s="21">
        <v>23.9403</v>
      </c>
      <c r="AG346" s="22">
        <f>IFERROR(__xludf.DUMMYFUNCTION("IFERROR(GOOGLEFINANCE(B346,""price""),"""")"),52.15)</f>
        <v>52.15</v>
      </c>
      <c r="AH346" s="22"/>
      <c r="AI346" s="22"/>
      <c r="AJ346" s="22"/>
      <c r="AK346" s="22"/>
      <c r="AL346" s="22"/>
      <c r="AM346" s="22"/>
      <c r="AN346" s="22"/>
    </row>
    <row r="347">
      <c r="A347" s="7">
        <v>46052.891229777895</v>
      </c>
      <c r="B347" s="8" t="s">
        <v>1375</v>
      </c>
      <c r="C347" s="8" t="s">
        <v>1376</v>
      </c>
      <c r="D347" s="9">
        <v>46054.0</v>
      </c>
      <c r="E347" s="10">
        <v>71.71</v>
      </c>
      <c r="F347" s="8" t="s">
        <v>117</v>
      </c>
      <c r="G347" s="11">
        <v>0.97</v>
      </c>
      <c r="H347" s="8" t="s">
        <v>4841</v>
      </c>
      <c r="I347" s="11">
        <v>26.5743</v>
      </c>
      <c r="J347" s="11">
        <v>53.8933</v>
      </c>
      <c r="K347" s="13">
        <v>1.3462</v>
      </c>
      <c r="L347" s="8" t="s">
        <v>1377</v>
      </c>
      <c r="M347" s="11">
        <v>-2.2225</v>
      </c>
      <c r="N347" s="12">
        <v>2044283.0</v>
      </c>
      <c r="O347" s="13">
        <v>74.48</v>
      </c>
      <c r="P347" s="13">
        <v>71.3</v>
      </c>
      <c r="Q347" s="13">
        <v>73.34</v>
      </c>
      <c r="R347" s="13">
        <v>2.2579</v>
      </c>
      <c r="S347" s="13">
        <v>4.6426</v>
      </c>
      <c r="T347" s="8">
        <v>1505695.0</v>
      </c>
      <c r="U347" s="12">
        <v>8.432880457E9</v>
      </c>
      <c r="V347" s="11">
        <v>65.4703</v>
      </c>
      <c r="W347" s="13">
        <v>50.841</v>
      </c>
      <c r="X347" s="13">
        <v>68.9316</v>
      </c>
      <c r="Y347" s="13">
        <v>65.3936</v>
      </c>
      <c r="Z347" s="13">
        <v>71.6281</v>
      </c>
      <c r="AA347" s="13">
        <v>70.9184</v>
      </c>
      <c r="AB347" s="13">
        <v>70.2411</v>
      </c>
      <c r="AC347" s="13">
        <v>69.5641</v>
      </c>
      <c r="AD347" s="13">
        <v>68.67</v>
      </c>
      <c r="AE347" s="13">
        <v>79.5</v>
      </c>
      <c r="AF347" s="13">
        <v>9.7987</v>
      </c>
      <c r="AG347" s="14">
        <f>IFERROR(__xludf.DUMMYFUNCTION("IFERROR(GOOGLEFINANCE(B347,""price""),"""")"),67.82)</f>
        <v>67.82</v>
      </c>
      <c r="AH347" s="14"/>
      <c r="AI347" s="14"/>
      <c r="AJ347" s="14"/>
      <c r="AK347" s="14"/>
      <c r="AL347" s="14"/>
      <c r="AM347" s="14"/>
      <c r="AN347" s="14"/>
    </row>
    <row r="348">
      <c r="A348" s="15">
        <v>46052.891229777895</v>
      </c>
      <c r="B348" s="16" t="s">
        <v>5291</v>
      </c>
      <c r="C348" s="16" t="s">
        <v>5292</v>
      </c>
      <c r="D348" s="17">
        <v>46054.0</v>
      </c>
      <c r="E348" s="18">
        <v>28.22</v>
      </c>
      <c r="F348" s="16" t="s">
        <v>335</v>
      </c>
      <c r="G348" s="19">
        <v>0.97</v>
      </c>
      <c r="H348" s="16" t="s">
        <v>5015</v>
      </c>
      <c r="I348" s="19">
        <v>33.3196</v>
      </c>
      <c r="J348" s="19">
        <v>55.9736</v>
      </c>
      <c r="K348" s="21">
        <v>2.4999</v>
      </c>
      <c r="L348" s="16" t="s">
        <v>5293</v>
      </c>
      <c r="M348" s="19">
        <v>0.0</v>
      </c>
      <c r="N348" s="20">
        <v>838850.0</v>
      </c>
      <c r="O348" s="21">
        <v>28.49</v>
      </c>
      <c r="P348" s="21">
        <v>27.69</v>
      </c>
      <c r="Q348" s="21">
        <v>27.69</v>
      </c>
      <c r="R348" s="21">
        <v>0.994</v>
      </c>
      <c r="S348" s="21">
        <v>2.0416</v>
      </c>
      <c r="T348" s="21">
        <v>392287.2</v>
      </c>
      <c r="U348" s="20">
        <v>9.09021054E8</v>
      </c>
      <c r="V348" s="19">
        <v>31.6486</v>
      </c>
      <c r="W348" s="21">
        <v>36.9453</v>
      </c>
      <c r="X348" s="21">
        <v>25.6068</v>
      </c>
      <c r="Y348" s="21">
        <v>23.7574</v>
      </c>
      <c r="Z348" s="21">
        <v>28.3175</v>
      </c>
      <c r="AA348" s="21">
        <v>27.8238</v>
      </c>
      <c r="AB348" s="21">
        <v>27.0187</v>
      </c>
      <c r="AC348" s="21">
        <v>25.9913</v>
      </c>
      <c r="AD348" s="21">
        <v>24.9766</v>
      </c>
      <c r="AE348" s="21">
        <v>30.31</v>
      </c>
      <c r="AF348" s="21">
        <v>6.8954</v>
      </c>
      <c r="AG348" s="22" t="str">
        <f>IFERROR(__xludf.DUMMYFUNCTION("IFERROR(GOOGLEFINANCE(B348,""price""),"""")"),"")</f>
        <v/>
      </c>
      <c r="AH348" s="22"/>
      <c r="AI348" s="22"/>
      <c r="AJ348" s="22"/>
      <c r="AK348" s="22"/>
      <c r="AL348" s="22"/>
      <c r="AM348" s="22"/>
      <c r="AN348" s="22"/>
    </row>
    <row r="349">
      <c r="A349" s="7">
        <v>46052.891229777895</v>
      </c>
      <c r="B349" s="8" t="s">
        <v>5181</v>
      </c>
      <c r="C349" s="8" t="s">
        <v>5182</v>
      </c>
      <c r="D349" s="9">
        <v>46054.0</v>
      </c>
      <c r="E349" s="10">
        <v>19.24</v>
      </c>
      <c r="F349" s="8" t="s">
        <v>270</v>
      </c>
      <c r="G349" s="11">
        <v>0.97</v>
      </c>
      <c r="H349" s="8" t="s">
        <v>4862</v>
      </c>
      <c r="I349" s="11">
        <v>50.1118</v>
      </c>
      <c r="J349" s="11">
        <v>60.9529</v>
      </c>
      <c r="K349" s="13">
        <v>1.5845</v>
      </c>
      <c r="L349" s="8" t="s">
        <v>5183</v>
      </c>
      <c r="M349" s="11">
        <v>-2.2854</v>
      </c>
      <c r="N349" s="12">
        <v>6802090.0</v>
      </c>
      <c r="O349" s="13">
        <v>19.25</v>
      </c>
      <c r="P349" s="13">
        <v>18.855</v>
      </c>
      <c r="Q349" s="13">
        <v>19.09</v>
      </c>
      <c r="R349" s="13">
        <v>0.3711</v>
      </c>
      <c r="S349" s="13">
        <v>0.7648</v>
      </c>
      <c r="T349" s="8">
        <v>4507863.0</v>
      </c>
      <c r="U349" s="12">
        <v>1.3573776919E10</v>
      </c>
      <c r="V349" s="11">
        <v>72.934</v>
      </c>
      <c r="W349" s="13">
        <v>84.4004</v>
      </c>
      <c r="X349" s="13">
        <v>18.0954</v>
      </c>
      <c r="Y349" s="13">
        <v>17.7744</v>
      </c>
      <c r="Z349" s="13">
        <v>19.3629</v>
      </c>
      <c r="AA349" s="13">
        <v>18.9414</v>
      </c>
      <c r="AB349" s="13">
        <v>18.5937</v>
      </c>
      <c r="AC349" s="13">
        <v>18.2235</v>
      </c>
      <c r="AD349" s="13">
        <v>17.94</v>
      </c>
      <c r="AE349" s="13">
        <v>20.77</v>
      </c>
      <c r="AF349" s="13">
        <v>7.3664</v>
      </c>
      <c r="AG349" s="14">
        <f>IFERROR(__xludf.DUMMYFUNCTION("IFERROR(GOOGLEFINANCE(B349,""price""),"""")"),21.76)</f>
        <v>21.76</v>
      </c>
      <c r="AH349" s="14"/>
      <c r="AI349" s="14"/>
      <c r="AJ349" s="14"/>
      <c r="AK349" s="14"/>
      <c r="AL349" s="14"/>
      <c r="AM349" s="14"/>
      <c r="AN349" s="14"/>
    </row>
    <row r="350">
      <c r="A350" s="15">
        <v>46052.891229777895</v>
      </c>
      <c r="B350" s="16" t="s">
        <v>5294</v>
      </c>
      <c r="C350" s="16" t="s">
        <v>5295</v>
      </c>
      <c r="D350" s="17">
        <v>46054.0</v>
      </c>
      <c r="E350" s="18">
        <v>68.83</v>
      </c>
      <c r="F350" s="16" t="s">
        <v>186</v>
      </c>
      <c r="G350" s="19">
        <v>0.97</v>
      </c>
      <c r="H350" s="16" t="s">
        <v>4864</v>
      </c>
      <c r="I350" s="19">
        <v>40.5933</v>
      </c>
      <c r="J350" s="19">
        <v>69.5476</v>
      </c>
      <c r="K350" s="21">
        <v>1.487</v>
      </c>
      <c r="L350" s="16" t="s">
        <v>5296</v>
      </c>
      <c r="M350" s="19">
        <v>0.6434</v>
      </c>
      <c r="N350" s="20">
        <v>569251.0</v>
      </c>
      <c r="O350" s="21">
        <v>69.13</v>
      </c>
      <c r="P350" s="21">
        <v>66.77</v>
      </c>
      <c r="Q350" s="21">
        <v>67.51</v>
      </c>
      <c r="R350" s="21">
        <v>2.2569</v>
      </c>
      <c r="S350" s="21">
        <v>4.6491</v>
      </c>
      <c r="T350" s="21">
        <v>398480.1</v>
      </c>
      <c r="U350" s="20">
        <v>2.170559665E9</v>
      </c>
      <c r="V350" s="19">
        <v>70.1935</v>
      </c>
      <c r="W350" s="21">
        <v>72.793</v>
      </c>
      <c r="X350" s="21">
        <v>58.988</v>
      </c>
      <c r="Y350" s="21">
        <v>55.8559</v>
      </c>
      <c r="Z350" s="21">
        <v>68.2069</v>
      </c>
      <c r="AA350" s="21">
        <v>65.3088</v>
      </c>
      <c r="AB350" s="21">
        <v>63.055</v>
      </c>
      <c r="AC350" s="21">
        <v>60.9371</v>
      </c>
      <c r="AD350" s="21">
        <v>58.9955</v>
      </c>
      <c r="AE350" s="21">
        <v>71.4</v>
      </c>
      <c r="AF350" s="21">
        <v>3.5994</v>
      </c>
      <c r="AG350" s="22">
        <f>IFERROR(__xludf.DUMMYFUNCTION("IFERROR(GOOGLEFINANCE(B350,""price""),"""")"),66.48)</f>
        <v>66.48</v>
      </c>
      <c r="AH350" s="22"/>
      <c r="AI350" s="22"/>
      <c r="AJ350" s="22"/>
      <c r="AK350" s="22"/>
      <c r="AL350" s="22"/>
      <c r="AM350" s="22"/>
      <c r="AN350" s="22"/>
    </row>
    <row r="351">
      <c r="A351" s="7">
        <v>46052.891229777895</v>
      </c>
      <c r="B351" s="8" t="s">
        <v>1322</v>
      </c>
      <c r="C351" s="8" t="s">
        <v>1323</v>
      </c>
      <c r="D351" s="9">
        <v>46054.0</v>
      </c>
      <c r="E351" s="10">
        <v>12.46</v>
      </c>
      <c r="F351" s="8" t="s">
        <v>93</v>
      </c>
      <c r="G351" s="11">
        <v>0.98</v>
      </c>
      <c r="H351" s="8" t="s">
        <v>4848</v>
      </c>
      <c r="I351" s="11">
        <v>28.1578</v>
      </c>
      <c r="J351" s="11">
        <v>59.0754</v>
      </c>
      <c r="K351" s="13">
        <v>1.4387</v>
      </c>
      <c r="L351" s="8" t="s">
        <v>1324</v>
      </c>
      <c r="M351" s="11">
        <v>-1.6575</v>
      </c>
      <c r="N351" s="12">
        <v>1.2930268E7</v>
      </c>
      <c r="O351" s="13">
        <v>12.965</v>
      </c>
      <c r="P351" s="13">
        <v>12.395</v>
      </c>
      <c r="Q351" s="13">
        <v>12.8</v>
      </c>
      <c r="R351" s="13">
        <v>0.3352</v>
      </c>
      <c r="S351" s="13">
        <v>0.6834</v>
      </c>
      <c r="T351" s="8">
        <v>9603376.0</v>
      </c>
      <c r="U351" s="12">
        <v>6.948139108E9</v>
      </c>
      <c r="V351" s="11">
        <v>72.0024</v>
      </c>
      <c r="W351" s="13">
        <v>67.6679</v>
      </c>
      <c r="X351" s="13">
        <v>11.7537</v>
      </c>
      <c r="Y351" s="13">
        <v>10.6141</v>
      </c>
      <c r="Z351" s="13">
        <v>12.304</v>
      </c>
      <c r="AA351" s="13">
        <v>12.0994</v>
      </c>
      <c r="AB351" s="13">
        <v>11.9464</v>
      </c>
      <c r="AC351" s="13">
        <v>11.7123</v>
      </c>
      <c r="AD351" s="13">
        <v>11.3721</v>
      </c>
      <c r="AE351" s="13">
        <v>12.965</v>
      </c>
      <c r="AF351" s="13">
        <v>3.8951</v>
      </c>
      <c r="AG351" s="14">
        <f>IFERROR(__xludf.DUMMYFUNCTION("IFERROR(GOOGLEFINANCE(B351,""price""),"""")"),13.06)</f>
        <v>13.06</v>
      </c>
      <c r="AH351" s="14"/>
      <c r="AI351" s="14"/>
      <c r="AJ351" s="14"/>
      <c r="AK351" s="14"/>
      <c r="AL351" s="14"/>
      <c r="AM351" s="14"/>
      <c r="AN351" s="14"/>
    </row>
    <row r="352">
      <c r="A352" s="15">
        <v>46052.891229777895</v>
      </c>
      <c r="B352" s="16" t="s">
        <v>2505</v>
      </c>
      <c r="C352" s="16" t="s">
        <v>2506</v>
      </c>
      <c r="D352" s="17">
        <v>46054.0</v>
      </c>
      <c r="E352" s="18">
        <v>177.72</v>
      </c>
      <c r="F352" s="16" t="s">
        <v>335</v>
      </c>
      <c r="G352" s="19">
        <v>0.98</v>
      </c>
      <c r="H352" s="16" t="s">
        <v>4862</v>
      </c>
      <c r="I352" s="19">
        <v>24.35</v>
      </c>
      <c r="J352" s="19">
        <v>59.4548</v>
      </c>
      <c r="K352" s="21">
        <v>1.5945</v>
      </c>
      <c r="L352" s="16" t="s">
        <v>2507</v>
      </c>
      <c r="M352" s="19">
        <v>-1.2173</v>
      </c>
      <c r="N352" s="20">
        <v>3064698.0</v>
      </c>
      <c r="O352" s="21">
        <v>180.98</v>
      </c>
      <c r="P352" s="21">
        <v>176.6106</v>
      </c>
      <c r="Q352" s="21">
        <v>177.62</v>
      </c>
      <c r="R352" s="21">
        <v>4.9871</v>
      </c>
      <c r="S352" s="21">
        <v>10.1908</v>
      </c>
      <c r="T352" s="16">
        <v>2085602.0</v>
      </c>
      <c r="U352" s="20">
        <v>4.0672761499E10</v>
      </c>
      <c r="V352" s="19">
        <v>70.1707</v>
      </c>
      <c r="W352" s="21">
        <v>65.26</v>
      </c>
      <c r="X352" s="21">
        <v>165.2236</v>
      </c>
      <c r="Y352" s="21">
        <v>148.8604</v>
      </c>
      <c r="Z352" s="21">
        <v>176.6802</v>
      </c>
      <c r="AA352" s="21">
        <v>173.0179</v>
      </c>
      <c r="AB352" s="21">
        <v>169.4812</v>
      </c>
      <c r="AC352" s="21">
        <v>164.599</v>
      </c>
      <c r="AD352" s="21">
        <v>158.598</v>
      </c>
      <c r="AE352" s="21">
        <v>183.32</v>
      </c>
      <c r="AF352" s="21">
        <v>3.0548</v>
      </c>
      <c r="AG352" s="22">
        <f>IFERROR(__xludf.DUMMYFUNCTION("IFERROR(GOOGLEFINANCE(B352,""price""),"""")"),186.12)</f>
        <v>186.12</v>
      </c>
      <c r="AH352" s="22"/>
      <c r="AI352" s="22"/>
      <c r="AJ352" s="22"/>
      <c r="AK352" s="22"/>
      <c r="AL352" s="22"/>
      <c r="AM352" s="22"/>
      <c r="AN352" s="22"/>
    </row>
    <row r="353">
      <c r="A353" s="7">
        <v>46052.891229777895</v>
      </c>
      <c r="B353" s="8" t="s">
        <v>1535</v>
      </c>
      <c r="C353" s="8" t="s">
        <v>1536</v>
      </c>
      <c r="D353" s="9">
        <v>46054.0</v>
      </c>
      <c r="E353" s="10">
        <v>35.47</v>
      </c>
      <c r="F353" s="8" t="s">
        <v>93</v>
      </c>
      <c r="G353" s="11">
        <v>0.98</v>
      </c>
      <c r="H353" s="8" t="s">
        <v>4915</v>
      </c>
      <c r="I353" s="11">
        <v>21.086</v>
      </c>
      <c r="J353" s="11">
        <v>44.4141</v>
      </c>
      <c r="K353" s="13">
        <v>1.8765</v>
      </c>
      <c r="L353" s="8" t="s">
        <v>1537</v>
      </c>
      <c r="M353" s="11">
        <v>-1.8539</v>
      </c>
      <c r="N353" s="12">
        <v>2108758.0</v>
      </c>
      <c r="O353" s="13">
        <v>36.17</v>
      </c>
      <c r="P353" s="13">
        <v>35.38</v>
      </c>
      <c r="Q353" s="13">
        <v>35.74</v>
      </c>
      <c r="R353" s="13">
        <v>1.0345</v>
      </c>
      <c r="S353" s="13">
        <v>2.1012</v>
      </c>
      <c r="T353" s="8">
        <v>1171593.0</v>
      </c>
      <c r="U353" s="12">
        <v>3.649530137E9</v>
      </c>
      <c r="V353" s="11">
        <v>16.3098</v>
      </c>
      <c r="W353" s="13">
        <v>24.0694</v>
      </c>
      <c r="X353" s="13">
        <v>35.1379</v>
      </c>
      <c r="Y353" s="13">
        <v>32.4061</v>
      </c>
      <c r="Z353" s="13">
        <v>36.4551</v>
      </c>
      <c r="AA353" s="13">
        <v>36.4156</v>
      </c>
      <c r="AB353" s="13">
        <v>35.9532</v>
      </c>
      <c r="AC353" s="13">
        <v>35.178</v>
      </c>
      <c r="AD353" s="13">
        <v>34.1804</v>
      </c>
      <c r="AE353" s="13">
        <v>38.78</v>
      </c>
      <c r="AF353" s="13">
        <v>8.5353</v>
      </c>
      <c r="AG353" s="14">
        <f>IFERROR(__xludf.DUMMYFUNCTION("IFERROR(GOOGLEFINANCE(B353,""price""),"""")"),34.03)</f>
        <v>34.03</v>
      </c>
      <c r="AH353" s="14"/>
      <c r="AI353" s="14"/>
      <c r="AJ353" s="14"/>
      <c r="AK353" s="14"/>
      <c r="AL353" s="14"/>
      <c r="AM353" s="14"/>
      <c r="AN353" s="14"/>
    </row>
    <row r="354">
      <c r="A354" s="15">
        <v>46052.891229777895</v>
      </c>
      <c r="B354" s="16" t="s">
        <v>5297</v>
      </c>
      <c r="C354" s="16" t="s">
        <v>5298</v>
      </c>
      <c r="D354" s="17">
        <v>46054.0</v>
      </c>
      <c r="E354" s="18">
        <v>26.0</v>
      </c>
      <c r="F354" s="16" t="s">
        <v>117</v>
      </c>
      <c r="G354" s="19">
        <v>0.98</v>
      </c>
      <c r="H354" s="16" t="s">
        <v>4848</v>
      </c>
      <c r="I354" s="19">
        <v>21.4784</v>
      </c>
      <c r="J354" s="19">
        <v>50.4711</v>
      </c>
      <c r="K354" s="21">
        <v>1.418</v>
      </c>
      <c r="L354" s="16" t="s">
        <v>5299</v>
      </c>
      <c r="M354" s="19">
        <v>-1.7013</v>
      </c>
      <c r="N354" s="20">
        <v>1825471.0</v>
      </c>
      <c r="O354" s="21">
        <v>26.42</v>
      </c>
      <c r="P354" s="21">
        <v>25.42</v>
      </c>
      <c r="Q354" s="21">
        <v>26.2</v>
      </c>
      <c r="R354" s="21">
        <v>1.1363</v>
      </c>
      <c r="S354" s="21">
        <v>2.3146</v>
      </c>
      <c r="T354" s="16">
        <v>1283890.0</v>
      </c>
      <c r="U354" s="20">
        <v>5.238389983E9</v>
      </c>
      <c r="V354" s="19">
        <v>39.4481</v>
      </c>
      <c r="W354" s="21">
        <v>46.3771</v>
      </c>
      <c r="X354" s="21">
        <v>25.2244</v>
      </c>
      <c r="Y354" s="21">
        <v>21.5469</v>
      </c>
      <c r="Z354" s="21">
        <v>26.2624</v>
      </c>
      <c r="AA354" s="21">
        <v>26.1058</v>
      </c>
      <c r="AB354" s="21">
        <v>25.6892</v>
      </c>
      <c r="AC354" s="21">
        <v>24.7604</v>
      </c>
      <c r="AD354" s="21">
        <v>23.3406</v>
      </c>
      <c r="AE354" s="21">
        <v>27.8</v>
      </c>
      <c r="AF354" s="21">
        <v>6.4748</v>
      </c>
      <c r="AG354" s="22">
        <f>IFERROR(__xludf.DUMMYFUNCTION("IFERROR(GOOGLEFINANCE(B354,""price""),"""")"),24.5)</f>
        <v>24.5</v>
      </c>
      <c r="AH354" s="22"/>
      <c r="AI354" s="22"/>
      <c r="AJ354" s="22"/>
      <c r="AK354" s="22"/>
      <c r="AL354" s="22"/>
      <c r="AM354" s="22"/>
      <c r="AN354" s="22"/>
    </row>
    <row r="355">
      <c r="A355" s="7">
        <v>46052.891229777895</v>
      </c>
      <c r="B355" s="8" t="s">
        <v>5006</v>
      </c>
      <c r="C355" s="8" t="s">
        <v>5007</v>
      </c>
      <c r="D355" s="9">
        <v>46054.0</v>
      </c>
      <c r="E355" s="10">
        <v>8.86</v>
      </c>
      <c r="F355" s="8" t="s">
        <v>162</v>
      </c>
      <c r="G355" s="11">
        <v>0.98</v>
      </c>
      <c r="H355" s="8" t="s">
        <v>4848</v>
      </c>
      <c r="I355" s="11">
        <v>29.2134</v>
      </c>
      <c r="J355" s="11">
        <v>70.0784</v>
      </c>
      <c r="K355" s="13">
        <v>1.36</v>
      </c>
      <c r="L355" s="8" t="s">
        <v>5008</v>
      </c>
      <c r="M355" s="11">
        <v>0.3398</v>
      </c>
      <c r="N355" s="12">
        <v>1865643.0</v>
      </c>
      <c r="O355" s="13">
        <v>8.895</v>
      </c>
      <c r="P355" s="13">
        <v>8.6027</v>
      </c>
      <c r="Q355" s="13">
        <v>8.71</v>
      </c>
      <c r="R355" s="13">
        <v>0.2379</v>
      </c>
      <c r="S355" s="13">
        <v>0.488</v>
      </c>
      <c r="T355" s="8">
        <v>1455557.0</v>
      </c>
      <c r="U355" s="12">
        <v>1.227660765E9</v>
      </c>
      <c r="V355" s="11">
        <v>86.2069</v>
      </c>
      <c r="W355" s="13">
        <v>78.2538</v>
      </c>
      <c r="X355" s="13">
        <v>8.1482</v>
      </c>
      <c r="Y355" s="13">
        <v>8.4188</v>
      </c>
      <c r="Z355" s="13">
        <v>8.5931</v>
      </c>
      <c r="AA355" s="13">
        <v>8.3719</v>
      </c>
      <c r="AB355" s="13">
        <v>8.2505</v>
      </c>
      <c r="AC355" s="13">
        <v>8.1441</v>
      </c>
      <c r="AD355" s="13">
        <v>8.1064</v>
      </c>
      <c r="AE355" s="13">
        <v>11.133</v>
      </c>
      <c r="AF355" s="13">
        <v>20.4168</v>
      </c>
      <c r="AG355" s="14">
        <f>IFERROR(__xludf.DUMMYFUNCTION("IFERROR(GOOGLEFINANCE(B355,""price""),"""")"),10.84)</f>
        <v>10.84</v>
      </c>
      <c r="AH355" s="14"/>
      <c r="AI355" s="14"/>
      <c r="AJ355" s="14"/>
      <c r="AK355" s="14"/>
      <c r="AL355" s="14"/>
      <c r="AM355" s="14"/>
      <c r="AN355" s="14"/>
    </row>
    <row r="356">
      <c r="A356" s="15">
        <v>46052.891229777895</v>
      </c>
      <c r="B356" s="16" t="s">
        <v>5300</v>
      </c>
      <c r="C356" s="16" t="s">
        <v>5301</v>
      </c>
      <c r="D356" s="17">
        <v>46054.0</v>
      </c>
      <c r="E356" s="18">
        <v>22.18</v>
      </c>
      <c r="F356" s="16" t="s">
        <v>190</v>
      </c>
      <c r="G356" s="19">
        <v>0.98</v>
      </c>
      <c r="H356" s="16" t="s">
        <v>4868</v>
      </c>
      <c r="I356" s="19">
        <v>22.2485</v>
      </c>
      <c r="J356" s="19">
        <v>64.7863</v>
      </c>
      <c r="K356" s="21">
        <v>1.7424</v>
      </c>
      <c r="L356" s="16" t="s">
        <v>5302</v>
      </c>
      <c r="M356" s="19">
        <v>2.6852</v>
      </c>
      <c r="N356" s="20">
        <v>1732134.0</v>
      </c>
      <c r="O356" s="21">
        <v>22.2</v>
      </c>
      <c r="P356" s="21">
        <v>21.42</v>
      </c>
      <c r="Q356" s="21">
        <v>21.42</v>
      </c>
      <c r="R356" s="21">
        <v>0.62</v>
      </c>
      <c r="S356" s="21">
        <v>1.2601</v>
      </c>
      <c r="T356" s="16">
        <v>1037802.0</v>
      </c>
      <c r="U356" s="20">
        <v>2.842815009E9</v>
      </c>
      <c r="V356" s="19">
        <v>78.0939</v>
      </c>
      <c r="W356" s="21">
        <v>76.998</v>
      </c>
      <c r="X356" s="21">
        <v>20.2976</v>
      </c>
      <c r="Y356" s="21">
        <v>20.8316</v>
      </c>
      <c r="Z356" s="21">
        <v>21.699</v>
      </c>
      <c r="AA356" s="21">
        <v>21.1343</v>
      </c>
      <c r="AB356" s="21">
        <v>20.8054</v>
      </c>
      <c r="AC356" s="21">
        <v>20.5967</v>
      </c>
      <c r="AD356" s="21">
        <v>20.5682</v>
      </c>
      <c r="AE356" s="21">
        <v>23.99</v>
      </c>
      <c r="AF356" s="21">
        <v>7.5448</v>
      </c>
      <c r="AG356" s="22">
        <f>IFERROR(__xludf.DUMMYFUNCTION("IFERROR(GOOGLEFINANCE(B356,""price""),"""")"),21.93)</f>
        <v>21.93</v>
      </c>
      <c r="AH356" s="22"/>
      <c r="AI356" s="22"/>
      <c r="AJ356" s="22"/>
      <c r="AK356" s="22"/>
      <c r="AL356" s="22"/>
      <c r="AM356" s="22"/>
      <c r="AN356" s="22"/>
    </row>
    <row r="357">
      <c r="A357" s="7">
        <v>46052.891229777895</v>
      </c>
      <c r="B357" s="8" t="s">
        <v>5137</v>
      </c>
      <c r="C357" s="8" t="s">
        <v>5138</v>
      </c>
      <c r="D357" s="9">
        <v>46054.0</v>
      </c>
      <c r="E357" s="10">
        <v>29.75</v>
      </c>
      <c r="F357" s="8" t="s">
        <v>245</v>
      </c>
      <c r="G357" s="11">
        <v>0.98</v>
      </c>
      <c r="H357" s="8" t="s">
        <v>4848</v>
      </c>
      <c r="I357" s="11">
        <v>22.5818</v>
      </c>
      <c r="J357" s="11">
        <v>65.1553</v>
      </c>
      <c r="K357" s="13">
        <v>1.4033</v>
      </c>
      <c r="L357" s="8" t="s">
        <v>5139</v>
      </c>
      <c r="M357" s="11">
        <v>-1.6529</v>
      </c>
      <c r="N357" s="12">
        <v>966753.0</v>
      </c>
      <c r="O357" s="13">
        <v>30.83</v>
      </c>
      <c r="P357" s="13">
        <v>29.01</v>
      </c>
      <c r="Q357" s="13">
        <v>30.15</v>
      </c>
      <c r="R357" s="13">
        <v>1.1637</v>
      </c>
      <c r="S357" s="13">
        <v>2.369</v>
      </c>
      <c r="T357" s="13">
        <v>708929.7</v>
      </c>
      <c r="U357" s="12">
        <v>2.884927217E9</v>
      </c>
      <c r="V357" s="11">
        <v>89.256</v>
      </c>
      <c r="W357" s="13">
        <v>89.9299</v>
      </c>
      <c r="X357" s="13">
        <v>27.2458</v>
      </c>
      <c r="Y357" s="13">
        <v>24.0745</v>
      </c>
      <c r="Z357" s="13">
        <v>28.7777</v>
      </c>
      <c r="AA357" s="13">
        <v>27.8131</v>
      </c>
      <c r="AB357" s="13">
        <v>27.383</v>
      </c>
      <c r="AC357" s="13">
        <v>26.7605</v>
      </c>
      <c r="AD357" s="13">
        <v>25.8634</v>
      </c>
      <c r="AE357" s="13">
        <v>30.83</v>
      </c>
      <c r="AF357" s="13">
        <v>3.5031</v>
      </c>
      <c r="AG357" s="14">
        <f>IFERROR(__xludf.DUMMYFUNCTION("IFERROR(GOOGLEFINANCE(B357,""price""),"""")"),28.18)</f>
        <v>28.18</v>
      </c>
      <c r="AH357" s="14"/>
      <c r="AI357" s="14"/>
      <c r="AJ357" s="14"/>
      <c r="AK357" s="14"/>
      <c r="AL357" s="14"/>
      <c r="AM357" s="14"/>
      <c r="AN357" s="14"/>
    </row>
    <row r="358">
      <c r="A358" s="15">
        <v>46052.891229777895</v>
      </c>
      <c r="B358" s="16" t="s">
        <v>3129</v>
      </c>
      <c r="C358" s="16" t="s">
        <v>3130</v>
      </c>
      <c r="D358" s="17">
        <v>46054.0</v>
      </c>
      <c r="E358" s="18">
        <v>474.63</v>
      </c>
      <c r="F358" s="16" t="s">
        <v>270</v>
      </c>
      <c r="G358" s="19">
        <v>0.99</v>
      </c>
      <c r="H358" s="16" t="s">
        <v>4844</v>
      </c>
      <c r="I358" s="19">
        <v>23.4595</v>
      </c>
      <c r="J358" s="19">
        <v>60.5289</v>
      </c>
      <c r="K358" s="21">
        <v>1.7901</v>
      </c>
      <c r="L358" s="16" t="s">
        <v>3132</v>
      </c>
      <c r="M358" s="19">
        <v>-1.8203</v>
      </c>
      <c r="N358" s="20">
        <v>1838390.0</v>
      </c>
      <c r="O358" s="21">
        <v>483.435</v>
      </c>
      <c r="P358" s="21">
        <v>471.7</v>
      </c>
      <c r="Q358" s="21">
        <v>475.0</v>
      </c>
      <c r="R358" s="21">
        <v>15.3602</v>
      </c>
      <c r="S358" s="21">
        <v>31.1604</v>
      </c>
      <c r="T358" s="16">
        <v>1132262.0</v>
      </c>
      <c r="U358" s="20">
        <v>7.0774874037E10</v>
      </c>
      <c r="V358" s="19">
        <v>88.1148</v>
      </c>
      <c r="W358" s="21">
        <v>90.3762</v>
      </c>
      <c r="X358" s="21">
        <v>447.4158</v>
      </c>
      <c r="Y358" s="21">
        <v>401.2937</v>
      </c>
      <c r="Z358" s="21">
        <v>472.9178</v>
      </c>
      <c r="AA358" s="21">
        <v>459.5086</v>
      </c>
      <c r="AB358" s="21">
        <v>453.1797</v>
      </c>
      <c r="AC358" s="21">
        <v>446.4951</v>
      </c>
      <c r="AD358" s="21">
        <v>435.8506</v>
      </c>
      <c r="AE358" s="21">
        <v>489.055</v>
      </c>
      <c r="AF358" s="21">
        <v>2.9496</v>
      </c>
      <c r="AG358" s="22">
        <f>IFERROR(__xludf.DUMMYFUNCTION("IFERROR(GOOGLEFINANCE(B358,""price""),"""")"),585.36)</f>
        <v>585.36</v>
      </c>
      <c r="AH358" s="22"/>
      <c r="AI358" s="22"/>
      <c r="AJ358" s="22"/>
      <c r="AK358" s="22"/>
      <c r="AL358" s="22"/>
      <c r="AM358" s="22"/>
      <c r="AN358" s="22"/>
    </row>
    <row r="359">
      <c r="A359" s="7">
        <v>46052.891229777895</v>
      </c>
      <c r="B359" s="8" t="s">
        <v>5303</v>
      </c>
      <c r="C359" s="8" t="s">
        <v>5304</v>
      </c>
      <c r="D359" s="9">
        <v>46054.0</v>
      </c>
      <c r="E359" s="10">
        <v>21.74</v>
      </c>
      <c r="F359" s="8" t="s">
        <v>117</v>
      </c>
      <c r="G359" s="11">
        <v>0.99</v>
      </c>
      <c r="H359" s="8" t="s">
        <v>4864</v>
      </c>
      <c r="I359" s="11">
        <v>28.4239</v>
      </c>
      <c r="J359" s="11">
        <v>69.0984</v>
      </c>
      <c r="K359" s="13">
        <v>1.4583</v>
      </c>
      <c r="L359" s="8" t="s">
        <v>5305</v>
      </c>
      <c r="M359" s="11">
        <v>0.6948</v>
      </c>
      <c r="N359" s="12">
        <v>2748758.0</v>
      </c>
      <c r="O359" s="13">
        <v>22.0</v>
      </c>
      <c r="P359" s="13">
        <v>21.13</v>
      </c>
      <c r="Q359" s="13">
        <v>21.37</v>
      </c>
      <c r="R359" s="13">
        <v>1.0912</v>
      </c>
      <c r="S359" s="13">
        <v>2.1943</v>
      </c>
      <c r="T359" s="8">
        <v>1970380.0</v>
      </c>
      <c r="U359" s="12">
        <v>3.394882678E9</v>
      </c>
      <c r="V359" s="11">
        <v>89.3756</v>
      </c>
      <c r="W359" s="13">
        <v>89.1427</v>
      </c>
      <c r="X359" s="13">
        <v>18.226</v>
      </c>
      <c r="Y359" s="13">
        <v>17.0569</v>
      </c>
      <c r="Z359" s="13">
        <v>20.6658</v>
      </c>
      <c r="AA359" s="13">
        <v>19.3094</v>
      </c>
      <c r="AB359" s="13">
        <v>18.6907</v>
      </c>
      <c r="AC359" s="13">
        <v>18.0776</v>
      </c>
      <c r="AD359" s="13">
        <v>17.4281</v>
      </c>
      <c r="AE359" s="13">
        <v>24.345</v>
      </c>
      <c r="AF359" s="13">
        <v>10.7003</v>
      </c>
      <c r="AG359" s="14">
        <f>IFERROR(__xludf.DUMMYFUNCTION("IFERROR(GOOGLEFINANCE(B359,""price""),"""")"),19.23)</f>
        <v>19.23</v>
      </c>
      <c r="AH359" s="14"/>
      <c r="AI359" s="14"/>
      <c r="AJ359" s="14"/>
      <c r="AK359" s="14"/>
      <c r="AL359" s="14"/>
      <c r="AM359" s="14"/>
      <c r="AN359" s="14"/>
    </row>
    <row r="360">
      <c r="A360" s="15">
        <v>46052.891229777895</v>
      </c>
      <c r="B360" s="16" t="s">
        <v>5306</v>
      </c>
      <c r="C360" s="16" t="s">
        <v>5307</v>
      </c>
      <c r="D360" s="17">
        <v>46054.0</v>
      </c>
      <c r="E360" s="18">
        <v>19.95</v>
      </c>
      <c r="F360" s="16" t="s">
        <v>335</v>
      </c>
      <c r="G360" s="19">
        <v>0.99</v>
      </c>
      <c r="H360" s="16" t="s">
        <v>4962</v>
      </c>
      <c r="I360" s="19">
        <v>30.2321</v>
      </c>
      <c r="J360" s="19">
        <v>57.9751</v>
      </c>
      <c r="K360" s="21">
        <v>2.221</v>
      </c>
      <c r="L360" s="16" t="s">
        <v>5308</v>
      </c>
      <c r="M360" s="19">
        <v>0.4532</v>
      </c>
      <c r="N360" s="20">
        <v>898948.0</v>
      </c>
      <c r="O360" s="21">
        <v>20.21</v>
      </c>
      <c r="P360" s="21">
        <v>19.53</v>
      </c>
      <c r="Q360" s="21">
        <v>19.53</v>
      </c>
      <c r="R360" s="21">
        <v>0.6742</v>
      </c>
      <c r="S360" s="21">
        <v>1.3616</v>
      </c>
      <c r="T360" s="21">
        <v>409794.9</v>
      </c>
      <c r="U360" s="20">
        <v>8.30893431E8</v>
      </c>
      <c r="V360" s="19">
        <v>42.7009</v>
      </c>
      <c r="W360" s="21">
        <v>43.7684</v>
      </c>
      <c r="X360" s="21">
        <v>18.2066</v>
      </c>
      <c r="Y360" s="21">
        <v>16.9149</v>
      </c>
      <c r="Z360" s="21">
        <v>19.7669</v>
      </c>
      <c r="AA360" s="21">
        <v>19.381</v>
      </c>
      <c r="AB360" s="21">
        <v>18.9586</v>
      </c>
      <c r="AC360" s="21">
        <v>18.4505</v>
      </c>
      <c r="AD360" s="21">
        <v>17.8726</v>
      </c>
      <c r="AE360" s="21">
        <v>21.01</v>
      </c>
      <c r="AF360" s="21">
        <v>5.0452</v>
      </c>
      <c r="AG360" s="22">
        <f>IFERROR(__xludf.DUMMYFUNCTION("IFERROR(GOOGLEFINANCE(B360,""price""),"""")"),17.74)</f>
        <v>17.74</v>
      </c>
      <c r="AH360" s="22"/>
      <c r="AI360" s="22"/>
      <c r="AJ360" s="22"/>
      <c r="AK360" s="22"/>
      <c r="AL360" s="22"/>
      <c r="AM360" s="22"/>
      <c r="AN360" s="22"/>
    </row>
    <row r="361">
      <c r="A361" s="7">
        <v>46052.891229777895</v>
      </c>
      <c r="B361" s="8" t="s">
        <v>5309</v>
      </c>
      <c r="C361" s="8" t="s">
        <v>5310</v>
      </c>
      <c r="D361" s="9">
        <v>46054.0</v>
      </c>
      <c r="E361" s="10">
        <v>16.83</v>
      </c>
      <c r="F361" s="8" t="s">
        <v>1119</v>
      </c>
      <c r="G361" s="11">
        <v>0.99</v>
      </c>
      <c r="H361" s="8" t="s">
        <v>4848</v>
      </c>
      <c r="I361" s="11">
        <v>29.5099</v>
      </c>
      <c r="J361" s="11">
        <v>65.8785</v>
      </c>
      <c r="K361" s="13">
        <v>1.4411</v>
      </c>
      <c r="L361" s="8" t="s">
        <v>5311</v>
      </c>
      <c r="M361" s="11">
        <v>-1.3482</v>
      </c>
      <c r="N361" s="12">
        <v>1654244.0</v>
      </c>
      <c r="O361" s="13">
        <v>17.0599</v>
      </c>
      <c r="P361" s="13">
        <v>16.73</v>
      </c>
      <c r="Q361" s="13">
        <v>17.035</v>
      </c>
      <c r="R361" s="13">
        <v>0.3318</v>
      </c>
      <c r="S361" s="13">
        <v>0.6701</v>
      </c>
      <c r="T361" s="8">
        <v>1157764.0</v>
      </c>
      <c r="U361" s="12">
        <v>1.273750734E9</v>
      </c>
      <c r="V361" s="11">
        <v>86.9608</v>
      </c>
      <c r="W361" s="13">
        <v>90.5875</v>
      </c>
      <c r="X361" s="13">
        <v>15.4031</v>
      </c>
      <c r="Y361" s="13">
        <v>15.2242</v>
      </c>
      <c r="Z361" s="13">
        <v>16.6942</v>
      </c>
      <c r="AA361" s="13">
        <v>16.2193</v>
      </c>
      <c r="AB361" s="13">
        <v>15.9183</v>
      </c>
      <c r="AC361" s="13">
        <v>15.6593</v>
      </c>
      <c r="AD361" s="13">
        <v>15.4732</v>
      </c>
      <c r="AE361" s="13">
        <v>17.2014</v>
      </c>
      <c r="AF361" s="13">
        <v>2.1591</v>
      </c>
      <c r="AG361" s="14">
        <f>IFERROR(__xludf.DUMMYFUNCTION("IFERROR(GOOGLEFINANCE(B361,""price""),"""")"),15.12)</f>
        <v>15.12</v>
      </c>
      <c r="AH361" s="14"/>
      <c r="AI361" s="14"/>
      <c r="AJ361" s="14"/>
      <c r="AK361" s="14"/>
      <c r="AL361" s="14"/>
      <c r="AM361" s="14"/>
      <c r="AN361" s="14"/>
    </row>
    <row r="362">
      <c r="A362" s="15">
        <v>46052.891229777895</v>
      </c>
      <c r="B362" s="16" t="s">
        <v>5312</v>
      </c>
      <c r="C362" s="16" t="s">
        <v>5313</v>
      </c>
      <c r="D362" s="17">
        <v>46054.0</v>
      </c>
      <c r="E362" s="18">
        <v>27.03</v>
      </c>
      <c r="F362" s="16" t="s">
        <v>137</v>
      </c>
      <c r="G362" s="19">
        <v>0.99</v>
      </c>
      <c r="H362" s="16" t="s">
        <v>4941</v>
      </c>
      <c r="I362" s="19">
        <v>26.0243</v>
      </c>
      <c r="J362" s="19">
        <v>51.8118</v>
      </c>
      <c r="K362" s="21">
        <v>2.2702</v>
      </c>
      <c r="L362" s="16" t="s">
        <v>5314</v>
      </c>
      <c r="M362" s="19">
        <v>9.6552</v>
      </c>
      <c r="N362" s="20">
        <v>618139.0</v>
      </c>
      <c r="O362" s="21">
        <v>27.56</v>
      </c>
      <c r="P362" s="21">
        <v>24.84</v>
      </c>
      <c r="Q362" s="21">
        <v>25.4</v>
      </c>
      <c r="R362" s="21">
        <v>1.4282</v>
      </c>
      <c r="S362" s="21">
        <v>2.882</v>
      </c>
      <c r="T362" s="21">
        <v>305356.6</v>
      </c>
      <c r="U362" s="20">
        <v>5.9113307E8</v>
      </c>
      <c r="V362" s="19">
        <v>36.6151</v>
      </c>
      <c r="W362" s="21">
        <v>42.3173</v>
      </c>
      <c r="X362" s="21">
        <v>25.395</v>
      </c>
      <c r="Y362" s="21">
        <v>25.5769</v>
      </c>
      <c r="Z362" s="21">
        <v>27.0052</v>
      </c>
      <c r="AA362" s="21">
        <v>26.8638</v>
      </c>
      <c r="AB362" s="21">
        <v>26.4137</v>
      </c>
      <c r="AC362" s="21">
        <v>25.9525</v>
      </c>
      <c r="AD362" s="21">
        <v>25.6007</v>
      </c>
      <c r="AE362" s="21">
        <v>31.51</v>
      </c>
      <c r="AF362" s="21">
        <v>14.2177</v>
      </c>
      <c r="AG362" s="22">
        <f>IFERROR(__xludf.DUMMYFUNCTION("IFERROR(GOOGLEFINANCE(B362,""price""),"""")"),27.13)</f>
        <v>27.13</v>
      </c>
      <c r="AH362" s="22"/>
      <c r="AI362" s="22"/>
      <c r="AJ362" s="22"/>
      <c r="AK362" s="22"/>
      <c r="AL362" s="22"/>
      <c r="AM362" s="22"/>
      <c r="AN362" s="22"/>
    </row>
    <row r="363">
      <c r="A363" s="7">
        <v>46052.891229777895</v>
      </c>
      <c r="B363" s="8" t="s">
        <v>5315</v>
      </c>
      <c r="C363" s="8" t="s">
        <v>5316</v>
      </c>
      <c r="D363" s="9">
        <v>46054.0</v>
      </c>
      <c r="E363" s="10">
        <v>16.78</v>
      </c>
      <c r="F363" s="8" t="s">
        <v>162</v>
      </c>
      <c r="G363" s="11">
        <v>0.99</v>
      </c>
      <c r="H363" s="8" t="s">
        <v>4841</v>
      </c>
      <c r="I363" s="11">
        <v>22.7825</v>
      </c>
      <c r="J363" s="11">
        <v>63.3226</v>
      </c>
      <c r="K363" s="13">
        <v>1.3161</v>
      </c>
      <c r="L363" s="8" t="s">
        <v>5317</v>
      </c>
      <c r="M363" s="11">
        <v>-1.0613</v>
      </c>
      <c r="N363" s="12">
        <v>647232.0</v>
      </c>
      <c r="O363" s="13">
        <v>16.79</v>
      </c>
      <c r="P363" s="13">
        <v>16.36</v>
      </c>
      <c r="Q363" s="13">
        <v>16.36</v>
      </c>
      <c r="R363" s="13">
        <v>0.4651</v>
      </c>
      <c r="S363" s="13">
        <v>0.941</v>
      </c>
      <c r="T363" s="13">
        <v>479963.5</v>
      </c>
      <c r="U363" s="12">
        <v>2.018119041E9</v>
      </c>
      <c r="V363" s="11">
        <v>89.2401</v>
      </c>
      <c r="W363" s="13">
        <v>79.5703</v>
      </c>
      <c r="X363" s="13">
        <v>15.765</v>
      </c>
      <c r="Y363" s="13">
        <v>12.6342</v>
      </c>
      <c r="Z363" s="13">
        <v>16.4305</v>
      </c>
      <c r="AA363" s="13">
        <v>16.1312</v>
      </c>
      <c r="AB363" s="13">
        <v>15.8656</v>
      </c>
      <c r="AC363" s="13">
        <v>15.3516</v>
      </c>
      <c r="AD363" s="13">
        <v>14.5116</v>
      </c>
      <c r="AE363" s="13">
        <v>16.97</v>
      </c>
      <c r="AF363" s="13">
        <v>1.1196</v>
      </c>
      <c r="AG363" s="14">
        <f>IFERROR(__xludf.DUMMYFUNCTION("IFERROR(GOOGLEFINANCE(B363,""price""),"""")"),17.22)</f>
        <v>17.22</v>
      </c>
      <c r="AH363" s="14"/>
      <c r="AI363" s="14"/>
      <c r="AJ363" s="14"/>
      <c r="AK363" s="14"/>
      <c r="AL363" s="14"/>
      <c r="AM363" s="14"/>
      <c r="AN363" s="14"/>
    </row>
    <row r="364">
      <c r="A364" s="7">
        <v>46072.867364872196</v>
      </c>
      <c r="B364" s="8" t="s">
        <v>1406</v>
      </c>
      <c r="C364" s="8" t="s">
        <v>1407</v>
      </c>
      <c r="D364" s="9">
        <v>46075.0</v>
      </c>
      <c r="E364" s="10">
        <v>10.61</v>
      </c>
      <c r="F364" s="8" t="s">
        <v>93</v>
      </c>
      <c r="G364" s="13">
        <v>73.9373</v>
      </c>
      <c r="H364" s="13">
        <v>0.1435</v>
      </c>
      <c r="I364" s="11">
        <v>0.45</v>
      </c>
      <c r="J364" s="8" t="s">
        <v>5318</v>
      </c>
      <c r="K364" s="11">
        <v>36.7233</v>
      </c>
      <c r="L364" s="11">
        <v>62.9783</v>
      </c>
      <c r="M364" s="13">
        <v>1.7619</v>
      </c>
      <c r="N364" s="8" t="s">
        <v>1408</v>
      </c>
      <c r="O364" s="11">
        <v>0.2836</v>
      </c>
      <c r="P364" s="12">
        <v>611192.0</v>
      </c>
      <c r="Q364" s="13">
        <v>10.6145</v>
      </c>
      <c r="R364" s="13">
        <v>10.58</v>
      </c>
      <c r="S364" s="13">
        <v>10.6</v>
      </c>
      <c r="T364" s="13">
        <v>0.0328</v>
      </c>
      <c r="U364" s="13">
        <v>0.1442</v>
      </c>
      <c r="V364" s="13">
        <v>405223.0</v>
      </c>
      <c r="W364" s="12">
        <v>3.53666661E8</v>
      </c>
      <c r="X364" s="11">
        <v>67.1189</v>
      </c>
      <c r="Y364" s="13">
        <v>63.6428</v>
      </c>
      <c r="Z364" s="13">
        <v>10.5473</v>
      </c>
      <c r="AA364" s="13">
        <v>10.4411</v>
      </c>
      <c r="AB364" s="13">
        <v>10.5907</v>
      </c>
      <c r="AC364" s="13">
        <v>10.5778</v>
      </c>
      <c r="AD364" s="13">
        <v>10.5698</v>
      </c>
      <c r="AE364" s="13">
        <v>10.5654</v>
      </c>
      <c r="AF364" s="13">
        <v>10.5505</v>
      </c>
      <c r="AG364" s="13">
        <v>12.5</v>
      </c>
      <c r="AH364" s="13">
        <v>2.333</v>
      </c>
      <c r="AI364" s="13">
        <v>0.0</v>
      </c>
      <c r="AJ364" s="13">
        <v>0.0</v>
      </c>
      <c r="AK364" s="13">
        <v>0.0</v>
      </c>
      <c r="AL364" s="13">
        <v>0.5306</v>
      </c>
      <c r="AM364" s="13">
        <v>15.12</v>
      </c>
      <c r="AN364" s="10">
        <f>IFERROR(__xludf.DUMMYFUNCTION("IFERROR(GOOGLEFINANCE(B364,""price""),"""")"),10.66)</f>
        <v>10.66</v>
      </c>
    </row>
    <row r="365">
      <c r="A365" s="15">
        <v>46072.867364872196</v>
      </c>
      <c r="B365" s="16" t="s">
        <v>1649</v>
      </c>
      <c r="C365" s="16" t="s">
        <v>1650</v>
      </c>
      <c r="D365" s="17">
        <v>46075.0</v>
      </c>
      <c r="E365" s="18">
        <v>49.04</v>
      </c>
      <c r="F365" s="16" t="s">
        <v>93</v>
      </c>
      <c r="G365" s="21">
        <v>9.3381</v>
      </c>
      <c r="H365" s="21">
        <v>5.2516</v>
      </c>
      <c r="I365" s="19">
        <v>0.52</v>
      </c>
      <c r="J365" s="16" t="s">
        <v>5319</v>
      </c>
      <c r="K365" s="19">
        <v>48.1701</v>
      </c>
      <c r="L365" s="19">
        <v>67.5645</v>
      </c>
      <c r="M365" s="21">
        <v>1.4985</v>
      </c>
      <c r="N365" s="16" t="s">
        <v>1651</v>
      </c>
      <c r="O365" s="19">
        <v>0.0408</v>
      </c>
      <c r="P365" s="20">
        <v>4095935.0</v>
      </c>
      <c r="Q365" s="21">
        <v>49.285</v>
      </c>
      <c r="R365" s="21">
        <v>48.795</v>
      </c>
      <c r="S365" s="21">
        <v>48.93</v>
      </c>
      <c r="T365" s="21">
        <v>0.4085</v>
      </c>
      <c r="U365" s="21">
        <v>1.5766</v>
      </c>
      <c r="V365" s="16">
        <v>2938480.0</v>
      </c>
      <c r="W365" s="20">
        <v>7.555867852E9</v>
      </c>
      <c r="X365" s="19">
        <v>69.0745</v>
      </c>
      <c r="Y365" s="21">
        <v>81.1522</v>
      </c>
      <c r="Z365" s="21">
        <v>47.5232</v>
      </c>
      <c r="AA365" s="21">
        <v>43.9201</v>
      </c>
      <c r="AB365" s="21">
        <v>48.8151</v>
      </c>
      <c r="AC365" s="21">
        <v>48.3746</v>
      </c>
      <c r="AD365" s="21">
        <v>47.9406</v>
      </c>
      <c r="AE365" s="21">
        <v>47.2409</v>
      </c>
      <c r="AF365" s="21">
        <v>46.2568</v>
      </c>
      <c r="AG365" s="21">
        <v>49.82</v>
      </c>
      <c r="AH365" s="21">
        <v>16.167</v>
      </c>
      <c r="AI365" s="21">
        <v>34.9751</v>
      </c>
      <c r="AJ365" s="21">
        <v>27.4161</v>
      </c>
      <c r="AK365" s="21">
        <v>0.075</v>
      </c>
      <c r="AL365" s="21">
        <v>0.0</v>
      </c>
      <c r="AM365" s="21">
        <v>1.5656</v>
      </c>
      <c r="AN365" s="18">
        <f>IFERROR(__xludf.DUMMYFUNCTION("IFERROR(GOOGLEFINANCE(B365,""price""),"""")"),51.62)</f>
        <v>51.62</v>
      </c>
    </row>
    <row r="366">
      <c r="A366" s="7">
        <v>46072.867364872196</v>
      </c>
      <c r="B366" s="8" t="s">
        <v>1645</v>
      </c>
      <c r="C366" s="8" t="s">
        <v>1646</v>
      </c>
      <c r="D366" s="9">
        <v>46075.0</v>
      </c>
      <c r="E366" s="10">
        <v>16.08</v>
      </c>
      <c r="F366" s="8" t="s">
        <v>190</v>
      </c>
      <c r="G366" s="13">
        <v>18.4573</v>
      </c>
      <c r="H366" s="13">
        <v>0.8712</v>
      </c>
      <c r="I366" s="11">
        <v>0.66</v>
      </c>
      <c r="J366" s="8" t="s">
        <v>5320</v>
      </c>
      <c r="K366" s="11">
        <v>38.1833</v>
      </c>
      <c r="L366" s="11">
        <v>63.3213</v>
      </c>
      <c r="M366" s="13">
        <v>1.3259</v>
      </c>
      <c r="N366" s="8" t="s">
        <v>1647</v>
      </c>
      <c r="O366" s="11">
        <v>-1.4706</v>
      </c>
      <c r="P366" s="12">
        <v>1276394.0</v>
      </c>
      <c r="Q366" s="13">
        <v>16.34</v>
      </c>
      <c r="R366" s="13">
        <v>16.04</v>
      </c>
      <c r="S366" s="13">
        <v>16.23</v>
      </c>
      <c r="T366" s="13">
        <v>0.3096</v>
      </c>
      <c r="U366" s="13">
        <v>0.9322</v>
      </c>
      <c r="V366" s="8">
        <v>1022107.0</v>
      </c>
      <c r="W366" s="12">
        <v>1.990986913E9</v>
      </c>
      <c r="X366" s="11">
        <v>82.0934</v>
      </c>
      <c r="Y366" s="13">
        <v>87.2571</v>
      </c>
      <c r="Z366" s="13">
        <v>15.2892</v>
      </c>
      <c r="AA366" s="13">
        <v>14.9442</v>
      </c>
      <c r="AB366" s="13">
        <v>16.0899</v>
      </c>
      <c r="AC366" s="13">
        <v>15.7143</v>
      </c>
      <c r="AD366" s="13">
        <v>15.4862</v>
      </c>
      <c r="AE366" s="13">
        <v>15.1972</v>
      </c>
      <c r="AF366" s="13">
        <v>14.8974</v>
      </c>
      <c r="AG366" s="13">
        <v>19.3989</v>
      </c>
      <c r="AH366" s="13">
        <v>5.5657</v>
      </c>
      <c r="AI366" s="13">
        <v>5.4319</v>
      </c>
      <c r="AJ366" s="13">
        <v>-22.9573</v>
      </c>
      <c r="AK366" s="13">
        <v>1.6427</v>
      </c>
      <c r="AL366" s="13">
        <v>1.0861</v>
      </c>
      <c r="AM366" s="13">
        <v>17.1087</v>
      </c>
      <c r="AN366" s="10">
        <f>IFERROR(__xludf.DUMMYFUNCTION("IFERROR(GOOGLEFINANCE(B366,""price""),"""")"),16.37)</f>
        <v>16.37</v>
      </c>
    </row>
    <row r="367">
      <c r="A367" s="15">
        <v>46072.867364872196</v>
      </c>
      <c r="B367" s="16" t="s">
        <v>5321</v>
      </c>
      <c r="C367" s="16" t="s">
        <v>5322</v>
      </c>
      <c r="D367" s="17">
        <v>46075.0</v>
      </c>
      <c r="E367" s="18">
        <v>31.3</v>
      </c>
      <c r="F367" s="16" t="s">
        <v>335</v>
      </c>
      <c r="G367" s="21">
        <v>0.0</v>
      </c>
      <c r="H367" s="21">
        <v>-0.339</v>
      </c>
      <c r="I367" s="19">
        <v>0.7</v>
      </c>
      <c r="J367" s="16" t="s">
        <v>5323</v>
      </c>
      <c r="K367" s="19">
        <v>50.8815</v>
      </c>
      <c r="L367" s="19">
        <v>65.8493</v>
      </c>
      <c r="M367" s="21">
        <v>3.3225</v>
      </c>
      <c r="N367" s="16" t="s">
        <v>5324</v>
      </c>
      <c r="O367" s="19">
        <v>0.2562</v>
      </c>
      <c r="P367" s="20">
        <v>1941616.0</v>
      </c>
      <c r="Q367" s="21">
        <v>31.38</v>
      </c>
      <c r="R367" s="21">
        <v>31.16</v>
      </c>
      <c r="S367" s="21">
        <v>31.18</v>
      </c>
      <c r="T367" s="21">
        <v>0.6388</v>
      </c>
      <c r="U367" s="21">
        <v>1.8257</v>
      </c>
      <c r="V367" s="21">
        <v>713909.3</v>
      </c>
      <c r="W367" s="20">
        <v>3.882625567E9</v>
      </c>
      <c r="X367" s="19">
        <v>27.2862</v>
      </c>
      <c r="Y367" s="21">
        <v>30.8052</v>
      </c>
      <c r="Z367" s="21">
        <v>27.2218</v>
      </c>
      <c r="AA367" s="21">
        <v>19.5972</v>
      </c>
      <c r="AB367" s="21">
        <v>31.3293</v>
      </c>
      <c r="AC367" s="21">
        <v>30.5155</v>
      </c>
      <c r="AD367" s="21">
        <v>29.1617</v>
      </c>
      <c r="AE367" s="21">
        <v>27.096</v>
      </c>
      <c r="AF367" s="21">
        <v>24.5187</v>
      </c>
      <c r="AG367" s="21">
        <v>32.0799</v>
      </c>
      <c r="AH367" s="21">
        <v>-14.0371</v>
      </c>
      <c r="AI367" s="21">
        <v>21.9082</v>
      </c>
      <c r="AJ367" s="21">
        <v>45.4166</v>
      </c>
      <c r="AK367" s="21">
        <v>0.4186</v>
      </c>
      <c r="AL367" s="21">
        <v>0.6971</v>
      </c>
      <c r="AM367" s="21">
        <v>2.4311</v>
      </c>
      <c r="AN367" s="18">
        <f>IFERROR(__xludf.DUMMYFUNCTION("IFERROR(GOOGLEFINANCE(B367,""price""),"""")"),31.53)</f>
        <v>31.53</v>
      </c>
    </row>
    <row r="368">
      <c r="A368" s="7">
        <v>46072.867364872196</v>
      </c>
      <c r="B368" s="8" t="s">
        <v>5325</v>
      </c>
      <c r="C368" s="8" t="s">
        <v>5326</v>
      </c>
      <c r="D368" s="9">
        <v>46075.0</v>
      </c>
      <c r="E368" s="10">
        <v>26.51</v>
      </c>
      <c r="F368" s="8" t="s">
        <v>107</v>
      </c>
      <c r="G368" s="13">
        <v>23.9066</v>
      </c>
      <c r="H368" s="13">
        <v>1.1089</v>
      </c>
      <c r="I368" s="11">
        <v>0.8</v>
      </c>
      <c r="J368" s="8" t="s">
        <v>5327</v>
      </c>
      <c r="K368" s="11">
        <v>33.3908</v>
      </c>
      <c r="L368" s="11">
        <v>71.9356</v>
      </c>
      <c r="M368" s="13">
        <v>1.3488</v>
      </c>
      <c r="N368" s="8" t="s">
        <v>5328</v>
      </c>
      <c r="O368" s="11">
        <v>-0.1883</v>
      </c>
      <c r="P368" s="12">
        <v>418764.0</v>
      </c>
      <c r="Q368" s="13">
        <v>26.78</v>
      </c>
      <c r="R368" s="13">
        <v>26.24</v>
      </c>
      <c r="S368" s="13">
        <v>26.45</v>
      </c>
      <c r="T368" s="13">
        <v>0.6567</v>
      </c>
      <c r="U368" s="13">
        <v>1.6361</v>
      </c>
      <c r="V368" s="13">
        <v>320249.0</v>
      </c>
      <c r="W368" s="12">
        <v>4.73841818E8</v>
      </c>
      <c r="X368" s="11">
        <v>86.4775</v>
      </c>
      <c r="Y368" s="13">
        <v>83.4686</v>
      </c>
      <c r="Z368" s="13">
        <v>23.5112</v>
      </c>
      <c r="AA368" s="13">
        <v>24.3668</v>
      </c>
      <c r="AB368" s="13">
        <v>25.9294</v>
      </c>
      <c r="AC368" s="13">
        <v>25.2606</v>
      </c>
      <c r="AD368" s="13">
        <v>24.6512</v>
      </c>
      <c r="AE368" s="13">
        <v>24.0895</v>
      </c>
      <c r="AF368" s="13">
        <v>23.9053</v>
      </c>
      <c r="AG368" s="13">
        <v>28.72</v>
      </c>
      <c r="AH368" s="13">
        <v>9.7213</v>
      </c>
      <c r="AI368" s="13">
        <v>3.0244</v>
      </c>
      <c r="AJ368" s="13">
        <v>-1.9817</v>
      </c>
      <c r="AK368" s="13">
        <v>0.1134</v>
      </c>
      <c r="AL368" s="13">
        <v>2.4707</v>
      </c>
      <c r="AM368" s="13">
        <v>7.695</v>
      </c>
      <c r="AN368" s="10">
        <f>IFERROR(__xludf.DUMMYFUNCTION("IFERROR(GOOGLEFINANCE(B368,""price""),"""")"),27.63)</f>
        <v>27.63</v>
      </c>
    </row>
    <row r="369">
      <c r="A369" s="7">
        <v>46072.86936524934</v>
      </c>
      <c r="B369" s="8" t="s">
        <v>1406</v>
      </c>
      <c r="C369" s="8" t="s">
        <v>1407</v>
      </c>
      <c r="D369" s="9">
        <v>46075.0</v>
      </c>
      <c r="E369" s="10">
        <v>10.61</v>
      </c>
      <c r="F369" s="8" t="s">
        <v>93</v>
      </c>
      <c r="G369" s="13">
        <v>73.9373</v>
      </c>
      <c r="H369" s="13">
        <v>0.1435</v>
      </c>
      <c r="I369" s="11">
        <v>0.45</v>
      </c>
      <c r="J369" s="8" t="s">
        <v>5318</v>
      </c>
      <c r="K369" s="11">
        <v>36.7233</v>
      </c>
      <c r="L369" s="11">
        <v>62.9783</v>
      </c>
      <c r="M369" s="13">
        <v>1.7619</v>
      </c>
      <c r="N369" s="8" t="s">
        <v>1408</v>
      </c>
      <c r="O369" s="11">
        <v>0.2836</v>
      </c>
      <c r="P369" s="12">
        <v>611192.0</v>
      </c>
      <c r="Q369" s="13">
        <v>10.6145</v>
      </c>
      <c r="R369" s="13">
        <v>10.58</v>
      </c>
      <c r="S369" s="13">
        <v>10.6</v>
      </c>
      <c r="T369" s="13">
        <v>0.0328</v>
      </c>
      <c r="U369" s="13">
        <v>0.1442</v>
      </c>
      <c r="V369" s="13">
        <v>405223.0</v>
      </c>
      <c r="W369" s="12">
        <v>3.53666661E8</v>
      </c>
      <c r="X369" s="11">
        <v>67.1189</v>
      </c>
      <c r="Y369" s="13">
        <v>63.6428</v>
      </c>
      <c r="Z369" s="13">
        <v>10.5473</v>
      </c>
      <c r="AA369" s="13">
        <v>10.4411</v>
      </c>
      <c r="AB369" s="13">
        <v>10.5907</v>
      </c>
      <c r="AC369" s="13">
        <v>10.5778</v>
      </c>
      <c r="AD369" s="13">
        <v>10.5698</v>
      </c>
      <c r="AE369" s="13">
        <v>10.5654</v>
      </c>
      <c r="AF369" s="13">
        <v>10.5505</v>
      </c>
      <c r="AG369" s="13">
        <v>12.5</v>
      </c>
      <c r="AH369" s="13">
        <v>2.333</v>
      </c>
      <c r="AI369" s="13">
        <v>0.0</v>
      </c>
      <c r="AJ369" s="13">
        <v>0.0</v>
      </c>
      <c r="AK369" s="13">
        <v>0.0</v>
      </c>
      <c r="AL369" s="13">
        <v>0.5306</v>
      </c>
      <c r="AM369" s="13">
        <v>15.12</v>
      </c>
      <c r="AN369" s="14">
        <f>IFERROR(__xludf.DUMMYFUNCTION("IFERROR(GOOGLEFINANCE(B369,""price""),"""")"),10.66)</f>
        <v>10.66</v>
      </c>
    </row>
    <row r="370">
      <c r="A370" s="15">
        <v>46072.86936524934</v>
      </c>
      <c r="B370" s="16" t="s">
        <v>1649</v>
      </c>
      <c r="C370" s="16" t="s">
        <v>1650</v>
      </c>
      <c r="D370" s="17">
        <v>46075.0</v>
      </c>
      <c r="E370" s="18">
        <v>49.04</v>
      </c>
      <c r="F370" s="16" t="s">
        <v>93</v>
      </c>
      <c r="G370" s="21">
        <v>9.3381</v>
      </c>
      <c r="H370" s="21">
        <v>5.2516</v>
      </c>
      <c r="I370" s="19">
        <v>0.52</v>
      </c>
      <c r="J370" s="16" t="s">
        <v>5319</v>
      </c>
      <c r="K370" s="19">
        <v>48.1701</v>
      </c>
      <c r="L370" s="19">
        <v>67.5645</v>
      </c>
      <c r="M370" s="21">
        <v>1.4985</v>
      </c>
      <c r="N370" s="16" t="s">
        <v>1651</v>
      </c>
      <c r="O370" s="19">
        <v>0.0408</v>
      </c>
      <c r="P370" s="20">
        <v>4095935.0</v>
      </c>
      <c r="Q370" s="21">
        <v>49.285</v>
      </c>
      <c r="R370" s="21">
        <v>48.795</v>
      </c>
      <c r="S370" s="21">
        <v>48.93</v>
      </c>
      <c r="T370" s="21">
        <v>0.4085</v>
      </c>
      <c r="U370" s="21">
        <v>1.5766</v>
      </c>
      <c r="V370" s="16">
        <v>2938480.0</v>
      </c>
      <c r="W370" s="20">
        <v>7.555867852E9</v>
      </c>
      <c r="X370" s="19">
        <v>69.0745</v>
      </c>
      <c r="Y370" s="21">
        <v>81.1522</v>
      </c>
      <c r="Z370" s="21">
        <v>47.5232</v>
      </c>
      <c r="AA370" s="21">
        <v>43.9201</v>
      </c>
      <c r="AB370" s="21">
        <v>48.8151</v>
      </c>
      <c r="AC370" s="21">
        <v>48.3746</v>
      </c>
      <c r="AD370" s="21">
        <v>47.9406</v>
      </c>
      <c r="AE370" s="21">
        <v>47.2409</v>
      </c>
      <c r="AF370" s="21">
        <v>46.2568</v>
      </c>
      <c r="AG370" s="21">
        <v>49.82</v>
      </c>
      <c r="AH370" s="21">
        <v>16.167</v>
      </c>
      <c r="AI370" s="21">
        <v>34.9751</v>
      </c>
      <c r="AJ370" s="21">
        <v>27.4161</v>
      </c>
      <c r="AK370" s="21">
        <v>0.075</v>
      </c>
      <c r="AL370" s="21">
        <v>0.0</v>
      </c>
      <c r="AM370" s="21">
        <v>1.5656</v>
      </c>
      <c r="AN370" s="22">
        <f>IFERROR(__xludf.DUMMYFUNCTION("IFERROR(GOOGLEFINANCE(B370,""price""),"""")"),51.62)</f>
        <v>51.62</v>
      </c>
    </row>
    <row r="371">
      <c r="A371" s="7">
        <v>46072.86936524934</v>
      </c>
      <c r="B371" s="8" t="s">
        <v>1645</v>
      </c>
      <c r="C371" s="8" t="s">
        <v>1646</v>
      </c>
      <c r="D371" s="9">
        <v>46075.0</v>
      </c>
      <c r="E371" s="10">
        <v>16.08</v>
      </c>
      <c r="F371" s="8" t="s">
        <v>190</v>
      </c>
      <c r="G371" s="13">
        <v>18.4573</v>
      </c>
      <c r="H371" s="13">
        <v>0.8712</v>
      </c>
      <c r="I371" s="11">
        <v>0.66</v>
      </c>
      <c r="J371" s="8" t="s">
        <v>5320</v>
      </c>
      <c r="K371" s="11">
        <v>38.1833</v>
      </c>
      <c r="L371" s="11">
        <v>63.3213</v>
      </c>
      <c r="M371" s="13">
        <v>1.3259</v>
      </c>
      <c r="N371" s="8" t="s">
        <v>1647</v>
      </c>
      <c r="O371" s="11">
        <v>-1.4706</v>
      </c>
      <c r="P371" s="12">
        <v>1276394.0</v>
      </c>
      <c r="Q371" s="13">
        <v>16.34</v>
      </c>
      <c r="R371" s="13">
        <v>16.04</v>
      </c>
      <c r="S371" s="13">
        <v>16.23</v>
      </c>
      <c r="T371" s="13">
        <v>0.3096</v>
      </c>
      <c r="U371" s="13">
        <v>0.9322</v>
      </c>
      <c r="V371" s="8">
        <v>1022107.0</v>
      </c>
      <c r="W371" s="12">
        <v>1.990986913E9</v>
      </c>
      <c r="X371" s="11">
        <v>82.0934</v>
      </c>
      <c r="Y371" s="13">
        <v>87.2571</v>
      </c>
      <c r="Z371" s="13">
        <v>15.2892</v>
      </c>
      <c r="AA371" s="13">
        <v>14.9442</v>
      </c>
      <c r="AB371" s="13">
        <v>16.0899</v>
      </c>
      <c r="AC371" s="13">
        <v>15.7143</v>
      </c>
      <c r="AD371" s="13">
        <v>15.4862</v>
      </c>
      <c r="AE371" s="13">
        <v>15.1972</v>
      </c>
      <c r="AF371" s="13">
        <v>14.8974</v>
      </c>
      <c r="AG371" s="13">
        <v>19.3989</v>
      </c>
      <c r="AH371" s="13">
        <v>5.5657</v>
      </c>
      <c r="AI371" s="13">
        <v>5.4319</v>
      </c>
      <c r="AJ371" s="13">
        <v>-22.9573</v>
      </c>
      <c r="AK371" s="13">
        <v>1.6427</v>
      </c>
      <c r="AL371" s="13">
        <v>1.0861</v>
      </c>
      <c r="AM371" s="13">
        <v>17.1087</v>
      </c>
      <c r="AN371" s="14">
        <f>IFERROR(__xludf.DUMMYFUNCTION("IFERROR(GOOGLEFINANCE(B371,""price""),"""")"),16.37)</f>
        <v>16.37</v>
      </c>
    </row>
    <row r="372">
      <c r="A372" s="15">
        <v>46072.86936524934</v>
      </c>
      <c r="B372" s="16" t="s">
        <v>5321</v>
      </c>
      <c r="C372" s="16" t="s">
        <v>5322</v>
      </c>
      <c r="D372" s="17">
        <v>46075.0</v>
      </c>
      <c r="E372" s="18">
        <v>31.3</v>
      </c>
      <c r="F372" s="16" t="s">
        <v>335</v>
      </c>
      <c r="G372" s="21">
        <v>0.0</v>
      </c>
      <c r="H372" s="21">
        <v>-0.339</v>
      </c>
      <c r="I372" s="19">
        <v>0.7</v>
      </c>
      <c r="J372" s="16" t="s">
        <v>5323</v>
      </c>
      <c r="K372" s="19">
        <v>50.8815</v>
      </c>
      <c r="L372" s="19">
        <v>65.8493</v>
      </c>
      <c r="M372" s="21">
        <v>3.3225</v>
      </c>
      <c r="N372" s="16" t="s">
        <v>5324</v>
      </c>
      <c r="O372" s="19">
        <v>0.2562</v>
      </c>
      <c r="P372" s="20">
        <v>1941616.0</v>
      </c>
      <c r="Q372" s="21">
        <v>31.38</v>
      </c>
      <c r="R372" s="21">
        <v>31.16</v>
      </c>
      <c r="S372" s="21">
        <v>31.18</v>
      </c>
      <c r="T372" s="21">
        <v>0.6388</v>
      </c>
      <c r="U372" s="21">
        <v>1.8257</v>
      </c>
      <c r="V372" s="21">
        <v>713909.3</v>
      </c>
      <c r="W372" s="20">
        <v>3.882625567E9</v>
      </c>
      <c r="X372" s="19">
        <v>27.2862</v>
      </c>
      <c r="Y372" s="21">
        <v>30.8052</v>
      </c>
      <c r="Z372" s="21">
        <v>27.2218</v>
      </c>
      <c r="AA372" s="21">
        <v>19.5972</v>
      </c>
      <c r="AB372" s="21">
        <v>31.3293</v>
      </c>
      <c r="AC372" s="21">
        <v>30.5155</v>
      </c>
      <c r="AD372" s="21">
        <v>29.1617</v>
      </c>
      <c r="AE372" s="21">
        <v>27.096</v>
      </c>
      <c r="AF372" s="21">
        <v>24.5187</v>
      </c>
      <c r="AG372" s="21">
        <v>32.0799</v>
      </c>
      <c r="AH372" s="21">
        <v>-14.0371</v>
      </c>
      <c r="AI372" s="21">
        <v>21.9082</v>
      </c>
      <c r="AJ372" s="21">
        <v>45.4166</v>
      </c>
      <c r="AK372" s="21">
        <v>0.4186</v>
      </c>
      <c r="AL372" s="21">
        <v>0.6971</v>
      </c>
      <c r="AM372" s="21">
        <v>2.4311</v>
      </c>
      <c r="AN372" s="22">
        <f>IFERROR(__xludf.DUMMYFUNCTION("IFERROR(GOOGLEFINANCE(B372,""price""),"""")"),31.53)</f>
        <v>31.53</v>
      </c>
    </row>
    <row r="373">
      <c r="A373" s="7">
        <v>46072.86936524934</v>
      </c>
      <c r="B373" s="8" t="s">
        <v>5325</v>
      </c>
      <c r="C373" s="8" t="s">
        <v>5326</v>
      </c>
      <c r="D373" s="9">
        <v>46075.0</v>
      </c>
      <c r="E373" s="10">
        <v>26.51</v>
      </c>
      <c r="F373" s="8" t="s">
        <v>107</v>
      </c>
      <c r="G373" s="13">
        <v>23.9066</v>
      </c>
      <c r="H373" s="13">
        <v>1.1089</v>
      </c>
      <c r="I373" s="11">
        <v>0.8</v>
      </c>
      <c r="J373" s="8" t="s">
        <v>5327</v>
      </c>
      <c r="K373" s="11">
        <v>33.3908</v>
      </c>
      <c r="L373" s="11">
        <v>71.9356</v>
      </c>
      <c r="M373" s="13">
        <v>1.3488</v>
      </c>
      <c r="N373" s="8" t="s">
        <v>5328</v>
      </c>
      <c r="O373" s="11">
        <v>-0.1883</v>
      </c>
      <c r="P373" s="12">
        <v>418764.0</v>
      </c>
      <c r="Q373" s="13">
        <v>26.78</v>
      </c>
      <c r="R373" s="13">
        <v>26.24</v>
      </c>
      <c r="S373" s="13">
        <v>26.45</v>
      </c>
      <c r="T373" s="13">
        <v>0.6567</v>
      </c>
      <c r="U373" s="13">
        <v>1.6361</v>
      </c>
      <c r="V373" s="13">
        <v>320249.0</v>
      </c>
      <c r="W373" s="12">
        <v>4.73841818E8</v>
      </c>
      <c r="X373" s="11">
        <v>86.4775</v>
      </c>
      <c r="Y373" s="13">
        <v>83.4686</v>
      </c>
      <c r="Z373" s="13">
        <v>23.5112</v>
      </c>
      <c r="AA373" s="13">
        <v>24.3668</v>
      </c>
      <c r="AB373" s="13">
        <v>25.9294</v>
      </c>
      <c r="AC373" s="13">
        <v>25.2606</v>
      </c>
      <c r="AD373" s="13">
        <v>24.6512</v>
      </c>
      <c r="AE373" s="13">
        <v>24.0895</v>
      </c>
      <c r="AF373" s="13">
        <v>23.9053</v>
      </c>
      <c r="AG373" s="13">
        <v>28.72</v>
      </c>
      <c r="AH373" s="13">
        <v>9.7213</v>
      </c>
      <c r="AI373" s="13">
        <v>3.0244</v>
      </c>
      <c r="AJ373" s="13">
        <v>-1.9817</v>
      </c>
      <c r="AK373" s="13">
        <v>0.1134</v>
      </c>
      <c r="AL373" s="13">
        <v>2.4707</v>
      </c>
      <c r="AM373" s="13">
        <v>7.695</v>
      </c>
      <c r="AN373" s="14">
        <f>IFERROR(__xludf.DUMMYFUNCTION("IFERROR(GOOGLEFINANCE(B373,""price""),"""")"),27.63)</f>
        <v>27.63</v>
      </c>
    </row>
    <row r="374">
      <c r="A374" s="7">
        <v>46072.87155008743</v>
      </c>
      <c r="B374" s="8" t="s">
        <v>1406</v>
      </c>
      <c r="C374" s="8" t="s">
        <v>1407</v>
      </c>
      <c r="D374" s="9">
        <v>46075.0</v>
      </c>
      <c r="E374" s="10">
        <v>10.61</v>
      </c>
      <c r="F374" s="8" t="s">
        <v>93</v>
      </c>
      <c r="G374" s="13">
        <v>73.9373</v>
      </c>
      <c r="H374" s="13">
        <v>0.1435</v>
      </c>
      <c r="I374" s="11">
        <v>0.45</v>
      </c>
      <c r="J374" s="8" t="s">
        <v>5318</v>
      </c>
      <c r="K374" s="11">
        <v>36.7233</v>
      </c>
      <c r="L374" s="11">
        <v>62.9783</v>
      </c>
      <c r="M374" s="13">
        <v>1.7619</v>
      </c>
      <c r="N374" s="8" t="s">
        <v>1408</v>
      </c>
      <c r="O374" s="11">
        <v>0.2836</v>
      </c>
      <c r="P374" s="12">
        <v>611192.0</v>
      </c>
      <c r="Q374" s="13">
        <v>10.6145</v>
      </c>
      <c r="R374" s="13">
        <v>10.58</v>
      </c>
      <c r="S374" s="13">
        <v>10.6</v>
      </c>
      <c r="T374" s="13">
        <v>0.0328</v>
      </c>
      <c r="U374" s="13">
        <v>0.1442</v>
      </c>
      <c r="V374" s="13">
        <v>405223.0</v>
      </c>
      <c r="W374" s="12">
        <v>3.53666661E8</v>
      </c>
      <c r="X374" s="11">
        <v>67.1189</v>
      </c>
      <c r="Y374" s="13">
        <v>63.6428</v>
      </c>
      <c r="Z374" s="13">
        <v>10.5473</v>
      </c>
      <c r="AA374" s="13">
        <v>10.4411</v>
      </c>
      <c r="AB374" s="13">
        <v>10.5907</v>
      </c>
      <c r="AC374" s="13">
        <v>10.5778</v>
      </c>
      <c r="AD374" s="13">
        <v>10.5698</v>
      </c>
      <c r="AE374" s="13">
        <v>10.5654</v>
      </c>
      <c r="AF374" s="13">
        <v>10.5505</v>
      </c>
      <c r="AG374" s="13">
        <v>12.5</v>
      </c>
      <c r="AH374" s="13">
        <v>2.333</v>
      </c>
      <c r="AI374" s="13">
        <v>0.0</v>
      </c>
      <c r="AJ374" s="13">
        <v>0.0</v>
      </c>
      <c r="AK374" s="13">
        <v>0.0</v>
      </c>
      <c r="AL374" s="13">
        <v>0.5306</v>
      </c>
      <c r="AM374" s="13">
        <v>15.12</v>
      </c>
      <c r="AN374" s="14">
        <f>IFERROR(__xludf.DUMMYFUNCTION("IFERROR(GOOGLEFINANCE(B374,""price""),"""")"),10.66)</f>
        <v>10.66</v>
      </c>
    </row>
    <row r="375">
      <c r="A375" s="15">
        <v>46072.87155008743</v>
      </c>
      <c r="B375" s="16" t="s">
        <v>1649</v>
      </c>
      <c r="C375" s="16" t="s">
        <v>1650</v>
      </c>
      <c r="D375" s="17">
        <v>46075.0</v>
      </c>
      <c r="E375" s="18">
        <v>49.04</v>
      </c>
      <c r="F375" s="16" t="s">
        <v>93</v>
      </c>
      <c r="G375" s="21">
        <v>9.3381</v>
      </c>
      <c r="H375" s="21">
        <v>5.2516</v>
      </c>
      <c r="I375" s="19">
        <v>0.52</v>
      </c>
      <c r="J375" s="16" t="s">
        <v>5319</v>
      </c>
      <c r="K375" s="19">
        <v>48.1701</v>
      </c>
      <c r="L375" s="19">
        <v>67.5645</v>
      </c>
      <c r="M375" s="21">
        <v>1.4985</v>
      </c>
      <c r="N375" s="16" t="s">
        <v>1651</v>
      </c>
      <c r="O375" s="19">
        <v>0.0408</v>
      </c>
      <c r="P375" s="20">
        <v>4095935.0</v>
      </c>
      <c r="Q375" s="21">
        <v>49.285</v>
      </c>
      <c r="R375" s="21">
        <v>48.795</v>
      </c>
      <c r="S375" s="21">
        <v>48.93</v>
      </c>
      <c r="T375" s="21">
        <v>0.4085</v>
      </c>
      <c r="U375" s="21">
        <v>1.5766</v>
      </c>
      <c r="V375" s="16">
        <v>2938480.0</v>
      </c>
      <c r="W375" s="20">
        <v>7.555867852E9</v>
      </c>
      <c r="X375" s="19">
        <v>69.0745</v>
      </c>
      <c r="Y375" s="21">
        <v>81.1522</v>
      </c>
      <c r="Z375" s="21">
        <v>47.5232</v>
      </c>
      <c r="AA375" s="21">
        <v>43.9201</v>
      </c>
      <c r="AB375" s="21">
        <v>48.8151</v>
      </c>
      <c r="AC375" s="21">
        <v>48.3746</v>
      </c>
      <c r="AD375" s="21">
        <v>47.9406</v>
      </c>
      <c r="AE375" s="21">
        <v>47.2409</v>
      </c>
      <c r="AF375" s="21">
        <v>46.2568</v>
      </c>
      <c r="AG375" s="21">
        <v>49.82</v>
      </c>
      <c r="AH375" s="21">
        <v>16.167</v>
      </c>
      <c r="AI375" s="21">
        <v>34.9751</v>
      </c>
      <c r="AJ375" s="21">
        <v>27.4161</v>
      </c>
      <c r="AK375" s="21">
        <v>0.075</v>
      </c>
      <c r="AL375" s="21">
        <v>0.0</v>
      </c>
      <c r="AM375" s="21">
        <v>1.5656</v>
      </c>
      <c r="AN375" s="22">
        <f>IFERROR(__xludf.DUMMYFUNCTION("IFERROR(GOOGLEFINANCE(B375,""price""),"""")"),51.62)</f>
        <v>51.62</v>
      </c>
    </row>
    <row r="376">
      <c r="A376" s="7">
        <v>46072.87155008743</v>
      </c>
      <c r="B376" s="8" t="s">
        <v>1645</v>
      </c>
      <c r="C376" s="8" t="s">
        <v>1646</v>
      </c>
      <c r="D376" s="9">
        <v>46075.0</v>
      </c>
      <c r="E376" s="10">
        <v>16.08</v>
      </c>
      <c r="F376" s="8" t="s">
        <v>190</v>
      </c>
      <c r="G376" s="13">
        <v>18.4573</v>
      </c>
      <c r="H376" s="13">
        <v>0.8712</v>
      </c>
      <c r="I376" s="11">
        <v>0.66</v>
      </c>
      <c r="J376" s="8" t="s">
        <v>5320</v>
      </c>
      <c r="K376" s="11">
        <v>38.1833</v>
      </c>
      <c r="L376" s="11">
        <v>63.3213</v>
      </c>
      <c r="M376" s="13">
        <v>1.3259</v>
      </c>
      <c r="N376" s="8" t="s">
        <v>1647</v>
      </c>
      <c r="O376" s="11">
        <v>-1.4706</v>
      </c>
      <c r="P376" s="12">
        <v>1276394.0</v>
      </c>
      <c r="Q376" s="13">
        <v>16.34</v>
      </c>
      <c r="R376" s="13">
        <v>16.04</v>
      </c>
      <c r="S376" s="13">
        <v>16.23</v>
      </c>
      <c r="T376" s="13">
        <v>0.3096</v>
      </c>
      <c r="U376" s="13">
        <v>0.9322</v>
      </c>
      <c r="V376" s="8">
        <v>1022107.0</v>
      </c>
      <c r="W376" s="12">
        <v>1.990986913E9</v>
      </c>
      <c r="X376" s="11">
        <v>82.0934</v>
      </c>
      <c r="Y376" s="13">
        <v>87.2571</v>
      </c>
      <c r="Z376" s="13">
        <v>15.2892</v>
      </c>
      <c r="AA376" s="13">
        <v>14.9442</v>
      </c>
      <c r="AB376" s="13">
        <v>16.0899</v>
      </c>
      <c r="AC376" s="13">
        <v>15.7143</v>
      </c>
      <c r="AD376" s="13">
        <v>15.4862</v>
      </c>
      <c r="AE376" s="13">
        <v>15.1972</v>
      </c>
      <c r="AF376" s="13">
        <v>14.8974</v>
      </c>
      <c r="AG376" s="13">
        <v>19.3989</v>
      </c>
      <c r="AH376" s="13">
        <v>5.5657</v>
      </c>
      <c r="AI376" s="13">
        <v>5.4319</v>
      </c>
      <c r="AJ376" s="13">
        <v>-22.9573</v>
      </c>
      <c r="AK376" s="13">
        <v>1.6427</v>
      </c>
      <c r="AL376" s="13">
        <v>1.0861</v>
      </c>
      <c r="AM376" s="13">
        <v>17.1087</v>
      </c>
      <c r="AN376" s="14">
        <f>IFERROR(__xludf.DUMMYFUNCTION("IFERROR(GOOGLEFINANCE(B376,""price""),"""")"),16.37)</f>
        <v>16.37</v>
      </c>
    </row>
    <row r="377">
      <c r="A377" s="15">
        <v>46072.87155008743</v>
      </c>
      <c r="B377" s="16" t="s">
        <v>5321</v>
      </c>
      <c r="C377" s="16" t="s">
        <v>5322</v>
      </c>
      <c r="D377" s="17">
        <v>46075.0</v>
      </c>
      <c r="E377" s="18">
        <v>31.3</v>
      </c>
      <c r="F377" s="16" t="s">
        <v>335</v>
      </c>
      <c r="G377" s="21">
        <v>0.0</v>
      </c>
      <c r="H377" s="21">
        <v>-0.339</v>
      </c>
      <c r="I377" s="19">
        <v>0.7</v>
      </c>
      <c r="J377" s="16" t="s">
        <v>5323</v>
      </c>
      <c r="K377" s="19">
        <v>50.8815</v>
      </c>
      <c r="L377" s="19">
        <v>65.8493</v>
      </c>
      <c r="M377" s="21">
        <v>3.3225</v>
      </c>
      <c r="N377" s="16" t="s">
        <v>5324</v>
      </c>
      <c r="O377" s="19">
        <v>0.2562</v>
      </c>
      <c r="P377" s="20">
        <v>1941616.0</v>
      </c>
      <c r="Q377" s="21">
        <v>31.38</v>
      </c>
      <c r="R377" s="21">
        <v>31.16</v>
      </c>
      <c r="S377" s="21">
        <v>31.18</v>
      </c>
      <c r="T377" s="21">
        <v>0.6388</v>
      </c>
      <c r="U377" s="21">
        <v>1.8257</v>
      </c>
      <c r="V377" s="21">
        <v>713909.3</v>
      </c>
      <c r="W377" s="20">
        <v>3.882625567E9</v>
      </c>
      <c r="X377" s="19">
        <v>27.2862</v>
      </c>
      <c r="Y377" s="21">
        <v>30.8052</v>
      </c>
      <c r="Z377" s="21">
        <v>27.2218</v>
      </c>
      <c r="AA377" s="21">
        <v>19.5972</v>
      </c>
      <c r="AB377" s="21">
        <v>31.3293</v>
      </c>
      <c r="AC377" s="21">
        <v>30.5155</v>
      </c>
      <c r="AD377" s="21">
        <v>29.1617</v>
      </c>
      <c r="AE377" s="21">
        <v>27.096</v>
      </c>
      <c r="AF377" s="21">
        <v>24.5187</v>
      </c>
      <c r="AG377" s="21">
        <v>32.0799</v>
      </c>
      <c r="AH377" s="21">
        <v>-14.0371</v>
      </c>
      <c r="AI377" s="21">
        <v>21.9082</v>
      </c>
      <c r="AJ377" s="21">
        <v>45.4166</v>
      </c>
      <c r="AK377" s="21">
        <v>0.4186</v>
      </c>
      <c r="AL377" s="21">
        <v>0.6971</v>
      </c>
      <c r="AM377" s="21">
        <v>2.4311</v>
      </c>
      <c r="AN377" s="22">
        <f>IFERROR(__xludf.DUMMYFUNCTION("IFERROR(GOOGLEFINANCE(B377,""price""),"""")"),31.53)</f>
        <v>31.53</v>
      </c>
    </row>
    <row r="378">
      <c r="A378" s="7">
        <v>46072.87155008743</v>
      </c>
      <c r="B378" s="8" t="s">
        <v>5325</v>
      </c>
      <c r="C378" s="8" t="s">
        <v>5326</v>
      </c>
      <c r="D378" s="9">
        <v>46075.0</v>
      </c>
      <c r="E378" s="10">
        <v>26.51</v>
      </c>
      <c r="F378" s="8" t="s">
        <v>107</v>
      </c>
      <c r="G378" s="13">
        <v>23.9066</v>
      </c>
      <c r="H378" s="13">
        <v>1.1089</v>
      </c>
      <c r="I378" s="11">
        <v>0.8</v>
      </c>
      <c r="J378" s="8" t="s">
        <v>5327</v>
      </c>
      <c r="K378" s="11">
        <v>33.3908</v>
      </c>
      <c r="L378" s="11">
        <v>71.9356</v>
      </c>
      <c r="M378" s="13">
        <v>1.3488</v>
      </c>
      <c r="N378" s="8" t="s">
        <v>5328</v>
      </c>
      <c r="O378" s="11">
        <v>-0.1883</v>
      </c>
      <c r="P378" s="12">
        <v>418764.0</v>
      </c>
      <c r="Q378" s="13">
        <v>26.78</v>
      </c>
      <c r="R378" s="13">
        <v>26.24</v>
      </c>
      <c r="S378" s="13">
        <v>26.45</v>
      </c>
      <c r="T378" s="13">
        <v>0.6567</v>
      </c>
      <c r="U378" s="13">
        <v>1.6361</v>
      </c>
      <c r="V378" s="13">
        <v>320249.0</v>
      </c>
      <c r="W378" s="12">
        <v>4.73841818E8</v>
      </c>
      <c r="X378" s="11">
        <v>86.4775</v>
      </c>
      <c r="Y378" s="13">
        <v>83.4686</v>
      </c>
      <c r="Z378" s="13">
        <v>23.5112</v>
      </c>
      <c r="AA378" s="13">
        <v>24.3668</v>
      </c>
      <c r="AB378" s="13">
        <v>25.9294</v>
      </c>
      <c r="AC378" s="13">
        <v>25.2606</v>
      </c>
      <c r="AD378" s="13">
        <v>24.6512</v>
      </c>
      <c r="AE378" s="13">
        <v>24.0895</v>
      </c>
      <c r="AF378" s="13">
        <v>23.9053</v>
      </c>
      <c r="AG378" s="13">
        <v>28.72</v>
      </c>
      <c r="AH378" s="13">
        <v>9.7213</v>
      </c>
      <c r="AI378" s="13">
        <v>3.0244</v>
      </c>
      <c r="AJ378" s="13">
        <v>-1.9817</v>
      </c>
      <c r="AK378" s="13">
        <v>0.1134</v>
      </c>
      <c r="AL378" s="13">
        <v>2.4707</v>
      </c>
      <c r="AM378" s="13">
        <v>7.695</v>
      </c>
      <c r="AN378" s="14">
        <f>IFERROR(__xludf.DUMMYFUNCTION("IFERROR(GOOGLEFINANCE(B378,""price""),"""")"),27.63)</f>
        <v>27.63</v>
      </c>
    </row>
    <row r="379">
      <c r="A379" s="7">
        <v>46073.628402492584</v>
      </c>
      <c r="B379" s="8" t="s">
        <v>1645</v>
      </c>
      <c r="C379" s="8" t="s">
        <v>1646</v>
      </c>
      <c r="D379" s="9">
        <v>46075.0</v>
      </c>
      <c r="E379" s="10">
        <v>15.06</v>
      </c>
      <c r="F379" s="8" t="s">
        <v>190</v>
      </c>
      <c r="G379" s="13">
        <v>17.2865</v>
      </c>
      <c r="H379" s="13">
        <v>0.8712</v>
      </c>
      <c r="I379" s="11">
        <v>0.77</v>
      </c>
      <c r="J379" s="8" t="s">
        <v>5329</v>
      </c>
      <c r="K379" s="11">
        <v>37.4539</v>
      </c>
      <c r="L379" s="11">
        <v>40.4105</v>
      </c>
      <c r="M379" s="13">
        <v>2.3255</v>
      </c>
      <c r="N379" s="8" t="s">
        <v>1647</v>
      </c>
      <c r="O379" s="11">
        <v>-6.3433</v>
      </c>
      <c r="P379" s="12">
        <v>2376863.0</v>
      </c>
      <c r="Q379" s="13">
        <v>15.62</v>
      </c>
      <c r="R379" s="13">
        <v>14.53</v>
      </c>
      <c r="S379" s="13">
        <v>15.62</v>
      </c>
      <c r="T379" s="13">
        <v>0.3982</v>
      </c>
      <c r="U379" s="13">
        <v>1.0401</v>
      </c>
      <c r="V379" s="8">
        <v>1159567.0</v>
      </c>
      <c r="W379" s="12">
        <v>1.864692993E9</v>
      </c>
      <c r="X379" s="11">
        <v>61.0708</v>
      </c>
      <c r="Y379" s="13">
        <v>77.3182</v>
      </c>
      <c r="Z379" s="13">
        <v>15.2922</v>
      </c>
      <c r="AA379" s="13">
        <v>14.9454</v>
      </c>
      <c r="AB379" s="13">
        <v>15.8611</v>
      </c>
      <c r="AC379" s="13">
        <v>15.6548</v>
      </c>
      <c r="AD379" s="13">
        <v>15.4619</v>
      </c>
      <c r="AE379" s="13">
        <v>15.1923</v>
      </c>
      <c r="AF379" s="13">
        <v>14.901</v>
      </c>
      <c r="AG379" s="13">
        <v>19.3989</v>
      </c>
      <c r="AH379" s="13">
        <v>5.5657</v>
      </c>
      <c r="AI379" s="13">
        <v>5.4319</v>
      </c>
      <c r="AJ379" s="13">
        <v>-22.9573</v>
      </c>
      <c r="AK379" s="13">
        <v>1.6427</v>
      </c>
      <c r="AL379" s="13">
        <v>1.0861</v>
      </c>
      <c r="AM379" s="13">
        <v>22.3667</v>
      </c>
      <c r="AN379" s="14">
        <f>IFERROR(__xludf.DUMMYFUNCTION("IFERROR(GOOGLEFINANCE(B379,""price""),"""")"),16.37)</f>
        <v>16.37</v>
      </c>
    </row>
    <row r="380">
      <c r="A380" s="7">
        <v>46073.77906084538</v>
      </c>
      <c r="B380" s="8" t="s">
        <v>5330</v>
      </c>
      <c r="C380" s="8" t="s">
        <v>5331</v>
      </c>
      <c r="D380" s="9">
        <v>46075.0</v>
      </c>
      <c r="E380" s="10">
        <v>13.97</v>
      </c>
      <c r="F380" s="8" t="s">
        <v>117</v>
      </c>
      <c r="G380" s="13">
        <v>0.0</v>
      </c>
      <c r="H380" s="13">
        <v>-1.4995</v>
      </c>
      <c r="I380" s="11">
        <v>0.34</v>
      </c>
      <c r="J380" s="8" t="s">
        <v>5332</v>
      </c>
      <c r="K380" s="11">
        <v>69.1203</v>
      </c>
      <c r="L380" s="11">
        <v>72.3018</v>
      </c>
      <c r="M380" s="13">
        <v>1.4521</v>
      </c>
      <c r="N380" s="8" t="s">
        <v>5333</v>
      </c>
      <c r="O380" s="11">
        <v>0.0716</v>
      </c>
      <c r="P380" s="12">
        <v>3693833.0</v>
      </c>
      <c r="Q380" s="13">
        <v>13.97</v>
      </c>
      <c r="R380" s="13">
        <v>13.95</v>
      </c>
      <c r="S380" s="13">
        <v>13.96</v>
      </c>
      <c r="T380" s="13">
        <v>0.2636</v>
      </c>
      <c r="U380" s="13">
        <v>1.5411</v>
      </c>
      <c r="V380" s="8">
        <v>2686989.0</v>
      </c>
      <c r="W380" s="12">
        <v>1.002498104E9</v>
      </c>
      <c r="X380" s="11">
        <v>81.4815</v>
      </c>
      <c r="Y380" s="13">
        <v>73.2884</v>
      </c>
      <c r="Z380" s="13">
        <v>11.9224</v>
      </c>
      <c r="AA380" s="13">
        <v>7.4718</v>
      </c>
      <c r="AB380" s="13">
        <v>13.9552</v>
      </c>
      <c r="AC380" s="13">
        <v>13.6769</v>
      </c>
      <c r="AD380" s="13">
        <v>13.0663</v>
      </c>
      <c r="AE380" s="13">
        <v>11.9784</v>
      </c>
      <c r="AF380" s="13">
        <v>10.4199</v>
      </c>
      <c r="AG380" s="13">
        <v>25.0</v>
      </c>
      <c r="AH380" s="13">
        <v>-45.3516</v>
      </c>
      <c r="AI380" s="13">
        <v>0.0</v>
      </c>
      <c r="AJ380" s="13">
        <v>0.0</v>
      </c>
      <c r="AK380" s="13">
        <v>0.0524</v>
      </c>
      <c r="AL380" s="13">
        <v>17.8607</v>
      </c>
      <c r="AM380" s="13">
        <v>44.12</v>
      </c>
      <c r="AN380" s="14" t="str">
        <f>IFERROR(__xludf.DUMMYFUNCTION("IFERROR(GOOGLEFINANCE(B380,""price""),"""")"),"")</f>
        <v/>
      </c>
    </row>
    <row r="381">
      <c r="A381" s="15">
        <v>46073.77906084538</v>
      </c>
      <c r="B381" s="16" t="s">
        <v>1645</v>
      </c>
      <c r="C381" s="16" t="s">
        <v>1646</v>
      </c>
      <c r="D381" s="17">
        <v>46075.0</v>
      </c>
      <c r="E381" s="18">
        <v>15.01</v>
      </c>
      <c r="F381" s="16" t="s">
        <v>190</v>
      </c>
      <c r="G381" s="21">
        <v>12.9598</v>
      </c>
      <c r="H381" s="21">
        <v>1.1582</v>
      </c>
      <c r="I381" s="19">
        <v>0.77</v>
      </c>
      <c r="J381" s="16" t="s">
        <v>5334</v>
      </c>
      <c r="K381" s="19">
        <v>37.4539</v>
      </c>
      <c r="L381" s="19">
        <v>39.7063</v>
      </c>
      <c r="M381" s="21">
        <v>3.001</v>
      </c>
      <c r="N381" s="16" t="s">
        <v>1647</v>
      </c>
      <c r="O381" s="19">
        <v>-6.6542</v>
      </c>
      <c r="P381" s="20">
        <v>3067342.0</v>
      </c>
      <c r="Q381" s="21">
        <v>15.62</v>
      </c>
      <c r="R381" s="21">
        <v>14.53</v>
      </c>
      <c r="S381" s="21">
        <v>15.62</v>
      </c>
      <c r="T381" s="21">
        <v>0.3982</v>
      </c>
      <c r="U381" s="21">
        <v>1.0401</v>
      </c>
      <c r="V381" s="16">
        <v>1228615.0</v>
      </c>
      <c r="W381" s="20">
        <v>1.858502113E9</v>
      </c>
      <c r="X381" s="19">
        <v>60.2598</v>
      </c>
      <c r="Y381" s="21">
        <v>77.0478</v>
      </c>
      <c r="Z381" s="21">
        <v>15.2912</v>
      </c>
      <c r="AA381" s="21">
        <v>14.9449</v>
      </c>
      <c r="AB381" s="21">
        <v>15.8499</v>
      </c>
      <c r="AC381" s="21">
        <v>15.6503</v>
      </c>
      <c r="AD381" s="21">
        <v>15.459</v>
      </c>
      <c r="AE381" s="21">
        <v>15.1905</v>
      </c>
      <c r="AF381" s="21">
        <v>14.8999</v>
      </c>
      <c r="AG381" s="21">
        <v>19.3989</v>
      </c>
      <c r="AH381" s="21">
        <v>8.4395</v>
      </c>
      <c r="AI381" s="21">
        <v>6.1359</v>
      </c>
      <c r="AJ381" s="21">
        <v>-17.659</v>
      </c>
      <c r="AK381" s="21">
        <v>1.682</v>
      </c>
      <c r="AL381" s="21">
        <v>1.0414</v>
      </c>
      <c r="AM381" s="21">
        <v>22.6245</v>
      </c>
      <c r="AN381" s="22">
        <f>IFERROR(__xludf.DUMMYFUNCTION("IFERROR(GOOGLEFINANCE(B381,""price""),"""")"),16.37)</f>
        <v>16.37</v>
      </c>
    </row>
    <row r="382">
      <c r="A382" s="7">
        <v>46077.62658898934</v>
      </c>
      <c r="B382" s="8" t="s">
        <v>1750</v>
      </c>
      <c r="C382" s="8" t="s">
        <v>1751</v>
      </c>
      <c r="D382" s="9">
        <v>46082.0</v>
      </c>
      <c r="E382" s="10">
        <v>15.795</v>
      </c>
      <c r="F382" s="8" t="s">
        <v>186</v>
      </c>
      <c r="G382" s="13">
        <v>12.3756</v>
      </c>
      <c r="H382" s="13">
        <v>1.2763</v>
      </c>
      <c r="I382" s="11">
        <v>0.36</v>
      </c>
      <c r="J382" s="8" t="s">
        <v>5335</v>
      </c>
      <c r="K382" s="11">
        <v>38.247</v>
      </c>
      <c r="L382" s="11">
        <v>77.616</v>
      </c>
      <c r="M382" s="13">
        <v>3.6871</v>
      </c>
      <c r="N382" s="8" t="s">
        <v>1752</v>
      </c>
      <c r="O382" s="11">
        <v>0.3494</v>
      </c>
      <c r="P382" s="12">
        <v>997020.0</v>
      </c>
      <c r="Q382" s="13">
        <v>15.81</v>
      </c>
      <c r="R382" s="13">
        <v>15.74</v>
      </c>
      <c r="S382" s="13">
        <v>15.74</v>
      </c>
      <c r="T382" s="13">
        <v>0.0595</v>
      </c>
      <c r="U382" s="13">
        <v>0.3334</v>
      </c>
      <c r="V382" s="13">
        <v>360656.2</v>
      </c>
      <c r="W382" s="12">
        <v>4.69407348E8</v>
      </c>
      <c r="X382" s="11">
        <v>95.2178</v>
      </c>
      <c r="Y382" s="13">
        <v>75.2146</v>
      </c>
      <c r="Z382" s="13">
        <v>15.4792</v>
      </c>
      <c r="AA382" s="13">
        <v>14.8164</v>
      </c>
      <c r="AB382" s="13">
        <v>15.6466</v>
      </c>
      <c r="AC382" s="13">
        <v>15.5689</v>
      </c>
      <c r="AD382" s="13">
        <v>15.5169</v>
      </c>
      <c r="AE382" s="13">
        <v>15.3994</v>
      </c>
      <c r="AF382" s="13">
        <v>15.1324</v>
      </c>
      <c r="AG382" s="13">
        <v>15.98</v>
      </c>
      <c r="AH382" s="13">
        <v>26.8402</v>
      </c>
      <c r="AI382" s="13">
        <v>-1.5087</v>
      </c>
      <c r="AJ382" s="13">
        <v>-6.5691</v>
      </c>
      <c r="AK382" s="13">
        <v>1.2101</v>
      </c>
      <c r="AL382" s="13">
        <v>2.0275</v>
      </c>
      <c r="AM382" s="13">
        <v>1.1577</v>
      </c>
      <c r="AN382" s="14">
        <f>IFERROR(__xludf.DUMMYFUNCTION("IFERROR(GOOGLEFINANCE(B382,""price""),"""")"),15.82)</f>
        <v>15.82</v>
      </c>
    </row>
    <row r="383">
      <c r="A383" s="15">
        <v>46077.62658898934</v>
      </c>
      <c r="B383" s="16" t="s">
        <v>5336</v>
      </c>
      <c r="C383" s="16" t="s">
        <v>5337</v>
      </c>
      <c r="D383" s="17">
        <v>46082.0</v>
      </c>
      <c r="E383" s="18">
        <v>6.435</v>
      </c>
      <c r="F383" s="16" t="s">
        <v>286</v>
      </c>
      <c r="G383" s="21">
        <v>0.0</v>
      </c>
      <c r="H383" s="21">
        <v>-0.0051</v>
      </c>
      <c r="I383" s="19">
        <v>0.61</v>
      </c>
      <c r="J383" s="16" t="s">
        <v>5338</v>
      </c>
      <c r="K383" s="19">
        <v>57.5326</v>
      </c>
      <c r="L383" s="19">
        <v>81.7838</v>
      </c>
      <c r="M383" s="21">
        <v>2.1876</v>
      </c>
      <c r="N383" s="16" t="s">
        <v>5339</v>
      </c>
      <c r="O383" s="19">
        <v>0.5469</v>
      </c>
      <c r="P383" s="20">
        <v>6187600.0</v>
      </c>
      <c r="Q383" s="21">
        <v>6.44</v>
      </c>
      <c r="R383" s="21">
        <v>6.4</v>
      </c>
      <c r="S383" s="21">
        <v>6.42</v>
      </c>
      <c r="T383" s="21">
        <v>0.1486</v>
      </c>
      <c r="U383" s="21">
        <v>0.4909</v>
      </c>
      <c r="V383" s="16">
        <v>2749167.0</v>
      </c>
      <c r="W383" s="20">
        <v>7.77059401E8</v>
      </c>
      <c r="X383" s="19">
        <v>98.4336</v>
      </c>
      <c r="Y383" s="21">
        <v>98.1391</v>
      </c>
      <c r="Z383" s="21">
        <v>4.7294</v>
      </c>
      <c r="AA383" s="21">
        <v>5.2564</v>
      </c>
      <c r="AB383" s="21">
        <v>6.3365</v>
      </c>
      <c r="AC383" s="21">
        <v>5.8213</v>
      </c>
      <c r="AD383" s="21">
        <v>5.4325</v>
      </c>
      <c r="AE383" s="21">
        <v>5.1261</v>
      </c>
      <c r="AF383" s="21">
        <v>5.0247</v>
      </c>
      <c r="AG383" s="21">
        <v>7.455</v>
      </c>
      <c r="AH383" s="21">
        <v>2.2282</v>
      </c>
      <c r="AI383" s="21">
        <v>4.1656</v>
      </c>
      <c r="AJ383" s="21">
        <v>11.313</v>
      </c>
      <c r="AK383" s="21">
        <v>2.1976</v>
      </c>
      <c r="AL383" s="21">
        <v>0.9772</v>
      </c>
      <c r="AM383" s="21">
        <v>13.6821</v>
      </c>
      <c r="AN383" s="22">
        <f>IFERROR(__xludf.DUMMYFUNCTION("IFERROR(GOOGLEFINANCE(B383,""price""),"""")"),6.48)</f>
        <v>6.48</v>
      </c>
    </row>
    <row r="384">
      <c r="A384" s="7">
        <v>46077.62658898934</v>
      </c>
      <c r="B384" s="8" t="s">
        <v>699</v>
      </c>
      <c r="C384" s="8" t="s">
        <v>700</v>
      </c>
      <c r="D384" s="9">
        <v>46082.0</v>
      </c>
      <c r="E384" s="10">
        <v>2.45</v>
      </c>
      <c r="F384" s="8" t="s">
        <v>117</v>
      </c>
      <c r="G384" s="13">
        <v>0.0</v>
      </c>
      <c r="H384" s="13">
        <v>-1.0059</v>
      </c>
      <c r="I384" s="11">
        <v>0.81</v>
      </c>
      <c r="J384" s="8" t="s">
        <v>5194</v>
      </c>
      <c r="K384" s="11">
        <v>26.242</v>
      </c>
      <c r="L384" s="11">
        <v>57.768</v>
      </c>
      <c r="M384" s="13">
        <v>1.5478</v>
      </c>
      <c r="N384" s="8" t="s">
        <v>701</v>
      </c>
      <c r="O384" s="11">
        <v>0.0</v>
      </c>
      <c r="P384" s="12">
        <v>1388920.0</v>
      </c>
      <c r="Q384" s="13">
        <v>2.72</v>
      </c>
      <c r="R384" s="13">
        <v>2.41</v>
      </c>
      <c r="S384" s="13">
        <v>2.43</v>
      </c>
      <c r="T384" s="13">
        <v>0.2148</v>
      </c>
      <c r="U384" s="13">
        <v>0.5313</v>
      </c>
      <c r="V384" s="13">
        <v>944562.3</v>
      </c>
      <c r="W384" s="12">
        <v>8.4631733E7</v>
      </c>
      <c r="X384" s="11">
        <v>75.6005</v>
      </c>
      <c r="Y384" s="13">
        <v>79.3644</v>
      </c>
      <c r="Z384" s="13">
        <v>2.1874</v>
      </c>
      <c r="AA384" s="13">
        <v>24.4186</v>
      </c>
      <c r="AB384" s="13">
        <v>2.372</v>
      </c>
      <c r="AC384" s="13">
        <v>2.2994</v>
      </c>
      <c r="AD384" s="13">
        <v>2.2256</v>
      </c>
      <c r="AE384" s="13">
        <v>2.0824</v>
      </c>
      <c r="AF384" s="13">
        <v>1.8865</v>
      </c>
      <c r="AG384" s="13">
        <v>6.8908</v>
      </c>
      <c r="AH384" s="13">
        <v>-70.2207</v>
      </c>
      <c r="AI384" s="13">
        <v>-7657.6667</v>
      </c>
      <c r="AJ384" s="13">
        <v>-20.0</v>
      </c>
      <c r="AK384" s="13">
        <v>0.0433</v>
      </c>
      <c r="AL384" s="13">
        <v>9.0439</v>
      </c>
      <c r="AM384" s="13">
        <v>64.4456</v>
      </c>
      <c r="AN384" s="14">
        <f>IFERROR(__xludf.DUMMYFUNCTION("IFERROR(GOOGLEFINANCE(B384,""price""),"""")"),2.16)</f>
        <v>2.16</v>
      </c>
    </row>
    <row r="385">
      <c r="A385" s="7">
        <v>46078.628224067856</v>
      </c>
      <c r="B385" s="8" t="s">
        <v>1750</v>
      </c>
      <c r="C385" s="8" t="s">
        <v>1751</v>
      </c>
      <c r="D385" s="9">
        <v>46082.0</v>
      </c>
      <c r="E385" s="10">
        <v>15.75</v>
      </c>
      <c r="F385" s="8" t="s">
        <v>186</v>
      </c>
      <c r="G385" s="13">
        <v>12.3404</v>
      </c>
      <c r="H385" s="13">
        <v>1.2763</v>
      </c>
      <c r="I385" s="11">
        <v>0.38</v>
      </c>
      <c r="J385" s="8" t="s">
        <v>5340</v>
      </c>
      <c r="K385" s="11">
        <v>39.263</v>
      </c>
      <c r="L385" s="11">
        <v>71.9746</v>
      </c>
      <c r="M385" s="13">
        <v>1.3367</v>
      </c>
      <c r="N385" s="8" t="s">
        <v>1752</v>
      </c>
      <c r="O385" s="11">
        <v>-0.1901</v>
      </c>
      <c r="P385" s="12">
        <v>486967.0</v>
      </c>
      <c r="Q385" s="13">
        <v>15.81</v>
      </c>
      <c r="R385" s="13">
        <v>15.7</v>
      </c>
      <c r="S385" s="13">
        <v>15.7</v>
      </c>
      <c r="T385" s="13">
        <v>0.0631</v>
      </c>
      <c r="U385" s="13">
        <v>0.3334</v>
      </c>
      <c r="V385" s="13">
        <v>404044.2</v>
      </c>
      <c r="W385" s="12">
        <v>4.68070004E8</v>
      </c>
      <c r="X385" s="11">
        <v>89.669</v>
      </c>
      <c r="Y385" s="13">
        <v>86.2694</v>
      </c>
      <c r="Z385" s="13">
        <v>15.4849</v>
      </c>
      <c r="AA385" s="13">
        <v>14.8255</v>
      </c>
      <c r="AB385" s="13">
        <v>15.667</v>
      </c>
      <c r="AC385" s="13">
        <v>15.5841</v>
      </c>
      <c r="AD385" s="13">
        <v>15.5294</v>
      </c>
      <c r="AE385" s="13">
        <v>15.4114</v>
      </c>
      <c r="AF385" s="13">
        <v>15.1458</v>
      </c>
      <c r="AG385" s="13">
        <v>15.98</v>
      </c>
      <c r="AH385" s="13">
        <v>26.8402</v>
      </c>
      <c r="AI385" s="13">
        <v>-1.5087</v>
      </c>
      <c r="AJ385" s="13">
        <v>-6.5691</v>
      </c>
      <c r="AK385" s="13">
        <v>1.2101</v>
      </c>
      <c r="AL385" s="13">
        <v>2.0275</v>
      </c>
      <c r="AM385" s="13">
        <v>1.4393</v>
      </c>
      <c r="AN385" s="14">
        <f>IFERROR(__xludf.DUMMYFUNCTION("IFERROR(GOOGLEFINANCE(B385,""price""),"""")"),15.82)</f>
        <v>15.82</v>
      </c>
    </row>
    <row r="386">
      <c r="A386" s="15">
        <v>46078.628224067856</v>
      </c>
      <c r="B386" s="16" t="s">
        <v>699</v>
      </c>
      <c r="C386" s="16" t="s">
        <v>700</v>
      </c>
      <c r="D386" s="17">
        <v>46082.0</v>
      </c>
      <c r="E386" s="18">
        <v>2.805</v>
      </c>
      <c r="F386" s="16" t="s">
        <v>117</v>
      </c>
      <c r="G386" s="21">
        <v>0.0</v>
      </c>
      <c r="H386" s="21">
        <v>-1.0059</v>
      </c>
      <c r="I386" s="19">
        <v>0.83</v>
      </c>
      <c r="J386" s="16" t="s">
        <v>5341</v>
      </c>
      <c r="K386" s="19">
        <v>27.0374</v>
      </c>
      <c r="L386" s="19">
        <v>67.557</v>
      </c>
      <c r="M386" s="21">
        <v>3.092</v>
      </c>
      <c r="N386" s="16" t="s">
        <v>701</v>
      </c>
      <c r="O386" s="19">
        <v>13.5628</v>
      </c>
      <c r="P386" s="20">
        <v>2953491.0</v>
      </c>
      <c r="Q386" s="21">
        <v>2.825</v>
      </c>
      <c r="R386" s="21">
        <v>2.475</v>
      </c>
      <c r="S386" s="21">
        <v>2.53</v>
      </c>
      <c r="T386" s="21">
        <v>0.2248</v>
      </c>
      <c r="U386" s="21">
        <v>0.5388</v>
      </c>
      <c r="V386" s="16">
        <v>1088522.0</v>
      </c>
      <c r="W386" s="20">
        <v>9.6894698E7</v>
      </c>
      <c r="X386" s="19">
        <v>83.7897</v>
      </c>
      <c r="Y386" s="21">
        <v>81.8807</v>
      </c>
      <c r="Z386" s="21">
        <v>2.1955</v>
      </c>
      <c r="AA386" s="21">
        <v>24.2037</v>
      </c>
      <c r="AB386" s="21">
        <v>2.4717</v>
      </c>
      <c r="AC386" s="21">
        <v>2.347</v>
      </c>
      <c r="AD386" s="21">
        <v>2.2598</v>
      </c>
      <c r="AE386" s="21">
        <v>2.1089</v>
      </c>
      <c r="AF386" s="21">
        <v>1.9074</v>
      </c>
      <c r="AG386" s="21">
        <v>6.8908</v>
      </c>
      <c r="AH386" s="21">
        <v>-70.2207</v>
      </c>
      <c r="AI386" s="21">
        <v>-7657.6667</v>
      </c>
      <c r="AJ386" s="21">
        <v>-20.0</v>
      </c>
      <c r="AK386" s="21">
        <v>0.0433</v>
      </c>
      <c r="AL386" s="21">
        <v>9.0439</v>
      </c>
      <c r="AM386" s="21">
        <v>59.2938</v>
      </c>
      <c r="AN386" s="22">
        <f>IFERROR(__xludf.DUMMYFUNCTION("IFERROR(GOOGLEFINANCE(B386,""price""),"""")"),2.16)</f>
        <v>2.16</v>
      </c>
    </row>
    <row r="387">
      <c r="A387" s="7">
        <v>46079.62737337133</v>
      </c>
      <c r="B387" s="8" t="s">
        <v>1750</v>
      </c>
      <c r="C387" s="8" t="s">
        <v>1751</v>
      </c>
      <c r="D387" s="9">
        <v>46082.0</v>
      </c>
      <c r="E387" s="10">
        <v>15.765</v>
      </c>
      <c r="F387" s="8" t="s">
        <v>186</v>
      </c>
      <c r="G387" s="13">
        <v>12.3521</v>
      </c>
      <c r="H387" s="13">
        <v>1.2763</v>
      </c>
      <c r="I387" s="11">
        <v>0.37</v>
      </c>
      <c r="J387" s="8" t="s">
        <v>5342</v>
      </c>
      <c r="K387" s="11">
        <v>40.2064</v>
      </c>
      <c r="L387" s="11">
        <v>72.9096</v>
      </c>
      <c r="M387" s="13">
        <v>1.4132</v>
      </c>
      <c r="N387" s="8" t="s">
        <v>1752</v>
      </c>
      <c r="O387" s="11">
        <v>0.0952</v>
      </c>
      <c r="P387" s="12">
        <v>584064.0</v>
      </c>
      <c r="Q387" s="13">
        <v>15.78</v>
      </c>
      <c r="R387" s="13">
        <v>15.73</v>
      </c>
      <c r="S387" s="13">
        <v>15.78</v>
      </c>
      <c r="T387" s="13">
        <v>0.0622</v>
      </c>
      <c r="U387" s="13">
        <v>0.3334</v>
      </c>
      <c r="V387" s="13">
        <v>460900.4</v>
      </c>
      <c r="W387" s="12">
        <v>4.68515793E8</v>
      </c>
      <c r="X387" s="11">
        <v>85.4839</v>
      </c>
      <c r="Y387" s="13">
        <v>89.5859</v>
      </c>
      <c r="Z387" s="13">
        <v>15.4914</v>
      </c>
      <c r="AA387" s="13">
        <v>14.8349</v>
      </c>
      <c r="AB387" s="13">
        <v>15.6888</v>
      </c>
      <c r="AC387" s="13">
        <v>15.6006</v>
      </c>
      <c r="AD387" s="13">
        <v>15.5429</v>
      </c>
      <c r="AE387" s="13">
        <v>15.424</v>
      </c>
      <c r="AF387" s="13">
        <v>15.1595</v>
      </c>
      <c r="AG387" s="13">
        <v>15.98</v>
      </c>
      <c r="AH387" s="13">
        <v>26.8402</v>
      </c>
      <c r="AI387" s="13">
        <v>-1.5087</v>
      </c>
      <c r="AJ387" s="13">
        <v>-6.5691</v>
      </c>
      <c r="AK387" s="13">
        <v>1.2101</v>
      </c>
      <c r="AL387" s="13">
        <v>2.0275</v>
      </c>
      <c r="AM387" s="13">
        <v>1.3454</v>
      </c>
      <c r="AN387" s="14">
        <f>IFERROR(__xludf.DUMMYFUNCTION("IFERROR(GOOGLEFINANCE(B387,""price""),"""")"),15.82)</f>
        <v>15.82</v>
      </c>
    </row>
    <row r="388">
      <c r="A388" s="15">
        <v>46079.62737337133</v>
      </c>
      <c r="B388" s="16" t="s">
        <v>1649</v>
      </c>
      <c r="C388" s="16" t="s">
        <v>1650</v>
      </c>
      <c r="D388" s="17">
        <v>46082.0</v>
      </c>
      <c r="E388" s="18">
        <v>53.21</v>
      </c>
      <c r="F388" s="16" t="s">
        <v>93</v>
      </c>
      <c r="G388" s="21">
        <v>10.1322</v>
      </c>
      <c r="H388" s="21">
        <v>5.2516</v>
      </c>
      <c r="I388" s="19">
        <v>0.81</v>
      </c>
      <c r="J388" s="16" t="s">
        <v>5149</v>
      </c>
      <c r="K388" s="19">
        <v>56.1858</v>
      </c>
      <c r="L388" s="19">
        <v>84.0745</v>
      </c>
      <c r="M388" s="21">
        <v>2.5076</v>
      </c>
      <c r="N388" s="16" t="s">
        <v>1651</v>
      </c>
      <c r="O388" s="19">
        <v>6.1017</v>
      </c>
      <c r="P388" s="20">
        <v>8727844.0</v>
      </c>
      <c r="Q388" s="21">
        <v>53.76</v>
      </c>
      <c r="R388" s="21">
        <v>52.46</v>
      </c>
      <c r="S388" s="21">
        <v>53.3</v>
      </c>
      <c r="T388" s="21">
        <v>0.7309</v>
      </c>
      <c r="U388" s="21">
        <v>1.7951</v>
      </c>
      <c r="V388" s="16">
        <v>4233009.0</v>
      </c>
      <c r="W388" s="20">
        <v>8.198363314E9</v>
      </c>
      <c r="X388" s="19">
        <v>85.2725</v>
      </c>
      <c r="Y388" s="21">
        <v>82.3767</v>
      </c>
      <c r="Z388" s="21">
        <v>48.0502</v>
      </c>
      <c r="AA388" s="21">
        <v>44.2455</v>
      </c>
      <c r="AB388" s="21">
        <v>50.3402</v>
      </c>
      <c r="AC388" s="21">
        <v>49.2598</v>
      </c>
      <c r="AD388" s="21">
        <v>48.6332</v>
      </c>
      <c r="AE388" s="21">
        <v>47.8039</v>
      </c>
      <c r="AF388" s="21">
        <v>46.7192</v>
      </c>
      <c r="AG388" s="21">
        <v>53.76</v>
      </c>
      <c r="AH388" s="21">
        <v>16.167</v>
      </c>
      <c r="AI388" s="21">
        <v>34.9751</v>
      </c>
      <c r="AJ388" s="21">
        <v>27.4161</v>
      </c>
      <c r="AK388" s="21">
        <v>0.075</v>
      </c>
      <c r="AL388" s="21">
        <v>4.1799</v>
      </c>
      <c r="AM388" s="21">
        <v>1.0231</v>
      </c>
      <c r="AN388" s="22">
        <f>IFERROR(__xludf.DUMMYFUNCTION("IFERROR(GOOGLEFINANCE(B388,""price""),"""")"),51.62)</f>
        <v>51.62</v>
      </c>
    </row>
    <row r="389">
      <c r="A389" s="7">
        <v>46080.62667094845</v>
      </c>
      <c r="B389" s="8" t="s">
        <v>5330</v>
      </c>
      <c r="C389" s="8" t="s">
        <v>5331</v>
      </c>
      <c r="D389" s="9">
        <v>46082.0</v>
      </c>
      <c r="E389" s="10">
        <v>13.985</v>
      </c>
      <c r="F389" s="8" t="s">
        <v>117</v>
      </c>
      <c r="G389" s="13">
        <v>0.0</v>
      </c>
      <c r="H389" s="13">
        <v>-1.4995</v>
      </c>
      <c r="I389" s="11">
        <v>0.26</v>
      </c>
      <c r="J389" s="8" t="s">
        <v>5343</v>
      </c>
      <c r="K389" s="11">
        <v>69.8936</v>
      </c>
      <c r="L389" s="11">
        <v>72.0973</v>
      </c>
      <c r="M389" s="13">
        <v>6.5494</v>
      </c>
      <c r="N389" s="8" t="s">
        <v>5333</v>
      </c>
      <c r="O389" s="11">
        <v>0.1074</v>
      </c>
      <c r="P389" s="12">
        <v>1.8702383E7</v>
      </c>
      <c r="Q389" s="13">
        <v>14.0</v>
      </c>
      <c r="R389" s="13">
        <v>13.96</v>
      </c>
      <c r="S389" s="13">
        <v>13.97</v>
      </c>
      <c r="T389" s="13">
        <v>0.1897</v>
      </c>
      <c r="U389" s="13">
        <v>1.4353</v>
      </c>
      <c r="V389" s="8">
        <v>4077670.0</v>
      </c>
      <c r="W389" s="12">
        <v>1.003574532E9</v>
      </c>
      <c r="X389" s="11">
        <v>85.652</v>
      </c>
      <c r="Y389" s="13">
        <v>83.9714</v>
      </c>
      <c r="Z389" s="13">
        <v>12.4745</v>
      </c>
      <c r="AA389" s="13">
        <v>7.7886</v>
      </c>
      <c r="AB389" s="13">
        <v>13.9665</v>
      </c>
      <c r="AC389" s="13">
        <v>13.7874</v>
      </c>
      <c r="AD389" s="13">
        <v>13.2961</v>
      </c>
      <c r="AE389" s="13">
        <v>12.3091</v>
      </c>
      <c r="AF389" s="13">
        <v>10.7969</v>
      </c>
      <c r="AG389" s="13">
        <v>25.0</v>
      </c>
      <c r="AH389" s="13">
        <v>-45.3516</v>
      </c>
      <c r="AI389" s="13">
        <v>0.0</v>
      </c>
      <c r="AJ389" s="13">
        <v>0.0</v>
      </c>
      <c r="AK389" s="13">
        <v>0.0524</v>
      </c>
      <c r="AL389" s="13">
        <v>17.8607</v>
      </c>
      <c r="AM389" s="13">
        <v>44.06</v>
      </c>
      <c r="AN389" s="14" t="str">
        <f>IFERROR(__xludf.DUMMYFUNCTION("IFERROR(GOOGLEFINANCE(B389,""price""),"""")"),"")</f>
        <v/>
      </c>
    </row>
    <row r="390">
      <c r="A390" s="15">
        <v>46080.62667094845</v>
      </c>
      <c r="B390" s="16" t="s">
        <v>5336</v>
      </c>
      <c r="C390" s="16" t="s">
        <v>5337</v>
      </c>
      <c r="D390" s="17">
        <v>46082.0</v>
      </c>
      <c r="E390" s="18">
        <v>6.475</v>
      </c>
      <c r="F390" s="16" t="s">
        <v>286</v>
      </c>
      <c r="G390" s="21">
        <v>0.0</v>
      </c>
      <c r="H390" s="21">
        <v>-0.0051</v>
      </c>
      <c r="I390" s="19">
        <v>0.53</v>
      </c>
      <c r="J390" s="16" t="s">
        <v>5344</v>
      </c>
      <c r="K390" s="19">
        <v>60.3326</v>
      </c>
      <c r="L390" s="19">
        <v>80.6082</v>
      </c>
      <c r="M390" s="21">
        <v>2.4654</v>
      </c>
      <c r="N390" s="16" t="s">
        <v>5339</v>
      </c>
      <c r="O390" s="19">
        <v>1.1719</v>
      </c>
      <c r="P390" s="20">
        <v>6364973.0</v>
      </c>
      <c r="Q390" s="21">
        <v>6.48</v>
      </c>
      <c r="R390" s="21">
        <v>6.4</v>
      </c>
      <c r="S390" s="21">
        <v>6.42</v>
      </c>
      <c r="T390" s="21">
        <v>0.132</v>
      </c>
      <c r="U390" s="21">
        <v>0.4938</v>
      </c>
      <c r="V390" s="16">
        <v>2943568.0</v>
      </c>
      <c r="W390" s="20">
        <v>7.81889607E8</v>
      </c>
      <c r="X390" s="19">
        <v>74.9368</v>
      </c>
      <c r="Y390" s="21">
        <v>83.1398</v>
      </c>
      <c r="Z390" s="21">
        <v>4.8854</v>
      </c>
      <c r="AA390" s="21">
        <v>5.2911</v>
      </c>
      <c r="AB390" s="21">
        <v>6.3887</v>
      </c>
      <c r="AC390" s="21">
        <v>5.9731</v>
      </c>
      <c r="AD390" s="21">
        <v>5.5941</v>
      </c>
      <c r="AE390" s="21">
        <v>5.2609</v>
      </c>
      <c r="AF390" s="21">
        <v>5.1163</v>
      </c>
      <c r="AG390" s="21">
        <v>6.94</v>
      </c>
      <c r="AH390" s="21">
        <v>2.2282</v>
      </c>
      <c r="AI390" s="21">
        <v>4.1656</v>
      </c>
      <c r="AJ390" s="21">
        <v>11.313</v>
      </c>
      <c r="AK390" s="21">
        <v>2.1976</v>
      </c>
      <c r="AL390" s="21">
        <v>0.9772</v>
      </c>
      <c r="AM390" s="21">
        <v>6.7003</v>
      </c>
      <c r="AN390" s="22">
        <f>IFERROR(__xludf.DUMMYFUNCTION("IFERROR(GOOGLEFINANCE(B390,""price""),"""")"),6.48)</f>
        <v>6.48</v>
      </c>
    </row>
    <row r="391">
      <c r="A391" s="7">
        <v>46080.62667094845</v>
      </c>
      <c r="B391" s="8" t="s">
        <v>5345</v>
      </c>
      <c r="C391" s="8" t="s">
        <v>5346</v>
      </c>
      <c r="D391" s="9">
        <v>46082.0</v>
      </c>
      <c r="E391" s="10">
        <v>72.0</v>
      </c>
      <c r="F391" s="8" t="s">
        <v>93</v>
      </c>
      <c r="G391" s="13">
        <v>12.1836</v>
      </c>
      <c r="H391" s="13">
        <v>5.9096</v>
      </c>
      <c r="I391" s="11">
        <v>0.84</v>
      </c>
      <c r="J391" s="8" t="s">
        <v>5347</v>
      </c>
      <c r="K391" s="11">
        <v>35.3751</v>
      </c>
      <c r="L391" s="11">
        <v>57.8853</v>
      </c>
      <c r="M391" s="13">
        <v>1.6395</v>
      </c>
      <c r="N391" s="8" t="s">
        <v>5348</v>
      </c>
      <c r="O391" s="11">
        <v>-1.7467</v>
      </c>
      <c r="P391" s="12">
        <v>8266646.0</v>
      </c>
      <c r="Q391" s="13">
        <v>73.12</v>
      </c>
      <c r="R391" s="13">
        <v>71.85</v>
      </c>
      <c r="S391" s="13">
        <v>72.78</v>
      </c>
      <c r="T391" s="13">
        <v>1.374</v>
      </c>
      <c r="U391" s="13">
        <v>3.2771</v>
      </c>
      <c r="V391" s="8">
        <v>5327070.0</v>
      </c>
      <c r="W391" s="12">
        <v>1.1608998952E10</v>
      </c>
      <c r="X391" s="11">
        <v>69.0247</v>
      </c>
      <c r="Y391" s="13">
        <v>73.1247</v>
      </c>
      <c r="Z391" s="13">
        <v>67.379</v>
      </c>
      <c r="AA391" s="13">
        <v>61.1089</v>
      </c>
      <c r="AB391" s="13">
        <v>72.6037</v>
      </c>
      <c r="AC391" s="13">
        <v>71.1428</v>
      </c>
      <c r="AD391" s="13">
        <v>69.571</v>
      </c>
      <c r="AE391" s="13">
        <v>67.5572</v>
      </c>
      <c r="AF391" s="13">
        <v>65.2912</v>
      </c>
      <c r="AG391" s="13">
        <v>74.0</v>
      </c>
      <c r="AH391" s="13">
        <v>10.8112</v>
      </c>
      <c r="AI391" s="13">
        <v>28.479</v>
      </c>
      <c r="AJ391" s="13">
        <v>5.9481</v>
      </c>
      <c r="AK391" s="13">
        <v>0.4688</v>
      </c>
      <c r="AL391" s="13">
        <v>0.0549</v>
      </c>
      <c r="AM391" s="13">
        <v>2.7027</v>
      </c>
      <c r="AN391" s="14">
        <f>IFERROR(__xludf.DUMMYFUNCTION("IFERROR(GOOGLEFINANCE(B391,""price""),"""")"),71.78)</f>
        <v>71.78</v>
      </c>
    </row>
    <row r="392">
      <c r="A392" s="7">
        <v>46083.62811433221</v>
      </c>
      <c r="B392" s="8" t="s">
        <v>1842</v>
      </c>
      <c r="C392" s="8" t="s">
        <v>1843</v>
      </c>
      <c r="D392" s="9">
        <v>46089.0</v>
      </c>
      <c r="E392" s="10">
        <v>4.435</v>
      </c>
      <c r="F392" s="8" t="s">
        <v>88</v>
      </c>
      <c r="G392" s="13">
        <v>0.0</v>
      </c>
      <c r="H392" s="13">
        <v>-0.1159</v>
      </c>
      <c r="I392" s="11">
        <v>0.23</v>
      </c>
      <c r="J392" s="8" t="s">
        <v>5349</v>
      </c>
      <c r="K392" s="11">
        <v>34.9984</v>
      </c>
      <c r="L392" s="11">
        <v>64.013</v>
      </c>
      <c r="M392" s="13">
        <v>1.8557</v>
      </c>
      <c r="N392" s="8" t="s">
        <v>1844</v>
      </c>
      <c r="O392" s="11">
        <v>0.3394</v>
      </c>
      <c r="P392" s="12">
        <v>1706688.0</v>
      </c>
      <c r="Q392" s="13">
        <v>4.44</v>
      </c>
      <c r="R392" s="13">
        <v>4.42</v>
      </c>
      <c r="S392" s="13">
        <v>4.42</v>
      </c>
      <c r="T392" s="13">
        <v>0.02</v>
      </c>
      <c r="U392" s="13">
        <v>0.1764</v>
      </c>
      <c r="V392" s="8">
        <v>1034273.0</v>
      </c>
      <c r="W392" s="12">
        <v>4.45425582E8</v>
      </c>
      <c r="X392" s="11">
        <v>62.5</v>
      </c>
      <c r="Y392" s="13">
        <v>57.8704</v>
      </c>
      <c r="Z392" s="13">
        <v>4.4351</v>
      </c>
      <c r="AA392" s="13">
        <v>3.5024</v>
      </c>
      <c r="AB392" s="13">
        <v>4.4203</v>
      </c>
      <c r="AC392" s="13">
        <v>4.4154</v>
      </c>
      <c r="AD392" s="13">
        <v>4.3721</v>
      </c>
      <c r="AE392" s="13">
        <v>4.2204</v>
      </c>
      <c r="AF392" s="13">
        <v>3.9474</v>
      </c>
      <c r="AG392" s="13">
        <v>4.48</v>
      </c>
      <c r="AH392" s="13">
        <v>-5.8137</v>
      </c>
      <c r="AI392" s="13">
        <v>-13.4574</v>
      </c>
      <c r="AJ392" s="13">
        <v>-12.3585</v>
      </c>
      <c r="AK392" s="13">
        <v>0.9297</v>
      </c>
      <c r="AL392" s="13">
        <v>1.1105</v>
      </c>
      <c r="AM392" s="13">
        <v>1.0045</v>
      </c>
      <c r="AN392" s="14">
        <f>IFERROR(__xludf.DUMMYFUNCTION("IFERROR(GOOGLEFINANCE(B392,""price""),"""")"),4.51)</f>
        <v>4.51</v>
      </c>
    </row>
    <row r="393">
      <c r="A393" s="15">
        <v>46083.62811433221</v>
      </c>
      <c r="B393" s="16" t="s">
        <v>5350</v>
      </c>
      <c r="C393" s="16" t="s">
        <v>5351</v>
      </c>
      <c r="D393" s="17">
        <v>46089.0</v>
      </c>
      <c r="E393" s="18">
        <v>15.275</v>
      </c>
      <c r="F393" s="16" t="s">
        <v>117</v>
      </c>
      <c r="G393" s="21">
        <v>0.0</v>
      </c>
      <c r="H393" s="21">
        <v>-3.8266</v>
      </c>
      <c r="I393" s="19">
        <v>0.84</v>
      </c>
      <c r="J393" s="16" t="s">
        <v>5352</v>
      </c>
      <c r="K393" s="19">
        <v>29.0667</v>
      </c>
      <c r="L393" s="19">
        <v>66.1403</v>
      </c>
      <c r="M393" s="21">
        <v>4.5376</v>
      </c>
      <c r="N393" s="16" t="s">
        <v>5353</v>
      </c>
      <c r="O393" s="19">
        <v>10.8491</v>
      </c>
      <c r="P393" s="20">
        <v>1.2572439E7</v>
      </c>
      <c r="Q393" s="21">
        <v>15.51</v>
      </c>
      <c r="R393" s="21">
        <v>12.75</v>
      </c>
      <c r="S393" s="21">
        <v>13.79</v>
      </c>
      <c r="T393" s="21">
        <v>1.0578</v>
      </c>
      <c r="U393" s="21">
        <v>2.5204</v>
      </c>
      <c r="V393" s="16">
        <v>3764961.0</v>
      </c>
      <c r="W393" s="20">
        <v>1.804489863E9</v>
      </c>
      <c r="X393" s="19">
        <v>92.3531</v>
      </c>
      <c r="Y393" s="21">
        <v>90.6896</v>
      </c>
      <c r="Z393" s="21">
        <v>11.8757</v>
      </c>
      <c r="AA393" s="21">
        <v>12.6304</v>
      </c>
      <c r="AB393" s="21">
        <v>13.7922</v>
      </c>
      <c r="AC393" s="21">
        <v>13.091</v>
      </c>
      <c r="AD393" s="21">
        <v>12.7023</v>
      </c>
      <c r="AE393" s="21">
        <v>12.4274</v>
      </c>
      <c r="AF393" s="21">
        <v>12.3714</v>
      </c>
      <c r="AG393" s="21">
        <v>28.25</v>
      </c>
      <c r="AH393" s="21">
        <v>-53.4803</v>
      </c>
      <c r="AI393" s="21">
        <v>-642.0623</v>
      </c>
      <c r="AJ393" s="21">
        <v>16.9221</v>
      </c>
      <c r="AK393" s="21">
        <v>0.139</v>
      </c>
      <c r="AL393" s="21">
        <v>5.0798</v>
      </c>
      <c r="AM393" s="21">
        <v>45.9292</v>
      </c>
      <c r="AN393" s="22">
        <f>IFERROR(__xludf.DUMMYFUNCTION("IFERROR(GOOGLEFINANCE(B393,""price""),"""")"),13.49)</f>
        <v>13.49</v>
      </c>
    </row>
    <row r="394">
      <c r="A394" s="7">
        <v>46084.62725293105</v>
      </c>
      <c r="B394" s="8" t="s">
        <v>1958</v>
      </c>
      <c r="C394" s="8" t="s">
        <v>1959</v>
      </c>
      <c r="D394" s="9">
        <v>46089.0</v>
      </c>
      <c r="E394" s="10">
        <v>30.755</v>
      </c>
      <c r="F394" s="8" t="s">
        <v>88</v>
      </c>
      <c r="G394" s="13">
        <v>0.0</v>
      </c>
      <c r="H394" s="13">
        <v>-0.8587</v>
      </c>
      <c r="I394" s="11">
        <v>0.19</v>
      </c>
      <c r="J394" s="8" t="s">
        <v>5354</v>
      </c>
      <c r="K394" s="11">
        <v>37.2443</v>
      </c>
      <c r="L394" s="11">
        <v>68.0702</v>
      </c>
      <c r="M394" s="13">
        <v>1.3212</v>
      </c>
      <c r="N394" s="8" t="s">
        <v>1960</v>
      </c>
      <c r="O394" s="11">
        <v>0.1792</v>
      </c>
      <c r="P394" s="12">
        <v>1.1022991E7</v>
      </c>
      <c r="Q394" s="13">
        <v>30.77</v>
      </c>
      <c r="R394" s="13">
        <v>30.67</v>
      </c>
      <c r="S394" s="13">
        <v>30.68</v>
      </c>
      <c r="T394" s="13">
        <v>0.1246</v>
      </c>
      <c r="U394" s="13">
        <v>1.2929</v>
      </c>
      <c r="V394" s="8">
        <v>8776712.0</v>
      </c>
      <c r="W394" s="12">
        <v>1.0999356719E10</v>
      </c>
      <c r="X394" s="11">
        <v>79.6958</v>
      </c>
      <c r="Y394" s="13">
        <v>72.4468</v>
      </c>
      <c r="Z394" s="13">
        <v>30.4347</v>
      </c>
      <c r="AA394" s="13">
        <v>26.1889</v>
      </c>
      <c r="AB394" s="13">
        <v>30.6792</v>
      </c>
      <c r="AC394" s="13">
        <v>30.5813</v>
      </c>
      <c r="AD394" s="13">
        <v>30.2924</v>
      </c>
      <c r="AE394" s="13">
        <v>29.4979</v>
      </c>
      <c r="AF394" s="13">
        <v>28.1914</v>
      </c>
      <c r="AG394" s="13">
        <v>32.63</v>
      </c>
      <c r="AH394" s="13">
        <v>-27.7206</v>
      </c>
      <c r="AI394" s="13">
        <v>-31.2723</v>
      </c>
      <c r="AJ394" s="13">
        <v>21.0769</v>
      </c>
      <c r="AK394" s="13">
        <v>0.9455</v>
      </c>
      <c r="AL394" s="13">
        <v>3.7503</v>
      </c>
      <c r="AM394" s="13">
        <v>5.7462</v>
      </c>
      <c r="AN394" s="14">
        <f>IFERROR(__xludf.DUMMYFUNCTION("IFERROR(GOOGLEFINANCE(B394,""price""),"""")"),535.0)</f>
        <v>535</v>
      </c>
    </row>
    <row r="395">
      <c r="A395" s="7">
        <v>46085.626960120026</v>
      </c>
      <c r="B395" s="8" t="s">
        <v>5330</v>
      </c>
      <c r="C395" s="8" t="s">
        <v>5331</v>
      </c>
      <c r="D395" s="9">
        <v>46089.0</v>
      </c>
      <c r="E395" s="10">
        <v>14.0</v>
      </c>
      <c r="F395" s="8" t="s">
        <v>117</v>
      </c>
      <c r="G395" s="13">
        <v>0.0</v>
      </c>
      <c r="H395" s="13">
        <v>-1.4995</v>
      </c>
      <c r="I395" s="11">
        <v>0.25</v>
      </c>
      <c r="J395" s="8" t="s">
        <v>5355</v>
      </c>
      <c r="K395" s="11">
        <v>70.1924</v>
      </c>
      <c r="L395" s="11">
        <v>72.6306</v>
      </c>
      <c r="M395" s="13">
        <v>1.3441</v>
      </c>
      <c r="N395" s="8" t="s">
        <v>5333</v>
      </c>
      <c r="O395" s="11">
        <v>0.1431</v>
      </c>
      <c r="P395" s="12">
        <v>5448870.0</v>
      </c>
      <c r="Q395" s="13">
        <v>14.0</v>
      </c>
      <c r="R395" s="13">
        <v>13.99</v>
      </c>
      <c r="S395" s="13">
        <v>13.99</v>
      </c>
      <c r="T395" s="13">
        <v>0.1663</v>
      </c>
      <c r="U395" s="13">
        <v>1.3349</v>
      </c>
      <c r="V395" s="8">
        <v>4203255.0</v>
      </c>
      <c r="W395" s="12">
        <v>1.004650925E9</v>
      </c>
      <c r="X395" s="11">
        <v>80.3922</v>
      </c>
      <c r="Y395" s="13">
        <v>78.5974</v>
      </c>
      <c r="Z395" s="13">
        <v>12.7158</v>
      </c>
      <c r="AA395" s="13">
        <v>7.9113</v>
      </c>
      <c r="AB395" s="13">
        <v>13.9742</v>
      </c>
      <c r="AC395" s="13">
        <v>13.8215</v>
      </c>
      <c r="AD395" s="13">
        <v>13.3724</v>
      </c>
      <c r="AE395" s="13">
        <v>12.4265</v>
      </c>
      <c r="AF395" s="13">
        <v>10.937</v>
      </c>
      <c r="AG395" s="13">
        <v>25.0</v>
      </c>
      <c r="AH395" s="13">
        <v>-45.3516</v>
      </c>
      <c r="AI395" s="13">
        <v>0.0</v>
      </c>
      <c r="AJ395" s="13">
        <v>0.0</v>
      </c>
      <c r="AK395" s="13">
        <v>0.0524</v>
      </c>
      <c r="AL395" s="13">
        <v>17.8607</v>
      </c>
      <c r="AM395" s="13">
        <v>44.0</v>
      </c>
      <c r="AN395" s="14" t="str">
        <f>IFERROR(__xludf.DUMMYFUNCTION("IFERROR(GOOGLEFINANCE(B395,""price""),"""")"),"")</f>
        <v/>
      </c>
    </row>
    <row r="396">
      <c r="A396" s="15">
        <v>46085.626960120026</v>
      </c>
      <c r="B396" s="16" t="s">
        <v>1717</v>
      </c>
      <c r="C396" s="16" t="s">
        <v>1718</v>
      </c>
      <c r="D396" s="17">
        <v>46089.0</v>
      </c>
      <c r="E396" s="18">
        <v>20.97</v>
      </c>
      <c r="F396" s="16" t="s">
        <v>149</v>
      </c>
      <c r="G396" s="21">
        <v>15.5253</v>
      </c>
      <c r="H396" s="21">
        <v>1.3507</v>
      </c>
      <c r="I396" s="19">
        <v>0.77</v>
      </c>
      <c r="J396" s="16" t="s">
        <v>5356</v>
      </c>
      <c r="K396" s="19">
        <v>40.8298</v>
      </c>
      <c r="L396" s="19">
        <v>69.3483</v>
      </c>
      <c r="M396" s="21">
        <v>1.3323</v>
      </c>
      <c r="N396" s="16" t="s">
        <v>1719</v>
      </c>
      <c r="O396" s="19">
        <v>0.1911</v>
      </c>
      <c r="P396" s="20">
        <v>2245199.0</v>
      </c>
      <c r="Q396" s="21">
        <v>21.02</v>
      </c>
      <c r="R396" s="21">
        <v>20.8</v>
      </c>
      <c r="S396" s="21">
        <v>20.93</v>
      </c>
      <c r="T396" s="21">
        <v>0.2641</v>
      </c>
      <c r="U396" s="21">
        <v>0.6859</v>
      </c>
      <c r="V396" s="16">
        <v>1737626.0</v>
      </c>
      <c r="W396" s="20">
        <v>3.39520451E9</v>
      </c>
      <c r="X396" s="19">
        <v>72.7273</v>
      </c>
      <c r="Y396" s="21">
        <v>71.6104</v>
      </c>
      <c r="Z396" s="21">
        <v>19.7056</v>
      </c>
      <c r="AA396" s="21">
        <v>19.1839</v>
      </c>
      <c r="AB396" s="21">
        <v>20.9061</v>
      </c>
      <c r="AC396" s="21">
        <v>20.5405</v>
      </c>
      <c r="AD396" s="21">
        <v>20.2489</v>
      </c>
      <c r="AE396" s="21">
        <v>20.0089</v>
      </c>
      <c r="AF396" s="21">
        <v>19.8035</v>
      </c>
      <c r="AG396" s="21">
        <v>21.35</v>
      </c>
      <c r="AH396" s="21">
        <v>7.1371</v>
      </c>
      <c r="AI396" s="21">
        <v>17.5102</v>
      </c>
      <c r="AJ396" s="21">
        <v>-12.5718</v>
      </c>
      <c r="AK396" s="21">
        <v>0.8242</v>
      </c>
      <c r="AL396" s="21">
        <v>2.2795</v>
      </c>
      <c r="AM396" s="21">
        <v>1.7799</v>
      </c>
      <c r="AN396" s="22">
        <f>IFERROR(__xludf.DUMMYFUNCTION("IFERROR(GOOGLEFINANCE(B396,""price""),"""")"),0.74)</f>
        <v>0.74</v>
      </c>
    </row>
    <row r="397">
      <c r="A397" s="7">
        <v>46085.626960120026</v>
      </c>
      <c r="B397" s="8" t="s">
        <v>1645</v>
      </c>
      <c r="C397" s="8" t="s">
        <v>1646</v>
      </c>
      <c r="D397" s="9">
        <v>46089.0</v>
      </c>
      <c r="E397" s="10">
        <v>16.23</v>
      </c>
      <c r="F397" s="8" t="s">
        <v>190</v>
      </c>
      <c r="G397" s="13">
        <v>14.0131</v>
      </c>
      <c r="H397" s="13">
        <v>1.1582</v>
      </c>
      <c r="I397" s="11">
        <v>0.78</v>
      </c>
      <c r="J397" s="8" t="s">
        <v>5357</v>
      </c>
      <c r="K397" s="11">
        <v>31.5801</v>
      </c>
      <c r="L397" s="11">
        <v>63.5883</v>
      </c>
      <c r="M397" s="13">
        <v>2.0165</v>
      </c>
      <c r="N397" s="8" t="s">
        <v>1647</v>
      </c>
      <c r="O397" s="11">
        <v>-0.1845</v>
      </c>
      <c r="P397" s="12">
        <v>4418272.0</v>
      </c>
      <c r="Q397" s="13">
        <v>16.3</v>
      </c>
      <c r="R397" s="13">
        <v>16.225</v>
      </c>
      <c r="S397" s="13">
        <v>16.25</v>
      </c>
      <c r="T397" s="13">
        <v>0.4057</v>
      </c>
      <c r="U397" s="13">
        <v>1.0422</v>
      </c>
      <c r="V397" s="8">
        <v>2500617.0</v>
      </c>
      <c r="W397" s="12">
        <v>2.012816961E9</v>
      </c>
      <c r="X397" s="11">
        <v>63.2603</v>
      </c>
      <c r="Y397" s="13">
        <v>42.3898</v>
      </c>
      <c r="Z397" s="13">
        <v>15.2914</v>
      </c>
      <c r="AA397" s="13">
        <v>14.9681</v>
      </c>
      <c r="AB397" s="13">
        <v>15.5717</v>
      </c>
      <c r="AC397" s="13">
        <v>15.4871</v>
      </c>
      <c r="AD397" s="13">
        <v>15.4</v>
      </c>
      <c r="AE397" s="13">
        <v>15.212</v>
      </c>
      <c r="AF397" s="13">
        <v>14.9592</v>
      </c>
      <c r="AG397" s="13">
        <v>18.605</v>
      </c>
      <c r="AH397" s="13">
        <v>8.4395</v>
      </c>
      <c r="AI397" s="13">
        <v>6.1359</v>
      </c>
      <c r="AJ397" s="13">
        <v>-17.659</v>
      </c>
      <c r="AK397" s="13">
        <v>1.682</v>
      </c>
      <c r="AL397" s="13">
        <v>1.0414</v>
      </c>
      <c r="AM397" s="13">
        <v>12.7654</v>
      </c>
      <c r="AN397" s="14">
        <f>IFERROR(__xludf.DUMMYFUNCTION("IFERROR(GOOGLEFINANCE(B397,""price""),"""")"),16.37)</f>
        <v>16.37</v>
      </c>
    </row>
    <row r="398">
      <c r="A398" s="7">
        <v>46086.62616558021</v>
      </c>
      <c r="B398" s="8" t="s">
        <v>5358</v>
      </c>
      <c r="C398" s="8" t="s">
        <v>5359</v>
      </c>
      <c r="D398" s="9">
        <v>46089.0</v>
      </c>
      <c r="E398" s="10">
        <v>203.25</v>
      </c>
      <c r="F398" s="8" t="s">
        <v>308</v>
      </c>
      <c r="G398" s="13">
        <v>0.0</v>
      </c>
      <c r="H398" s="13">
        <v>-1.9902</v>
      </c>
      <c r="I398" s="11">
        <v>0.58</v>
      </c>
      <c r="J398" s="8" t="s">
        <v>5360</v>
      </c>
      <c r="K398" s="11">
        <v>49.8105</v>
      </c>
      <c r="L398" s="11">
        <v>70.9073</v>
      </c>
      <c r="M398" s="13">
        <v>1.4411</v>
      </c>
      <c r="N398" s="8" t="s">
        <v>5361</v>
      </c>
      <c r="O398" s="11">
        <v>-0.1621</v>
      </c>
      <c r="P398" s="12">
        <v>1166244.0</v>
      </c>
      <c r="Q398" s="13">
        <v>203.8</v>
      </c>
      <c r="R398" s="13">
        <v>202.89</v>
      </c>
      <c r="S398" s="13">
        <v>203.21</v>
      </c>
      <c r="T398" s="13">
        <v>3.6435</v>
      </c>
      <c r="U398" s="13">
        <v>12.47</v>
      </c>
      <c r="V398" s="13">
        <v>849991.4</v>
      </c>
      <c r="W398" s="12">
        <v>6.698292589E9</v>
      </c>
      <c r="X398" s="11">
        <v>16.2569</v>
      </c>
      <c r="Y398" s="13">
        <v>17.8853</v>
      </c>
      <c r="Z398" s="13">
        <v>168.5917</v>
      </c>
      <c r="AA398" s="13">
        <v>146.8155</v>
      </c>
      <c r="AB398" s="13">
        <v>203.7624</v>
      </c>
      <c r="AC398" s="13">
        <v>196.2941</v>
      </c>
      <c r="AD398" s="13">
        <v>186.3735</v>
      </c>
      <c r="AE398" s="13">
        <v>174.3013</v>
      </c>
      <c r="AF398" s="13">
        <v>162.6218</v>
      </c>
      <c r="AG398" s="13">
        <v>208.835</v>
      </c>
      <c r="AH398" s="13">
        <v>-5.97</v>
      </c>
      <c r="AI398" s="13">
        <v>-8.9888</v>
      </c>
      <c r="AJ398" s="13">
        <v>34.2886</v>
      </c>
      <c r="AK398" s="13">
        <v>0.0219</v>
      </c>
      <c r="AL398" s="13">
        <v>4.6876</v>
      </c>
      <c r="AM398" s="13">
        <v>2.6744</v>
      </c>
      <c r="AN398" s="14">
        <f>IFERROR(__xludf.DUMMYFUNCTION("IFERROR(GOOGLEFINANCE(B398,""price""),"""")"),211.39)</f>
        <v>211.39</v>
      </c>
    </row>
    <row r="399">
      <c r="A399" s="15">
        <v>46086.62616558021</v>
      </c>
      <c r="B399" s="16" t="s">
        <v>1717</v>
      </c>
      <c r="C399" s="16" t="s">
        <v>1718</v>
      </c>
      <c r="D399" s="17">
        <v>46089.0</v>
      </c>
      <c r="E399" s="18">
        <v>20.905</v>
      </c>
      <c r="F399" s="16" t="s">
        <v>149</v>
      </c>
      <c r="G399" s="21">
        <v>15.4772</v>
      </c>
      <c r="H399" s="21">
        <v>1.3507</v>
      </c>
      <c r="I399" s="19">
        <v>0.75</v>
      </c>
      <c r="J399" s="16" t="s">
        <v>5362</v>
      </c>
      <c r="K399" s="19">
        <v>39.3709</v>
      </c>
      <c r="L399" s="19">
        <v>66.9409</v>
      </c>
      <c r="M399" s="21">
        <v>1.3818</v>
      </c>
      <c r="N399" s="16" t="s">
        <v>1719</v>
      </c>
      <c r="O399" s="19">
        <v>-0.2148</v>
      </c>
      <c r="P399" s="20">
        <v>2573989.0</v>
      </c>
      <c r="Q399" s="21">
        <v>21.01</v>
      </c>
      <c r="R399" s="21">
        <v>20.82</v>
      </c>
      <c r="S399" s="21">
        <v>21.0</v>
      </c>
      <c r="T399" s="21">
        <v>0.2588</v>
      </c>
      <c r="U399" s="21">
        <v>0.6859</v>
      </c>
      <c r="V399" s="16">
        <v>1980908.0</v>
      </c>
      <c r="W399" s="20">
        <v>3.384680583E9</v>
      </c>
      <c r="X399" s="19">
        <v>73.7374</v>
      </c>
      <c r="Y399" s="21">
        <v>71.0245</v>
      </c>
      <c r="Z399" s="21">
        <v>19.7371</v>
      </c>
      <c r="AA399" s="21">
        <v>19.2009</v>
      </c>
      <c r="AB399" s="21">
        <v>20.9024</v>
      </c>
      <c r="AC399" s="21">
        <v>20.572</v>
      </c>
      <c r="AD399" s="21">
        <v>20.2853</v>
      </c>
      <c r="AE399" s="21">
        <v>20.0402</v>
      </c>
      <c r="AF399" s="21">
        <v>19.8275</v>
      </c>
      <c r="AG399" s="21">
        <v>21.35</v>
      </c>
      <c r="AH399" s="21">
        <v>7.1371</v>
      </c>
      <c r="AI399" s="21">
        <v>17.5102</v>
      </c>
      <c r="AJ399" s="21">
        <v>-12.5718</v>
      </c>
      <c r="AK399" s="21">
        <v>0.8242</v>
      </c>
      <c r="AL399" s="21">
        <v>2.2795</v>
      </c>
      <c r="AM399" s="21">
        <v>2.0843</v>
      </c>
      <c r="AN399" s="22">
        <f>IFERROR(__xludf.DUMMYFUNCTION("IFERROR(GOOGLEFINANCE(B399,""price""),"""")"),0.74)</f>
        <v>0.74</v>
      </c>
    </row>
    <row r="400">
      <c r="A400" s="7">
        <v>46087.62539366654</v>
      </c>
      <c r="B400" s="8" t="s">
        <v>1717</v>
      </c>
      <c r="C400" s="8" t="s">
        <v>1718</v>
      </c>
      <c r="D400" s="9">
        <v>46089.0</v>
      </c>
      <c r="E400" s="10">
        <v>20.735</v>
      </c>
      <c r="F400" s="8" t="s">
        <v>149</v>
      </c>
      <c r="G400" s="13">
        <v>15.3513</v>
      </c>
      <c r="H400" s="13">
        <v>1.3507</v>
      </c>
      <c r="I400" s="11">
        <v>0.79</v>
      </c>
      <c r="J400" s="8" t="s">
        <v>5363</v>
      </c>
      <c r="K400" s="11">
        <v>37.1939</v>
      </c>
      <c r="L400" s="11">
        <v>59.2746</v>
      </c>
      <c r="M400" s="13">
        <v>1.7168</v>
      </c>
      <c r="N400" s="8" t="s">
        <v>1719</v>
      </c>
      <c r="O400" s="11">
        <v>-1.1678</v>
      </c>
      <c r="P400" s="12">
        <v>3587749.0</v>
      </c>
      <c r="Q400" s="13">
        <v>21.0557</v>
      </c>
      <c r="R400" s="13">
        <v>20.62</v>
      </c>
      <c r="S400" s="13">
        <v>20.92</v>
      </c>
      <c r="T400" s="13">
        <v>0.2728</v>
      </c>
      <c r="U400" s="13">
        <v>0.6884</v>
      </c>
      <c r="V400" s="8">
        <v>2311151.0</v>
      </c>
      <c r="W400" s="12">
        <v>3.357156077E9</v>
      </c>
      <c r="X400" s="11">
        <v>68.8889</v>
      </c>
      <c r="Y400" s="13">
        <v>72.5253</v>
      </c>
      <c r="Z400" s="13">
        <v>19.7661</v>
      </c>
      <c r="AA400" s="13">
        <v>19.2169</v>
      </c>
      <c r="AB400" s="13">
        <v>20.8782</v>
      </c>
      <c r="AC400" s="13">
        <v>20.593</v>
      </c>
      <c r="AD400" s="13">
        <v>20.3151</v>
      </c>
      <c r="AE400" s="13">
        <v>20.0676</v>
      </c>
      <c r="AF400" s="13">
        <v>19.8493</v>
      </c>
      <c r="AG400" s="13">
        <v>21.35</v>
      </c>
      <c r="AH400" s="13">
        <v>7.1371</v>
      </c>
      <c r="AI400" s="13">
        <v>17.5102</v>
      </c>
      <c r="AJ400" s="13">
        <v>-12.5718</v>
      </c>
      <c r="AK400" s="13">
        <v>0.8242</v>
      </c>
      <c r="AL400" s="13">
        <v>2.2795</v>
      </c>
      <c r="AM400" s="13">
        <v>2.8806</v>
      </c>
      <c r="AN400" s="14">
        <f>IFERROR(__xludf.DUMMYFUNCTION("IFERROR(GOOGLEFINANCE(B400,""price""),"""")"),0.74)</f>
        <v>0.74</v>
      </c>
    </row>
    <row r="401">
      <c r="A401" s="7">
        <v>46090.66745065468</v>
      </c>
      <c r="B401" s="8" t="s">
        <v>5364</v>
      </c>
      <c r="C401" s="8" t="s">
        <v>5365</v>
      </c>
      <c r="D401" s="9">
        <v>46096.0</v>
      </c>
      <c r="E401" s="10">
        <v>5.75</v>
      </c>
      <c r="F401" s="8" t="s">
        <v>149</v>
      </c>
      <c r="G401" s="13">
        <v>29.1287</v>
      </c>
      <c r="H401" s="13">
        <v>0.1974</v>
      </c>
      <c r="I401" s="11">
        <v>0.44</v>
      </c>
      <c r="J401" s="8" t="s">
        <v>5366</v>
      </c>
      <c r="K401" s="11">
        <v>59.3005</v>
      </c>
      <c r="L401" s="11">
        <v>78.1413</v>
      </c>
      <c r="M401" s="13">
        <v>3.4132</v>
      </c>
      <c r="N401" s="8" t="s">
        <v>5367</v>
      </c>
      <c r="O401" s="11">
        <v>0.1742</v>
      </c>
      <c r="P401" s="12">
        <v>1842473.0</v>
      </c>
      <c r="Q401" s="13">
        <v>5.755</v>
      </c>
      <c r="R401" s="13">
        <v>5.73</v>
      </c>
      <c r="S401" s="13">
        <v>5.73</v>
      </c>
      <c r="T401" s="13">
        <v>0.0963</v>
      </c>
      <c r="U401" s="13">
        <v>0.4341</v>
      </c>
      <c r="V401" s="13">
        <v>648373.4</v>
      </c>
      <c r="W401" s="12">
        <v>3.14215563E8</v>
      </c>
      <c r="X401" s="11">
        <v>76.1905</v>
      </c>
      <c r="Y401" s="13">
        <v>77.2006</v>
      </c>
      <c r="Z401" s="13">
        <v>4.5934</v>
      </c>
      <c r="AA401" s="13">
        <v>4.6726</v>
      </c>
      <c r="AB401" s="13">
        <v>5.7248</v>
      </c>
      <c r="AC401" s="13">
        <v>5.4393</v>
      </c>
      <c r="AD401" s="13">
        <v>5.138</v>
      </c>
      <c r="AE401" s="13">
        <v>4.8156</v>
      </c>
      <c r="AF401" s="13">
        <v>4.5705</v>
      </c>
      <c r="AG401" s="13">
        <v>6.515</v>
      </c>
      <c r="AH401" s="13">
        <v>11.9538</v>
      </c>
      <c r="AI401" s="13">
        <v>20.9983</v>
      </c>
      <c r="AJ401" s="13">
        <v>-4.7438</v>
      </c>
      <c r="AK401" s="13">
        <v>4.8227</v>
      </c>
      <c r="AL401" s="13">
        <v>2.6944</v>
      </c>
      <c r="AM401" s="13">
        <v>11.7421</v>
      </c>
      <c r="AN401" s="14">
        <f>IFERROR(__xludf.DUMMYFUNCTION("IFERROR(GOOGLEFINANCE(B401,""price""),"""")"),5.82)</f>
        <v>5.82</v>
      </c>
    </row>
    <row r="402">
      <c r="A402" s="7">
        <v>46091.669032341495</v>
      </c>
      <c r="B402" s="8" t="s">
        <v>5364</v>
      </c>
      <c r="C402" s="8" t="s">
        <v>5365</v>
      </c>
      <c r="D402" s="9">
        <v>46096.0</v>
      </c>
      <c r="E402" s="10">
        <v>5.78</v>
      </c>
      <c r="F402" s="8" t="s">
        <v>149</v>
      </c>
      <c r="G402" s="13">
        <v>29.2806</v>
      </c>
      <c r="H402" s="13">
        <v>0.1974</v>
      </c>
      <c r="I402" s="11">
        <v>0.43</v>
      </c>
      <c r="J402" s="8" t="s">
        <v>5368</v>
      </c>
      <c r="K402" s="11">
        <v>60.3795</v>
      </c>
      <c r="L402" s="11">
        <v>78.9161</v>
      </c>
      <c r="M402" s="13">
        <v>2.0082</v>
      </c>
      <c r="N402" s="8" t="s">
        <v>5367</v>
      </c>
      <c r="O402" s="11">
        <v>0.5217</v>
      </c>
      <c r="P402" s="12">
        <v>1302084.0</v>
      </c>
      <c r="Q402" s="13">
        <v>5.8</v>
      </c>
      <c r="R402" s="13">
        <v>5.73</v>
      </c>
      <c r="S402" s="13">
        <v>5.74</v>
      </c>
      <c r="T402" s="13">
        <v>0.0945</v>
      </c>
      <c r="U402" s="13">
        <v>0.4373</v>
      </c>
      <c r="V402" s="13">
        <v>689678.7</v>
      </c>
      <c r="W402" s="12">
        <v>3.15854961E8</v>
      </c>
      <c r="X402" s="11">
        <v>69.5238</v>
      </c>
      <c r="Y402" s="13">
        <v>72.0924</v>
      </c>
      <c r="Z402" s="13">
        <v>4.6352</v>
      </c>
      <c r="AA402" s="13">
        <v>4.6836</v>
      </c>
      <c r="AB402" s="13">
        <v>5.7371</v>
      </c>
      <c r="AC402" s="13">
        <v>5.4703</v>
      </c>
      <c r="AD402" s="13">
        <v>5.1747</v>
      </c>
      <c r="AE402" s="13">
        <v>4.8501</v>
      </c>
      <c r="AF402" s="13">
        <v>4.5974</v>
      </c>
      <c r="AG402" s="13">
        <v>6.515</v>
      </c>
      <c r="AH402" s="13">
        <v>11.9538</v>
      </c>
      <c r="AI402" s="13">
        <v>20.9983</v>
      </c>
      <c r="AJ402" s="13">
        <v>-4.7438</v>
      </c>
      <c r="AK402" s="13">
        <v>4.8227</v>
      </c>
      <c r="AL402" s="13">
        <v>2.6944</v>
      </c>
      <c r="AM402" s="13">
        <v>11.2817</v>
      </c>
      <c r="AN402" s="14">
        <f>IFERROR(__xludf.DUMMYFUNCTION("IFERROR(GOOGLEFINANCE(B402,""price""),"""")"),5.82)</f>
        <v>5.82</v>
      </c>
    </row>
    <row r="403">
      <c r="A403" s="15">
        <v>46091.669032341495</v>
      </c>
      <c r="B403" s="16" t="s">
        <v>5369</v>
      </c>
      <c r="C403" s="16" t="s">
        <v>5370</v>
      </c>
      <c r="D403" s="17">
        <v>46096.0</v>
      </c>
      <c r="E403" s="18">
        <v>10.84</v>
      </c>
      <c r="F403" s="16" t="s">
        <v>93</v>
      </c>
      <c r="G403" s="21">
        <v>0.0</v>
      </c>
      <c r="H403" s="21">
        <v>-0.2842</v>
      </c>
      <c r="I403" s="19">
        <v>0.54</v>
      </c>
      <c r="J403" s="16" t="s">
        <v>5371</v>
      </c>
      <c r="K403" s="19">
        <v>35.6673</v>
      </c>
      <c r="L403" s="19">
        <v>66.9481</v>
      </c>
      <c r="M403" s="21">
        <v>1.3153</v>
      </c>
      <c r="N403" s="16" t="s">
        <v>5372</v>
      </c>
      <c r="O403" s="19">
        <v>-0.0922</v>
      </c>
      <c r="P403" s="20">
        <v>2472066.0</v>
      </c>
      <c r="Q403" s="21">
        <v>10.88</v>
      </c>
      <c r="R403" s="21">
        <v>10.84</v>
      </c>
      <c r="S403" s="21">
        <v>10.84</v>
      </c>
      <c r="T403" s="21">
        <v>0.1161</v>
      </c>
      <c r="U403" s="21">
        <v>0.4336</v>
      </c>
      <c r="V403" s="16">
        <v>1929381.0</v>
      </c>
      <c r="W403" s="20">
        <v>1.50095532E9</v>
      </c>
      <c r="X403" s="19">
        <v>11.152</v>
      </c>
      <c r="Y403" s="21">
        <v>38.5321</v>
      </c>
      <c r="Z403" s="21">
        <v>10.1675</v>
      </c>
      <c r="AA403" s="21">
        <v>9.2665</v>
      </c>
      <c r="AB403" s="21">
        <v>10.8439</v>
      </c>
      <c r="AC403" s="21">
        <v>10.6479</v>
      </c>
      <c r="AD403" s="21">
        <v>10.4553</v>
      </c>
      <c r="AE403" s="21">
        <v>10.1983</v>
      </c>
      <c r="AF403" s="21">
        <v>9.8463</v>
      </c>
      <c r="AG403" s="21">
        <v>10.99</v>
      </c>
      <c r="AH403" s="21">
        <v>0.2997</v>
      </c>
      <c r="AI403" s="21">
        <v>10.4192</v>
      </c>
      <c r="AJ403" s="21">
        <v>-5.7207</v>
      </c>
      <c r="AK403" s="21">
        <v>2.9422</v>
      </c>
      <c r="AL403" s="21">
        <v>0.4752</v>
      </c>
      <c r="AM403" s="21">
        <v>1.3649</v>
      </c>
      <c r="AN403" s="22">
        <f>IFERROR(__xludf.DUMMYFUNCTION("IFERROR(GOOGLEFINANCE(B403,""price""),"""")"),10.9)</f>
        <v>10.9</v>
      </c>
    </row>
    <row r="404">
      <c r="A404" s="7">
        <v>46091.669032341495</v>
      </c>
      <c r="B404" s="8" t="s">
        <v>2112</v>
      </c>
      <c r="C404" s="8" t="s">
        <v>2113</v>
      </c>
      <c r="D404" s="9">
        <v>46096.0</v>
      </c>
      <c r="E404" s="10">
        <v>13.0</v>
      </c>
      <c r="F404" s="8" t="s">
        <v>93</v>
      </c>
      <c r="G404" s="13">
        <v>1160.7143</v>
      </c>
      <c r="H404" s="13">
        <v>0.0112</v>
      </c>
      <c r="I404" s="11">
        <v>0.83</v>
      </c>
      <c r="J404" s="8" t="s">
        <v>5373</v>
      </c>
      <c r="K404" s="11">
        <v>28.2868</v>
      </c>
      <c r="L404" s="11">
        <v>44.7984</v>
      </c>
      <c r="M404" s="13">
        <v>1.4772</v>
      </c>
      <c r="N404" s="8" t="s">
        <v>2114</v>
      </c>
      <c r="O404" s="11">
        <v>-1.2908</v>
      </c>
      <c r="P404" s="12">
        <v>419654.0</v>
      </c>
      <c r="Q404" s="13">
        <v>13.29</v>
      </c>
      <c r="R404" s="13">
        <v>13.0</v>
      </c>
      <c r="S404" s="13">
        <v>13.17</v>
      </c>
      <c r="T404" s="13">
        <v>0.2869</v>
      </c>
      <c r="U404" s="13">
        <v>0.6918</v>
      </c>
      <c r="V404" s="13">
        <v>303939.7</v>
      </c>
      <c r="W404" s="12">
        <v>5.42931953E8</v>
      </c>
      <c r="X404" s="11">
        <v>14.726</v>
      </c>
      <c r="Y404" s="13">
        <v>23.287</v>
      </c>
      <c r="Z404" s="13">
        <v>12.6668</v>
      </c>
      <c r="AA404" s="13">
        <v>11.8706</v>
      </c>
      <c r="AB404" s="13">
        <v>13.2851</v>
      </c>
      <c r="AC404" s="13">
        <v>13.2776</v>
      </c>
      <c r="AD404" s="13">
        <v>13.0777</v>
      </c>
      <c r="AE404" s="13">
        <v>12.7439</v>
      </c>
      <c r="AF404" s="13">
        <v>12.368</v>
      </c>
      <c r="AG404" s="13">
        <v>14.05</v>
      </c>
      <c r="AH404" s="13">
        <v>0.1141</v>
      </c>
      <c r="AI404" s="13">
        <v>21.8244</v>
      </c>
      <c r="AJ404" s="13">
        <v>5.8561</v>
      </c>
      <c r="AK404" s="13">
        <v>1.4369</v>
      </c>
      <c r="AL404" s="13">
        <v>0.0544</v>
      </c>
      <c r="AM404" s="13">
        <v>7.4733</v>
      </c>
      <c r="AN404" s="14">
        <f>IFERROR(__xludf.DUMMYFUNCTION("IFERROR(GOOGLEFINANCE(B404,""price""),"""")"),13.9)</f>
        <v>13.9</v>
      </c>
    </row>
    <row r="405">
      <c r="A405" s="7">
        <v>46092.66745404566</v>
      </c>
      <c r="B405" s="8" t="s">
        <v>1502</v>
      </c>
      <c r="C405" s="8" t="s">
        <v>1503</v>
      </c>
      <c r="D405" s="9">
        <v>46096.0</v>
      </c>
      <c r="E405" s="10">
        <v>79.82</v>
      </c>
      <c r="F405" s="8" t="s">
        <v>88</v>
      </c>
      <c r="G405" s="13">
        <v>40.2197</v>
      </c>
      <c r="H405" s="13">
        <v>1.9846</v>
      </c>
      <c r="I405" s="11">
        <v>0.38</v>
      </c>
      <c r="J405" s="8" t="s">
        <v>5374</v>
      </c>
      <c r="K405" s="11">
        <v>49.7559</v>
      </c>
      <c r="L405" s="11">
        <v>53.5416</v>
      </c>
      <c r="M405" s="13">
        <v>1.5444</v>
      </c>
      <c r="N405" s="8" t="s">
        <v>1504</v>
      </c>
      <c r="O405" s="11">
        <v>-0.0751</v>
      </c>
      <c r="P405" s="12">
        <v>478278.0</v>
      </c>
      <c r="Q405" s="13">
        <v>79.95</v>
      </c>
      <c r="R405" s="13">
        <v>79.74</v>
      </c>
      <c r="S405" s="13">
        <v>79.81</v>
      </c>
      <c r="T405" s="13">
        <v>0.2872</v>
      </c>
      <c r="U405" s="13">
        <v>1.5235</v>
      </c>
      <c r="V405" s="13">
        <v>336553.1</v>
      </c>
      <c r="W405" s="12">
        <v>2.27502445E9</v>
      </c>
      <c r="X405" s="11">
        <v>60.5128</v>
      </c>
      <c r="Y405" s="13">
        <v>64.6551</v>
      </c>
      <c r="Z405" s="13">
        <v>79.3882</v>
      </c>
      <c r="AA405" s="13">
        <v>71.9256</v>
      </c>
      <c r="AB405" s="13">
        <v>79.889</v>
      </c>
      <c r="AC405" s="13">
        <v>79.7854</v>
      </c>
      <c r="AD405" s="13">
        <v>79.5474</v>
      </c>
      <c r="AE405" s="13">
        <v>78.8272</v>
      </c>
      <c r="AF405" s="13">
        <v>77.1841</v>
      </c>
      <c r="AG405" s="13">
        <v>80.67</v>
      </c>
      <c r="AH405" s="13">
        <v>19.7366</v>
      </c>
      <c r="AI405" s="13">
        <v>12.1871</v>
      </c>
      <c r="AJ405" s="13">
        <v>2.1751</v>
      </c>
      <c r="AK405" s="13">
        <v>1.9931</v>
      </c>
      <c r="AL405" s="13">
        <v>1.4408</v>
      </c>
      <c r="AM405" s="13">
        <v>1.0537</v>
      </c>
      <c r="AN405" s="14">
        <f>IFERROR(__xludf.DUMMYFUNCTION("IFERROR(GOOGLEFINANCE(B405,""price""),"""")"),80.04)</f>
        <v>80.04</v>
      </c>
    </row>
    <row r="406">
      <c r="A406" s="15">
        <v>46092.66745404566</v>
      </c>
      <c r="B406" s="16" t="s">
        <v>5375</v>
      </c>
      <c r="C406" s="16" t="s">
        <v>5376</v>
      </c>
      <c r="D406" s="17">
        <v>46096.0</v>
      </c>
      <c r="E406" s="18">
        <v>3.06</v>
      </c>
      <c r="F406" s="16" t="s">
        <v>88</v>
      </c>
      <c r="G406" s="21">
        <v>0.0</v>
      </c>
      <c r="H406" s="21">
        <v>-15.7921</v>
      </c>
      <c r="I406" s="19">
        <v>0.4</v>
      </c>
      <c r="J406" s="16" t="s">
        <v>5377</v>
      </c>
      <c r="K406" s="19">
        <v>39.9348</v>
      </c>
      <c r="L406" s="19">
        <v>83.2581</v>
      </c>
      <c r="M406" s="21">
        <v>1.5925</v>
      </c>
      <c r="N406" s="16" t="s">
        <v>5378</v>
      </c>
      <c r="O406" s="19">
        <v>1.6611</v>
      </c>
      <c r="P406" s="20">
        <v>5972771.0</v>
      </c>
      <c r="Q406" s="21">
        <v>3.19</v>
      </c>
      <c r="R406" s="21">
        <v>2.85</v>
      </c>
      <c r="S406" s="21">
        <v>2.96</v>
      </c>
      <c r="T406" s="21">
        <v>0.2545</v>
      </c>
      <c r="U406" s="21">
        <v>1.2808</v>
      </c>
      <c r="V406" s="16">
        <v>4107054.0</v>
      </c>
      <c r="W406" s="20">
        <v>1.05596918E8</v>
      </c>
      <c r="X406" s="19">
        <v>90.676</v>
      </c>
      <c r="Y406" s="21">
        <v>87.0525</v>
      </c>
      <c r="Z406" s="21">
        <v>1.8548</v>
      </c>
      <c r="AA406" s="21">
        <v>249.8454</v>
      </c>
      <c r="AB406" s="21">
        <v>2.6578</v>
      </c>
      <c r="AC406" s="21">
        <v>2.2537</v>
      </c>
      <c r="AD406" s="21">
        <v>2.0747</v>
      </c>
      <c r="AE406" s="21">
        <v>1.9253</v>
      </c>
      <c r="AF406" s="21">
        <v>1.9006</v>
      </c>
      <c r="AG406" s="21">
        <v>7.43</v>
      </c>
      <c r="AH406" s="21">
        <v>-640.3189</v>
      </c>
      <c r="AI406" s="21">
        <v>-850.1195</v>
      </c>
      <c r="AJ406" s="21">
        <v>-63.0798</v>
      </c>
      <c r="AK406" s="21">
        <v>0.0207</v>
      </c>
      <c r="AL406" s="21">
        <v>1.031</v>
      </c>
      <c r="AM406" s="21">
        <v>58.8156</v>
      </c>
      <c r="AN406" s="22">
        <f>IFERROR(__xludf.DUMMYFUNCTION("IFERROR(GOOGLEFINANCE(B406,""price""),"""")"),1.94)</f>
        <v>1.94</v>
      </c>
    </row>
    <row r="407">
      <c r="A407" s="7">
        <v>46092.66745404566</v>
      </c>
      <c r="B407" s="8" t="s">
        <v>1645</v>
      </c>
      <c r="C407" s="8" t="s">
        <v>1646</v>
      </c>
      <c r="D407" s="9">
        <v>46096.0</v>
      </c>
      <c r="E407" s="10">
        <v>16.2</v>
      </c>
      <c r="F407" s="8" t="s">
        <v>190</v>
      </c>
      <c r="G407" s="13">
        <v>13.9872</v>
      </c>
      <c r="H407" s="13">
        <v>1.1582</v>
      </c>
      <c r="I407" s="11">
        <v>0.61</v>
      </c>
      <c r="J407" s="8" t="s">
        <v>5379</v>
      </c>
      <c r="K407" s="11">
        <v>29.097</v>
      </c>
      <c r="L407" s="11">
        <v>62.3986</v>
      </c>
      <c r="M407" s="13">
        <v>6.4545</v>
      </c>
      <c r="N407" s="8" t="s">
        <v>1647</v>
      </c>
      <c r="O407" s="11">
        <v>-0.369</v>
      </c>
      <c r="P407" s="12">
        <v>1.9183909E7</v>
      </c>
      <c r="Q407" s="13">
        <v>16.26</v>
      </c>
      <c r="R407" s="13">
        <v>16.2</v>
      </c>
      <c r="S407" s="13">
        <v>16.25</v>
      </c>
      <c r="T407" s="13">
        <v>0.2956</v>
      </c>
      <c r="U407" s="13">
        <v>0.9735</v>
      </c>
      <c r="V407" s="8">
        <v>4826343.0</v>
      </c>
      <c r="W407" s="12">
        <v>2.009096412E9</v>
      </c>
      <c r="X407" s="11">
        <v>92.0486</v>
      </c>
      <c r="Y407" s="13">
        <v>88.3613</v>
      </c>
      <c r="Z407" s="13">
        <v>15.4294</v>
      </c>
      <c r="AA407" s="13">
        <v>15.0304</v>
      </c>
      <c r="AB407" s="13">
        <v>16.0488</v>
      </c>
      <c r="AC407" s="13">
        <v>15.7737</v>
      </c>
      <c r="AD407" s="13">
        <v>15.6152</v>
      </c>
      <c r="AE407" s="13">
        <v>15.3838</v>
      </c>
      <c r="AF407" s="13">
        <v>15.0959</v>
      </c>
      <c r="AG407" s="13">
        <v>18.605</v>
      </c>
      <c r="AH407" s="13">
        <v>8.4395</v>
      </c>
      <c r="AI407" s="13">
        <v>6.1359</v>
      </c>
      <c r="AJ407" s="13">
        <v>-17.659</v>
      </c>
      <c r="AK407" s="13">
        <v>1.682</v>
      </c>
      <c r="AL407" s="13">
        <v>1.0414</v>
      </c>
      <c r="AM407" s="13">
        <v>12.9266</v>
      </c>
      <c r="AN407" s="14">
        <f>IFERROR(__xludf.DUMMYFUNCTION("IFERROR(GOOGLEFINANCE(B407,""price""),"""")"),16.37)</f>
        <v>16.37</v>
      </c>
    </row>
    <row r="408">
      <c r="A408" s="7">
        <v>46093.67012896884</v>
      </c>
      <c r="B408" s="8" t="s">
        <v>1502</v>
      </c>
      <c r="C408" s="8" t="s">
        <v>1503</v>
      </c>
      <c r="D408" s="9">
        <v>46096.0</v>
      </c>
      <c r="E408" s="10">
        <v>79.79</v>
      </c>
      <c r="F408" s="8" t="s">
        <v>88</v>
      </c>
      <c r="G408" s="13">
        <v>40.2046</v>
      </c>
      <c r="H408" s="13">
        <v>1.9846</v>
      </c>
      <c r="I408" s="11">
        <v>0.36</v>
      </c>
      <c r="J408" s="8" t="s">
        <v>5380</v>
      </c>
      <c r="K408" s="11">
        <v>49.4378</v>
      </c>
      <c r="L408" s="11">
        <v>52.6403</v>
      </c>
      <c r="M408" s="13">
        <v>1.4128</v>
      </c>
      <c r="N408" s="8" t="s">
        <v>1504</v>
      </c>
      <c r="O408" s="11">
        <v>-0.0376</v>
      </c>
      <c r="P408" s="12">
        <v>475480.0</v>
      </c>
      <c r="Q408" s="13">
        <v>79.84</v>
      </c>
      <c r="R408" s="13">
        <v>79.7</v>
      </c>
      <c r="S408" s="13">
        <v>79.8</v>
      </c>
      <c r="T408" s="13">
        <v>0.2767</v>
      </c>
      <c r="U408" s="13">
        <v>1.5263</v>
      </c>
      <c r="V408" s="13">
        <v>361029.2</v>
      </c>
      <c r="W408" s="12">
        <v>2.274169462E9</v>
      </c>
      <c r="X408" s="11">
        <v>35.7383</v>
      </c>
      <c r="Y408" s="13">
        <v>54.3899</v>
      </c>
      <c r="Z408" s="13">
        <v>79.4456</v>
      </c>
      <c r="AA408" s="13">
        <v>72.0038</v>
      </c>
      <c r="AB408" s="13">
        <v>79.867</v>
      </c>
      <c r="AC408" s="13">
        <v>79.7858</v>
      </c>
      <c r="AD408" s="13">
        <v>79.5613</v>
      </c>
      <c r="AE408" s="13">
        <v>78.8616</v>
      </c>
      <c r="AF408" s="13">
        <v>77.242</v>
      </c>
      <c r="AG408" s="13">
        <v>80.67</v>
      </c>
      <c r="AH408" s="13">
        <v>19.7366</v>
      </c>
      <c r="AI408" s="13">
        <v>12.1871</v>
      </c>
      <c r="AJ408" s="13">
        <v>2.1751</v>
      </c>
      <c r="AK408" s="13">
        <v>1.9931</v>
      </c>
      <c r="AL408" s="13">
        <v>1.4408</v>
      </c>
      <c r="AM408" s="13">
        <v>1.0909</v>
      </c>
      <c r="AN408" s="14">
        <f>IFERROR(__xludf.DUMMYFUNCTION("IFERROR(GOOGLEFINANCE(B408,""price""),"""")"),80.04)</f>
        <v>80.04</v>
      </c>
    </row>
    <row r="409">
      <c r="A409" s="15">
        <v>46093.67012896884</v>
      </c>
      <c r="B409" s="16" t="s">
        <v>5364</v>
      </c>
      <c r="C409" s="16" t="s">
        <v>5365</v>
      </c>
      <c r="D409" s="17">
        <v>46096.0</v>
      </c>
      <c r="E409" s="18">
        <v>5.74</v>
      </c>
      <c r="F409" s="16" t="s">
        <v>149</v>
      </c>
      <c r="G409" s="21">
        <v>29.078</v>
      </c>
      <c r="H409" s="21">
        <v>0.1974</v>
      </c>
      <c r="I409" s="19">
        <v>0.39</v>
      </c>
      <c r="J409" s="16" t="s">
        <v>5381</v>
      </c>
      <c r="K409" s="19">
        <v>61.9335</v>
      </c>
      <c r="L409" s="19">
        <v>75.0245</v>
      </c>
      <c r="M409" s="21">
        <v>1.6695</v>
      </c>
      <c r="N409" s="16" t="s">
        <v>5367</v>
      </c>
      <c r="O409" s="19">
        <v>-0.1739</v>
      </c>
      <c r="P409" s="20">
        <v>1201430.0</v>
      </c>
      <c r="Q409" s="21">
        <v>5.76</v>
      </c>
      <c r="R409" s="21">
        <v>5.73</v>
      </c>
      <c r="S409" s="21">
        <v>5.75</v>
      </c>
      <c r="T409" s="21">
        <v>0.0856</v>
      </c>
      <c r="U409" s="21">
        <v>0.4373</v>
      </c>
      <c r="V409" s="21">
        <v>803559.1</v>
      </c>
      <c r="W409" s="20">
        <v>3.13042816E8</v>
      </c>
      <c r="X409" s="19">
        <v>56.6667</v>
      </c>
      <c r="Y409" s="21">
        <v>64.4444</v>
      </c>
      <c r="Z409" s="21">
        <v>4.7182</v>
      </c>
      <c r="AA409" s="21">
        <v>4.7046</v>
      </c>
      <c r="AB409" s="21">
        <v>5.74</v>
      </c>
      <c r="AC409" s="21">
        <v>5.5179</v>
      </c>
      <c r="AD409" s="21">
        <v>5.238</v>
      </c>
      <c r="AE409" s="21">
        <v>4.9129</v>
      </c>
      <c r="AF409" s="21">
        <v>4.6478</v>
      </c>
      <c r="AG409" s="21">
        <v>6.515</v>
      </c>
      <c r="AH409" s="21">
        <v>11.9538</v>
      </c>
      <c r="AI409" s="21">
        <v>20.9983</v>
      </c>
      <c r="AJ409" s="21">
        <v>-4.7438</v>
      </c>
      <c r="AK409" s="21">
        <v>4.8227</v>
      </c>
      <c r="AL409" s="21">
        <v>2.6944</v>
      </c>
      <c r="AM409" s="21">
        <v>11.8956</v>
      </c>
      <c r="AN409" s="22">
        <f>IFERROR(__xludf.DUMMYFUNCTION("IFERROR(GOOGLEFINANCE(B409,""price""),"""")"),5.82)</f>
        <v>5.82</v>
      </c>
    </row>
    <row r="410">
      <c r="A410" s="7">
        <v>46093.67012896884</v>
      </c>
      <c r="B410" s="8" t="s">
        <v>5382</v>
      </c>
      <c r="C410" s="8" t="s">
        <v>5383</v>
      </c>
      <c r="D410" s="9">
        <v>46096.0</v>
      </c>
      <c r="E410" s="10">
        <v>6.96</v>
      </c>
      <c r="F410" s="8" t="s">
        <v>149</v>
      </c>
      <c r="G410" s="13">
        <v>22.4227</v>
      </c>
      <c r="H410" s="13">
        <v>0.3104</v>
      </c>
      <c r="I410" s="11">
        <v>0.6</v>
      </c>
      <c r="J410" s="8" t="s">
        <v>5384</v>
      </c>
      <c r="K410" s="11">
        <v>34.9852</v>
      </c>
      <c r="L410" s="11">
        <v>64.0708</v>
      </c>
      <c r="M410" s="13">
        <v>2.186</v>
      </c>
      <c r="N410" s="8" t="s">
        <v>5385</v>
      </c>
      <c r="O410" s="11">
        <v>-0.4292</v>
      </c>
      <c r="P410" s="12">
        <v>4419192.0</v>
      </c>
      <c r="Q410" s="13">
        <v>7.0</v>
      </c>
      <c r="R410" s="13">
        <v>6.96</v>
      </c>
      <c r="S410" s="13">
        <v>6.99</v>
      </c>
      <c r="T410" s="13">
        <v>0.1326</v>
      </c>
      <c r="U410" s="13">
        <v>0.4391</v>
      </c>
      <c r="V410" s="8">
        <v>2214608.0</v>
      </c>
      <c r="W410" s="12">
        <v>2.286214217E9</v>
      </c>
      <c r="X410" s="11">
        <v>13.1808</v>
      </c>
      <c r="Y410" s="13">
        <v>31.59</v>
      </c>
      <c r="Z410" s="13">
        <v>6.2438</v>
      </c>
      <c r="AA410" s="13">
        <v>6.1107</v>
      </c>
      <c r="AB410" s="13">
        <v>6.9968</v>
      </c>
      <c r="AC410" s="13">
        <v>6.7974</v>
      </c>
      <c r="AD410" s="13">
        <v>6.5791</v>
      </c>
      <c r="AE410" s="13">
        <v>6.3262</v>
      </c>
      <c r="AF410" s="13">
        <v>6.1139</v>
      </c>
      <c r="AG410" s="13">
        <v>8.6</v>
      </c>
      <c r="AH410" s="13">
        <v>9.6724</v>
      </c>
      <c r="AI410" s="13">
        <v>20.9716</v>
      </c>
      <c r="AJ410" s="13">
        <v>5.7306</v>
      </c>
      <c r="AK410" s="13">
        <v>1.5623</v>
      </c>
      <c r="AL410" s="13">
        <v>0.3229</v>
      </c>
      <c r="AM410" s="13">
        <v>19.0698</v>
      </c>
      <c r="AN410" s="14">
        <f>IFERROR(__xludf.DUMMYFUNCTION("IFERROR(GOOGLEFINANCE(B410,""price""),"""")"),6.98)</f>
        <v>6.98</v>
      </c>
    </row>
    <row r="411">
      <c r="A411" s="7">
        <v>46102.754894970036</v>
      </c>
      <c r="B411" s="8" t="s">
        <v>5369</v>
      </c>
      <c r="C411" s="8" t="s">
        <v>5370</v>
      </c>
      <c r="D411" s="9">
        <v>46103.0</v>
      </c>
      <c r="E411" s="10">
        <v>10.85</v>
      </c>
      <c r="F411" s="8" t="s">
        <v>93</v>
      </c>
      <c r="G411" s="13">
        <v>0.0</v>
      </c>
      <c r="H411" s="13">
        <v>-0.2842</v>
      </c>
      <c r="I411" s="11">
        <v>0.39</v>
      </c>
      <c r="J411" s="8" t="s">
        <v>5386</v>
      </c>
      <c r="K411" s="11">
        <v>39.4532</v>
      </c>
      <c r="L411" s="11">
        <v>64.7876</v>
      </c>
      <c r="M411" s="13">
        <v>2.1958</v>
      </c>
      <c r="N411" s="8" t="s">
        <v>5372</v>
      </c>
      <c r="O411" s="11">
        <v>0.0</v>
      </c>
      <c r="P411" s="12">
        <v>3427894.0</v>
      </c>
      <c r="Q411" s="13">
        <v>10.89</v>
      </c>
      <c r="R411" s="13">
        <v>10.84</v>
      </c>
      <c r="S411" s="13">
        <v>10.89</v>
      </c>
      <c r="T411" s="13">
        <v>0.0797</v>
      </c>
      <c r="U411" s="13">
        <v>0.4076</v>
      </c>
      <c r="V411" s="8">
        <v>1631412.0</v>
      </c>
      <c r="W411" s="12">
        <v>1.502339965E9</v>
      </c>
      <c r="X411" s="11">
        <v>14.5833</v>
      </c>
      <c r="Y411" s="13">
        <v>21.5278</v>
      </c>
      <c r="Z411" s="13">
        <v>10.3479</v>
      </c>
      <c r="AA411" s="13">
        <v>9.3894</v>
      </c>
      <c r="AB411" s="13">
        <v>10.8593</v>
      </c>
      <c r="AC411" s="13">
        <v>10.7636</v>
      </c>
      <c r="AD411" s="13">
        <v>10.6093</v>
      </c>
      <c r="AE411" s="13">
        <v>10.3668</v>
      </c>
      <c r="AF411" s="13">
        <v>10.0141</v>
      </c>
      <c r="AG411" s="13">
        <v>10.99</v>
      </c>
      <c r="AH411" s="13">
        <v>0.2997</v>
      </c>
      <c r="AI411" s="13">
        <v>10.4192</v>
      </c>
      <c r="AJ411" s="13">
        <v>-5.7207</v>
      </c>
      <c r="AK411" s="13">
        <v>2.9422</v>
      </c>
      <c r="AL411" s="13">
        <v>0.4752</v>
      </c>
      <c r="AM411" s="13">
        <v>1.2739</v>
      </c>
      <c r="AN411" s="14">
        <f>IFERROR(__xludf.DUMMYFUNCTION("IFERROR(GOOGLEFINANCE(B411,""price""),"""")"),10.9)</f>
        <v>10.9</v>
      </c>
    </row>
    <row r="412">
      <c r="A412" s="15">
        <v>46102.754894970036</v>
      </c>
      <c r="B412" s="16" t="s">
        <v>1645</v>
      </c>
      <c r="C412" s="16" t="s">
        <v>1646</v>
      </c>
      <c r="D412" s="17">
        <v>46103.0</v>
      </c>
      <c r="E412" s="18">
        <v>16.25</v>
      </c>
      <c r="F412" s="16" t="s">
        <v>190</v>
      </c>
      <c r="G412" s="21">
        <v>14.0304</v>
      </c>
      <c r="H412" s="21">
        <v>1.1582</v>
      </c>
      <c r="I412" s="19">
        <v>0.41</v>
      </c>
      <c r="J412" s="16" t="s">
        <v>5387</v>
      </c>
      <c r="K412" s="19">
        <v>26.5402</v>
      </c>
      <c r="L412" s="19">
        <v>62.8154</v>
      </c>
      <c r="M412" s="21">
        <v>1.3155</v>
      </c>
      <c r="N412" s="16" t="s">
        <v>1647</v>
      </c>
      <c r="O412" s="19">
        <v>-0.0922</v>
      </c>
      <c r="P412" s="20">
        <v>6152590.0</v>
      </c>
      <c r="Q412" s="21">
        <v>16.27</v>
      </c>
      <c r="R412" s="21">
        <v>16.25</v>
      </c>
      <c r="S412" s="21">
        <v>16.26</v>
      </c>
      <c r="T412" s="21">
        <v>0.1878</v>
      </c>
      <c r="U412" s="21">
        <v>0.9064</v>
      </c>
      <c r="V412" s="16">
        <v>4917572.0</v>
      </c>
      <c r="W412" s="20">
        <v>2.015297298E9</v>
      </c>
      <c r="X412" s="19">
        <v>81.5042</v>
      </c>
      <c r="Y412" s="21">
        <v>91.9511</v>
      </c>
      <c r="Z412" s="21">
        <v>15.5999</v>
      </c>
      <c r="AA412" s="21">
        <v>15.113</v>
      </c>
      <c r="AB412" s="21">
        <v>16.2185</v>
      </c>
      <c r="AC412" s="21">
        <v>16.007</v>
      </c>
      <c r="AD412" s="21">
        <v>15.8304</v>
      </c>
      <c r="AE412" s="21">
        <v>15.579</v>
      </c>
      <c r="AF412" s="21">
        <v>15.2642</v>
      </c>
      <c r="AG412" s="21">
        <v>18.605</v>
      </c>
      <c r="AH412" s="21">
        <v>8.4395</v>
      </c>
      <c r="AI412" s="21">
        <v>6.1359</v>
      </c>
      <c r="AJ412" s="21">
        <v>-17.659</v>
      </c>
      <c r="AK412" s="21">
        <v>1.682</v>
      </c>
      <c r="AL412" s="21">
        <v>1.0414</v>
      </c>
      <c r="AM412" s="21">
        <v>12.6579</v>
      </c>
      <c r="AN412" s="22">
        <f>IFERROR(__xludf.DUMMYFUNCTION("IFERROR(GOOGLEFINANCE(B412,""price""),"""")"),16.37)</f>
        <v>16.37</v>
      </c>
    </row>
    <row r="413">
      <c r="A413" s="7">
        <v>46102.754894970036</v>
      </c>
      <c r="B413" s="8" t="s">
        <v>5358</v>
      </c>
      <c r="C413" s="8" t="s">
        <v>5359</v>
      </c>
      <c r="D413" s="9">
        <v>46103.0</v>
      </c>
      <c r="E413" s="10">
        <v>206.25</v>
      </c>
      <c r="F413" s="8" t="s">
        <v>308</v>
      </c>
      <c r="G413" s="13">
        <v>0.0</v>
      </c>
      <c r="H413" s="13">
        <v>-1.9902</v>
      </c>
      <c r="I413" s="11">
        <v>0.48</v>
      </c>
      <c r="J413" s="8" t="s">
        <v>5388</v>
      </c>
      <c r="K413" s="11">
        <v>46.8463</v>
      </c>
      <c r="L413" s="11">
        <v>70.8802</v>
      </c>
      <c r="M413" s="13">
        <v>1.4183</v>
      </c>
      <c r="N413" s="8" t="s">
        <v>5361</v>
      </c>
      <c r="O413" s="11">
        <v>0.2284</v>
      </c>
      <c r="P413" s="12">
        <v>713847.0</v>
      </c>
      <c r="Q413" s="13">
        <v>207.365</v>
      </c>
      <c r="R413" s="13">
        <v>205.2</v>
      </c>
      <c r="S413" s="13">
        <v>205.91</v>
      </c>
      <c r="T413" s="13">
        <v>2.7227</v>
      </c>
      <c r="U413" s="13">
        <v>11.3239</v>
      </c>
      <c r="V413" s="13">
        <v>504627.2</v>
      </c>
      <c r="W413" s="12">
        <v>6.797160316E9</v>
      </c>
      <c r="X413" s="11">
        <v>80.484</v>
      </c>
      <c r="Y413" s="13">
        <v>82.3425</v>
      </c>
      <c r="Z413" s="13">
        <v>183.4857</v>
      </c>
      <c r="AA413" s="13">
        <v>152.7799</v>
      </c>
      <c r="AB413" s="13">
        <v>205.0038</v>
      </c>
      <c r="AC413" s="13">
        <v>201.5958</v>
      </c>
      <c r="AD413" s="13">
        <v>194.9125</v>
      </c>
      <c r="AE413" s="13">
        <v>184.1565</v>
      </c>
      <c r="AF413" s="13">
        <v>171.7127</v>
      </c>
      <c r="AG413" s="13">
        <v>208.835</v>
      </c>
      <c r="AH413" s="13">
        <v>-5.97</v>
      </c>
      <c r="AI413" s="13">
        <v>-8.9888</v>
      </c>
      <c r="AJ413" s="13">
        <v>34.2886</v>
      </c>
      <c r="AK413" s="13">
        <v>0.0219</v>
      </c>
      <c r="AL413" s="13">
        <v>4.6876</v>
      </c>
      <c r="AM413" s="13">
        <v>1.2378</v>
      </c>
      <c r="AN413" s="14">
        <f>IFERROR(__xludf.DUMMYFUNCTION("IFERROR(GOOGLEFINANCE(B413,""price""),"""")"),211.39)</f>
        <v>211.39</v>
      </c>
    </row>
    <row r="414">
      <c r="A414" s="7">
        <v>46104.668741657544</v>
      </c>
      <c r="B414" s="8" t="s">
        <v>1406</v>
      </c>
      <c r="C414" s="8" t="s">
        <v>1407</v>
      </c>
      <c r="D414" s="9">
        <v>46110.0</v>
      </c>
      <c r="E414" s="10">
        <v>10.65</v>
      </c>
      <c r="F414" s="8" t="s">
        <v>93</v>
      </c>
      <c r="G414" s="13">
        <v>92.77</v>
      </c>
      <c r="H414" s="13">
        <v>0.1148</v>
      </c>
      <c r="I414" s="11">
        <v>0.45</v>
      </c>
      <c r="J414" s="8" t="s">
        <v>5389</v>
      </c>
      <c r="K414" s="11">
        <v>27.675</v>
      </c>
      <c r="L414" s="11">
        <v>62.8555</v>
      </c>
      <c r="M414" s="13">
        <v>41.2756</v>
      </c>
      <c r="N414" s="8" t="s">
        <v>1408</v>
      </c>
      <c r="O414" s="11">
        <v>-0.0469</v>
      </c>
      <c r="P414" s="12">
        <v>2571574.0</v>
      </c>
      <c r="Q414" s="13">
        <v>10.6577</v>
      </c>
      <c r="R414" s="13">
        <v>10.6304</v>
      </c>
      <c r="S414" s="13">
        <v>10.65</v>
      </c>
      <c r="T414" s="13">
        <v>0.0253</v>
      </c>
      <c r="U414" s="13">
        <v>0.1133</v>
      </c>
      <c r="V414" s="13">
        <v>317745.2</v>
      </c>
      <c r="W414" s="12">
        <v>3.54999987E8</v>
      </c>
      <c r="X414" s="11">
        <v>74.2424</v>
      </c>
      <c r="Y414" s="13">
        <v>78.7879</v>
      </c>
      <c r="Z414" s="13">
        <v>10.5914</v>
      </c>
      <c r="AA414" s="13">
        <v>10.4768</v>
      </c>
      <c r="AB414" s="13">
        <v>10.6432</v>
      </c>
      <c r="AC414" s="13">
        <v>10.6247</v>
      </c>
      <c r="AD414" s="13">
        <v>10.6116</v>
      </c>
      <c r="AE414" s="13">
        <v>10.5982</v>
      </c>
      <c r="AF414" s="13">
        <v>10.579</v>
      </c>
      <c r="AG414" s="13">
        <v>12.5</v>
      </c>
      <c r="AH414" s="13">
        <v>1.8541</v>
      </c>
      <c r="AI414" s="13">
        <v>0.0</v>
      </c>
      <c r="AJ414" s="13">
        <v>0.0</v>
      </c>
      <c r="AK414" s="13">
        <v>0.0</v>
      </c>
      <c r="AL414" s="13">
        <v>0.1137</v>
      </c>
      <c r="AM414" s="13">
        <v>14.8</v>
      </c>
      <c r="AN414" s="14">
        <f>IFERROR(__xludf.DUMMYFUNCTION("IFERROR(GOOGLEFINANCE(B414,""price""),"""")"),10.66)</f>
        <v>10.66</v>
      </c>
    </row>
    <row r="415">
      <c r="A415" s="7">
        <v>46106.666888500105</v>
      </c>
      <c r="B415" s="8" t="s">
        <v>1539</v>
      </c>
      <c r="C415" s="8" t="s">
        <v>1540</v>
      </c>
      <c r="D415" s="9">
        <v>46110.0</v>
      </c>
      <c r="E415" s="10">
        <v>7.25</v>
      </c>
      <c r="F415" s="8" t="s">
        <v>112</v>
      </c>
      <c r="G415" s="13">
        <v>0.0</v>
      </c>
      <c r="H415" s="13">
        <v>-0.2646</v>
      </c>
      <c r="I415" s="11">
        <v>0.8</v>
      </c>
      <c r="J415" s="8" t="s">
        <v>5390</v>
      </c>
      <c r="K415" s="11">
        <v>27.9999</v>
      </c>
      <c r="L415" s="11">
        <v>84.6225</v>
      </c>
      <c r="M415" s="13">
        <v>1.6258</v>
      </c>
      <c r="N415" s="8" t="s">
        <v>1541</v>
      </c>
      <c r="O415" s="11">
        <v>0.9749</v>
      </c>
      <c r="P415" s="12">
        <v>2052314.0</v>
      </c>
      <c r="Q415" s="13">
        <v>7.42</v>
      </c>
      <c r="R415" s="13">
        <v>7.15</v>
      </c>
      <c r="S415" s="13">
        <v>7.19</v>
      </c>
      <c r="T415" s="13">
        <v>0.2023</v>
      </c>
      <c r="U415" s="13">
        <v>0.5081</v>
      </c>
      <c r="V415" s="8">
        <v>1415622.0</v>
      </c>
      <c r="W415" s="12">
        <v>3.12270019E8</v>
      </c>
      <c r="X415" s="11">
        <v>89.4905</v>
      </c>
      <c r="Y415" s="13">
        <v>88.1435</v>
      </c>
      <c r="Z415" s="13">
        <v>6.179</v>
      </c>
      <c r="AA415" s="13">
        <v>4.8145</v>
      </c>
      <c r="AB415" s="13">
        <v>6.8489</v>
      </c>
      <c r="AC415" s="13">
        <v>6.5132</v>
      </c>
      <c r="AD415" s="13">
        <v>6.3673</v>
      </c>
      <c r="AE415" s="13">
        <v>6.2002</v>
      </c>
      <c r="AF415" s="13">
        <v>5.9017</v>
      </c>
      <c r="AG415" s="13">
        <v>7.42</v>
      </c>
      <c r="AH415" s="13">
        <v>-44.5236</v>
      </c>
      <c r="AI415" s="13">
        <v>-10.9103</v>
      </c>
      <c r="AJ415" s="13">
        <v>70.3583</v>
      </c>
      <c r="AK415" s="13">
        <v>0.1039</v>
      </c>
      <c r="AL415" s="13">
        <v>2.78</v>
      </c>
      <c r="AM415" s="13">
        <v>2.2911</v>
      </c>
      <c r="AN415" s="14">
        <f>IFERROR(__xludf.DUMMYFUNCTION("IFERROR(GOOGLEFINANCE(B415,""price""),"""")"),7.21)</f>
        <v>7.21</v>
      </c>
    </row>
    <row r="416">
      <c r="A416" s="7">
        <v>46107.66959124608</v>
      </c>
      <c r="B416" s="8" t="s">
        <v>5382</v>
      </c>
      <c r="C416" s="8" t="s">
        <v>5383</v>
      </c>
      <c r="D416" s="9">
        <v>46110.0</v>
      </c>
      <c r="E416" s="10">
        <v>6.98</v>
      </c>
      <c r="F416" s="8" t="s">
        <v>149</v>
      </c>
      <c r="G416" s="13">
        <v>22.4871</v>
      </c>
      <c r="H416" s="13">
        <v>0.3104</v>
      </c>
      <c r="I416" s="11">
        <v>0.41</v>
      </c>
      <c r="J416" s="8" t="s">
        <v>5387</v>
      </c>
      <c r="K416" s="11">
        <v>35.58</v>
      </c>
      <c r="L416" s="11">
        <v>63.3645</v>
      </c>
      <c r="M416" s="13">
        <v>1.3271</v>
      </c>
      <c r="N416" s="8" t="s">
        <v>5385</v>
      </c>
      <c r="O416" s="11">
        <v>-0.1431</v>
      </c>
      <c r="P416" s="12">
        <v>3736073.0</v>
      </c>
      <c r="Q416" s="13">
        <v>7.0</v>
      </c>
      <c r="R416" s="13">
        <v>6.97</v>
      </c>
      <c r="S416" s="13">
        <v>6.98</v>
      </c>
      <c r="T416" s="13">
        <v>0.0797</v>
      </c>
      <c r="U416" s="13">
        <v>0.3854</v>
      </c>
      <c r="V416" s="8">
        <v>2746866.0</v>
      </c>
      <c r="W416" s="12">
        <v>2.292783798E9</v>
      </c>
      <c r="X416" s="11">
        <v>22.0594</v>
      </c>
      <c r="Y416" s="13">
        <v>16.8139</v>
      </c>
      <c r="Z416" s="13">
        <v>6.4722</v>
      </c>
      <c r="AA416" s="13">
        <v>6.1928</v>
      </c>
      <c r="AB416" s="13">
        <v>6.9793</v>
      </c>
      <c r="AC416" s="13">
        <v>6.9065</v>
      </c>
      <c r="AD416" s="13">
        <v>6.7548</v>
      </c>
      <c r="AE416" s="13">
        <v>6.5236</v>
      </c>
      <c r="AF416" s="13">
        <v>6.2869</v>
      </c>
      <c r="AG416" s="13">
        <v>8.125</v>
      </c>
      <c r="AH416" s="13">
        <v>9.6724</v>
      </c>
      <c r="AI416" s="13">
        <v>20.9716</v>
      </c>
      <c r="AJ416" s="13">
        <v>5.7306</v>
      </c>
      <c r="AK416" s="13">
        <v>1.5623</v>
      </c>
      <c r="AL416" s="13">
        <v>0.3229</v>
      </c>
      <c r="AM416" s="13">
        <v>14.0923</v>
      </c>
      <c r="AN416" s="14">
        <f>IFERROR(__xludf.DUMMYFUNCTION("IFERROR(GOOGLEFINANCE(B416,""price""),"""")"),6.98)</f>
        <v>6.98</v>
      </c>
    </row>
    <row r="417">
      <c r="A417" s="7">
        <v>46108.669625368806</v>
      </c>
      <c r="B417" s="8" t="s">
        <v>5336</v>
      </c>
      <c r="C417" s="8" t="s">
        <v>5337</v>
      </c>
      <c r="D417" s="9">
        <v>46110.0</v>
      </c>
      <c r="E417" s="10">
        <v>6.46</v>
      </c>
      <c r="F417" s="8" t="s">
        <v>286</v>
      </c>
      <c r="G417" s="13">
        <v>50.6667</v>
      </c>
      <c r="H417" s="13">
        <v>0.1275</v>
      </c>
      <c r="I417" s="11">
        <v>0.28</v>
      </c>
      <c r="J417" s="8" t="s">
        <v>5391</v>
      </c>
      <c r="K417" s="11">
        <v>65.0248</v>
      </c>
      <c r="L417" s="11">
        <v>68.7438</v>
      </c>
      <c r="M417" s="13">
        <v>1.7369</v>
      </c>
      <c r="N417" s="8" t="s">
        <v>5339</v>
      </c>
      <c r="O417" s="11">
        <v>-0.1546</v>
      </c>
      <c r="P417" s="12">
        <v>2589437.0</v>
      </c>
      <c r="Q417" s="13">
        <v>6.48</v>
      </c>
      <c r="R417" s="13">
        <v>6.46</v>
      </c>
      <c r="S417" s="13">
        <v>6.47</v>
      </c>
      <c r="T417" s="13">
        <v>0.0538</v>
      </c>
      <c r="U417" s="13">
        <v>0.3831</v>
      </c>
      <c r="V417" s="8">
        <v>1446538.0</v>
      </c>
      <c r="W417" s="12">
        <v>7.64596362E8</v>
      </c>
      <c r="X417" s="11">
        <v>52.381</v>
      </c>
      <c r="Y417" s="13">
        <v>56.1508</v>
      </c>
      <c r="Z417" s="13">
        <v>5.9309</v>
      </c>
      <c r="AA417" s="13">
        <v>5.5032</v>
      </c>
      <c r="AB417" s="13">
        <v>6.4667</v>
      </c>
      <c r="AC417" s="13">
        <v>6.3911</v>
      </c>
      <c r="AD417" s="13">
        <v>6.1951</v>
      </c>
      <c r="AE417" s="13">
        <v>5.8818</v>
      </c>
      <c r="AF417" s="13">
        <v>5.6034</v>
      </c>
      <c r="AG417" s="13">
        <v>6.94</v>
      </c>
      <c r="AH417" s="13">
        <v>9.019</v>
      </c>
      <c r="AI417" s="13">
        <v>5.3777</v>
      </c>
      <c r="AJ417" s="13">
        <v>12.9865</v>
      </c>
      <c r="AK417" s="13">
        <v>2.0006</v>
      </c>
      <c r="AL417" s="13">
        <v>1.1799</v>
      </c>
      <c r="AM417" s="13">
        <v>6.9164</v>
      </c>
      <c r="AN417" s="14">
        <f>IFERROR(__xludf.DUMMYFUNCTION("IFERROR(GOOGLEFINANCE(B417,""price""),"""")"),6.48)</f>
        <v>6.48</v>
      </c>
    </row>
    <row r="418">
      <c r="A418" s="7">
        <v>46111.66705910711</v>
      </c>
      <c r="B418" s="8" t="s">
        <v>5382</v>
      </c>
      <c r="C418" s="8" t="s">
        <v>5383</v>
      </c>
      <c r="D418" s="9">
        <v>46117.0</v>
      </c>
      <c r="E418" s="10">
        <v>6.97</v>
      </c>
      <c r="F418" s="8" t="s">
        <v>149</v>
      </c>
      <c r="G418" s="13">
        <v>22.4549</v>
      </c>
      <c r="H418" s="13">
        <v>0.3104</v>
      </c>
      <c r="I418" s="11">
        <v>0.4</v>
      </c>
      <c r="J418" s="8" t="s">
        <v>5377</v>
      </c>
      <c r="K418" s="11">
        <v>35.6794</v>
      </c>
      <c r="L418" s="11">
        <v>62.1834</v>
      </c>
      <c r="M418" s="13">
        <v>1.6204</v>
      </c>
      <c r="N418" s="8" t="s">
        <v>5385</v>
      </c>
      <c r="O418" s="11">
        <v>0.0</v>
      </c>
      <c r="P418" s="12">
        <v>4294050.0</v>
      </c>
      <c r="Q418" s="13">
        <v>6.99</v>
      </c>
      <c r="R418" s="13">
        <v>6.96</v>
      </c>
      <c r="S418" s="13">
        <v>6.98</v>
      </c>
      <c r="T418" s="13">
        <v>0.0716</v>
      </c>
      <c r="U418" s="13">
        <v>0.36</v>
      </c>
      <c r="V418" s="8">
        <v>2889079.0</v>
      </c>
      <c r="W418" s="12">
        <v>2.289499014E9</v>
      </c>
      <c r="X418" s="11">
        <v>16.6667</v>
      </c>
      <c r="Y418" s="13">
        <v>19.787</v>
      </c>
      <c r="Z418" s="13">
        <v>6.5064</v>
      </c>
      <c r="AA418" s="13">
        <v>6.2082</v>
      </c>
      <c r="AB418" s="13">
        <v>6.9756</v>
      </c>
      <c r="AC418" s="13">
        <v>6.9175</v>
      </c>
      <c r="AD418" s="13">
        <v>6.7787</v>
      </c>
      <c r="AE418" s="13">
        <v>6.5549</v>
      </c>
      <c r="AF418" s="13">
        <v>6.3169</v>
      </c>
      <c r="AG418" s="13">
        <v>8.089</v>
      </c>
      <c r="AH418" s="13">
        <v>9.6724</v>
      </c>
      <c r="AI418" s="13">
        <v>20.9716</v>
      </c>
      <c r="AJ418" s="13">
        <v>5.7306</v>
      </c>
      <c r="AK418" s="13">
        <v>1.5623</v>
      </c>
      <c r="AL418" s="13">
        <v>0.3229</v>
      </c>
      <c r="AM418" s="13">
        <v>13.8336</v>
      </c>
      <c r="AN418" s="14">
        <f>IFERROR(__xludf.DUMMYFUNCTION("IFERROR(GOOGLEFINANCE(B418,""price""),"""")"),6.98)</f>
        <v>6.98</v>
      </c>
    </row>
    <row r="419">
      <c r="A419" s="7">
        <v>46112.66707979992</v>
      </c>
      <c r="B419" s="8" t="s">
        <v>5364</v>
      </c>
      <c r="C419" s="8" t="s">
        <v>5365</v>
      </c>
      <c r="D419" s="9">
        <v>46117.0</v>
      </c>
      <c r="E419" s="10">
        <v>5.78</v>
      </c>
      <c r="F419" s="8" t="s">
        <v>149</v>
      </c>
      <c r="G419" s="13">
        <v>29.2806</v>
      </c>
      <c r="H419" s="13">
        <v>0.1974</v>
      </c>
      <c r="I419" s="11">
        <v>0.25</v>
      </c>
      <c r="J419" s="8" t="s">
        <v>5392</v>
      </c>
      <c r="K419" s="11">
        <v>68.0682</v>
      </c>
      <c r="L419" s="11">
        <v>75.355</v>
      </c>
      <c r="M419" s="13">
        <v>1.7848</v>
      </c>
      <c r="N419" s="8" t="s">
        <v>5367</v>
      </c>
      <c r="O419" s="11">
        <v>0.1733</v>
      </c>
      <c r="P419" s="12">
        <v>834174.0</v>
      </c>
      <c r="Q419" s="13">
        <v>5.79</v>
      </c>
      <c r="R419" s="13">
        <v>5.77</v>
      </c>
      <c r="S419" s="13">
        <v>5.79</v>
      </c>
      <c r="T419" s="13">
        <v>0.0454</v>
      </c>
      <c r="U419" s="13">
        <v>0.3574</v>
      </c>
      <c r="V419" s="13">
        <v>508548.1</v>
      </c>
      <c r="W419" s="12">
        <v>3.15224304E8</v>
      </c>
      <c r="X419" s="11">
        <v>50.0</v>
      </c>
      <c r="Y419" s="13">
        <v>52.9982</v>
      </c>
      <c r="Z419" s="13">
        <v>5.2043</v>
      </c>
      <c r="AA419" s="13">
        <v>4.8344</v>
      </c>
      <c r="AB419" s="13">
        <v>5.7733</v>
      </c>
      <c r="AC419" s="13">
        <v>5.6982</v>
      </c>
      <c r="AD419" s="13">
        <v>5.5228</v>
      </c>
      <c r="AE419" s="13">
        <v>5.2358</v>
      </c>
      <c r="AF419" s="13">
        <v>4.932</v>
      </c>
      <c r="AG419" s="13">
        <v>6.515</v>
      </c>
      <c r="AH419" s="13">
        <v>11.9538</v>
      </c>
      <c r="AI419" s="13">
        <v>20.9983</v>
      </c>
      <c r="AJ419" s="13">
        <v>-4.7438</v>
      </c>
      <c r="AK419" s="13">
        <v>4.8227</v>
      </c>
      <c r="AL419" s="13">
        <v>2.6944</v>
      </c>
      <c r="AM419" s="13">
        <v>11.2817</v>
      </c>
      <c r="AN419" s="14">
        <f>IFERROR(__xludf.DUMMYFUNCTION("IFERROR(GOOGLEFINANCE(B419,""price""),"""")"),5.82)</f>
        <v>5.82</v>
      </c>
    </row>
    <row r="420">
      <c r="A420" s="15">
        <v>46112.66707979992</v>
      </c>
      <c r="B420" s="16" t="s">
        <v>5382</v>
      </c>
      <c r="C420" s="16" t="s">
        <v>5383</v>
      </c>
      <c r="D420" s="17">
        <v>46117.0</v>
      </c>
      <c r="E420" s="18">
        <v>6.97</v>
      </c>
      <c r="F420" s="16" t="s">
        <v>149</v>
      </c>
      <c r="G420" s="21">
        <v>22.4549</v>
      </c>
      <c r="H420" s="21">
        <v>0.3104</v>
      </c>
      <c r="I420" s="19">
        <v>0.38</v>
      </c>
      <c r="J420" s="16" t="s">
        <v>5393</v>
      </c>
      <c r="K420" s="19">
        <v>35.7238</v>
      </c>
      <c r="L420" s="19">
        <v>62.1834</v>
      </c>
      <c r="M420" s="21">
        <v>1.5887</v>
      </c>
      <c r="N420" s="16" t="s">
        <v>5385</v>
      </c>
      <c r="O420" s="19">
        <v>0.0</v>
      </c>
      <c r="P420" s="20">
        <v>4589822.0</v>
      </c>
      <c r="Q420" s="21">
        <v>6.99</v>
      </c>
      <c r="R420" s="21">
        <v>6.96</v>
      </c>
      <c r="S420" s="21">
        <v>6.98</v>
      </c>
      <c r="T420" s="21">
        <v>0.0686</v>
      </c>
      <c r="U420" s="21">
        <v>0.36</v>
      </c>
      <c r="V420" s="16">
        <v>3166772.0</v>
      </c>
      <c r="W420" s="20">
        <v>2.289499014E9</v>
      </c>
      <c r="X420" s="19">
        <v>14.8148</v>
      </c>
      <c r="Y420" s="21">
        <v>17.3721</v>
      </c>
      <c r="Z420" s="21">
        <v>6.526</v>
      </c>
      <c r="AA420" s="21">
        <v>6.2158</v>
      </c>
      <c r="AB420" s="21">
        <v>6.9744</v>
      </c>
      <c r="AC420" s="21">
        <v>6.9223</v>
      </c>
      <c r="AD420" s="21">
        <v>6.7897</v>
      </c>
      <c r="AE420" s="21">
        <v>6.5698</v>
      </c>
      <c r="AF420" s="21">
        <v>6.3314</v>
      </c>
      <c r="AG420" s="21">
        <v>8.089</v>
      </c>
      <c r="AH420" s="21">
        <v>9.6724</v>
      </c>
      <c r="AI420" s="21">
        <v>20.9716</v>
      </c>
      <c r="AJ420" s="21">
        <v>5.7306</v>
      </c>
      <c r="AK420" s="21">
        <v>1.5623</v>
      </c>
      <c r="AL420" s="21">
        <v>0.3229</v>
      </c>
      <c r="AM420" s="21">
        <v>13.8336</v>
      </c>
      <c r="AN420" s="22">
        <f>IFERROR(__xludf.DUMMYFUNCTION("IFERROR(GOOGLEFINANCE(B420,""price""),"""")"),6.98)</f>
        <v>6.98</v>
      </c>
    </row>
    <row r="421">
      <c r="A421" s="7">
        <v>46113.6669700903</v>
      </c>
      <c r="B421" s="8" t="s">
        <v>5394</v>
      </c>
      <c r="C421" s="8" t="s">
        <v>5395</v>
      </c>
      <c r="D421" s="9">
        <v>46117.0</v>
      </c>
      <c r="E421" s="10">
        <v>13.97</v>
      </c>
      <c r="F421" s="8" t="s">
        <v>190</v>
      </c>
      <c r="G421" s="13">
        <v>0.0</v>
      </c>
      <c r="H421" s="13">
        <v>-0.0945</v>
      </c>
      <c r="I421" s="11">
        <v>0.42</v>
      </c>
      <c r="J421" s="8" t="s">
        <v>5396</v>
      </c>
      <c r="K421" s="11">
        <v>65.7265</v>
      </c>
      <c r="L421" s="11">
        <v>77.3548</v>
      </c>
      <c r="M421" s="13">
        <v>1.3144</v>
      </c>
      <c r="N421" s="8" t="s">
        <v>5397</v>
      </c>
      <c r="O421" s="11">
        <v>-0.8517</v>
      </c>
      <c r="P421" s="12">
        <v>1717324.0</v>
      </c>
      <c r="Q421" s="13">
        <v>14.095</v>
      </c>
      <c r="R421" s="13">
        <v>13.97</v>
      </c>
      <c r="S421" s="13">
        <v>14.07</v>
      </c>
      <c r="T421" s="13">
        <v>0.1392</v>
      </c>
      <c r="U421" s="13">
        <v>0.6557</v>
      </c>
      <c r="V421" s="8">
        <v>1375290.0</v>
      </c>
      <c r="W421" s="12">
        <v>7.08603719E8</v>
      </c>
      <c r="X421" s="11">
        <v>75.9395</v>
      </c>
      <c r="Y421" s="13">
        <v>76.4891</v>
      </c>
      <c r="Z421" s="13">
        <v>12.4605</v>
      </c>
      <c r="AA421" s="13">
        <v>10.2457</v>
      </c>
      <c r="AB421" s="13">
        <v>13.8465</v>
      </c>
      <c r="AC421" s="13">
        <v>13.5419</v>
      </c>
      <c r="AD421" s="13">
        <v>13.1171</v>
      </c>
      <c r="AE421" s="13">
        <v>12.4458</v>
      </c>
      <c r="AF421" s="13">
        <v>11.6023</v>
      </c>
      <c r="AG421" s="13">
        <v>14.22</v>
      </c>
      <c r="AH421" s="13">
        <v>-0.87</v>
      </c>
      <c r="AI421" s="13">
        <v>6.0189</v>
      </c>
      <c r="AJ421" s="13">
        <v>2.4353</v>
      </c>
      <c r="AK421" s="13">
        <v>0.9363</v>
      </c>
      <c r="AL421" s="13">
        <v>1.6279</v>
      </c>
      <c r="AM421" s="13">
        <v>1.7581</v>
      </c>
      <c r="AN421" s="14">
        <f>IFERROR(__xludf.DUMMYFUNCTION("IFERROR(GOOGLEFINANCE(B421,""price""),"""")"),13.98)</f>
        <v>13.98</v>
      </c>
    </row>
    <row r="422">
      <c r="A422" s="7">
        <v>46114.66788571927</v>
      </c>
      <c r="B422" s="8" t="s">
        <v>5382</v>
      </c>
      <c r="C422" s="8" t="s">
        <v>5383</v>
      </c>
      <c r="D422" s="9">
        <v>46117.0</v>
      </c>
      <c r="E422" s="10">
        <v>6.97</v>
      </c>
      <c r="F422" s="8" t="s">
        <v>149</v>
      </c>
      <c r="G422" s="13">
        <v>22.4549</v>
      </c>
      <c r="H422" s="13">
        <v>0.3104</v>
      </c>
      <c r="I422" s="11">
        <v>0.34</v>
      </c>
      <c r="J422" s="8" t="s">
        <v>5398</v>
      </c>
      <c r="K422" s="11">
        <v>35.5102</v>
      </c>
      <c r="L422" s="11">
        <v>62.1834</v>
      </c>
      <c r="M422" s="13">
        <v>1.7427</v>
      </c>
      <c r="N422" s="8" t="s">
        <v>5385</v>
      </c>
      <c r="O422" s="11">
        <v>0.0</v>
      </c>
      <c r="P422" s="12">
        <v>4857101.0</v>
      </c>
      <c r="Q422" s="13">
        <v>6.98</v>
      </c>
      <c r="R422" s="13">
        <v>6.96</v>
      </c>
      <c r="S422" s="13">
        <v>6.97</v>
      </c>
      <c r="T422" s="13">
        <v>0.0612</v>
      </c>
      <c r="U422" s="13">
        <v>0.36</v>
      </c>
      <c r="V422" s="8">
        <v>2768502.0</v>
      </c>
      <c r="W422" s="12">
        <v>2.28949863E9</v>
      </c>
      <c r="X422" s="11">
        <v>16.6667</v>
      </c>
      <c r="Y422" s="13">
        <v>16.0494</v>
      </c>
      <c r="Z422" s="13">
        <v>6.5732</v>
      </c>
      <c r="AA422" s="13">
        <v>6.2307</v>
      </c>
      <c r="AB422" s="13">
        <v>6.9727</v>
      </c>
      <c r="AC422" s="13">
        <v>6.9306</v>
      </c>
      <c r="AD422" s="13">
        <v>6.8097</v>
      </c>
      <c r="AE422" s="13">
        <v>6.5978</v>
      </c>
      <c r="AF422" s="13">
        <v>6.3595</v>
      </c>
      <c r="AG422" s="13">
        <v>7.98</v>
      </c>
      <c r="AH422" s="13">
        <v>9.6724</v>
      </c>
      <c r="AI422" s="13">
        <v>20.9716</v>
      </c>
      <c r="AJ422" s="13">
        <v>5.7306</v>
      </c>
      <c r="AK422" s="13">
        <v>1.5623</v>
      </c>
      <c r="AL422" s="13">
        <v>0.3229</v>
      </c>
      <c r="AM422" s="13">
        <v>12.6566</v>
      </c>
      <c r="AN422" s="14">
        <f>IFERROR(__xludf.DUMMYFUNCTION("IFERROR(GOOGLEFINANCE(B422,""price""),"""")"),6.98)</f>
        <v>6.98</v>
      </c>
    </row>
    <row r="423">
      <c r="A423" s="7">
        <v>46115.66753235669</v>
      </c>
      <c r="B423" s="8" t="s">
        <v>5382</v>
      </c>
      <c r="C423" s="8" t="s">
        <v>5383</v>
      </c>
      <c r="D423" s="9">
        <v>46117.0</v>
      </c>
      <c r="E423" s="10">
        <v>6.97</v>
      </c>
      <c r="F423" s="8" t="s">
        <v>149</v>
      </c>
      <c r="G423" s="13">
        <v>22.4549</v>
      </c>
      <c r="H423" s="13">
        <v>0.3104</v>
      </c>
      <c r="I423" s="11">
        <v>0.34</v>
      </c>
      <c r="J423" s="8" t="s">
        <v>5398</v>
      </c>
      <c r="K423" s="11">
        <v>35.5102</v>
      </c>
      <c r="L423" s="11">
        <v>62.1834</v>
      </c>
      <c r="M423" s="13">
        <v>1.7427</v>
      </c>
      <c r="N423" s="8" t="s">
        <v>5385</v>
      </c>
      <c r="O423" s="11">
        <v>0.0</v>
      </c>
      <c r="P423" s="12">
        <v>4857101.0</v>
      </c>
      <c r="Q423" s="13">
        <v>6.98</v>
      </c>
      <c r="R423" s="13">
        <v>6.96</v>
      </c>
      <c r="S423" s="13">
        <v>6.97</v>
      </c>
      <c r="T423" s="13">
        <v>0.0612</v>
      </c>
      <c r="U423" s="13">
        <v>0.36</v>
      </c>
      <c r="V423" s="8">
        <v>2768502.0</v>
      </c>
      <c r="W423" s="12">
        <v>2.28949863E9</v>
      </c>
      <c r="X423" s="11">
        <v>16.6667</v>
      </c>
      <c r="Y423" s="13">
        <v>16.0494</v>
      </c>
      <c r="Z423" s="13">
        <v>6.5732</v>
      </c>
      <c r="AA423" s="13">
        <v>6.2307</v>
      </c>
      <c r="AB423" s="13">
        <v>6.9727</v>
      </c>
      <c r="AC423" s="13">
        <v>6.9306</v>
      </c>
      <c r="AD423" s="13">
        <v>6.8097</v>
      </c>
      <c r="AE423" s="13">
        <v>6.5978</v>
      </c>
      <c r="AF423" s="13">
        <v>6.3595</v>
      </c>
      <c r="AG423" s="13">
        <v>7.98</v>
      </c>
      <c r="AH423" s="13">
        <v>9.6724</v>
      </c>
      <c r="AI423" s="13">
        <v>20.9716</v>
      </c>
      <c r="AJ423" s="13">
        <v>5.7306</v>
      </c>
      <c r="AK423" s="13">
        <v>1.5623</v>
      </c>
      <c r="AL423" s="13">
        <v>0.3229</v>
      </c>
      <c r="AM423" s="13">
        <v>12.6566</v>
      </c>
      <c r="AN423" s="14">
        <f>IFERROR(__xludf.DUMMYFUNCTION("IFERROR(GOOGLEFINANCE(B423,""price""),"""")"),6.98)</f>
        <v>6.98</v>
      </c>
    </row>
    <row r="424">
      <c r="A424" s="7">
        <v>46118.67011162723</v>
      </c>
      <c r="B424" s="8" t="s">
        <v>5336</v>
      </c>
      <c r="C424" s="8" t="s">
        <v>5337</v>
      </c>
      <c r="D424" s="9">
        <v>46124.0</v>
      </c>
      <c r="E424" s="10">
        <v>6.49</v>
      </c>
      <c r="F424" s="8" t="s">
        <v>286</v>
      </c>
      <c r="G424" s="13">
        <v>50.902</v>
      </c>
      <c r="H424" s="13">
        <v>0.1275</v>
      </c>
      <c r="I424" s="11">
        <v>0.28</v>
      </c>
      <c r="J424" s="8" t="s">
        <v>5399</v>
      </c>
      <c r="K424" s="11">
        <v>64.766</v>
      </c>
      <c r="L424" s="11">
        <v>71.0591</v>
      </c>
      <c r="M424" s="13">
        <v>3.1172</v>
      </c>
      <c r="N424" s="8" t="s">
        <v>5339</v>
      </c>
      <c r="O424" s="11">
        <v>0.0</v>
      </c>
      <c r="P424" s="12">
        <v>3920049.0</v>
      </c>
      <c r="Q424" s="13">
        <v>6.5</v>
      </c>
      <c r="R424" s="13">
        <v>6.46</v>
      </c>
      <c r="S424" s="13">
        <v>6.49</v>
      </c>
      <c r="T424" s="13">
        <v>0.0467</v>
      </c>
      <c r="U424" s="13">
        <v>0.3371</v>
      </c>
      <c r="V424" s="8">
        <v>1388845.0</v>
      </c>
      <c r="W424" s="12">
        <v>7.6814991E8</v>
      </c>
      <c r="X424" s="11">
        <v>66.6667</v>
      </c>
      <c r="Y424" s="13">
        <v>69.8413</v>
      </c>
      <c r="Z424" s="13">
        <v>6.1046</v>
      </c>
      <c r="AA424" s="13">
        <v>5.5511</v>
      </c>
      <c r="AB424" s="13">
        <v>6.4807</v>
      </c>
      <c r="AC424" s="13">
        <v>6.4267</v>
      </c>
      <c r="AD424" s="13">
        <v>6.2689</v>
      </c>
      <c r="AE424" s="13">
        <v>5.982</v>
      </c>
      <c r="AF424" s="13">
        <v>5.6971</v>
      </c>
      <c r="AG424" s="13">
        <v>6.94</v>
      </c>
      <c r="AH424" s="13">
        <v>9.019</v>
      </c>
      <c r="AI424" s="13">
        <v>5.3777</v>
      </c>
      <c r="AJ424" s="13">
        <v>12.9865</v>
      </c>
      <c r="AK424" s="13">
        <v>2.0006</v>
      </c>
      <c r="AL424" s="13">
        <v>1.1799</v>
      </c>
      <c r="AM424" s="13">
        <v>6.4841</v>
      </c>
      <c r="AN424" s="14">
        <f>IFERROR(__xludf.DUMMYFUNCTION("IFERROR(GOOGLEFINANCE(B424,""price""),"""")"),6.48)</f>
        <v>6.48</v>
      </c>
    </row>
    <row r="425">
      <c r="A425" s="7">
        <v>46119.66766808912</v>
      </c>
      <c r="B425" s="8" t="s">
        <v>5364</v>
      </c>
      <c r="C425" s="8" t="s">
        <v>5365</v>
      </c>
      <c r="D425" s="9">
        <v>46124.0</v>
      </c>
      <c r="E425" s="10">
        <v>5.83</v>
      </c>
      <c r="F425" s="8" t="s">
        <v>149</v>
      </c>
      <c r="G425" s="13">
        <v>29.5339</v>
      </c>
      <c r="H425" s="13">
        <v>0.1974</v>
      </c>
      <c r="I425" s="11">
        <v>0.25</v>
      </c>
      <c r="J425" s="8" t="s">
        <v>5096</v>
      </c>
      <c r="K425" s="11">
        <v>70.5292</v>
      </c>
      <c r="L425" s="11">
        <v>75.4477</v>
      </c>
      <c r="M425" s="13">
        <v>1.5995</v>
      </c>
      <c r="N425" s="8" t="s">
        <v>5367</v>
      </c>
      <c r="O425" s="11">
        <v>-0.3419</v>
      </c>
      <c r="P425" s="12">
        <v>768829.0</v>
      </c>
      <c r="Q425" s="13">
        <v>5.85</v>
      </c>
      <c r="R425" s="13">
        <v>5.82</v>
      </c>
      <c r="S425" s="13">
        <v>5.82</v>
      </c>
      <c r="T425" s="13">
        <v>0.0428</v>
      </c>
      <c r="U425" s="13">
        <v>0.3374</v>
      </c>
      <c r="V425" s="13">
        <v>517417.7</v>
      </c>
      <c r="W425" s="12">
        <v>3.17951148E8</v>
      </c>
      <c r="X425" s="11">
        <v>88.5714</v>
      </c>
      <c r="Y425" s="13">
        <v>79.7443</v>
      </c>
      <c r="Z425" s="13">
        <v>5.3573</v>
      </c>
      <c r="AA425" s="13">
        <v>4.8731</v>
      </c>
      <c r="AB425" s="13">
        <v>5.8058</v>
      </c>
      <c r="AC425" s="13">
        <v>5.7374</v>
      </c>
      <c r="AD425" s="13">
        <v>5.5854</v>
      </c>
      <c r="AE425" s="13">
        <v>5.315</v>
      </c>
      <c r="AF425" s="13">
        <v>5.0084</v>
      </c>
      <c r="AG425" s="13">
        <v>6.515</v>
      </c>
      <c r="AH425" s="13">
        <v>11.9538</v>
      </c>
      <c r="AI425" s="13">
        <v>20.9983</v>
      </c>
      <c r="AJ425" s="13">
        <v>-4.7438</v>
      </c>
      <c r="AK425" s="13">
        <v>4.8227</v>
      </c>
      <c r="AL425" s="13">
        <v>2.6944</v>
      </c>
      <c r="AM425" s="13">
        <v>10.5142</v>
      </c>
      <c r="AN425" s="14">
        <f>IFERROR(__xludf.DUMMYFUNCTION("IFERROR(GOOGLEFINANCE(B425,""price""),"""")"),5.82)</f>
        <v>5.82</v>
      </c>
    </row>
    <row r="426">
      <c r="A426" s="15">
        <v>46119.66766808912</v>
      </c>
      <c r="B426" s="16" t="s">
        <v>5400</v>
      </c>
      <c r="C426" s="16" t="s">
        <v>5401</v>
      </c>
      <c r="D426" s="17">
        <v>46124.0</v>
      </c>
      <c r="E426" s="18">
        <v>52.62</v>
      </c>
      <c r="F426" s="16" t="s">
        <v>117</v>
      </c>
      <c r="G426" s="21">
        <v>0.0</v>
      </c>
      <c r="H426" s="21">
        <v>-1.0326</v>
      </c>
      <c r="I426" s="19">
        <v>0.83</v>
      </c>
      <c r="J426" s="16" t="s">
        <v>5110</v>
      </c>
      <c r="K426" s="19">
        <v>42.3282</v>
      </c>
      <c r="L426" s="19">
        <v>74.0027</v>
      </c>
      <c r="M426" s="21">
        <v>1.7884</v>
      </c>
      <c r="N426" s="16" t="s">
        <v>5402</v>
      </c>
      <c r="O426" s="19">
        <v>-0.3031</v>
      </c>
      <c r="P426" s="20">
        <v>2.8802234E7</v>
      </c>
      <c r="Q426" s="21">
        <v>52.74</v>
      </c>
      <c r="R426" s="21">
        <v>52.42</v>
      </c>
      <c r="S426" s="21">
        <v>52.73</v>
      </c>
      <c r="T426" s="21">
        <v>1.5127</v>
      </c>
      <c r="U426" s="21">
        <v>3.6532</v>
      </c>
      <c r="V426" s="16">
        <v>1.8624762E7</v>
      </c>
      <c r="W426" s="20">
        <v>6.0730525E9</v>
      </c>
      <c r="X426" s="19">
        <v>94.0622</v>
      </c>
      <c r="Y426" s="21">
        <v>94.578</v>
      </c>
      <c r="Z426" s="21">
        <v>43.254</v>
      </c>
      <c r="AA426" s="21">
        <v>28.2765</v>
      </c>
      <c r="AB426" s="21">
        <v>52.2738</v>
      </c>
      <c r="AC426" s="21">
        <v>49.6109</v>
      </c>
      <c r="AD426" s="21">
        <v>47.2236</v>
      </c>
      <c r="AE426" s="21">
        <v>44.0013</v>
      </c>
      <c r="AF426" s="21">
        <v>39.2688</v>
      </c>
      <c r="AG426" s="21">
        <v>53.19</v>
      </c>
      <c r="AH426" s="21">
        <v>-14.2277</v>
      </c>
      <c r="AI426" s="21">
        <v>0.0</v>
      </c>
      <c r="AJ426" s="21">
        <v>0.0</v>
      </c>
      <c r="AK426" s="21">
        <v>9.0E-4</v>
      </c>
      <c r="AL426" s="21">
        <v>62.409</v>
      </c>
      <c r="AM426" s="21">
        <v>1.0716</v>
      </c>
      <c r="AN426" s="22">
        <f>IFERROR(__xludf.DUMMYFUNCTION("IFERROR(GOOGLEFINANCE(B426,""price""),"""")"),52.63)</f>
        <v>52.63</v>
      </c>
    </row>
    <row r="427">
      <c r="A427" s="7">
        <v>46120.66753110884</v>
      </c>
      <c r="B427" s="8" t="s">
        <v>1645</v>
      </c>
      <c r="C427" s="8" t="s">
        <v>1646</v>
      </c>
      <c r="D427" s="9">
        <v>46124.0</v>
      </c>
      <c r="E427" s="10">
        <v>16.35</v>
      </c>
      <c r="F427" s="8" t="s">
        <v>190</v>
      </c>
      <c r="G427" s="13">
        <v>14.1167</v>
      </c>
      <c r="H427" s="13">
        <v>1.1582</v>
      </c>
      <c r="I427" s="11">
        <v>0.29</v>
      </c>
      <c r="J427" s="8" t="s">
        <v>5403</v>
      </c>
      <c r="K427" s="11">
        <v>29.1792</v>
      </c>
      <c r="L427" s="11">
        <v>65.3017</v>
      </c>
      <c r="M427" s="13">
        <v>1.3662</v>
      </c>
      <c r="N427" s="8" t="s">
        <v>1647</v>
      </c>
      <c r="O427" s="11">
        <v>0.0</v>
      </c>
      <c r="P427" s="12">
        <v>1687654.0</v>
      </c>
      <c r="Q427" s="13">
        <v>16.41</v>
      </c>
      <c r="R427" s="13">
        <v>16.33</v>
      </c>
      <c r="S427" s="13">
        <v>16.4</v>
      </c>
      <c r="T427" s="13">
        <v>0.1061</v>
      </c>
      <c r="U427" s="13">
        <v>0.7424</v>
      </c>
      <c r="V427" s="8">
        <v>1216384.0</v>
      </c>
      <c r="W427" s="12">
        <v>2.027699175E9</v>
      </c>
      <c r="X427" s="11">
        <v>75.5952</v>
      </c>
      <c r="Y427" s="13">
        <v>79.6153</v>
      </c>
      <c r="Z427" s="13">
        <v>15.8635</v>
      </c>
      <c r="AA427" s="13">
        <v>15.2484</v>
      </c>
      <c r="AB427" s="13">
        <v>16.3279</v>
      </c>
      <c r="AC427" s="13">
        <v>16.2198</v>
      </c>
      <c r="AD427" s="13">
        <v>16.076</v>
      </c>
      <c r="AE427" s="13">
        <v>15.8386</v>
      </c>
      <c r="AF427" s="13">
        <v>15.5118</v>
      </c>
      <c r="AG427" s="13">
        <v>18.605</v>
      </c>
      <c r="AH427" s="13">
        <v>8.4395</v>
      </c>
      <c r="AI427" s="13">
        <v>6.1359</v>
      </c>
      <c r="AJ427" s="13">
        <v>-17.659</v>
      </c>
      <c r="AK427" s="13">
        <v>1.682</v>
      </c>
      <c r="AL427" s="13">
        <v>1.0414</v>
      </c>
      <c r="AM427" s="13">
        <v>12.1204</v>
      </c>
      <c r="AN427" s="14">
        <f>IFERROR(__xludf.DUMMYFUNCTION("IFERROR(GOOGLEFINANCE(B427,""price""),"""")"),16.37)</f>
        <v>16.37</v>
      </c>
    </row>
    <row r="428">
      <c r="A428" s="15">
        <v>46120.66753110884</v>
      </c>
      <c r="B428" s="16" t="s">
        <v>1521</v>
      </c>
      <c r="C428" s="16" t="s">
        <v>1522</v>
      </c>
      <c r="D428" s="17">
        <v>46124.0</v>
      </c>
      <c r="E428" s="18">
        <v>10.51</v>
      </c>
      <c r="F428" s="16" t="s">
        <v>93</v>
      </c>
      <c r="G428" s="21">
        <v>0.0</v>
      </c>
      <c r="H428" s="21">
        <v>-0.7281</v>
      </c>
      <c r="I428" s="19">
        <v>0.53</v>
      </c>
      <c r="J428" s="16" t="s">
        <v>5404</v>
      </c>
      <c r="K428" s="19">
        <v>33.1179</v>
      </c>
      <c r="L428" s="19">
        <v>67.5435</v>
      </c>
      <c r="M428" s="21">
        <v>1.3441</v>
      </c>
      <c r="N428" s="16" t="s">
        <v>1523</v>
      </c>
      <c r="O428" s="19">
        <v>-0.1899</v>
      </c>
      <c r="P428" s="20">
        <v>402727.0</v>
      </c>
      <c r="Q428" s="21">
        <v>10.55</v>
      </c>
      <c r="R428" s="21">
        <v>10.481</v>
      </c>
      <c r="S428" s="21">
        <v>10.52</v>
      </c>
      <c r="T428" s="21">
        <v>0.0347</v>
      </c>
      <c r="U428" s="21">
        <v>0.1312</v>
      </c>
      <c r="V428" s="21">
        <v>336888.8</v>
      </c>
      <c r="W428" s="20">
        <v>2.37175669E8</v>
      </c>
      <c r="X428" s="19">
        <v>79.4872</v>
      </c>
      <c r="Y428" s="21">
        <v>85.8364</v>
      </c>
      <c r="Z428" s="21">
        <v>10.4107</v>
      </c>
      <c r="AA428" s="21">
        <v>10.3335</v>
      </c>
      <c r="AB428" s="21">
        <v>10.4905</v>
      </c>
      <c r="AC428" s="21">
        <v>10.463</v>
      </c>
      <c r="AD428" s="21">
        <v>10.4427</v>
      </c>
      <c r="AE428" s="21">
        <v>10.4223</v>
      </c>
      <c r="AF428" s="21">
        <v>10.4104</v>
      </c>
      <c r="AG428" s="21">
        <v>15.24</v>
      </c>
      <c r="AH428" s="21">
        <v>-8.6452</v>
      </c>
      <c r="AI428" s="21">
        <v>0.0</v>
      </c>
      <c r="AJ428" s="21">
        <v>0.0</v>
      </c>
      <c r="AK428" s="21">
        <v>0.0</v>
      </c>
      <c r="AL428" s="21">
        <v>0.0802</v>
      </c>
      <c r="AM428" s="21">
        <v>31.0367</v>
      </c>
      <c r="AN428" s="22">
        <f>IFERROR(__xludf.DUMMYFUNCTION("IFERROR(GOOGLEFINANCE(B428,""price""),"""")"),10.48)</f>
        <v>10.48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6.5"/>
    <col customWidth="1" min="3" max="3" width="25.25"/>
    <col customWidth="1" min="4" max="4" width="10.0"/>
    <col customWidth="1" min="5" max="5" width="6.88"/>
    <col customWidth="1" min="6" max="6" width="5.25"/>
    <col customWidth="1" min="7" max="7" width="9.75"/>
    <col customWidth="1" min="8" max="8" width="18.63"/>
    <col customWidth="1" min="9" max="9" width="9.0"/>
    <col customWidth="1" min="10" max="10" width="14.13"/>
    <col customWidth="1" min="11" max="11" width="13.25"/>
    <col customWidth="1" min="12" max="12" width="24.5"/>
    <col customWidth="1" min="13" max="13" width="10.25"/>
  </cols>
  <sheetData>
    <row r="1">
      <c r="A1" s="6" t="s">
        <v>0</v>
      </c>
      <c r="B1" s="6" t="s">
        <v>57</v>
      </c>
      <c r="C1" s="6" t="s">
        <v>58</v>
      </c>
      <c r="D1" s="6" t="s">
        <v>59</v>
      </c>
      <c r="E1" s="6" t="s">
        <v>61</v>
      </c>
      <c r="F1" s="6" t="s">
        <v>5405</v>
      </c>
      <c r="G1" s="6" t="s">
        <v>64</v>
      </c>
      <c r="H1" s="6" t="s">
        <v>63</v>
      </c>
      <c r="I1" s="6" t="s">
        <v>62</v>
      </c>
      <c r="J1" s="6" t="s">
        <v>73</v>
      </c>
      <c r="K1" s="6" t="s">
        <v>60</v>
      </c>
      <c r="L1" s="6" t="s">
        <v>5406</v>
      </c>
      <c r="M1" s="6" t="s">
        <v>7</v>
      </c>
    </row>
    <row r="2">
      <c r="A2" s="7">
        <v>46048.661265293726</v>
      </c>
      <c r="B2" s="8" t="s">
        <v>5407</v>
      </c>
      <c r="C2" s="8" t="s">
        <v>5408</v>
      </c>
      <c r="D2" s="9">
        <v>46054.0</v>
      </c>
      <c r="E2" s="10">
        <v>3.99</v>
      </c>
      <c r="F2" s="26">
        <v>0.0</v>
      </c>
      <c r="G2" s="12">
        <v>2.14376256E8</v>
      </c>
      <c r="H2" s="8" t="s">
        <v>245</v>
      </c>
      <c r="I2" s="11">
        <v>211.7188</v>
      </c>
      <c r="J2" s="12">
        <v>2.1064399E7</v>
      </c>
      <c r="K2" s="8" t="s">
        <v>5409</v>
      </c>
      <c r="L2" s="8" t="s">
        <v>5410</v>
      </c>
      <c r="M2" s="14">
        <f>IFERROR(__xludf.DUMMYFUNCTION("IFERROR(GOOGLEFINANCE(B2,""price""),"""")"),3.2)</f>
        <v>3.2</v>
      </c>
    </row>
    <row r="3">
      <c r="A3" s="15">
        <v>46048.661265293726</v>
      </c>
      <c r="B3" s="16" t="s">
        <v>5411</v>
      </c>
      <c r="C3" s="16" t="s">
        <v>5412</v>
      </c>
      <c r="D3" s="17">
        <v>46054.0</v>
      </c>
      <c r="E3" s="18">
        <v>42.49</v>
      </c>
      <c r="F3" s="27">
        <v>0.0</v>
      </c>
      <c r="G3" s="20">
        <v>1.47151643E8</v>
      </c>
      <c r="H3" s="16" t="s">
        <v>308</v>
      </c>
      <c r="I3" s="19">
        <v>-5.7244</v>
      </c>
      <c r="J3" s="20">
        <v>2.11803146408E11</v>
      </c>
      <c r="K3" s="16" t="s">
        <v>5413</v>
      </c>
      <c r="L3" s="16" t="s">
        <v>5414</v>
      </c>
      <c r="M3" s="22">
        <f>IFERROR(__xludf.DUMMYFUNCTION("IFERROR(GOOGLEFINANCE(B3,""price""),"""")"),62.38)</f>
        <v>62.38</v>
      </c>
    </row>
    <row r="4">
      <c r="A4" s="7">
        <v>46048.661265293726</v>
      </c>
      <c r="B4" s="8" t="s">
        <v>5415</v>
      </c>
      <c r="C4" s="8" t="s">
        <v>5416</v>
      </c>
      <c r="D4" s="9">
        <v>46054.0</v>
      </c>
      <c r="E4" s="10">
        <v>3.16</v>
      </c>
      <c r="F4" s="26">
        <v>0.0</v>
      </c>
      <c r="G4" s="12">
        <v>1.39725601E8</v>
      </c>
      <c r="H4" s="8" t="s">
        <v>117</v>
      </c>
      <c r="I4" s="11">
        <v>112.0805</v>
      </c>
      <c r="J4" s="12">
        <v>1.0460548E7</v>
      </c>
      <c r="K4" s="8" t="s">
        <v>5417</v>
      </c>
      <c r="L4" s="8" t="s">
        <v>5418</v>
      </c>
      <c r="M4" s="14">
        <f>IFERROR(__xludf.DUMMYFUNCTION("IFERROR(GOOGLEFINANCE(B4,""price""),"""")"),1.68)</f>
        <v>1.68</v>
      </c>
    </row>
    <row r="5">
      <c r="A5" s="15">
        <v>46048.661265293726</v>
      </c>
      <c r="B5" s="16" t="s">
        <v>5419</v>
      </c>
      <c r="C5" s="16" t="s">
        <v>5420</v>
      </c>
      <c r="D5" s="17">
        <v>46054.0</v>
      </c>
      <c r="E5" s="18">
        <v>186.47</v>
      </c>
      <c r="F5" s="27">
        <v>0.0</v>
      </c>
      <c r="G5" s="20">
        <v>1.23938609E8</v>
      </c>
      <c r="H5" s="16" t="s">
        <v>308</v>
      </c>
      <c r="I5" s="19">
        <v>-0.6394</v>
      </c>
      <c r="J5" s="20">
        <v>4.53122095579E12</v>
      </c>
      <c r="K5" s="16" t="s">
        <v>5421</v>
      </c>
      <c r="L5" s="16" t="s">
        <v>5414</v>
      </c>
      <c r="M5" s="22">
        <f>IFERROR(__xludf.DUMMYFUNCTION("IFERROR(GOOGLEFINANCE(B5,""price""),"""")"),188.75)</f>
        <v>188.75</v>
      </c>
    </row>
    <row r="6">
      <c r="A6" s="7">
        <v>46048.661265293726</v>
      </c>
      <c r="B6" s="8" t="s">
        <v>5422</v>
      </c>
      <c r="C6" s="8" t="s">
        <v>5423</v>
      </c>
      <c r="D6" s="9">
        <v>46054.0</v>
      </c>
      <c r="E6" s="10">
        <v>26.72</v>
      </c>
      <c r="F6" s="26">
        <v>0.0</v>
      </c>
      <c r="G6" s="12">
        <v>1.21713195E8</v>
      </c>
      <c r="H6" s="8" t="s">
        <v>102</v>
      </c>
      <c r="I6" s="11">
        <v>7.8724</v>
      </c>
      <c r="J6" s="12">
        <v>3.946007846E9</v>
      </c>
      <c r="K6" s="8" t="s">
        <v>5424</v>
      </c>
      <c r="L6" s="8" t="s">
        <v>5425</v>
      </c>
      <c r="M6" s="14">
        <f>IFERROR(__xludf.DUMMYFUNCTION("IFERROR(GOOGLEFINANCE(B6,""price""),"""")"),16.15)</f>
        <v>16.15</v>
      </c>
    </row>
    <row r="7">
      <c r="A7" s="15">
        <v>46048.661265293726</v>
      </c>
      <c r="B7" s="16" t="s">
        <v>5426</v>
      </c>
      <c r="C7" s="16" t="s">
        <v>5427</v>
      </c>
      <c r="D7" s="17">
        <v>46054.0</v>
      </c>
      <c r="E7" s="18">
        <v>1.5</v>
      </c>
      <c r="F7" s="27">
        <v>0.0</v>
      </c>
      <c r="G7" s="20">
        <v>1.13509509E8</v>
      </c>
      <c r="H7" s="16" t="s">
        <v>88</v>
      </c>
      <c r="I7" s="19">
        <v>33.9286</v>
      </c>
      <c r="J7" s="20">
        <v>1.068518E7</v>
      </c>
      <c r="K7" s="16" t="s">
        <v>5428</v>
      </c>
      <c r="L7" s="16" t="s">
        <v>5429</v>
      </c>
      <c r="M7" s="22">
        <f>IFERROR(__xludf.DUMMYFUNCTION("IFERROR(GOOGLEFINANCE(B7,""price""),"""")"),1.21)</f>
        <v>1.21</v>
      </c>
    </row>
    <row r="8">
      <c r="A8" s="7">
        <v>46048.661265293726</v>
      </c>
      <c r="B8" s="8" t="s">
        <v>5430</v>
      </c>
      <c r="C8" s="8" t="s">
        <v>5431</v>
      </c>
      <c r="D8" s="9">
        <v>46054.0</v>
      </c>
      <c r="E8" s="10">
        <v>2.3</v>
      </c>
      <c r="F8" s="26">
        <v>0.0</v>
      </c>
      <c r="G8" s="12">
        <v>1.02625094E8</v>
      </c>
      <c r="H8" s="8" t="s">
        <v>308</v>
      </c>
      <c r="I8" s="11">
        <v>-8.0</v>
      </c>
      <c r="J8" s="12">
        <v>3.200761084E9</v>
      </c>
      <c r="K8" s="8" t="s">
        <v>5432</v>
      </c>
      <c r="L8" s="8" t="s">
        <v>5433</v>
      </c>
      <c r="M8" s="14">
        <f>IFERROR(__xludf.DUMMYFUNCTION("IFERROR(GOOGLEFINANCE(B8,""price""),"""")"),2.74)</f>
        <v>2.74</v>
      </c>
    </row>
    <row r="9">
      <c r="A9" s="15">
        <v>46048.661265293726</v>
      </c>
      <c r="B9" s="16" t="s">
        <v>5434</v>
      </c>
      <c r="C9" s="16" t="s">
        <v>5435</v>
      </c>
      <c r="D9" s="17">
        <v>46054.0</v>
      </c>
      <c r="E9" s="18">
        <v>11.16</v>
      </c>
      <c r="F9" s="27">
        <v>0.0</v>
      </c>
      <c r="G9" s="20">
        <v>7.9093237E7</v>
      </c>
      <c r="H9" s="16" t="s">
        <v>308</v>
      </c>
      <c r="I9" s="19">
        <v>-8.2991</v>
      </c>
      <c r="J9" s="20">
        <v>4.715953854E9</v>
      </c>
      <c r="K9" s="16" t="s">
        <v>5436</v>
      </c>
      <c r="L9" s="16" t="s">
        <v>5437</v>
      </c>
      <c r="M9" s="22">
        <f>IFERROR(__xludf.DUMMYFUNCTION("IFERROR(GOOGLEFINANCE(B9,""price""),"""")"),9.13)</f>
        <v>9.13</v>
      </c>
    </row>
    <row r="10">
      <c r="A10" s="7">
        <v>46048.661265293726</v>
      </c>
      <c r="B10" s="8" t="s">
        <v>5438</v>
      </c>
      <c r="C10" s="8" t="s">
        <v>5439</v>
      </c>
      <c r="D10" s="9">
        <v>46054.0</v>
      </c>
      <c r="E10" s="10">
        <v>2.615</v>
      </c>
      <c r="F10" s="26">
        <v>0.0</v>
      </c>
      <c r="G10" s="12">
        <v>7.6934689E7</v>
      </c>
      <c r="H10" s="8" t="s">
        <v>102</v>
      </c>
      <c r="I10" s="11">
        <v>34.7938</v>
      </c>
      <c r="J10" s="12">
        <v>1.2629182E7</v>
      </c>
      <c r="K10" s="8" t="s">
        <v>5440</v>
      </c>
      <c r="L10" s="8" t="s">
        <v>5441</v>
      </c>
      <c r="M10" s="14">
        <f>IFERROR(__xludf.DUMMYFUNCTION("IFERROR(GOOGLEFINANCE(B10,""price""),"""")"),1.91)</f>
        <v>1.91</v>
      </c>
    </row>
    <row r="11">
      <c r="A11" s="15">
        <v>46048.661265293726</v>
      </c>
      <c r="B11" s="16" t="s">
        <v>5442</v>
      </c>
      <c r="C11" s="16" t="s">
        <v>5443</v>
      </c>
      <c r="D11" s="17">
        <v>46054.0</v>
      </c>
      <c r="E11" s="18">
        <v>4.07</v>
      </c>
      <c r="F11" s="27">
        <v>0.0</v>
      </c>
      <c r="G11" s="20">
        <v>6.6182385E7</v>
      </c>
      <c r="H11" s="16" t="s">
        <v>335</v>
      </c>
      <c r="I11" s="19">
        <v>31.2903</v>
      </c>
      <c r="J11" s="20">
        <v>2.1846713E8</v>
      </c>
      <c r="K11" s="16" t="s">
        <v>5444</v>
      </c>
      <c r="L11" s="16" t="s">
        <v>5445</v>
      </c>
      <c r="M11" s="22">
        <f>IFERROR(__xludf.DUMMYFUNCTION("IFERROR(GOOGLEFINANCE(B11,""price""),"""")"),2.18)</f>
        <v>2.18</v>
      </c>
    </row>
    <row r="12">
      <c r="A12" s="7">
        <v>46048.661265293726</v>
      </c>
      <c r="B12" s="8" t="s">
        <v>5446</v>
      </c>
      <c r="C12" s="8" t="s">
        <v>5447</v>
      </c>
      <c r="D12" s="9">
        <v>46054.0</v>
      </c>
      <c r="E12" s="10">
        <v>1.74</v>
      </c>
      <c r="F12" s="26">
        <v>0.0</v>
      </c>
      <c r="G12" s="12">
        <v>6.1940391E7</v>
      </c>
      <c r="H12" s="8" t="s">
        <v>335</v>
      </c>
      <c r="I12" s="11">
        <v>8.0745</v>
      </c>
      <c r="J12" s="12">
        <v>2.81472296E8</v>
      </c>
      <c r="K12" s="8" t="s">
        <v>5448</v>
      </c>
      <c r="L12" s="8" t="s">
        <v>5445</v>
      </c>
      <c r="M12" s="14">
        <f>IFERROR(__xludf.DUMMYFUNCTION("IFERROR(GOOGLEFINANCE(B12,""price""),"""")"),1.48)</f>
        <v>1.48</v>
      </c>
    </row>
    <row r="13">
      <c r="A13" s="15">
        <v>46048.661265293726</v>
      </c>
      <c r="B13" s="16" t="s">
        <v>5449</v>
      </c>
      <c r="C13" s="16" t="s">
        <v>5450</v>
      </c>
      <c r="D13" s="17">
        <v>46054.0</v>
      </c>
      <c r="E13" s="18">
        <v>17.64</v>
      </c>
      <c r="F13" s="27">
        <v>0.0</v>
      </c>
      <c r="G13" s="20">
        <v>6.0863585E7</v>
      </c>
      <c r="H13" s="16" t="s">
        <v>286</v>
      </c>
      <c r="I13" s="19">
        <v>-0.8989</v>
      </c>
      <c r="J13" s="20">
        <v>3.3798443117E10</v>
      </c>
      <c r="K13" s="16" t="s">
        <v>5451</v>
      </c>
      <c r="L13" s="16" t="s">
        <v>5452</v>
      </c>
      <c r="M13" s="22">
        <f>IFERROR(__xludf.DUMMYFUNCTION("IFERROR(GOOGLEFINANCE(B13,""price""),"""")"),17.35)</f>
        <v>17.35</v>
      </c>
    </row>
    <row r="14">
      <c r="A14" s="7">
        <v>46048.661265293726</v>
      </c>
      <c r="B14" s="8" t="s">
        <v>4096</v>
      </c>
      <c r="C14" s="8" t="s">
        <v>4097</v>
      </c>
      <c r="D14" s="9">
        <v>46054.0</v>
      </c>
      <c r="E14" s="10">
        <v>13.44</v>
      </c>
      <c r="F14" s="26">
        <v>0.0</v>
      </c>
      <c r="G14" s="12">
        <v>5.9099196E7</v>
      </c>
      <c r="H14" s="8" t="s">
        <v>112</v>
      </c>
      <c r="I14" s="11">
        <v>-0.885</v>
      </c>
      <c r="J14" s="12">
        <v>5.3553650407E10</v>
      </c>
      <c r="K14" s="8" t="s">
        <v>4099</v>
      </c>
      <c r="L14" s="8" t="s">
        <v>5453</v>
      </c>
      <c r="M14" s="14">
        <f>IFERROR(__xludf.DUMMYFUNCTION("IFERROR(GOOGLEFINANCE(B14,""price""),"""")"),12.13)</f>
        <v>12.13</v>
      </c>
    </row>
    <row r="15">
      <c r="A15" s="15">
        <v>46048.661265293726</v>
      </c>
      <c r="B15" s="16" t="s">
        <v>5454</v>
      </c>
      <c r="C15" s="16" t="s">
        <v>5455</v>
      </c>
      <c r="D15" s="17">
        <v>46054.0</v>
      </c>
      <c r="E15" s="18">
        <v>1.49</v>
      </c>
      <c r="F15" s="27">
        <v>0.0</v>
      </c>
      <c r="G15" s="20">
        <v>5.5617141E7</v>
      </c>
      <c r="H15" s="16" t="s">
        <v>149</v>
      </c>
      <c r="I15" s="19">
        <v>-4.4872</v>
      </c>
      <c r="J15" s="20">
        <v>7.6428585E8</v>
      </c>
      <c r="K15" s="16" t="s">
        <v>5456</v>
      </c>
      <c r="L15" s="16" t="s">
        <v>5457</v>
      </c>
      <c r="M15" s="22">
        <f>IFERROR(__xludf.DUMMYFUNCTION("IFERROR(GOOGLEFINANCE(B15,""price""),"""")"),1.35)</f>
        <v>1.35</v>
      </c>
    </row>
    <row r="16">
      <c r="A16" s="7">
        <v>46048.661265293726</v>
      </c>
      <c r="B16" s="8" t="s">
        <v>3269</v>
      </c>
      <c r="C16" s="8" t="s">
        <v>3270</v>
      </c>
      <c r="D16" s="9">
        <v>46054.0</v>
      </c>
      <c r="E16" s="10">
        <v>255.41</v>
      </c>
      <c r="F16" s="26">
        <v>0.0</v>
      </c>
      <c r="G16" s="12">
        <v>5.5166384E7</v>
      </c>
      <c r="H16" s="8" t="s">
        <v>308</v>
      </c>
      <c r="I16" s="11">
        <v>2.9713</v>
      </c>
      <c r="J16" s="12">
        <v>3.753997122177E12</v>
      </c>
      <c r="K16" s="8" t="s">
        <v>3272</v>
      </c>
      <c r="L16" s="8" t="s">
        <v>5437</v>
      </c>
      <c r="M16" s="14">
        <f>IFERROR(__xludf.DUMMYFUNCTION("IFERROR(GOOGLEFINANCE(B16,""price""),"""")"),260.48)</f>
        <v>260.48</v>
      </c>
    </row>
    <row r="17">
      <c r="A17" s="15">
        <v>46048.661265293726</v>
      </c>
      <c r="B17" s="16" t="s">
        <v>5458</v>
      </c>
      <c r="C17" s="16" t="s">
        <v>5459</v>
      </c>
      <c r="D17" s="17">
        <v>46054.0</v>
      </c>
      <c r="E17" s="18">
        <v>5.72</v>
      </c>
      <c r="F17" s="27">
        <v>0.0</v>
      </c>
      <c r="G17" s="20">
        <v>5.4523486E7</v>
      </c>
      <c r="H17" s="16" t="s">
        <v>88</v>
      </c>
      <c r="I17" s="19">
        <v>-1.7182</v>
      </c>
      <c r="J17" s="20">
        <v>2.497072986E9</v>
      </c>
      <c r="K17" s="16" t="s">
        <v>5460</v>
      </c>
      <c r="L17" s="16" t="s">
        <v>5429</v>
      </c>
      <c r="M17" s="22">
        <f>IFERROR(__xludf.DUMMYFUNCTION("IFERROR(GOOGLEFINANCE(B17,""price""),"""")"),3.32)</f>
        <v>3.32</v>
      </c>
    </row>
    <row r="18">
      <c r="A18" s="7">
        <v>46048.661265293726</v>
      </c>
      <c r="B18" s="8" t="s">
        <v>5461</v>
      </c>
      <c r="C18" s="8" t="s">
        <v>5462</v>
      </c>
      <c r="D18" s="9">
        <v>46054.0</v>
      </c>
      <c r="E18" s="10">
        <v>18.18</v>
      </c>
      <c r="F18" s="26">
        <v>0.0</v>
      </c>
      <c r="G18" s="12">
        <v>5.3786812E7</v>
      </c>
      <c r="H18" s="8" t="s">
        <v>93</v>
      </c>
      <c r="I18" s="11">
        <v>0.7761</v>
      </c>
      <c r="J18" s="12">
        <v>8.7094181468E10</v>
      </c>
      <c r="K18" s="8" t="s">
        <v>5463</v>
      </c>
      <c r="L18" s="8" t="s">
        <v>5464</v>
      </c>
      <c r="M18" s="14">
        <f>IFERROR(__xludf.DUMMYFUNCTION("IFERROR(GOOGLEFINANCE(B18,""price""),"""")"),14.96)</f>
        <v>14.96</v>
      </c>
    </row>
    <row r="19">
      <c r="A19" s="15">
        <v>46048.661265293726</v>
      </c>
      <c r="B19" s="16" t="s">
        <v>2735</v>
      </c>
      <c r="C19" s="16" t="s">
        <v>2736</v>
      </c>
      <c r="D19" s="17">
        <v>46054.0</v>
      </c>
      <c r="E19" s="18">
        <v>29.97</v>
      </c>
      <c r="F19" s="27">
        <v>0.0</v>
      </c>
      <c r="G19" s="20">
        <v>5.3153454E7</v>
      </c>
      <c r="H19" s="16" t="s">
        <v>335</v>
      </c>
      <c r="I19" s="19">
        <v>-5.7843</v>
      </c>
      <c r="J19" s="20">
        <v>2.0082857517E10</v>
      </c>
      <c r="K19" s="16" t="s">
        <v>2738</v>
      </c>
      <c r="L19" s="16" t="s">
        <v>5445</v>
      </c>
      <c r="M19" s="22">
        <f>IFERROR(__xludf.DUMMYFUNCTION("IFERROR(GOOGLEFINANCE(B19,""price""),"""")"),19.46)</f>
        <v>19.46</v>
      </c>
    </row>
    <row r="20">
      <c r="A20" s="7">
        <v>46048.661265293726</v>
      </c>
      <c r="B20" s="8" t="s">
        <v>5465</v>
      </c>
      <c r="C20" s="8" t="s">
        <v>5466</v>
      </c>
      <c r="D20" s="9">
        <v>46054.0</v>
      </c>
      <c r="E20" s="10">
        <v>98.31</v>
      </c>
      <c r="F20" s="26">
        <v>0.0</v>
      </c>
      <c r="G20" s="12">
        <v>4.905926E7</v>
      </c>
      <c r="H20" s="8" t="s">
        <v>88</v>
      </c>
      <c r="I20" s="11">
        <v>5.7324</v>
      </c>
      <c r="J20" s="12">
        <v>4.8989594711E10</v>
      </c>
      <c r="K20" s="8" t="s">
        <v>5467</v>
      </c>
      <c r="L20" s="8" t="s">
        <v>5429</v>
      </c>
      <c r="M20" s="14">
        <f>IFERROR(__xludf.DUMMYFUNCTION("IFERROR(GOOGLEFINANCE(B20,""price""),"""")"),102.0)</f>
        <v>102</v>
      </c>
    </row>
    <row r="21">
      <c r="A21" s="15">
        <v>46048.661265293726</v>
      </c>
      <c r="B21" s="16" t="s">
        <v>5468</v>
      </c>
      <c r="C21" s="16" t="s">
        <v>5469</v>
      </c>
      <c r="D21" s="17">
        <v>46054.0</v>
      </c>
      <c r="E21" s="18">
        <v>435.2</v>
      </c>
      <c r="F21" s="27">
        <v>0.0</v>
      </c>
      <c r="G21" s="20">
        <v>4.8930584E7</v>
      </c>
      <c r="H21" s="16" t="s">
        <v>112</v>
      </c>
      <c r="I21" s="19">
        <v>-3.0864</v>
      </c>
      <c r="J21" s="20">
        <v>1.447396567131E12</v>
      </c>
      <c r="K21" s="16" t="s">
        <v>5470</v>
      </c>
      <c r="L21" s="16" t="s">
        <v>5453</v>
      </c>
      <c r="M21" s="22">
        <f>IFERROR(__xludf.DUMMYFUNCTION("IFERROR(GOOGLEFINANCE(B21,""price""),"""")"),349.0)</f>
        <v>349</v>
      </c>
    </row>
    <row r="22">
      <c r="A22" s="7">
        <v>46048.661265293726</v>
      </c>
      <c r="B22" s="8" t="s">
        <v>2704</v>
      </c>
      <c r="C22" s="8" t="s">
        <v>2705</v>
      </c>
      <c r="D22" s="9">
        <v>46054.0</v>
      </c>
      <c r="E22" s="10">
        <v>36.18</v>
      </c>
      <c r="F22" s="26">
        <v>0.0</v>
      </c>
      <c r="G22" s="12">
        <v>4.7826224E7</v>
      </c>
      <c r="H22" s="8" t="s">
        <v>88</v>
      </c>
      <c r="I22" s="11">
        <v>-4.0064</v>
      </c>
      <c r="J22" s="12">
        <v>1.0115414434E10</v>
      </c>
      <c r="K22" s="8" t="s">
        <v>2707</v>
      </c>
      <c r="L22" s="8" t="s">
        <v>5471</v>
      </c>
      <c r="M22" s="14">
        <f>IFERROR(__xludf.DUMMYFUNCTION("IFERROR(GOOGLEFINANCE(B22,""price""),"""")"),26.24)</f>
        <v>26.24</v>
      </c>
    </row>
    <row r="23">
      <c r="A23" s="15">
        <v>46048.661265293726</v>
      </c>
      <c r="B23" s="16" t="s">
        <v>5472</v>
      </c>
      <c r="C23" s="16" t="s">
        <v>5473</v>
      </c>
      <c r="D23" s="17">
        <v>46054.0</v>
      </c>
      <c r="E23" s="18">
        <v>2.48</v>
      </c>
      <c r="F23" s="27">
        <v>0.0</v>
      </c>
      <c r="G23" s="20">
        <v>4.5517524E7</v>
      </c>
      <c r="H23" s="16" t="s">
        <v>162</v>
      </c>
      <c r="I23" s="19">
        <v>103.2787</v>
      </c>
      <c r="J23" s="20">
        <v>5.0020001E7</v>
      </c>
      <c r="K23" s="16" t="s">
        <v>5474</v>
      </c>
      <c r="L23" s="16" t="s">
        <v>5475</v>
      </c>
      <c r="M23" s="22">
        <f>IFERROR(__xludf.DUMMYFUNCTION("IFERROR(GOOGLEFINANCE(B23,""price""),"""")"),0.91)</f>
        <v>0.91</v>
      </c>
    </row>
    <row r="24">
      <c r="A24" s="7">
        <v>46048.661265293726</v>
      </c>
      <c r="B24" s="8" t="s">
        <v>1463</v>
      </c>
      <c r="C24" s="8" t="s">
        <v>1464</v>
      </c>
      <c r="D24" s="9">
        <v>46054.0</v>
      </c>
      <c r="E24" s="10">
        <v>23.45</v>
      </c>
      <c r="F24" s="26">
        <v>0.0</v>
      </c>
      <c r="G24" s="12">
        <v>4.4202359E7</v>
      </c>
      <c r="H24" s="8" t="s">
        <v>873</v>
      </c>
      <c r="I24" s="11">
        <v>-0.5935</v>
      </c>
      <c r="J24" s="12">
        <v>1.66247596706E11</v>
      </c>
      <c r="K24" s="8" t="s">
        <v>1465</v>
      </c>
      <c r="L24" s="8" t="s">
        <v>5476</v>
      </c>
      <c r="M24" s="14">
        <f>IFERROR(__xludf.DUMMYFUNCTION("IFERROR(GOOGLEFINANCE(B24,""price""),"""")"),26.46)</f>
        <v>26.46</v>
      </c>
    </row>
    <row r="25">
      <c r="A25" s="15">
        <v>46048.661265293726</v>
      </c>
      <c r="B25" s="16" t="s">
        <v>5477</v>
      </c>
      <c r="C25" s="16" t="s">
        <v>5478</v>
      </c>
      <c r="D25" s="17">
        <v>46054.0</v>
      </c>
      <c r="E25" s="18">
        <v>29.43</v>
      </c>
      <c r="F25" s="27">
        <v>0.0</v>
      </c>
      <c r="G25" s="20">
        <v>4.2857846E7</v>
      </c>
      <c r="H25" s="16" t="s">
        <v>149</v>
      </c>
      <c r="I25" s="19">
        <v>0.4437</v>
      </c>
      <c r="J25" s="20">
        <v>1.07239814412E11</v>
      </c>
      <c r="K25" s="16" t="s">
        <v>5479</v>
      </c>
      <c r="L25" s="16" t="s">
        <v>5480</v>
      </c>
      <c r="M25" s="22">
        <f>IFERROR(__xludf.DUMMYFUNCTION("IFERROR(GOOGLEFINANCE(B25,""price""),"""")"),27.93)</f>
        <v>27.93</v>
      </c>
    </row>
    <row r="26">
      <c r="A26" s="7">
        <v>46048.661265293726</v>
      </c>
      <c r="B26" s="8" t="s">
        <v>5481</v>
      </c>
      <c r="C26" s="8" t="s">
        <v>5482</v>
      </c>
      <c r="D26" s="9">
        <v>46054.0</v>
      </c>
      <c r="E26" s="10">
        <v>12.44</v>
      </c>
      <c r="F26" s="26">
        <v>0.0</v>
      </c>
      <c r="G26" s="12">
        <v>4.2056334E7</v>
      </c>
      <c r="H26" s="8" t="s">
        <v>88</v>
      </c>
      <c r="I26" s="11">
        <v>-9.2633</v>
      </c>
      <c r="J26" s="12">
        <v>3.179457941E9</v>
      </c>
      <c r="K26" s="8" t="s">
        <v>5483</v>
      </c>
      <c r="L26" s="8" t="s">
        <v>5471</v>
      </c>
      <c r="M26" s="14">
        <f>IFERROR(__xludf.DUMMYFUNCTION("IFERROR(GOOGLEFINANCE(B26,""price""),"""")"),10.02)</f>
        <v>10.02</v>
      </c>
    </row>
    <row r="27">
      <c r="A27" s="15">
        <v>46048.661265293726</v>
      </c>
      <c r="B27" s="16" t="s">
        <v>5484</v>
      </c>
      <c r="C27" s="16" t="s">
        <v>5485</v>
      </c>
      <c r="D27" s="17">
        <v>46054.0</v>
      </c>
      <c r="E27" s="18">
        <v>52.36</v>
      </c>
      <c r="F27" s="27">
        <v>0.0</v>
      </c>
      <c r="G27" s="20">
        <v>4.2049816E7</v>
      </c>
      <c r="H27" s="16" t="s">
        <v>88</v>
      </c>
      <c r="I27" s="19">
        <v>-7.6217</v>
      </c>
      <c r="J27" s="20">
        <v>1.7147869837E10</v>
      </c>
      <c r="K27" s="16" t="s">
        <v>5486</v>
      </c>
      <c r="L27" s="16" t="s">
        <v>5471</v>
      </c>
      <c r="M27" s="22">
        <f>IFERROR(__xludf.DUMMYFUNCTION("IFERROR(GOOGLEFINANCE(B27,""price""),"""")"),39.32)</f>
        <v>39.32</v>
      </c>
    </row>
    <row r="28">
      <c r="A28" s="7">
        <v>46048.661265293726</v>
      </c>
      <c r="B28" s="8" t="s">
        <v>5487</v>
      </c>
      <c r="C28" s="8" t="s">
        <v>5488</v>
      </c>
      <c r="D28" s="9">
        <v>46054.0</v>
      </c>
      <c r="E28" s="10">
        <v>14.57</v>
      </c>
      <c r="F28" s="26">
        <v>0.0</v>
      </c>
      <c r="G28" s="12">
        <v>4.1783019E7</v>
      </c>
      <c r="H28" s="8" t="s">
        <v>162</v>
      </c>
      <c r="I28" s="11">
        <v>-0.6817</v>
      </c>
      <c r="J28" s="12">
        <v>9.617460163E9</v>
      </c>
      <c r="K28" s="8" t="s">
        <v>5489</v>
      </c>
      <c r="L28" s="8" t="s">
        <v>5490</v>
      </c>
      <c r="M28" s="14">
        <f>IFERROR(__xludf.DUMMYFUNCTION("IFERROR(GOOGLEFINANCE(B28,""price""),"""")"),11.32)</f>
        <v>11.32</v>
      </c>
    </row>
    <row r="29">
      <c r="A29" s="15">
        <v>46048.661265293726</v>
      </c>
      <c r="B29" s="16" t="s">
        <v>1356</v>
      </c>
      <c r="C29" s="16" t="s">
        <v>1357</v>
      </c>
      <c r="D29" s="17">
        <v>46054.0</v>
      </c>
      <c r="E29" s="18">
        <v>25.88</v>
      </c>
      <c r="F29" s="27">
        <v>0.0</v>
      </c>
      <c r="G29" s="20">
        <v>4.1241588E7</v>
      </c>
      <c r="H29" s="16" t="s">
        <v>117</v>
      </c>
      <c r="I29" s="19">
        <v>0.8967</v>
      </c>
      <c r="J29" s="20">
        <v>1.47146108417E11</v>
      </c>
      <c r="K29" s="16" t="s">
        <v>1358</v>
      </c>
      <c r="L29" s="16" t="s">
        <v>5491</v>
      </c>
      <c r="M29" s="22">
        <f>IFERROR(__xludf.DUMMYFUNCTION("IFERROR(GOOGLEFINANCE(B29,""price""),"""")"),26.92)</f>
        <v>26.92</v>
      </c>
    </row>
    <row r="30">
      <c r="A30" s="7">
        <v>46048.661265293726</v>
      </c>
      <c r="B30" s="8" t="s">
        <v>5492</v>
      </c>
      <c r="C30" s="8" t="s">
        <v>5493</v>
      </c>
      <c r="D30" s="9">
        <v>46054.0</v>
      </c>
      <c r="E30" s="10">
        <v>85.7</v>
      </c>
      <c r="F30" s="26">
        <v>0.0</v>
      </c>
      <c r="G30" s="12">
        <v>4.0495728E7</v>
      </c>
      <c r="H30" s="8" t="s">
        <v>88</v>
      </c>
      <c r="I30" s="11">
        <v>-0.4877</v>
      </c>
      <c r="J30" s="12">
        <v>3.91605744033E11</v>
      </c>
      <c r="K30" s="8" t="s">
        <v>5494</v>
      </c>
      <c r="L30" s="8" t="s">
        <v>5495</v>
      </c>
      <c r="M30" s="14">
        <f>IFERROR(__xludf.DUMMYFUNCTION("IFERROR(GOOGLEFINANCE(B30,""price""),"""")"),103.03)</f>
        <v>103.03</v>
      </c>
    </row>
    <row r="31">
      <c r="A31" s="15">
        <v>46048.661265293726</v>
      </c>
      <c r="B31" s="16" t="s">
        <v>5496</v>
      </c>
      <c r="C31" s="16" t="s">
        <v>5497</v>
      </c>
      <c r="D31" s="17">
        <v>46054.0</v>
      </c>
      <c r="E31" s="18">
        <v>9.98</v>
      </c>
      <c r="F31" s="27">
        <v>0.0</v>
      </c>
      <c r="G31" s="20">
        <v>3.9348771E7</v>
      </c>
      <c r="H31" s="16" t="s">
        <v>88</v>
      </c>
      <c r="I31" s="19">
        <v>-4.9524</v>
      </c>
      <c r="J31" s="20">
        <v>3.77427988E9</v>
      </c>
      <c r="K31" s="16" t="s">
        <v>5498</v>
      </c>
      <c r="L31" s="16" t="s">
        <v>5471</v>
      </c>
      <c r="M31" s="22">
        <f>IFERROR(__xludf.DUMMYFUNCTION("IFERROR(GOOGLEFINANCE(B31,""price""),"""")"),9.54)</f>
        <v>9.54</v>
      </c>
    </row>
    <row r="32">
      <c r="A32" s="7">
        <v>46048.697547773656</v>
      </c>
      <c r="B32" s="8" t="s">
        <v>5499</v>
      </c>
      <c r="C32" s="8" t="s">
        <v>5500</v>
      </c>
      <c r="D32" s="9">
        <v>46054.0</v>
      </c>
      <c r="E32" s="10">
        <v>2.89</v>
      </c>
      <c r="F32" s="26">
        <v>3.2891</v>
      </c>
      <c r="G32" s="12">
        <v>1.8038266E7</v>
      </c>
      <c r="H32" s="8" t="s">
        <v>117</v>
      </c>
      <c r="I32" s="11">
        <v>9.4697</v>
      </c>
      <c r="J32" s="12">
        <v>1.14723744E9</v>
      </c>
      <c r="K32" s="8" t="s">
        <v>5501</v>
      </c>
      <c r="L32" s="8" t="s">
        <v>5502</v>
      </c>
      <c r="M32" s="14">
        <f>IFERROR(__xludf.DUMMYFUNCTION("IFERROR(GOOGLEFINANCE(B32,""price""),"""")"),3.7)</f>
        <v>3.7</v>
      </c>
    </row>
    <row r="33">
      <c r="A33" s="15">
        <v>46048.697547773656</v>
      </c>
      <c r="B33" s="16" t="s">
        <v>5503</v>
      </c>
      <c r="C33" s="16" t="s">
        <v>5504</v>
      </c>
      <c r="D33" s="17">
        <v>46054.0</v>
      </c>
      <c r="E33" s="18">
        <v>18.3</v>
      </c>
      <c r="F33" s="27">
        <v>1.7002</v>
      </c>
      <c r="G33" s="20">
        <v>3.4651927E7</v>
      </c>
      <c r="H33" s="16" t="s">
        <v>335</v>
      </c>
      <c r="I33" s="19">
        <v>-11.2512</v>
      </c>
      <c r="J33" s="20">
        <v>2.15765263E9</v>
      </c>
      <c r="K33" s="16" t="s">
        <v>5505</v>
      </c>
      <c r="L33" s="16" t="s">
        <v>5445</v>
      </c>
      <c r="M33" s="22">
        <f>IFERROR(__xludf.DUMMYFUNCTION("IFERROR(GOOGLEFINANCE(B33,""price""),"""")"),8.87)</f>
        <v>8.87</v>
      </c>
    </row>
    <row r="34">
      <c r="A34" s="7">
        <v>46048.697547773656</v>
      </c>
      <c r="B34" s="8" t="s">
        <v>5422</v>
      </c>
      <c r="C34" s="8" t="s">
        <v>5423</v>
      </c>
      <c r="D34" s="9">
        <v>46054.0</v>
      </c>
      <c r="E34" s="10">
        <v>26.72</v>
      </c>
      <c r="F34" s="26">
        <v>1.4833</v>
      </c>
      <c r="G34" s="12">
        <v>1.21931301E8</v>
      </c>
      <c r="H34" s="8" t="s">
        <v>102</v>
      </c>
      <c r="I34" s="11">
        <v>7.8724</v>
      </c>
      <c r="J34" s="12">
        <v>3.946007846E9</v>
      </c>
      <c r="K34" s="8" t="s">
        <v>5424</v>
      </c>
      <c r="L34" s="8" t="s">
        <v>5425</v>
      </c>
      <c r="M34" s="14">
        <f>IFERROR(__xludf.DUMMYFUNCTION("IFERROR(GOOGLEFINANCE(B34,""price""),"""")"),16.15)</f>
        <v>16.15</v>
      </c>
    </row>
    <row r="35">
      <c r="A35" s="15">
        <v>46048.697547773656</v>
      </c>
      <c r="B35" s="16" t="s">
        <v>1077</v>
      </c>
      <c r="C35" s="16" t="s">
        <v>1078</v>
      </c>
      <c r="D35" s="17">
        <v>46054.0</v>
      </c>
      <c r="E35" s="18">
        <v>9.5</v>
      </c>
      <c r="F35" s="27">
        <v>1.4668</v>
      </c>
      <c r="G35" s="20">
        <v>3.3337373E7</v>
      </c>
      <c r="H35" s="16" t="s">
        <v>335</v>
      </c>
      <c r="I35" s="19">
        <v>-12.4424</v>
      </c>
      <c r="J35" s="20">
        <v>1.330338379E9</v>
      </c>
      <c r="K35" s="16" t="s">
        <v>1079</v>
      </c>
      <c r="L35" s="16" t="s">
        <v>5506</v>
      </c>
      <c r="M35" s="22">
        <f>IFERROR(__xludf.DUMMYFUNCTION("IFERROR(GOOGLEFINANCE(B35,""price""),"""")"),8.36)</f>
        <v>8.36</v>
      </c>
    </row>
    <row r="36">
      <c r="A36" s="7">
        <v>46048.697547773656</v>
      </c>
      <c r="B36" s="8" t="s">
        <v>5507</v>
      </c>
      <c r="C36" s="8" t="s">
        <v>5508</v>
      </c>
      <c r="D36" s="9">
        <v>46054.0</v>
      </c>
      <c r="E36" s="10">
        <v>49.59</v>
      </c>
      <c r="F36" s="26">
        <v>1.4647</v>
      </c>
      <c r="G36" s="12">
        <v>1.0616352E7</v>
      </c>
      <c r="H36" s="8" t="s">
        <v>335</v>
      </c>
      <c r="I36" s="11">
        <v>-2.0928</v>
      </c>
      <c r="J36" s="12">
        <v>4.117228866E9</v>
      </c>
      <c r="K36" s="8" t="s">
        <v>5509</v>
      </c>
      <c r="L36" s="8" t="s">
        <v>5445</v>
      </c>
      <c r="M36" s="14">
        <f>IFERROR(__xludf.DUMMYFUNCTION("IFERROR(GOOGLEFINANCE(B36,""price""),"""")"),37.5)</f>
        <v>37.5</v>
      </c>
    </row>
    <row r="37">
      <c r="A37" s="15">
        <v>46048.697547773656</v>
      </c>
      <c r="B37" s="16" t="s">
        <v>5510</v>
      </c>
      <c r="C37" s="16" t="s">
        <v>5511</v>
      </c>
      <c r="D37" s="17">
        <v>46054.0</v>
      </c>
      <c r="E37" s="18">
        <v>470.8</v>
      </c>
      <c r="F37" s="27">
        <v>1.3948</v>
      </c>
      <c r="G37" s="20">
        <v>1.3362867E7</v>
      </c>
      <c r="H37" s="16" t="s">
        <v>308</v>
      </c>
      <c r="I37" s="19">
        <v>-0.6395</v>
      </c>
      <c r="J37" s="20">
        <v>6.899723372E10</v>
      </c>
      <c r="K37" s="16" t="s">
        <v>5512</v>
      </c>
      <c r="L37" s="16" t="s">
        <v>5513</v>
      </c>
      <c r="M37" s="22">
        <f>IFERROR(__xludf.DUMMYFUNCTION("IFERROR(GOOGLEFINANCE(B37,""price""),"""")"),851.77)</f>
        <v>851.77</v>
      </c>
    </row>
    <row r="38">
      <c r="A38" s="7">
        <v>46048.697547773656</v>
      </c>
      <c r="B38" s="8" t="s">
        <v>5514</v>
      </c>
      <c r="C38" s="8" t="s">
        <v>5515</v>
      </c>
      <c r="D38" s="9">
        <v>46054.0</v>
      </c>
      <c r="E38" s="10">
        <v>6.21</v>
      </c>
      <c r="F38" s="26">
        <v>1.3672</v>
      </c>
      <c r="G38" s="12">
        <v>3.709603E7</v>
      </c>
      <c r="H38" s="8" t="s">
        <v>117</v>
      </c>
      <c r="I38" s="11">
        <v>-3.7209</v>
      </c>
      <c r="J38" s="12">
        <v>6.116633773E9</v>
      </c>
      <c r="K38" s="8" t="s">
        <v>5516</v>
      </c>
      <c r="L38" s="8" t="s">
        <v>5491</v>
      </c>
      <c r="M38" s="14">
        <f>IFERROR(__xludf.DUMMYFUNCTION("IFERROR(GOOGLEFINANCE(B38,""price""),"""")"),7.28)</f>
        <v>7.28</v>
      </c>
    </row>
    <row r="39">
      <c r="A39" s="15">
        <v>46048.697547773656</v>
      </c>
      <c r="B39" s="16" t="s">
        <v>5517</v>
      </c>
      <c r="C39" s="16" t="s">
        <v>5518</v>
      </c>
      <c r="D39" s="17">
        <v>46054.0</v>
      </c>
      <c r="E39" s="18">
        <v>10.96</v>
      </c>
      <c r="F39" s="27">
        <v>1.3522</v>
      </c>
      <c r="G39" s="20">
        <v>3.7967054E7</v>
      </c>
      <c r="H39" s="16" t="s">
        <v>308</v>
      </c>
      <c r="I39" s="19">
        <v>-12.4601</v>
      </c>
      <c r="J39" s="20">
        <v>1.810052695E9</v>
      </c>
      <c r="K39" s="16" t="s">
        <v>5519</v>
      </c>
      <c r="L39" s="16" t="s">
        <v>5520</v>
      </c>
      <c r="M39" s="22">
        <f>IFERROR(__xludf.DUMMYFUNCTION("IFERROR(GOOGLEFINANCE(B39,""price""),"""")"),9.29)</f>
        <v>9.29</v>
      </c>
    </row>
    <row r="40">
      <c r="A40" s="7">
        <v>46048.697547773656</v>
      </c>
      <c r="B40" s="8" t="s">
        <v>5521</v>
      </c>
      <c r="C40" s="8" t="s">
        <v>5522</v>
      </c>
      <c r="D40" s="9">
        <v>46054.0</v>
      </c>
      <c r="E40" s="10">
        <v>6.75</v>
      </c>
      <c r="F40" s="26">
        <v>1.2715</v>
      </c>
      <c r="G40" s="12">
        <v>1.5053636E7</v>
      </c>
      <c r="H40" s="8" t="s">
        <v>335</v>
      </c>
      <c r="I40" s="11">
        <v>-12.3377</v>
      </c>
      <c r="J40" s="12">
        <v>8.30055367E8</v>
      </c>
      <c r="K40" s="8" t="s">
        <v>5523</v>
      </c>
      <c r="L40" s="8" t="s">
        <v>5506</v>
      </c>
      <c r="M40" s="14">
        <f>IFERROR(__xludf.DUMMYFUNCTION("IFERROR(GOOGLEFINANCE(B40,""price""),"""")"),4.82)</f>
        <v>4.82</v>
      </c>
    </row>
    <row r="41">
      <c r="A41" s="15">
        <v>46048.697547773656</v>
      </c>
      <c r="B41" s="16" t="s">
        <v>5524</v>
      </c>
      <c r="C41" s="16" t="s">
        <v>5525</v>
      </c>
      <c r="D41" s="17">
        <v>46054.0</v>
      </c>
      <c r="E41" s="18">
        <v>4.46</v>
      </c>
      <c r="F41" s="27">
        <v>1.2656</v>
      </c>
      <c r="G41" s="20">
        <v>1.3115205E7</v>
      </c>
      <c r="H41" s="16" t="s">
        <v>308</v>
      </c>
      <c r="I41" s="19">
        <v>-9.3496</v>
      </c>
      <c r="J41" s="20">
        <v>8.24654017E8</v>
      </c>
      <c r="K41" s="16" t="s">
        <v>5526</v>
      </c>
      <c r="L41" s="16" t="s">
        <v>5414</v>
      </c>
      <c r="M41" s="22">
        <f>IFERROR(__xludf.DUMMYFUNCTION("IFERROR(GOOGLEFINANCE(B41,""price""),"""")"),2.1)</f>
        <v>2.1</v>
      </c>
    </row>
    <row r="42">
      <c r="A42" s="7">
        <v>46048.697547773656</v>
      </c>
      <c r="B42" s="8" t="s">
        <v>5527</v>
      </c>
      <c r="C42" s="8" t="s">
        <v>5528</v>
      </c>
      <c r="D42" s="9">
        <v>46054.0</v>
      </c>
      <c r="E42" s="10">
        <v>14.25</v>
      </c>
      <c r="F42" s="26">
        <v>1.2236</v>
      </c>
      <c r="G42" s="12">
        <v>1.2626048E7</v>
      </c>
      <c r="H42" s="8" t="s">
        <v>88</v>
      </c>
      <c r="I42" s="11">
        <v>-11.2702</v>
      </c>
      <c r="J42" s="12">
        <v>1.701038682E9</v>
      </c>
      <c r="K42" s="8" t="s">
        <v>5529</v>
      </c>
      <c r="L42" s="8" t="s">
        <v>5429</v>
      </c>
      <c r="M42" s="14">
        <f>IFERROR(__xludf.DUMMYFUNCTION("IFERROR(GOOGLEFINANCE(B42,""price""),"""")"),12.37)</f>
        <v>12.37</v>
      </c>
    </row>
    <row r="43">
      <c r="A43" s="15">
        <v>46048.697547773656</v>
      </c>
      <c r="B43" s="16" t="s">
        <v>5530</v>
      </c>
      <c r="C43" s="16" t="s">
        <v>5531</v>
      </c>
      <c r="D43" s="17">
        <v>46054.0</v>
      </c>
      <c r="E43" s="18">
        <v>7.77</v>
      </c>
      <c r="F43" s="27">
        <v>1.1895</v>
      </c>
      <c r="G43" s="20">
        <v>2.7770601E7</v>
      </c>
      <c r="H43" s="16" t="s">
        <v>335</v>
      </c>
      <c r="I43" s="19">
        <v>-17.6907</v>
      </c>
      <c r="J43" s="20">
        <v>3.212832968E9</v>
      </c>
      <c r="K43" s="16" t="s">
        <v>5532</v>
      </c>
      <c r="L43" s="16" t="s">
        <v>5506</v>
      </c>
      <c r="M43" s="22">
        <f>IFERROR(__xludf.DUMMYFUNCTION("IFERROR(GOOGLEFINANCE(B43,""price""),"""")"),4.34)</f>
        <v>4.34</v>
      </c>
    </row>
    <row r="44">
      <c r="A44" s="7">
        <v>46048.697547773656</v>
      </c>
      <c r="B44" s="8" t="s">
        <v>5533</v>
      </c>
      <c r="C44" s="8" t="s">
        <v>5534</v>
      </c>
      <c r="D44" s="9">
        <v>46054.0</v>
      </c>
      <c r="E44" s="10">
        <v>8.14</v>
      </c>
      <c r="F44" s="26">
        <v>1.1758</v>
      </c>
      <c r="G44" s="12">
        <v>2.1676767E7</v>
      </c>
      <c r="H44" s="8" t="s">
        <v>102</v>
      </c>
      <c r="I44" s="11">
        <v>-4.2353</v>
      </c>
      <c r="J44" s="12">
        <v>2.202462714E9</v>
      </c>
      <c r="K44" s="8" t="s">
        <v>5535</v>
      </c>
      <c r="L44" s="8" t="s">
        <v>5536</v>
      </c>
      <c r="M44" s="14">
        <f>IFERROR(__xludf.DUMMYFUNCTION("IFERROR(GOOGLEFINANCE(B44,""price""),"""")"),4.69)</f>
        <v>4.69</v>
      </c>
    </row>
    <row r="45">
      <c r="A45" s="15">
        <v>46048.697547773656</v>
      </c>
      <c r="B45" s="16" t="s">
        <v>2704</v>
      </c>
      <c r="C45" s="16" t="s">
        <v>2705</v>
      </c>
      <c r="D45" s="17">
        <v>46054.0</v>
      </c>
      <c r="E45" s="18">
        <v>36.18</v>
      </c>
      <c r="F45" s="27">
        <v>1.1667</v>
      </c>
      <c r="G45" s="20">
        <v>4.7890131E7</v>
      </c>
      <c r="H45" s="16" t="s">
        <v>88</v>
      </c>
      <c r="I45" s="19">
        <v>-4.0064</v>
      </c>
      <c r="J45" s="20">
        <v>1.0115414434E10</v>
      </c>
      <c r="K45" s="16" t="s">
        <v>2707</v>
      </c>
      <c r="L45" s="16" t="s">
        <v>5471</v>
      </c>
      <c r="M45" s="22">
        <f>IFERROR(__xludf.DUMMYFUNCTION("IFERROR(GOOGLEFINANCE(B45,""price""),"""")"),26.24)</f>
        <v>26.24</v>
      </c>
    </row>
    <row r="46">
      <c r="A46" s="7">
        <v>46048.697547773656</v>
      </c>
      <c r="B46" s="8" t="s">
        <v>2735</v>
      </c>
      <c r="C46" s="8" t="s">
        <v>2736</v>
      </c>
      <c r="D46" s="9">
        <v>46054.0</v>
      </c>
      <c r="E46" s="10">
        <v>29.97</v>
      </c>
      <c r="F46" s="26">
        <v>1.1452</v>
      </c>
      <c r="G46" s="12">
        <v>5.3494483E7</v>
      </c>
      <c r="H46" s="8" t="s">
        <v>335</v>
      </c>
      <c r="I46" s="11">
        <v>-5.7843</v>
      </c>
      <c r="J46" s="12">
        <v>2.0082857517E10</v>
      </c>
      <c r="K46" s="8" t="s">
        <v>2738</v>
      </c>
      <c r="L46" s="8" t="s">
        <v>5445</v>
      </c>
      <c r="M46" s="14">
        <f>IFERROR(__xludf.DUMMYFUNCTION("IFERROR(GOOGLEFINANCE(B46,""price""),"""")"),19.46)</f>
        <v>19.46</v>
      </c>
    </row>
    <row r="47">
      <c r="A47" s="15">
        <v>46048.697547773656</v>
      </c>
      <c r="B47" s="16" t="s">
        <v>5537</v>
      </c>
      <c r="C47" s="16" t="s">
        <v>5538</v>
      </c>
      <c r="D47" s="17">
        <v>46054.0</v>
      </c>
      <c r="E47" s="18">
        <v>3.81</v>
      </c>
      <c r="F47" s="27">
        <v>1.1328</v>
      </c>
      <c r="G47" s="20">
        <v>2.0621684E7</v>
      </c>
      <c r="H47" s="16" t="s">
        <v>112</v>
      </c>
      <c r="I47" s="19">
        <v>-7.7482</v>
      </c>
      <c r="J47" s="20">
        <v>8.19515644E8</v>
      </c>
      <c r="K47" s="16" t="s">
        <v>5539</v>
      </c>
      <c r="L47" s="16" t="s">
        <v>5540</v>
      </c>
      <c r="M47" s="22">
        <f>IFERROR(__xludf.DUMMYFUNCTION("IFERROR(GOOGLEFINANCE(B47,""price""),"""")"),2.01)</f>
        <v>2.01</v>
      </c>
    </row>
    <row r="48">
      <c r="A48" s="7">
        <v>46048.697547773656</v>
      </c>
      <c r="B48" s="8" t="s">
        <v>5541</v>
      </c>
      <c r="C48" s="8" t="s">
        <v>5542</v>
      </c>
      <c r="D48" s="9">
        <v>46054.0</v>
      </c>
      <c r="E48" s="10">
        <v>5.08</v>
      </c>
      <c r="F48" s="26">
        <v>1.1211</v>
      </c>
      <c r="G48" s="12">
        <v>2.2436153E7</v>
      </c>
      <c r="H48" s="8" t="s">
        <v>162</v>
      </c>
      <c r="I48" s="11">
        <v>-3.7879</v>
      </c>
      <c r="J48" s="12">
        <v>1.84765055E9</v>
      </c>
      <c r="K48" s="8" t="s">
        <v>5543</v>
      </c>
      <c r="L48" s="8" t="s">
        <v>5490</v>
      </c>
      <c r="M48" s="14">
        <f>IFERROR(__xludf.DUMMYFUNCTION("IFERROR(GOOGLEFINANCE(B48,""price""),"""")"),4.74)</f>
        <v>4.74</v>
      </c>
    </row>
    <row r="49">
      <c r="A49" s="15">
        <v>46048.697547773656</v>
      </c>
      <c r="B49" s="16" t="s">
        <v>5544</v>
      </c>
      <c r="C49" s="16" t="s">
        <v>5545</v>
      </c>
      <c r="D49" s="17">
        <v>46054.0</v>
      </c>
      <c r="E49" s="18">
        <v>16.49</v>
      </c>
      <c r="F49" s="27">
        <v>1.1182</v>
      </c>
      <c r="G49" s="20">
        <v>2.932558E7</v>
      </c>
      <c r="H49" s="16" t="s">
        <v>88</v>
      </c>
      <c r="I49" s="19">
        <v>-6.1468</v>
      </c>
      <c r="J49" s="20">
        <v>6.515068146E9</v>
      </c>
      <c r="K49" s="16" t="s">
        <v>5546</v>
      </c>
      <c r="L49" s="16" t="s">
        <v>5471</v>
      </c>
      <c r="M49" s="22">
        <f>IFERROR(__xludf.DUMMYFUNCTION("IFERROR(GOOGLEFINANCE(B49,""price""),"""")"),16.53)</f>
        <v>16.53</v>
      </c>
    </row>
    <row r="50">
      <c r="A50" s="7">
        <v>46048.697547773656</v>
      </c>
      <c r="B50" s="8" t="s">
        <v>5484</v>
      </c>
      <c r="C50" s="8" t="s">
        <v>5485</v>
      </c>
      <c r="D50" s="9">
        <v>46054.0</v>
      </c>
      <c r="E50" s="10">
        <v>52.36</v>
      </c>
      <c r="F50" s="26">
        <v>1.1001</v>
      </c>
      <c r="G50" s="12">
        <v>4.2253672E7</v>
      </c>
      <c r="H50" s="8" t="s">
        <v>88</v>
      </c>
      <c r="I50" s="11">
        <v>-7.6217</v>
      </c>
      <c r="J50" s="12">
        <v>1.7147869837E10</v>
      </c>
      <c r="K50" s="8" t="s">
        <v>5486</v>
      </c>
      <c r="L50" s="8" t="s">
        <v>5471</v>
      </c>
      <c r="M50" s="14">
        <f>IFERROR(__xludf.DUMMYFUNCTION("IFERROR(GOOGLEFINANCE(B50,""price""),"""")"),39.32)</f>
        <v>39.32</v>
      </c>
    </row>
    <row r="51">
      <c r="A51" s="15">
        <v>46048.697547773656</v>
      </c>
      <c r="B51" s="16" t="s">
        <v>5547</v>
      </c>
      <c r="C51" s="16" t="s">
        <v>5548</v>
      </c>
      <c r="D51" s="17">
        <v>46054.0</v>
      </c>
      <c r="E51" s="18">
        <v>22.09</v>
      </c>
      <c r="F51" s="27">
        <v>1.0933</v>
      </c>
      <c r="G51" s="20">
        <v>1.0131879E7</v>
      </c>
      <c r="H51" s="16" t="s">
        <v>245</v>
      </c>
      <c r="I51" s="19">
        <v>-20.3102</v>
      </c>
      <c r="J51" s="20">
        <v>1.345573088E9</v>
      </c>
      <c r="K51" s="16" t="s">
        <v>5549</v>
      </c>
      <c r="L51" s="16" t="s">
        <v>5550</v>
      </c>
      <c r="M51" s="22">
        <f>IFERROR(__xludf.DUMMYFUNCTION("IFERROR(GOOGLEFINANCE(B51,""price""),"""")"),13.55)</f>
        <v>13.55</v>
      </c>
    </row>
    <row r="52">
      <c r="A52" s="7">
        <v>46048.697547773656</v>
      </c>
      <c r="B52" s="8" t="s">
        <v>5434</v>
      </c>
      <c r="C52" s="8" t="s">
        <v>5435</v>
      </c>
      <c r="D52" s="9">
        <v>46054.0</v>
      </c>
      <c r="E52" s="10">
        <v>11.16</v>
      </c>
      <c r="F52" s="26">
        <v>1.0801</v>
      </c>
      <c r="G52" s="12">
        <v>7.9310479E7</v>
      </c>
      <c r="H52" s="8" t="s">
        <v>308</v>
      </c>
      <c r="I52" s="11">
        <v>-8.2991</v>
      </c>
      <c r="J52" s="12">
        <v>4.715953854E9</v>
      </c>
      <c r="K52" s="8" t="s">
        <v>5436</v>
      </c>
      <c r="L52" s="8" t="s">
        <v>5437</v>
      </c>
      <c r="M52" s="14">
        <f>IFERROR(__xludf.DUMMYFUNCTION("IFERROR(GOOGLEFINANCE(B52,""price""),"""")"),9.13)</f>
        <v>9.13</v>
      </c>
    </row>
    <row r="53">
      <c r="A53" s="15">
        <v>46048.697547773656</v>
      </c>
      <c r="B53" s="16" t="s">
        <v>5551</v>
      </c>
      <c r="C53" s="16" t="s">
        <v>5552</v>
      </c>
      <c r="D53" s="17">
        <v>46054.0</v>
      </c>
      <c r="E53" s="18">
        <v>1.51</v>
      </c>
      <c r="F53" s="27">
        <v>1.0547</v>
      </c>
      <c r="G53" s="20">
        <v>9173620.0</v>
      </c>
      <c r="H53" s="16" t="s">
        <v>88</v>
      </c>
      <c r="I53" s="19">
        <v>-1.3072</v>
      </c>
      <c r="J53" s="20">
        <v>1.400683523E9</v>
      </c>
      <c r="K53" s="16" t="s">
        <v>5553</v>
      </c>
      <c r="L53" s="16" t="s">
        <v>5471</v>
      </c>
      <c r="M53" s="22">
        <f>IFERROR(__xludf.DUMMYFUNCTION("IFERROR(GOOGLEFINANCE(B53,""price""),"""")"),0.95)</f>
        <v>0.95</v>
      </c>
    </row>
    <row r="54">
      <c r="A54" s="7">
        <v>46048.697547773656</v>
      </c>
      <c r="B54" s="8" t="s">
        <v>5554</v>
      </c>
      <c r="C54" s="8" t="s">
        <v>5555</v>
      </c>
      <c r="D54" s="9">
        <v>46054.0</v>
      </c>
      <c r="E54" s="10">
        <v>104.78</v>
      </c>
      <c r="F54" s="26">
        <v>1.0524</v>
      </c>
      <c r="G54" s="12">
        <v>1.1761513E7</v>
      </c>
      <c r="H54" s="8" t="s">
        <v>873</v>
      </c>
      <c r="I54" s="11">
        <v>-7.7397</v>
      </c>
      <c r="J54" s="12">
        <v>3.8496307617E10</v>
      </c>
      <c r="K54" s="8" t="s">
        <v>5556</v>
      </c>
      <c r="L54" s="8" t="s">
        <v>5557</v>
      </c>
      <c r="M54" s="14">
        <f>IFERROR(__xludf.DUMMYFUNCTION("IFERROR(GOOGLEFINANCE(B54,""price""),"""")"),94.9)</f>
        <v>94.9</v>
      </c>
    </row>
    <row r="55">
      <c r="A55" s="15">
        <v>46048.697547773656</v>
      </c>
      <c r="B55" s="16" t="s">
        <v>5558</v>
      </c>
      <c r="C55" s="16" t="s">
        <v>5559</v>
      </c>
      <c r="D55" s="17">
        <v>46054.0</v>
      </c>
      <c r="E55" s="18">
        <v>16.19</v>
      </c>
      <c r="F55" s="27">
        <v>1.028</v>
      </c>
      <c r="G55" s="20">
        <v>2.115106E7</v>
      </c>
      <c r="H55" s="16" t="s">
        <v>102</v>
      </c>
      <c r="I55" s="19">
        <v>-5.377</v>
      </c>
      <c r="J55" s="20">
        <v>5.247149641E9</v>
      </c>
      <c r="K55" s="16" t="s">
        <v>5560</v>
      </c>
      <c r="L55" s="16" t="s">
        <v>5536</v>
      </c>
      <c r="M55" s="22">
        <f>IFERROR(__xludf.DUMMYFUNCTION("IFERROR(GOOGLEFINANCE(B55,""price""),"""")"),5.62)</f>
        <v>5.62</v>
      </c>
    </row>
    <row r="56">
      <c r="A56" s="7">
        <v>46048.697547773656</v>
      </c>
      <c r="B56" s="8" t="s">
        <v>5561</v>
      </c>
      <c r="C56" s="8" t="s">
        <v>5562</v>
      </c>
      <c r="D56" s="9">
        <v>46054.0</v>
      </c>
      <c r="E56" s="10">
        <v>18.4</v>
      </c>
      <c r="F56" s="26">
        <v>1.0261</v>
      </c>
      <c r="G56" s="12">
        <v>2.2121298E7</v>
      </c>
      <c r="H56" s="8" t="s">
        <v>102</v>
      </c>
      <c r="I56" s="11">
        <v>-6.9297</v>
      </c>
      <c r="J56" s="12">
        <v>5.570132297E9</v>
      </c>
      <c r="K56" s="8" t="s">
        <v>5563</v>
      </c>
      <c r="L56" s="8" t="s">
        <v>5536</v>
      </c>
      <c r="M56" s="14">
        <f>IFERROR(__xludf.DUMMYFUNCTION("IFERROR(GOOGLEFINANCE(B56,""price""),"""")"),9.21)</f>
        <v>9.21</v>
      </c>
    </row>
    <row r="57">
      <c r="A57" s="15">
        <v>46048.697547773656</v>
      </c>
      <c r="B57" s="16" t="s">
        <v>5564</v>
      </c>
      <c r="C57" s="16" t="s">
        <v>5565</v>
      </c>
      <c r="D57" s="17">
        <v>46054.0</v>
      </c>
      <c r="E57" s="18">
        <v>25.45</v>
      </c>
      <c r="F57" s="27">
        <v>1.0204</v>
      </c>
      <c r="G57" s="20">
        <v>3.9279518E7</v>
      </c>
      <c r="H57" s="16" t="s">
        <v>335</v>
      </c>
      <c r="I57" s="19">
        <v>-2.5278</v>
      </c>
      <c r="J57" s="20">
        <v>1.6344116514E10</v>
      </c>
      <c r="K57" s="16" t="s">
        <v>5566</v>
      </c>
      <c r="L57" s="16" t="s">
        <v>5445</v>
      </c>
      <c r="M57" s="22">
        <f>IFERROR(__xludf.DUMMYFUNCTION("IFERROR(GOOGLEFINANCE(B57,""price""),"""")"),20.24)</f>
        <v>20.24</v>
      </c>
    </row>
    <row r="58">
      <c r="A58" s="7">
        <v>46048.697547773656</v>
      </c>
      <c r="B58" s="8" t="s">
        <v>5481</v>
      </c>
      <c r="C58" s="8" t="s">
        <v>5482</v>
      </c>
      <c r="D58" s="9">
        <v>46054.0</v>
      </c>
      <c r="E58" s="10">
        <v>12.44</v>
      </c>
      <c r="F58" s="26">
        <v>1.0062</v>
      </c>
      <c r="G58" s="12">
        <v>4.2205892E7</v>
      </c>
      <c r="H58" s="8" t="s">
        <v>88</v>
      </c>
      <c r="I58" s="11">
        <v>-9.2633</v>
      </c>
      <c r="J58" s="12">
        <v>3.179457941E9</v>
      </c>
      <c r="K58" s="8" t="s">
        <v>5483</v>
      </c>
      <c r="L58" s="8" t="s">
        <v>5471</v>
      </c>
      <c r="M58" s="14">
        <f>IFERROR(__xludf.DUMMYFUNCTION("IFERROR(GOOGLEFINANCE(B58,""price""),"""")"),10.02)</f>
        <v>10.02</v>
      </c>
    </row>
    <row r="59">
      <c r="A59" s="15">
        <v>46048.697547773656</v>
      </c>
      <c r="B59" s="16" t="s">
        <v>5567</v>
      </c>
      <c r="C59" s="16" t="s">
        <v>5568</v>
      </c>
      <c r="D59" s="17">
        <v>46054.0</v>
      </c>
      <c r="E59" s="18">
        <v>139.62</v>
      </c>
      <c r="F59" s="27">
        <v>1.0004</v>
      </c>
      <c r="G59" s="20">
        <v>9076101.0</v>
      </c>
      <c r="H59" s="16" t="s">
        <v>308</v>
      </c>
      <c r="I59" s="19">
        <v>-3.6372</v>
      </c>
      <c r="J59" s="20">
        <v>3.3021631816E10</v>
      </c>
      <c r="K59" s="16" t="s">
        <v>5569</v>
      </c>
      <c r="L59" s="16" t="s">
        <v>5433</v>
      </c>
      <c r="M59" s="22">
        <f>IFERROR(__xludf.DUMMYFUNCTION("IFERROR(GOOGLEFINANCE(B59,""price""),"""")"),166.7)</f>
        <v>166.7</v>
      </c>
    </row>
    <row r="60">
      <c r="A60" s="7">
        <v>46048.697547773656</v>
      </c>
      <c r="B60" s="8" t="s">
        <v>5570</v>
      </c>
      <c r="C60" s="8" t="s">
        <v>5571</v>
      </c>
      <c r="D60" s="9">
        <v>46054.0</v>
      </c>
      <c r="E60" s="10">
        <v>2.08</v>
      </c>
      <c r="F60" s="26">
        <v>0.9922</v>
      </c>
      <c r="G60" s="12">
        <v>2.4669509E7</v>
      </c>
      <c r="H60" s="8" t="s">
        <v>186</v>
      </c>
      <c r="I60" s="11">
        <v>-1.4218</v>
      </c>
      <c r="J60" s="12">
        <v>6.73243623E8</v>
      </c>
      <c r="K60" s="8" t="s">
        <v>5572</v>
      </c>
      <c r="L60" s="8" t="s">
        <v>5573</v>
      </c>
      <c r="M60" s="14">
        <f>IFERROR(__xludf.DUMMYFUNCTION("IFERROR(GOOGLEFINANCE(B60,""price""),"""")"),1.37)</f>
        <v>1.37</v>
      </c>
    </row>
    <row r="61">
      <c r="A61" s="15">
        <v>46048.697547773656</v>
      </c>
      <c r="B61" s="16" t="s">
        <v>5574</v>
      </c>
      <c r="C61" s="16" t="s">
        <v>5575</v>
      </c>
      <c r="D61" s="17">
        <v>46054.0</v>
      </c>
      <c r="E61" s="18">
        <v>23.33</v>
      </c>
      <c r="F61" s="27">
        <v>0.9652</v>
      </c>
      <c r="G61" s="20">
        <v>2.5475229E7</v>
      </c>
      <c r="H61" s="16" t="s">
        <v>335</v>
      </c>
      <c r="I61" s="19">
        <v>-8.5098</v>
      </c>
      <c r="J61" s="20">
        <v>5.535900074E9</v>
      </c>
      <c r="K61" s="16" t="s">
        <v>5576</v>
      </c>
      <c r="L61" s="16" t="s">
        <v>5506</v>
      </c>
      <c r="M61" s="22">
        <f>IFERROR(__xludf.DUMMYFUNCTION("IFERROR(GOOGLEFINANCE(B61,""price""),"""")"),18.4)</f>
        <v>18.4</v>
      </c>
    </row>
    <row r="62">
      <c r="A62" s="7">
        <v>46049.62817189648</v>
      </c>
      <c r="B62" s="8" t="s">
        <v>5503</v>
      </c>
      <c r="C62" s="8" t="s">
        <v>5504</v>
      </c>
      <c r="D62" s="9">
        <v>46054.0</v>
      </c>
      <c r="E62" s="10">
        <v>18.425</v>
      </c>
      <c r="F62" s="26">
        <v>1.7473</v>
      </c>
      <c r="G62" s="12">
        <v>2.6486602E7</v>
      </c>
      <c r="H62" s="8" t="s">
        <v>335</v>
      </c>
      <c r="I62" s="11">
        <v>0.6831</v>
      </c>
      <c r="J62" s="12">
        <v>2.172390515E9</v>
      </c>
      <c r="K62" s="8" t="s">
        <v>5505</v>
      </c>
      <c r="L62" s="8" t="s">
        <v>5445</v>
      </c>
      <c r="M62" s="14">
        <f>IFERROR(__xludf.DUMMYFUNCTION("IFERROR(GOOGLEFINANCE(B62,""price""),"""")"),8.87)</f>
        <v>8.87</v>
      </c>
    </row>
    <row r="63">
      <c r="A63" s="15">
        <v>46049.62817189648</v>
      </c>
      <c r="B63" s="16" t="s">
        <v>5577</v>
      </c>
      <c r="C63" s="16" t="s">
        <v>5578</v>
      </c>
      <c r="D63" s="17">
        <v>46054.0</v>
      </c>
      <c r="E63" s="18">
        <v>1.505</v>
      </c>
      <c r="F63" s="27">
        <v>1.6719</v>
      </c>
      <c r="G63" s="20">
        <v>1.2987812E7</v>
      </c>
      <c r="H63" s="16" t="s">
        <v>335</v>
      </c>
      <c r="I63" s="19">
        <v>8.2734</v>
      </c>
      <c r="J63" s="20">
        <v>4.31869732E8</v>
      </c>
      <c r="K63" s="16" t="s">
        <v>5579</v>
      </c>
      <c r="L63" s="16" t="s">
        <v>5445</v>
      </c>
      <c r="M63" s="22">
        <f>IFERROR(__xludf.DUMMYFUNCTION("IFERROR(GOOGLEFINANCE(B63,""price""),"""")"),1.54)</f>
        <v>1.54</v>
      </c>
    </row>
    <row r="64">
      <c r="A64" s="7">
        <v>46049.62817189648</v>
      </c>
      <c r="B64" s="8" t="s">
        <v>5580</v>
      </c>
      <c r="C64" s="8" t="s">
        <v>5581</v>
      </c>
      <c r="D64" s="9">
        <v>46054.0</v>
      </c>
      <c r="E64" s="10">
        <v>3.04</v>
      </c>
      <c r="F64" s="26">
        <v>1.5859</v>
      </c>
      <c r="G64" s="12">
        <v>2.8991538E7</v>
      </c>
      <c r="H64" s="8" t="s">
        <v>88</v>
      </c>
      <c r="I64" s="11">
        <v>7.0423</v>
      </c>
      <c r="J64" s="12">
        <v>1.212435886E9</v>
      </c>
      <c r="K64" s="8" t="s">
        <v>5582</v>
      </c>
      <c r="L64" s="8" t="s">
        <v>5429</v>
      </c>
      <c r="M64" s="14">
        <f>IFERROR(__xludf.DUMMYFUNCTION("IFERROR(GOOGLEFINANCE(B64,""price""),"""")"),2.38)</f>
        <v>2.38</v>
      </c>
    </row>
    <row r="65">
      <c r="A65" s="15">
        <v>46049.62817189648</v>
      </c>
      <c r="B65" s="16" t="s">
        <v>5537</v>
      </c>
      <c r="C65" s="16" t="s">
        <v>5538</v>
      </c>
      <c r="D65" s="17">
        <v>46054.0</v>
      </c>
      <c r="E65" s="18">
        <v>5.49</v>
      </c>
      <c r="F65" s="27">
        <v>1.5234</v>
      </c>
      <c r="G65" s="20">
        <v>1.64780615E8</v>
      </c>
      <c r="H65" s="16" t="s">
        <v>112</v>
      </c>
      <c r="I65" s="19">
        <v>44.0945</v>
      </c>
      <c r="J65" s="20">
        <v>1.180876822E9</v>
      </c>
      <c r="K65" s="16" t="s">
        <v>5539</v>
      </c>
      <c r="L65" s="16" t="s">
        <v>5540</v>
      </c>
      <c r="M65" s="22">
        <f>IFERROR(__xludf.DUMMYFUNCTION("IFERROR(GOOGLEFINANCE(B65,""price""),"""")"),2.01)</f>
        <v>2.01</v>
      </c>
    </row>
    <row r="66">
      <c r="A66" s="7">
        <v>46049.62817189648</v>
      </c>
      <c r="B66" s="8" t="s">
        <v>5517</v>
      </c>
      <c r="C66" s="8" t="s">
        <v>5518</v>
      </c>
      <c r="D66" s="9">
        <v>46054.0</v>
      </c>
      <c r="E66" s="10">
        <v>14.33</v>
      </c>
      <c r="F66" s="26">
        <v>1.4941</v>
      </c>
      <c r="G66" s="12">
        <v>9.1182244E7</v>
      </c>
      <c r="H66" s="8" t="s">
        <v>308</v>
      </c>
      <c r="I66" s="11">
        <v>30.7482</v>
      </c>
      <c r="J66" s="12">
        <v>2.366610791E9</v>
      </c>
      <c r="K66" s="8" t="s">
        <v>5519</v>
      </c>
      <c r="L66" s="8" t="s">
        <v>5520</v>
      </c>
      <c r="M66" s="14">
        <f>IFERROR(__xludf.DUMMYFUNCTION("IFERROR(GOOGLEFINANCE(B66,""price""),"""")"),9.29)</f>
        <v>9.29</v>
      </c>
    </row>
    <row r="67">
      <c r="A67" s="15">
        <v>46049.62817189648</v>
      </c>
      <c r="B67" s="16" t="s">
        <v>754</v>
      </c>
      <c r="C67" s="16" t="s">
        <v>755</v>
      </c>
      <c r="D67" s="17">
        <v>46054.0</v>
      </c>
      <c r="E67" s="18">
        <v>1.46</v>
      </c>
      <c r="F67" s="27">
        <v>1.4609</v>
      </c>
      <c r="G67" s="20">
        <v>7818446.0</v>
      </c>
      <c r="H67" s="16" t="s">
        <v>102</v>
      </c>
      <c r="I67" s="19">
        <v>3.5461</v>
      </c>
      <c r="J67" s="20">
        <v>1.53538247E8</v>
      </c>
      <c r="K67" s="16" t="s">
        <v>756</v>
      </c>
      <c r="L67" s="16" t="s">
        <v>5536</v>
      </c>
      <c r="M67" s="22">
        <f>IFERROR(__xludf.DUMMYFUNCTION("IFERROR(GOOGLEFINANCE(B67,""price""),"""")"),0.65)</f>
        <v>0.65</v>
      </c>
    </row>
    <row r="68">
      <c r="A68" s="7">
        <v>46049.62817189648</v>
      </c>
      <c r="B68" s="8" t="s">
        <v>5422</v>
      </c>
      <c r="C68" s="8" t="s">
        <v>5423</v>
      </c>
      <c r="D68" s="9">
        <v>46054.0</v>
      </c>
      <c r="E68" s="10">
        <v>26.7854</v>
      </c>
      <c r="F68" s="26">
        <v>1.4207</v>
      </c>
      <c r="G68" s="12">
        <v>4.6272648E7</v>
      </c>
      <c r="H68" s="8" t="s">
        <v>102</v>
      </c>
      <c r="I68" s="11">
        <v>0.2448</v>
      </c>
      <c r="J68" s="12">
        <v>3.955665939E9</v>
      </c>
      <c r="K68" s="8" t="s">
        <v>5424</v>
      </c>
      <c r="L68" s="8" t="s">
        <v>5425</v>
      </c>
      <c r="M68" s="14">
        <f>IFERROR(__xludf.DUMMYFUNCTION("IFERROR(GOOGLEFINANCE(B68,""price""),"""")"),16.15)</f>
        <v>16.15</v>
      </c>
    </row>
    <row r="69">
      <c r="A69" s="15">
        <v>46049.62817189648</v>
      </c>
      <c r="B69" s="16" t="s">
        <v>1077</v>
      </c>
      <c r="C69" s="16" t="s">
        <v>1078</v>
      </c>
      <c r="D69" s="17">
        <v>46054.0</v>
      </c>
      <c r="E69" s="18">
        <v>9.855</v>
      </c>
      <c r="F69" s="27">
        <v>1.3897</v>
      </c>
      <c r="G69" s="20">
        <v>1.4491302E7</v>
      </c>
      <c r="H69" s="16" t="s">
        <v>335</v>
      </c>
      <c r="I69" s="19">
        <v>3.7368</v>
      </c>
      <c r="J69" s="20">
        <v>1.380050976E9</v>
      </c>
      <c r="K69" s="16" t="s">
        <v>1079</v>
      </c>
      <c r="L69" s="16" t="s">
        <v>5506</v>
      </c>
      <c r="M69" s="22">
        <f>IFERROR(__xludf.DUMMYFUNCTION("IFERROR(GOOGLEFINANCE(B69,""price""),"""")"),8.36)</f>
        <v>8.36</v>
      </c>
    </row>
    <row r="70">
      <c r="A70" s="7">
        <v>46049.62817189648</v>
      </c>
      <c r="B70" s="8" t="s">
        <v>5510</v>
      </c>
      <c r="C70" s="8" t="s">
        <v>5511</v>
      </c>
      <c r="D70" s="9">
        <v>46054.0</v>
      </c>
      <c r="E70" s="10">
        <v>481.8956</v>
      </c>
      <c r="F70" s="26">
        <v>1.3844</v>
      </c>
      <c r="G70" s="12">
        <v>1.209594E7</v>
      </c>
      <c r="H70" s="8" t="s">
        <v>308</v>
      </c>
      <c r="I70" s="11">
        <v>2.3568</v>
      </c>
      <c r="J70" s="12">
        <v>7.0623329273E10</v>
      </c>
      <c r="K70" s="8" t="s">
        <v>5512</v>
      </c>
      <c r="L70" s="8" t="s">
        <v>5513</v>
      </c>
      <c r="M70" s="14">
        <f>IFERROR(__xludf.DUMMYFUNCTION("IFERROR(GOOGLEFINANCE(B70,""price""),"""")"),851.77)</f>
        <v>851.77</v>
      </c>
    </row>
    <row r="71">
      <c r="A71" s="15">
        <v>46049.62817189648</v>
      </c>
      <c r="B71" s="16" t="s">
        <v>5514</v>
      </c>
      <c r="C71" s="16" t="s">
        <v>5515</v>
      </c>
      <c r="D71" s="17">
        <v>46054.0</v>
      </c>
      <c r="E71" s="18">
        <v>5.895</v>
      </c>
      <c r="F71" s="27">
        <v>1.2891</v>
      </c>
      <c r="G71" s="20">
        <v>3.5033087E7</v>
      </c>
      <c r="H71" s="16" t="s">
        <v>117</v>
      </c>
      <c r="I71" s="19">
        <v>-5.0725</v>
      </c>
      <c r="J71" s="20">
        <v>5.806369948E9</v>
      </c>
      <c r="K71" s="16" t="s">
        <v>5516</v>
      </c>
      <c r="L71" s="16" t="s">
        <v>5491</v>
      </c>
      <c r="M71" s="22">
        <f>IFERROR(__xludf.DUMMYFUNCTION("IFERROR(GOOGLEFINANCE(B71,""price""),"""")"),7.28)</f>
        <v>7.28</v>
      </c>
    </row>
    <row r="72">
      <c r="A72" s="7">
        <v>46049.62817189648</v>
      </c>
      <c r="B72" s="8" t="s">
        <v>5583</v>
      </c>
      <c r="C72" s="8" t="s">
        <v>5584</v>
      </c>
      <c r="D72" s="9">
        <v>46054.0</v>
      </c>
      <c r="E72" s="10">
        <v>2.06</v>
      </c>
      <c r="F72" s="26">
        <v>1.1953</v>
      </c>
      <c r="G72" s="12">
        <v>2.4990066E7</v>
      </c>
      <c r="H72" s="8" t="s">
        <v>308</v>
      </c>
      <c r="I72" s="11">
        <v>18.3908</v>
      </c>
      <c r="J72" s="12">
        <v>2.51408721E8</v>
      </c>
      <c r="K72" s="8" t="s">
        <v>5585</v>
      </c>
      <c r="L72" s="8" t="s">
        <v>5414</v>
      </c>
      <c r="M72" s="14">
        <f>IFERROR(__xludf.DUMMYFUNCTION("IFERROR(GOOGLEFINANCE(B72,""price""),"""")"),2.09)</f>
        <v>2.09</v>
      </c>
    </row>
    <row r="73">
      <c r="A73" s="15">
        <v>46049.62817189648</v>
      </c>
      <c r="B73" s="16" t="s">
        <v>5544</v>
      </c>
      <c r="C73" s="16" t="s">
        <v>5545</v>
      </c>
      <c r="D73" s="17">
        <v>46054.0</v>
      </c>
      <c r="E73" s="18">
        <v>18.77</v>
      </c>
      <c r="F73" s="27">
        <v>1.1934</v>
      </c>
      <c r="G73" s="20">
        <v>3.4149364E7</v>
      </c>
      <c r="H73" s="16" t="s">
        <v>88</v>
      </c>
      <c r="I73" s="19">
        <v>13.8266</v>
      </c>
      <c r="J73" s="20">
        <v>7.41587808E9</v>
      </c>
      <c r="K73" s="16" t="s">
        <v>5546</v>
      </c>
      <c r="L73" s="16" t="s">
        <v>5471</v>
      </c>
      <c r="M73" s="22">
        <f>IFERROR(__xludf.DUMMYFUNCTION("IFERROR(GOOGLEFINANCE(B73,""price""),"""")"),16.53)</f>
        <v>16.53</v>
      </c>
    </row>
    <row r="74">
      <c r="A74" s="7">
        <v>46049.62817189648</v>
      </c>
      <c r="B74" s="8" t="s">
        <v>5527</v>
      </c>
      <c r="C74" s="8" t="s">
        <v>5528</v>
      </c>
      <c r="D74" s="9">
        <v>46054.0</v>
      </c>
      <c r="E74" s="10">
        <v>15.54</v>
      </c>
      <c r="F74" s="26">
        <v>1.1768</v>
      </c>
      <c r="G74" s="12">
        <v>1.0970773E7</v>
      </c>
      <c r="H74" s="8" t="s">
        <v>88</v>
      </c>
      <c r="I74" s="11">
        <v>9.0526</v>
      </c>
      <c r="J74" s="12">
        <v>1.855027508E9</v>
      </c>
      <c r="K74" s="8" t="s">
        <v>5529</v>
      </c>
      <c r="L74" s="8" t="s">
        <v>5429</v>
      </c>
      <c r="M74" s="14">
        <f>IFERROR(__xludf.DUMMYFUNCTION("IFERROR(GOOGLEFINANCE(B74,""price""),"""")"),12.37)</f>
        <v>12.37</v>
      </c>
    </row>
    <row r="75">
      <c r="A75" s="15">
        <v>46049.62817189648</v>
      </c>
      <c r="B75" s="16" t="s">
        <v>2704</v>
      </c>
      <c r="C75" s="16" t="s">
        <v>2705</v>
      </c>
      <c r="D75" s="17">
        <v>46054.0</v>
      </c>
      <c r="E75" s="18">
        <v>41.115</v>
      </c>
      <c r="F75" s="27">
        <v>1.1585</v>
      </c>
      <c r="G75" s="20">
        <v>4.2932116E7</v>
      </c>
      <c r="H75" s="16" t="s">
        <v>88</v>
      </c>
      <c r="I75" s="19">
        <v>13.6401</v>
      </c>
      <c r="J75" s="20">
        <v>1.1495170899E10</v>
      </c>
      <c r="K75" s="16" t="s">
        <v>2707</v>
      </c>
      <c r="L75" s="16" t="s">
        <v>5471</v>
      </c>
      <c r="M75" s="22">
        <f>IFERROR(__xludf.DUMMYFUNCTION("IFERROR(GOOGLEFINANCE(B75,""price""),"""")"),26.24)</f>
        <v>26.24</v>
      </c>
    </row>
    <row r="76">
      <c r="A76" s="7">
        <v>46049.62817189648</v>
      </c>
      <c r="B76" s="8" t="s">
        <v>5533</v>
      </c>
      <c r="C76" s="8" t="s">
        <v>5534</v>
      </c>
      <c r="D76" s="9">
        <v>46054.0</v>
      </c>
      <c r="E76" s="10">
        <v>9.025</v>
      </c>
      <c r="F76" s="26">
        <v>1.1377</v>
      </c>
      <c r="G76" s="12">
        <v>1.6872781E7</v>
      </c>
      <c r="H76" s="8" t="s">
        <v>102</v>
      </c>
      <c r="I76" s="11">
        <v>10.8722</v>
      </c>
      <c r="J76" s="12">
        <v>2.441919758E9</v>
      </c>
      <c r="K76" s="8" t="s">
        <v>5535</v>
      </c>
      <c r="L76" s="8" t="s">
        <v>5536</v>
      </c>
      <c r="M76" s="14">
        <f>IFERROR(__xludf.DUMMYFUNCTION("IFERROR(GOOGLEFINANCE(B76,""price""),"""")"),4.69)</f>
        <v>4.69</v>
      </c>
    </row>
    <row r="77">
      <c r="A77" s="15">
        <v>46049.62817189648</v>
      </c>
      <c r="B77" s="16" t="s">
        <v>4932</v>
      </c>
      <c r="C77" s="16" t="s">
        <v>4933</v>
      </c>
      <c r="D77" s="17">
        <v>46054.0</v>
      </c>
      <c r="E77" s="18">
        <v>20.3</v>
      </c>
      <c r="F77" s="27">
        <v>1.1367</v>
      </c>
      <c r="G77" s="20">
        <v>8810849.0</v>
      </c>
      <c r="H77" s="16" t="s">
        <v>286</v>
      </c>
      <c r="I77" s="19">
        <v>1.4493</v>
      </c>
      <c r="J77" s="20">
        <v>7.931712758E9</v>
      </c>
      <c r="K77" s="16" t="s">
        <v>4935</v>
      </c>
      <c r="L77" s="16" t="s">
        <v>5586</v>
      </c>
      <c r="M77" s="22">
        <f>IFERROR(__xludf.DUMMYFUNCTION("IFERROR(GOOGLEFINANCE(B77,""price""),"""")"),18.23)</f>
        <v>18.23</v>
      </c>
    </row>
    <row r="78">
      <c r="A78" s="7">
        <v>46049.62817189648</v>
      </c>
      <c r="B78" s="8" t="s">
        <v>5530</v>
      </c>
      <c r="C78" s="8" t="s">
        <v>5531</v>
      </c>
      <c r="D78" s="9">
        <v>46054.0</v>
      </c>
      <c r="E78" s="10">
        <v>8.0499</v>
      </c>
      <c r="F78" s="26">
        <v>1.1191</v>
      </c>
      <c r="G78" s="12">
        <v>9857104.0</v>
      </c>
      <c r="H78" s="8" t="s">
        <v>335</v>
      </c>
      <c r="I78" s="11">
        <v>3.6023</v>
      </c>
      <c r="J78" s="12">
        <v>3.328569523E9</v>
      </c>
      <c r="K78" s="8" t="s">
        <v>5532</v>
      </c>
      <c r="L78" s="8" t="s">
        <v>5506</v>
      </c>
      <c r="M78" s="14">
        <f>IFERROR(__xludf.DUMMYFUNCTION("IFERROR(GOOGLEFINANCE(B78,""price""),"""")"),4.34)</f>
        <v>4.34</v>
      </c>
    </row>
    <row r="79">
      <c r="A79" s="15">
        <v>46049.62817189648</v>
      </c>
      <c r="B79" s="16" t="s">
        <v>5499</v>
      </c>
      <c r="C79" s="16" t="s">
        <v>5500</v>
      </c>
      <c r="D79" s="17">
        <v>46054.0</v>
      </c>
      <c r="E79" s="18">
        <v>2.985</v>
      </c>
      <c r="F79" s="27">
        <v>1.1016</v>
      </c>
      <c r="G79" s="20">
        <v>1.3709323E7</v>
      </c>
      <c r="H79" s="16" t="s">
        <v>117</v>
      </c>
      <c r="I79" s="19">
        <v>3.2872</v>
      </c>
      <c r="J79" s="20">
        <v>1.184949393E9</v>
      </c>
      <c r="K79" s="16" t="s">
        <v>5501</v>
      </c>
      <c r="L79" s="16" t="s">
        <v>5502</v>
      </c>
      <c r="M79" s="22">
        <f>IFERROR(__xludf.DUMMYFUNCTION("IFERROR(GOOGLEFINANCE(B79,""price""),"""")"),3.7)</f>
        <v>3.7</v>
      </c>
    </row>
    <row r="80">
      <c r="A80" s="7">
        <v>46049.62817189648</v>
      </c>
      <c r="B80" s="8" t="s">
        <v>5484</v>
      </c>
      <c r="C80" s="8" t="s">
        <v>5485</v>
      </c>
      <c r="D80" s="9">
        <v>46054.0</v>
      </c>
      <c r="E80" s="10">
        <v>59.72</v>
      </c>
      <c r="F80" s="26">
        <v>1.0728</v>
      </c>
      <c r="G80" s="12">
        <v>4.6572038E7</v>
      </c>
      <c r="H80" s="8" t="s">
        <v>88</v>
      </c>
      <c r="I80" s="11">
        <v>14.0565</v>
      </c>
      <c r="J80" s="12">
        <v>1.955826572E10</v>
      </c>
      <c r="K80" s="8" t="s">
        <v>5486</v>
      </c>
      <c r="L80" s="8" t="s">
        <v>5471</v>
      </c>
      <c r="M80" s="14">
        <f>IFERROR(__xludf.DUMMYFUNCTION("IFERROR(GOOGLEFINANCE(B80,""price""),"""")"),39.32)</f>
        <v>39.32</v>
      </c>
    </row>
    <row r="81">
      <c r="A81" s="15">
        <v>46049.62817189648</v>
      </c>
      <c r="B81" s="16" t="s">
        <v>2735</v>
      </c>
      <c r="C81" s="16" t="s">
        <v>2736</v>
      </c>
      <c r="D81" s="17">
        <v>46054.0</v>
      </c>
      <c r="E81" s="18">
        <v>28.169</v>
      </c>
      <c r="F81" s="27">
        <v>1.0721</v>
      </c>
      <c r="G81" s="20">
        <v>3.7129232E7</v>
      </c>
      <c r="H81" s="16" t="s">
        <v>335</v>
      </c>
      <c r="I81" s="19">
        <v>-6.0093</v>
      </c>
      <c r="J81" s="20">
        <v>1.8876009674E10</v>
      </c>
      <c r="K81" s="16" t="s">
        <v>2738</v>
      </c>
      <c r="L81" s="16" t="s">
        <v>5445</v>
      </c>
      <c r="M81" s="22">
        <f>IFERROR(__xludf.DUMMYFUNCTION("IFERROR(GOOGLEFINANCE(B81,""price""),"""")"),19.46)</f>
        <v>19.46</v>
      </c>
    </row>
    <row r="82">
      <c r="A82" s="7">
        <v>46049.62817189648</v>
      </c>
      <c r="B82" s="8" t="s">
        <v>5558</v>
      </c>
      <c r="C82" s="8" t="s">
        <v>5559</v>
      </c>
      <c r="D82" s="9">
        <v>46054.0</v>
      </c>
      <c r="E82" s="10">
        <v>15.185</v>
      </c>
      <c r="F82" s="26">
        <v>1.0622</v>
      </c>
      <c r="G82" s="12">
        <v>2.1625127E7</v>
      </c>
      <c r="H82" s="8" t="s">
        <v>102</v>
      </c>
      <c r="I82" s="11">
        <v>-6.2075</v>
      </c>
      <c r="J82" s="12">
        <v>4.92143095E9</v>
      </c>
      <c r="K82" s="8" t="s">
        <v>5560</v>
      </c>
      <c r="L82" s="8" t="s">
        <v>5536</v>
      </c>
      <c r="M82" s="14">
        <f>IFERROR(__xludf.DUMMYFUNCTION("IFERROR(GOOGLEFINANCE(B82,""price""),"""")"),5.62)</f>
        <v>5.62</v>
      </c>
    </row>
    <row r="83">
      <c r="A83" s="15">
        <v>46049.62817189648</v>
      </c>
      <c r="B83" s="16" t="s">
        <v>5587</v>
      </c>
      <c r="C83" s="16" t="s">
        <v>5588</v>
      </c>
      <c r="D83" s="17">
        <v>46054.0</v>
      </c>
      <c r="E83" s="18">
        <v>25.455</v>
      </c>
      <c r="F83" s="27">
        <v>1.0576</v>
      </c>
      <c r="G83" s="20">
        <v>3.1132303E7</v>
      </c>
      <c r="H83" s="16" t="s">
        <v>93</v>
      </c>
      <c r="I83" s="19">
        <v>-1.3372</v>
      </c>
      <c r="J83" s="20">
        <v>3.2084715271E10</v>
      </c>
      <c r="K83" s="16" t="s">
        <v>5589</v>
      </c>
      <c r="L83" s="16" t="s">
        <v>5590</v>
      </c>
      <c r="M83" s="22">
        <f>IFERROR(__xludf.DUMMYFUNCTION("IFERROR(GOOGLEFINANCE(B83,""price""),"""")"),16.22)</f>
        <v>16.22</v>
      </c>
    </row>
    <row r="84">
      <c r="A84" s="7">
        <v>46049.62817189648</v>
      </c>
      <c r="B84" s="8" t="s">
        <v>5591</v>
      </c>
      <c r="C84" s="8" t="s">
        <v>5592</v>
      </c>
      <c r="D84" s="9">
        <v>46054.0</v>
      </c>
      <c r="E84" s="10">
        <v>9.58</v>
      </c>
      <c r="F84" s="26">
        <v>1.0566</v>
      </c>
      <c r="G84" s="12">
        <v>2.0957558E7</v>
      </c>
      <c r="H84" s="8" t="s">
        <v>308</v>
      </c>
      <c r="I84" s="11">
        <v>2.1322</v>
      </c>
      <c r="J84" s="12">
        <v>2.208153483E9</v>
      </c>
      <c r="K84" s="8" t="s">
        <v>5593</v>
      </c>
      <c r="L84" s="8" t="s">
        <v>5414</v>
      </c>
      <c r="M84" s="14">
        <f>IFERROR(__xludf.DUMMYFUNCTION("IFERROR(GOOGLEFINANCE(B84,""price""),"""")"),9.54)</f>
        <v>9.54</v>
      </c>
    </row>
    <row r="85">
      <c r="A85" s="15">
        <v>46049.62817189648</v>
      </c>
      <c r="B85" s="16" t="s">
        <v>5434</v>
      </c>
      <c r="C85" s="16" t="s">
        <v>5435</v>
      </c>
      <c r="D85" s="17">
        <v>46054.0</v>
      </c>
      <c r="E85" s="18">
        <v>12.165</v>
      </c>
      <c r="F85" s="27">
        <v>1.0469</v>
      </c>
      <c r="G85" s="20">
        <v>8.594356E7</v>
      </c>
      <c r="H85" s="16" t="s">
        <v>308</v>
      </c>
      <c r="I85" s="19">
        <v>9.0054</v>
      </c>
      <c r="J85" s="20">
        <v>5.140643144E9</v>
      </c>
      <c r="K85" s="16" t="s">
        <v>5436</v>
      </c>
      <c r="L85" s="16" t="s">
        <v>5437</v>
      </c>
      <c r="M85" s="22">
        <f>IFERROR(__xludf.DUMMYFUNCTION("IFERROR(GOOGLEFINANCE(B85,""price""),"""")"),9.13)</f>
        <v>9.13</v>
      </c>
    </row>
    <row r="86">
      <c r="A86" s="7">
        <v>46049.62817189648</v>
      </c>
      <c r="B86" s="8" t="s">
        <v>5465</v>
      </c>
      <c r="C86" s="8" t="s">
        <v>5466</v>
      </c>
      <c r="D86" s="9">
        <v>46054.0</v>
      </c>
      <c r="E86" s="10">
        <v>108.95</v>
      </c>
      <c r="F86" s="26">
        <v>1.0423</v>
      </c>
      <c r="G86" s="12">
        <v>4.262365E7</v>
      </c>
      <c r="H86" s="8" t="s">
        <v>88</v>
      </c>
      <c r="I86" s="11">
        <v>10.8229</v>
      </c>
      <c r="J86" s="12">
        <v>5.4291689741E10</v>
      </c>
      <c r="K86" s="8" t="s">
        <v>5467</v>
      </c>
      <c r="L86" s="8" t="s">
        <v>5429</v>
      </c>
      <c r="M86" s="14">
        <f>IFERROR(__xludf.DUMMYFUNCTION("IFERROR(GOOGLEFINANCE(B86,""price""),"""")"),102.0)</f>
        <v>102</v>
      </c>
    </row>
    <row r="87">
      <c r="A87" s="15">
        <v>46049.62817189648</v>
      </c>
      <c r="B87" s="16" t="s">
        <v>5554</v>
      </c>
      <c r="C87" s="16" t="s">
        <v>5555</v>
      </c>
      <c r="D87" s="17">
        <v>46054.0</v>
      </c>
      <c r="E87" s="18">
        <v>111.745</v>
      </c>
      <c r="F87" s="27">
        <v>1.0394</v>
      </c>
      <c r="G87" s="20">
        <v>8617109.0</v>
      </c>
      <c r="H87" s="16" t="s">
        <v>873</v>
      </c>
      <c r="I87" s="19">
        <v>6.6473</v>
      </c>
      <c r="J87" s="20">
        <v>4.1055257264E10</v>
      </c>
      <c r="K87" s="16" t="s">
        <v>5556</v>
      </c>
      <c r="L87" s="16" t="s">
        <v>5557</v>
      </c>
      <c r="M87" s="22">
        <f>IFERROR(__xludf.DUMMYFUNCTION("IFERROR(GOOGLEFINANCE(B87,""price""),"""")"),94.9)</f>
        <v>94.9</v>
      </c>
    </row>
    <row r="88">
      <c r="A88" s="7">
        <v>46049.62817189648</v>
      </c>
      <c r="B88" s="8" t="s">
        <v>5594</v>
      </c>
      <c r="C88" s="8" t="s">
        <v>5595</v>
      </c>
      <c r="D88" s="9">
        <v>46054.0</v>
      </c>
      <c r="E88" s="10">
        <v>15.225</v>
      </c>
      <c r="F88" s="26">
        <v>1.0387</v>
      </c>
      <c r="G88" s="12">
        <v>3.4148292E7</v>
      </c>
      <c r="H88" s="8" t="s">
        <v>88</v>
      </c>
      <c r="I88" s="11">
        <v>10.4061</v>
      </c>
      <c r="J88" s="12">
        <v>6.374431678E9</v>
      </c>
      <c r="K88" s="8" t="s">
        <v>5596</v>
      </c>
      <c r="L88" s="8" t="s">
        <v>5471</v>
      </c>
      <c r="M88" s="14">
        <f>IFERROR(__xludf.DUMMYFUNCTION("IFERROR(GOOGLEFINANCE(B88,""price""),"""")"),18.88)</f>
        <v>18.88</v>
      </c>
    </row>
    <row r="89">
      <c r="A89" s="15">
        <v>46049.62817189648</v>
      </c>
      <c r="B89" s="16" t="s">
        <v>5574</v>
      </c>
      <c r="C89" s="16" t="s">
        <v>5575</v>
      </c>
      <c r="D89" s="17">
        <v>46054.0</v>
      </c>
      <c r="E89" s="18">
        <v>24.145</v>
      </c>
      <c r="F89" s="27">
        <v>1.0084</v>
      </c>
      <c r="G89" s="20">
        <v>1.3937214E7</v>
      </c>
      <c r="H89" s="16" t="s">
        <v>335</v>
      </c>
      <c r="I89" s="19">
        <v>3.4934</v>
      </c>
      <c r="J89" s="20">
        <v>5.729288763E9</v>
      </c>
      <c r="K89" s="16" t="s">
        <v>5576</v>
      </c>
      <c r="L89" s="16" t="s">
        <v>5506</v>
      </c>
      <c r="M89" s="22">
        <f>IFERROR(__xludf.DUMMYFUNCTION("IFERROR(GOOGLEFINANCE(B89,""price""),"""")"),18.4)</f>
        <v>18.4</v>
      </c>
    </row>
    <row r="90">
      <c r="A90" s="7">
        <v>46049.62817189648</v>
      </c>
      <c r="B90" s="8" t="s">
        <v>5454</v>
      </c>
      <c r="C90" s="8" t="s">
        <v>5455</v>
      </c>
      <c r="D90" s="9">
        <v>46054.0</v>
      </c>
      <c r="E90" s="10">
        <v>1.45</v>
      </c>
      <c r="F90" s="26">
        <v>1.0</v>
      </c>
      <c r="G90" s="12">
        <v>3.1484323E7</v>
      </c>
      <c r="H90" s="8" t="s">
        <v>149</v>
      </c>
      <c r="I90" s="11">
        <v>-2.6846</v>
      </c>
      <c r="J90" s="12">
        <v>7.43768141E8</v>
      </c>
      <c r="K90" s="8" t="s">
        <v>5456</v>
      </c>
      <c r="L90" s="8" t="s">
        <v>5457</v>
      </c>
      <c r="M90" s="14">
        <f>IFERROR(__xludf.DUMMYFUNCTION("IFERROR(GOOGLEFINANCE(B90,""price""),"""")"),1.35)</f>
        <v>1.35</v>
      </c>
    </row>
    <row r="91">
      <c r="A91" s="15">
        <v>46049.62817189648</v>
      </c>
      <c r="B91" s="16" t="s">
        <v>5561</v>
      </c>
      <c r="C91" s="16" t="s">
        <v>5562</v>
      </c>
      <c r="D91" s="17">
        <v>46054.0</v>
      </c>
      <c r="E91" s="18">
        <v>19.195</v>
      </c>
      <c r="F91" s="27">
        <v>0.9956</v>
      </c>
      <c r="G91" s="20">
        <v>2.1231173E7</v>
      </c>
      <c r="H91" s="16" t="s">
        <v>102</v>
      </c>
      <c r="I91" s="19">
        <v>4.3207</v>
      </c>
      <c r="J91" s="20">
        <v>5.810798084E9</v>
      </c>
      <c r="K91" s="16" t="s">
        <v>5563</v>
      </c>
      <c r="L91" s="16" t="s">
        <v>5536</v>
      </c>
      <c r="M91" s="22">
        <f>IFERROR(__xludf.DUMMYFUNCTION("IFERROR(GOOGLEFINANCE(B91,""price""),"""")"),9.21)</f>
        <v>9.21</v>
      </c>
    </row>
    <row r="92">
      <c r="A92" s="7">
        <v>46050.62663362584</v>
      </c>
      <c r="B92" s="8" t="s">
        <v>5597</v>
      </c>
      <c r="C92" s="8" t="s">
        <v>5598</v>
      </c>
      <c r="D92" s="9">
        <v>46054.0</v>
      </c>
      <c r="E92" s="10">
        <v>7.815</v>
      </c>
      <c r="F92" s="26">
        <v>2.0176</v>
      </c>
      <c r="G92" s="12">
        <v>8581413.0</v>
      </c>
      <c r="H92" s="8" t="s">
        <v>93</v>
      </c>
      <c r="I92" s="11">
        <v>2.8289</v>
      </c>
      <c r="J92" s="12">
        <v>4.19067862E8</v>
      </c>
      <c r="K92" s="8" t="s">
        <v>5599</v>
      </c>
      <c r="L92" s="8" t="s">
        <v>5600</v>
      </c>
      <c r="M92" s="14">
        <f>IFERROR(__xludf.DUMMYFUNCTION("IFERROR(GOOGLEFINANCE(B92,""price""),"""")"),4.29)</f>
        <v>4.29</v>
      </c>
    </row>
    <row r="93">
      <c r="A93" s="15">
        <v>46050.62663362584</v>
      </c>
      <c r="B93" s="16" t="s">
        <v>5503</v>
      </c>
      <c r="C93" s="16" t="s">
        <v>5504</v>
      </c>
      <c r="D93" s="17">
        <v>46054.0</v>
      </c>
      <c r="E93" s="18">
        <v>17.165</v>
      </c>
      <c r="F93" s="27">
        <v>1.5583</v>
      </c>
      <c r="G93" s="20">
        <v>1.2911624E7</v>
      </c>
      <c r="H93" s="16" t="s">
        <v>335</v>
      </c>
      <c r="I93" s="19">
        <v>-6.0482</v>
      </c>
      <c r="J93" s="20">
        <v>2.023830974E9</v>
      </c>
      <c r="K93" s="16" t="s">
        <v>5505</v>
      </c>
      <c r="L93" s="16" t="s">
        <v>5445</v>
      </c>
      <c r="M93" s="22">
        <f>IFERROR(__xludf.DUMMYFUNCTION("IFERROR(GOOGLEFINANCE(B93,""price""),"""")"),8.87)</f>
        <v>8.87</v>
      </c>
    </row>
    <row r="94">
      <c r="A94" s="7">
        <v>46050.62663362584</v>
      </c>
      <c r="B94" s="8" t="s">
        <v>5577</v>
      </c>
      <c r="C94" s="8" t="s">
        <v>5578</v>
      </c>
      <c r="D94" s="9">
        <v>46054.0</v>
      </c>
      <c r="E94" s="10">
        <v>1.8397</v>
      </c>
      <c r="F94" s="26">
        <v>1.5469</v>
      </c>
      <c r="G94" s="12">
        <v>2.1894205E7</v>
      </c>
      <c r="H94" s="8" t="s">
        <v>335</v>
      </c>
      <c r="I94" s="11">
        <v>21.0329</v>
      </c>
      <c r="J94" s="12">
        <v>5.27914108E8</v>
      </c>
      <c r="K94" s="8" t="s">
        <v>5579</v>
      </c>
      <c r="L94" s="8" t="s">
        <v>5445</v>
      </c>
      <c r="M94" s="14">
        <f>IFERROR(__xludf.DUMMYFUNCTION("IFERROR(GOOGLEFINANCE(B94,""price""),"""")"),1.54)</f>
        <v>1.54</v>
      </c>
    </row>
    <row r="95">
      <c r="A95" s="15">
        <v>46050.62663362584</v>
      </c>
      <c r="B95" s="16" t="s">
        <v>5580</v>
      </c>
      <c r="C95" s="16" t="s">
        <v>5581</v>
      </c>
      <c r="D95" s="17">
        <v>46054.0</v>
      </c>
      <c r="E95" s="18">
        <v>3.072</v>
      </c>
      <c r="F95" s="27">
        <v>1.5469</v>
      </c>
      <c r="G95" s="20">
        <v>1.8116009E7</v>
      </c>
      <c r="H95" s="16" t="s">
        <v>88</v>
      </c>
      <c r="I95" s="19">
        <v>1.0526</v>
      </c>
      <c r="J95" s="20">
        <v>1.225198391E9</v>
      </c>
      <c r="K95" s="16" t="s">
        <v>5582</v>
      </c>
      <c r="L95" s="16" t="s">
        <v>5429</v>
      </c>
      <c r="M95" s="22">
        <f>IFERROR(__xludf.DUMMYFUNCTION("IFERROR(GOOGLEFINANCE(B95,""price""),"""")"),2.38)</f>
        <v>2.38</v>
      </c>
    </row>
    <row r="96">
      <c r="A96" s="7">
        <v>46050.62663362584</v>
      </c>
      <c r="B96" s="8" t="s">
        <v>5510</v>
      </c>
      <c r="C96" s="8" t="s">
        <v>5511</v>
      </c>
      <c r="D96" s="9">
        <v>46054.0</v>
      </c>
      <c r="E96" s="10">
        <v>528.21</v>
      </c>
      <c r="F96" s="26">
        <v>1.5128</v>
      </c>
      <c r="G96" s="12">
        <v>1.4683595E7</v>
      </c>
      <c r="H96" s="8" t="s">
        <v>308</v>
      </c>
      <c r="I96" s="11">
        <v>9.7169</v>
      </c>
      <c r="J96" s="12">
        <v>7.7410852382E10</v>
      </c>
      <c r="K96" s="8" t="s">
        <v>5512</v>
      </c>
      <c r="L96" s="8" t="s">
        <v>5513</v>
      </c>
      <c r="M96" s="14">
        <f>IFERROR(__xludf.DUMMYFUNCTION("IFERROR(GOOGLEFINANCE(B96,""price""),"""")"),851.77)</f>
        <v>851.77</v>
      </c>
    </row>
    <row r="97">
      <c r="A97" s="15">
        <v>46050.62663362584</v>
      </c>
      <c r="B97" s="16" t="s">
        <v>2768</v>
      </c>
      <c r="C97" s="16" t="s">
        <v>2769</v>
      </c>
      <c r="D97" s="17">
        <v>46054.0</v>
      </c>
      <c r="E97" s="18">
        <v>281.67</v>
      </c>
      <c r="F97" s="27">
        <v>1.4998</v>
      </c>
      <c r="G97" s="20">
        <v>1.3361572E7</v>
      </c>
      <c r="H97" s="16" t="s">
        <v>308</v>
      </c>
      <c r="I97" s="19">
        <v>11.4818</v>
      </c>
      <c r="J97" s="20">
        <v>9.6302774971E10</v>
      </c>
      <c r="K97" s="16" t="s">
        <v>2771</v>
      </c>
      <c r="L97" s="16" t="s">
        <v>5513</v>
      </c>
      <c r="M97" s="22">
        <f>IFERROR(__xludf.DUMMYFUNCTION("IFERROR(GOOGLEFINANCE(B97,""price""),"""")"),343.43)</f>
        <v>343.43</v>
      </c>
    </row>
    <row r="98">
      <c r="A98" s="7">
        <v>46050.62663362584</v>
      </c>
      <c r="B98" s="8" t="s">
        <v>5601</v>
      </c>
      <c r="C98" s="8" t="s">
        <v>5602</v>
      </c>
      <c r="D98" s="9">
        <v>46054.0</v>
      </c>
      <c r="E98" s="10">
        <v>5.145</v>
      </c>
      <c r="F98" s="26">
        <v>1.3359</v>
      </c>
      <c r="G98" s="12">
        <v>1.2005408E7</v>
      </c>
      <c r="H98" s="8" t="s">
        <v>117</v>
      </c>
      <c r="I98" s="11">
        <v>-16.7476</v>
      </c>
      <c r="J98" s="12">
        <v>5.36841552E8</v>
      </c>
      <c r="K98" s="8" t="s">
        <v>5603</v>
      </c>
      <c r="L98" s="8" t="s">
        <v>5502</v>
      </c>
      <c r="M98" s="14">
        <f>IFERROR(__xludf.DUMMYFUNCTION("IFERROR(GOOGLEFINANCE(B98,""price""),"""")"),3.24)</f>
        <v>3.24</v>
      </c>
    </row>
    <row r="99">
      <c r="A99" s="15">
        <v>46050.62663362584</v>
      </c>
      <c r="B99" s="16" t="s">
        <v>1077</v>
      </c>
      <c r="C99" s="16" t="s">
        <v>1078</v>
      </c>
      <c r="D99" s="17">
        <v>46054.0</v>
      </c>
      <c r="E99" s="18">
        <v>9.6634</v>
      </c>
      <c r="F99" s="27">
        <v>1.3145</v>
      </c>
      <c r="G99" s="20">
        <v>1.4882213E7</v>
      </c>
      <c r="H99" s="16" t="s">
        <v>335</v>
      </c>
      <c r="I99" s="19">
        <v>-2.4884</v>
      </c>
      <c r="J99" s="20">
        <v>1.353220132E9</v>
      </c>
      <c r="K99" s="16" t="s">
        <v>1079</v>
      </c>
      <c r="L99" s="16" t="s">
        <v>5506</v>
      </c>
      <c r="M99" s="22">
        <f>IFERROR(__xludf.DUMMYFUNCTION("IFERROR(GOOGLEFINANCE(B99,""price""),"""")"),8.36)</f>
        <v>8.36</v>
      </c>
    </row>
    <row r="100">
      <c r="A100" s="7">
        <v>46050.62663362584</v>
      </c>
      <c r="B100" s="8" t="s">
        <v>5514</v>
      </c>
      <c r="C100" s="8" t="s">
        <v>5515</v>
      </c>
      <c r="D100" s="9">
        <v>46054.0</v>
      </c>
      <c r="E100" s="10">
        <v>6.2</v>
      </c>
      <c r="F100" s="26">
        <v>1.3106</v>
      </c>
      <c r="G100" s="12">
        <v>2.9664206E7</v>
      </c>
      <c r="H100" s="8" t="s">
        <v>117</v>
      </c>
      <c r="I100" s="11">
        <v>4.2017</v>
      </c>
      <c r="J100" s="12">
        <v>6.106784106E9</v>
      </c>
      <c r="K100" s="8" t="s">
        <v>5516</v>
      </c>
      <c r="L100" s="8" t="s">
        <v>5491</v>
      </c>
      <c r="M100" s="14">
        <f>IFERROR(__xludf.DUMMYFUNCTION("IFERROR(GOOGLEFINANCE(B100,""price""),"""")"),7.28)</f>
        <v>7.28</v>
      </c>
    </row>
    <row r="101">
      <c r="A101" s="15">
        <v>46050.62663362584</v>
      </c>
      <c r="B101" s="16" t="s">
        <v>5537</v>
      </c>
      <c r="C101" s="16" t="s">
        <v>5538</v>
      </c>
      <c r="D101" s="17">
        <v>46054.0</v>
      </c>
      <c r="E101" s="18">
        <v>4.9199</v>
      </c>
      <c r="F101" s="27">
        <v>1.2891</v>
      </c>
      <c r="G101" s="20">
        <v>1.01318588E8</v>
      </c>
      <c r="H101" s="16" t="s">
        <v>112</v>
      </c>
      <c r="I101" s="19">
        <v>-10.7096</v>
      </c>
      <c r="J101" s="20">
        <v>1.058250675E9</v>
      </c>
      <c r="K101" s="16" t="s">
        <v>5539</v>
      </c>
      <c r="L101" s="16" t="s">
        <v>5540</v>
      </c>
      <c r="M101" s="22">
        <f>IFERROR(__xludf.DUMMYFUNCTION("IFERROR(GOOGLEFINANCE(B101,""price""),"""")"),2.01)</f>
        <v>2.01</v>
      </c>
    </row>
    <row r="102">
      <c r="A102" s="7">
        <v>46050.62663362584</v>
      </c>
      <c r="B102" s="8" t="s">
        <v>5551</v>
      </c>
      <c r="C102" s="8" t="s">
        <v>5552</v>
      </c>
      <c r="D102" s="9">
        <v>46054.0</v>
      </c>
      <c r="E102" s="10">
        <v>1.57</v>
      </c>
      <c r="F102" s="26">
        <v>1.2656</v>
      </c>
      <c r="G102" s="12">
        <v>9681844.0</v>
      </c>
      <c r="H102" s="8" t="s">
        <v>88</v>
      </c>
      <c r="I102" s="11">
        <v>-1.2579</v>
      </c>
      <c r="J102" s="12">
        <v>1.45633988E9</v>
      </c>
      <c r="K102" s="8" t="s">
        <v>5553</v>
      </c>
      <c r="L102" s="8" t="s">
        <v>5471</v>
      </c>
      <c r="M102" s="14">
        <f>IFERROR(__xludf.DUMMYFUNCTION("IFERROR(GOOGLEFINANCE(B102,""price""),"""")"),0.95)</f>
        <v>0.95</v>
      </c>
    </row>
    <row r="103">
      <c r="A103" s="15">
        <v>46050.62663362584</v>
      </c>
      <c r="B103" s="16" t="s">
        <v>5604</v>
      </c>
      <c r="C103" s="16" t="s">
        <v>5605</v>
      </c>
      <c r="D103" s="17">
        <v>46054.0</v>
      </c>
      <c r="E103" s="18">
        <v>44.62</v>
      </c>
      <c r="F103" s="27">
        <v>1.2582</v>
      </c>
      <c r="G103" s="20">
        <v>1.0806429E7</v>
      </c>
      <c r="H103" s="16" t="s">
        <v>308</v>
      </c>
      <c r="I103" s="19">
        <v>19.3367</v>
      </c>
      <c r="J103" s="20">
        <v>3.04664873E9</v>
      </c>
      <c r="K103" s="16" t="s">
        <v>5606</v>
      </c>
      <c r="L103" s="16" t="s">
        <v>5414</v>
      </c>
      <c r="M103" s="22">
        <f>IFERROR(__xludf.DUMMYFUNCTION("IFERROR(GOOGLEFINANCE(B103,""price""),"""")"),150.6)</f>
        <v>150.6</v>
      </c>
    </row>
    <row r="104">
      <c r="A104" s="7">
        <v>46050.62663362584</v>
      </c>
      <c r="B104" s="8" t="s">
        <v>5422</v>
      </c>
      <c r="C104" s="8" t="s">
        <v>5423</v>
      </c>
      <c r="D104" s="9">
        <v>46054.0</v>
      </c>
      <c r="E104" s="10">
        <v>25.2096</v>
      </c>
      <c r="F104" s="26">
        <v>1.2201</v>
      </c>
      <c r="G104" s="12">
        <v>3.0094757E7</v>
      </c>
      <c r="H104" s="8" t="s">
        <v>102</v>
      </c>
      <c r="I104" s="11">
        <v>-4.3279</v>
      </c>
      <c r="J104" s="12">
        <v>3.722952059E9</v>
      </c>
      <c r="K104" s="8" t="s">
        <v>5424</v>
      </c>
      <c r="L104" s="8" t="s">
        <v>5425</v>
      </c>
      <c r="M104" s="14">
        <f>IFERROR(__xludf.DUMMYFUNCTION("IFERROR(GOOGLEFINANCE(B104,""price""),"""")"),16.15)</f>
        <v>16.15</v>
      </c>
    </row>
    <row r="105">
      <c r="A105" s="15">
        <v>46050.62663362584</v>
      </c>
      <c r="B105" s="16" t="s">
        <v>5527</v>
      </c>
      <c r="C105" s="16" t="s">
        <v>5528</v>
      </c>
      <c r="D105" s="17">
        <v>46054.0</v>
      </c>
      <c r="E105" s="18">
        <v>16.251</v>
      </c>
      <c r="F105" s="27">
        <v>1.2113</v>
      </c>
      <c r="G105" s="20">
        <v>1.688079E7</v>
      </c>
      <c r="H105" s="16" t="s">
        <v>88</v>
      </c>
      <c r="I105" s="19">
        <v>3.7077</v>
      </c>
      <c r="J105" s="20">
        <v>1.939900397E9</v>
      </c>
      <c r="K105" s="16" t="s">
        <v>5529</v>
      </c>
      <c r="L105" s="16" t="s">
        <v>5429</v>
      </c>
      <c r="M105" s="22">
        <f>IFERROR(__xludf.DUMMYFUNCTION("IFERROR(GOOGLEFINANCE(B105,""price""),"""")"),12.37)</f>
        <v>12.37</v>
      </c>
    </row>
    <row r="106">
      <c r="A106" s="7">
        <v>46050.62663362584</v>
      </c>
      <c r="B106" s="8" t="s">
        <v>5587</v>
      </c>
      <c r="C106" s="8" t="s">
        <v>5588</v>
      </c>
      <c r="D106" s="9">
        <v>46054.0</v>
      </c>
      <c r="E106" s="10">
        <v>24.75</v>
      </c>
      <c r="F106" s="26">
        <v>1.174</v>
      </c>
      <c r="G106" s="12">
        <v>4.1401366E7</v>
      </c>
      <c r="H106" s="8" t="s">
        <v>93</v>
      </c>
      <c r="I106" s="11">
        <v>-2.7887</v>
      </c>
      <c r="J106" s="12">
        <v>3.1196098915E10</v>
      </c>
      <c r="K106" s="8" t="s">
        <v>5589</v>
      </c>
      <c r="L106" s="8" t="s">
        <v>5590</v>
      </c>
      <c r="M106" s="14">
        <f>IFERROR(__xludf.DUMMYFUNCTION("IFERROR(GOOGLEFINANCE(B106,""price""),"""")"),16.22)</f>
        <v>16.22</v>
      </c>
    </row>
    <row r="107">
      <c r="A107" s="15">
        <v>46050.62663362584</v>
      </c>
      <c r="B107" s="16" t="s">
        <v>5517</v>
      </c>
      <c r="C107" s="16" t="s">
        <v>5518</v>
      </c>
      <c r="D107" s="17">
        <v>46054.0</v>
      </c>
      <c r="E107" s="18">
        <v>13.245</v>
      </c>
      <c r="F107" s="27">
        <v>1.167</v>
      </c>
      <c r="G107" s="20">
        <v>4.9374325E7</v>
      </c>
      <c r="H107" s="16" t="s">
        <v>308</v>
      </c>
      <c r="I107" s="19">
        <v>-6.7254</v>
      </c>
      <c r="J107" s="20">
        <v>2.187422149E9</v>
      </c>
      <c r="K107" s="16" t="s">
        <v>5519</v>
      </c>
      <c r="L107" s="16" t="s">
        <v>5520</v>
      </c>
      <c r="M107" s="22">
        <f>IFERROR(__xludf.DUMMYFUNCTION("IFERROR(GOOGLEFINANCE(B107,""price""),"""")"),9.29)</f>
        <v>9.29</v>
      </c>
    </row>
    <row r="108">
      <c r="A108" s="7">
        <v>46050.62663362584</v>
      </c>
      <c r="B108" s="8" t="s">
        <v>2704</v>
      </c>
      <c r="C108" s="8" t="s">
        <v>2705</v>
      </c>
      <c r="D108" s="9">
        <v>46054.0</v>
      </c>
      <c r="E108" s="10">
        <v>40.38</v>
      </c>
      <c r="F108" s="26">
        <v>1.1301</v>
      </c>
      <c r="G108" s="12">
        <v>2.7773445E7</v>
      </c>
      <c r="H108" s="8" t="s">
        <v>88</v>
      </c>
      <c r="I108" s="11">
        <v>-2.3458</v>
      </c>
      <c r="J108" s="12">
        <v>1.128967481E10</v>
      </c>
      <c r="K108" s="8" t="s">
        <v>2707</v>
      </c>
      <c r="L108" s="8" t="s">
        <v>5471</v>
      </c>
      <c r="M108" s="14">
        <f>IFERROR(__xludf.DUMMYFUNCTION("IFERROR(GOOGLEFINANCE(B108,""price""),"""")"),26.24)</f>
        <v>26.24</v>
      </c>
    </row>
    <row r="109">
      <c r="A109" s="15">
        <v>46050.62663362584</v>
      </c>
      <c r="B109" s="16" t="s">
        <v>5544</v>
      </c>
      <c r="C109" s="16" t="s">
        <v>5545</v>
      </c>
      <c r="D109" s="17">
        <v>46054.0</v>
      </c>
      <c r="E109" s="18">
        <v>18.8139</v>
      </c>
      <c r="F109" s="27">
        <v>1.1283</v>
      </c>
      <c r="G109" s="20">
        <v>2.9651549E7</v>
      </c>
      <c r="H109" s="16" t="s">
        <v>88</v>
      </c>
      <c r="I109" s="19">
        <v>0.3408</v>
      </c>
      <c r="J109" s="20">
        <v>7.433222724E9</v>
      </c>
      <c r="K109" s="16" t="s">
        <v>5546</v>
      </c>
      <c r="L109" s="16" t="s">
        <v>5471</v>
      </c>
      <c r="M109" s="22">
        <f>IFERROR(__xludf.DUMMYFUNCTION("IFERROR(GOOGLEFINANCE(B109,""price""),"""")"),16.53)</f>
        <v>16.53</v>
      </c>
    </row>
    <row r="110">
      <c r="A110" s="7">
        <v>46050.62663362584</v>
      </c>
      <c r="B110" s="8" t="s">
        <v>5430</v>
      </c>
      <c r="C110" s="8" t="s">
        <v>5431</v>
      </c>
      <c r="D110" s="9">
        <v>46054.0</v>
      </c>
      <c r="E110" s="10">
        <v>2.4431</v>
      </c>
      <c r="F110" s="26">
        <v>1.125</v>
      </c>
      <c r="G110" s="12">
        <v>1.14746522E8</v>
      </c>
      <c r="H110" s="8" t="s">
        <v>308</v>
      </c>
      <c r="I110" s="11">
        <v>1.3734</v>
      </c>
      <c r="J110" s="12">
        <v>3.39990421E9</v>
      </c>
      <c r="K110" s="8" t="s">
        <v>5432</v>
      </c>
      <c r="L110" s="8" t="s">
        <v>5433</v>
      </c>
      <c r="M110" s="14">
        <f>IFERROR(__xludf.DUMMYFUNCTION("IFERROR(GOOGLEFINANCE(B110,""price""),"""")"),2.74)</f>
        <v>2.74</v>
      </c>
    </row>
    <row r="111">
      <c r="A111" s="15">
        <v>46050.62663362584</v>
      </c>
      <c r="B111" s="16" t="s">
        <v>5434</v>
      </c>
      <c r="C111" s="16" t="s">
        <v>5435</v>
      </c>
      <c r="D111" s="17">
        <v>46054.0</v>
      </c>
      <c r="E111" s="18">
        <v>12.2161</v>
      </c>
      <c r="F111" s="27">
        <v>1.1211</v>
      </c>
      <c r="G111" s="20">
        <v>9.2603187E7</v>
      </c>
      <c r="H111" s="16" t="s">
        <v>308</v>
      </c>
      <c r="I111" s="19">
        <v>-0.3581</v>
      </c>
      <c r="J111" s="20">
        <v>5.162236971E9</v>
      </c>
      <c r="K111" s="16" t="s">
        <v>5436</v>
      </c>
      <c r="L111" s="16" t="s">
        <v>5437</v>
      </c>
      <c r="M111" s="22">
        <f>IFERROR(__xludf.DUMMYFUNCTION("IFERROR(GOOGLEFINANCE(B111,""price""),"""")"),9.13)</f>
        <v>9.13</v>
      </c>
    </row>
    <row r="112">
      <c r="A112" s="7">
        <v>46050.62663362584</v>
      </c>
      <c r="B112" s="8" t="s">
        <v>5607</v>
      </c>
      <c r="C112" s="8" t="s">
        <v>5608</v>
      </c>
      <c r="D112" s="9">
        <v>46054.0</v>
      </c>
      <c r="E112" s="10">
        <v>22.87</v>
      </c>
      <c r="F112" s="26">
        <v>1.1077</v>
      </c>
      <c r="G112" s="12">
        <v>1.5256711E7</v>
      </c>
      <c r="H112" s="8" t="s">
        <v>308</v>
      </c>
      <c r="I112" s="11">
        <v>12.7156</v>
      </c>
      <c r="J112" s="12">
        <v>4.121609686E9</v>
      </c>
      <c r="K112" s="8" t="s">
        <v>5609</v>
      </c>
      <c r="L112" s="8" t="s">
        <v>5520</v>
      </c>
      <c r="M112" s="14">
        <f>IFERROR(__xludf.DUMMYFUNCTION("IFERROR(GOOGLEFINANCE(B112,""price""),"""")"),23.57)</f>
        <v>23.57</v>
      </c>
    </row>
    <row r="113">
      <c r="A113" s="15">
        <v>46050.62663362584</v>
      </c>
      <c r="B113" s="16" t="s">
        <v>5558</v>
      </c>
      <c r="C113" s="16" t="s">
        <v>5559</v>
      </c>
      <c r="D113" s="17">
        <v>46054.0</v>
      </c>
      <c r="E113" s="18">
        <v>16.41</v>
      </c>
      <c r="F113" s="27">
        <v>1.1028</v>
      </c>
      <c r="G113" s="20">
        <v>2.0820882E7</v>
      </c>
      <c r="H113" s="16" t="s">
        <v>102</v>
      </c>
      <c r="I113" s="19">
        <v>9.3271</v>
      </c>
      <c r="J113" s="20">
        <v>5.318451134E9</v>
      </c>
      <c r="K113" s="16" t="s">
        <v>5560</v>
      </c>
      <c r="L113" s="16" t="s">
        <v>5536</v>
      </c>
      <c r="M113" s="22">
        <f>IFERROR(__xludf.DUMMYFUNCTION("IFERROR(GOOGLEFINANCE(B113,""price""),"""")"),5.62)</f>
        <v>5.62</v>
      </c>
    </row>
    <row r="114">
      <c r="A114" s="7">
        <v>46050.62663362584</v>
      </c>
      <c r="B114" s="8" t="s">
        <v>5554</v>
      </c>
      <c r="C114" s="8" t="s">
        <v>5555</v>
      </c>
      <c r="D114" s="9">
        <v>46054.0</v>
      </c>
      <c r="E114" s="10">
        <v>121.6708</v>
      </c>
      <c r="F114" s="26">
        <v>1.0926</v>
      </c>
      <c r="G114" s="12">
        <v>1.4186617E7</v>
      </c>
      <c r="H114" s="8" t="s">
        <v>873</v>
      </c>
      <c r="I114" s="11">
        <v>9.2786</v>
      </c>
      <c r="J114" s="12">
        <v>4.4702008049E10</v>
      </c>
      <c r="K114" s="8" t="s">
        <v>5556</v>
      </c>
      <c r="L114" s="8" t="s">
        <v>5557</v>
      </c>
      <c r="M114" s="14">
        <f>IFERROR(__xludf.DUMMYFUNCTION("IFERROR(GOOGLEFINANCE(B114,""price""),"""")"),94.9)</f>
        <v>94.9</v>
      </c>
    </row>
    <row r="115">
      <c r="A115" s="15">
        <v>46050.62663362584</v>
      </c>
      <c r="B115" s="16" t="s">
        <v>5484</v>
      </c>
      <c r="C115" s="16" t="s">
        <v>5485</v>
      </c>
      <c r="D115" s="17">
        <v>46054.0</v>
      </c>
      <c r="E115" s="18">
        <v>62.54</v>
      </c>
      <c r="F115" s="27">
        <v>1.0921</v>
      </c>
      <c r="G115" s="20">
        <v>3.896089E7</v>
      </c>
      <c r="H115" s="16" t="s">
        <v>88</v>
      </c>
      <c r="I115" s="19">
        <v>4.2507</v>
      </c>
      <c r="J115" s="20">
        <v>2.0481814435E10</v>
      </c>
      <c r="K115" s="16" t="s">
        <v>5486</v>
      </c>
      <c r="L115" s="16" t="s">
        <v>5471</v>
      </c>
      <c r="M115" s="22">
        <f>IFERROR(__xludf.DUMMYFUNCTION("IFERROR(GOOGLEFINANCE(B115,""price""),"""")"),39.32)</f>
        <v>39.32</v>
      </c>
    </row>
    <row r="116">
      <c r="A116" s="7">
        <v>46050.62663362584</v>
      </c>
      <c r="B116" s="8" t="s">
        <v>5610</v>
      </c>
      <c r="C116" s="8" t="s">
        <v>5611</v>
      </c>
      <c r="D116" s="9">
        <v>46054.0</v>
      </c>
      <c r="E116" s="10">
        <v>129.67</v>
      </c>
      <c r="F116" s="26">
        <v>1.0894</v>
      </c>
      <c r="G116" s="12">
        <v>1.215865E7</v>
      </c>
      <c r="H116" s="8" t="s">
        <v>88</v>
      </c>
      <c r="I116" s="11">
        <v>-1.6161</v>
      </c>
      <c r="J116" s="12">
        <v>1.34648131291E11</v>
      </c>
      <c r="K116" s="8" t="s">
        <v>5612</v>
      </c>
      <c r="L116" s="8" t="s">
        <v>5429</v>
      </c>
      <c r="M116" s="14">
        <f>IFERROR(__xludf.DUMMYFUNCTION("IFERROR(GOOGLEFINANCE(B116,""price""),"""")"),83.0)</f>
        <v>83</v>
      </c>
    </row>
    <row r="117">
      <c r="A117" s="15">
        <v>46050.62663362584</v>
      </c>
      <c r="B117" s="16" t="s">
        <v>5533</v>
      </c>
      <c r="C117" s="16" t="s">
        <v>5534</v>
      </c>
      <c r="D117" s="17">
        <v>46054.0</v>
      </c>
      <c r="E117" s="18">
        <v>9.49</v>
      </c>
      <c r="F117" s="27">
        <v>1.0566</v>
      </c>
      <c r="G117" s="20">
        <v>1.8024677E7</v>
      </c>
      <c r="H117" s="16" t="s">
        <v>102</v>
      </c>
      <c r="I117" s="19">
        <v>4.057</v>
      </c>
      <c r="J117" s="20">
        <v>2.567735981E9</v>
      </c>
      <c r="K117" s="16" t="s">
        <v>5535</v>
      </c>
      <c r="L117" s="16" t="s">
        <v>5536</v>
      </c>
      <c r="M117" s="22">
        <f>IFERROR(__xludf.DUMMYFUNCTION("IFERROR(GOOGLEFINANCE(B117,""price""),"""")"),4.69)</f>
        <v>4.69</v>
      </c>
    </row>
    <row r="118">
      <c r="A118" s="7">
        <v>46050.62663362584</v>
      </c>
      <c r="B118" s="8" t="s">
        <v>5530</v>
      </c>
      <c r="C118" s="8" t="s">
        <v>5531</v>
      </c>
      <c r="D118" s="9">
        <v>46054.0</v>
      </c>
      <c r="E118" s="10">
        <v>8.3954</v>
      </c>
      <c r="F118" s="26">
        <v>1.0498</v>
      </c>
      <c r="G118" s="12">
        <v>9728559.0</v>
      </c>
      <c r="H118" s="8" t="s">
        <v>335</v>
      </c>
      <c r="I118" s="11">
        <v>4.2907</v>
      </c>
      <c r="J118" s="12">
        <v>3.471431112E9</v>
      </c>
      <c r="K118" s="8" t="s">
        <v>5532</v>
      </c>
      <c r="L118" s="8" t="s">
        <v>5506</v>
      </c>
      <c r="M118" s="14">
        <f>IFERROR(__xludf.DUMMYFUNCTION("IFERROR(GOOGLEFINANCE(B118,""price""),"""")"),4.34)</f>
        <v>4.34</v>
      </c>
    </row>
    <row r="119">
      <c r="A119" s="15">
        <v>46050.62663362584</v>
      </c>
      <c r="B119" s="16" t="s">
        <v>5454</v>
      </c>
      <c r="C119" s="16" t="s">
        <v>5455</v>
      </c>
      <c r="D119" s="17">
        <v>46054.0</v>
      </c>
      <c r="E119" s="18">
        <v>1.4179</v>
      </c>
      <c r="F119" s="27">
        <v>1.0313</v>
      </c>
      <c r="G119" s="20">
        <v>3.0331232E7</v>
      </c>
      <c r="H119" s="16" t="s">
        <v>149</v>
      </c>
      <c r="I119" s="19">
        <v>-2.2138</v>
      </c>
      <c r="J119" s="20">
        <v>7.27302673E8</v>
      </c>
      <c r="K119" s="16" t="s">
        <v>5456</v>
      </c>
      <c r="L119" s="16" t="s">
        <v>5457</v>
      </c>
      <c r="M119" s="22">
        <f>IFERROR(__xludf.DUMMYFUNCTION("IFERROR(GOOGLEFINANCE(B119,""price""),"""")"),1.35)</f>
        <v>1.35</v>
      </c>
    </row>
    <row r="120">
      <c r="A120" s="7">
        <v>46050.62663362584</v>
      </c>
      <c r="B120" s="8" t="s">
        <v>5574</v>
      </c>
      <c r="C120" s="8" t="s">
        <v>5575</v>
      </c>
      <c r="D120" s="9">
        <v>46054.0</v>
      </c>
      <c r="E120" s="10">
        <v>27.455</v>
      </c>
      <c r="F120" s="26">
        <v>1.0288</v>
      </c>
      <c r="G120" s="12">
        <v>2.4325662E7</v>
      </c>
      <c r="H120" s="8" t="s">
        <v>335</v>
      </c>
      <c r="I120" s="11">
        <v>13.6382</v>
      </c>
      <c r="J120" s="12">
        <v>6.514707911E9</v>
      </c>
      <c r="K120" s="8" t="s">
        <v>5576</v>
      </c>
      <c r="L120" s="8" t="s">
        <v>5506</v>
      </c>
      <c r="M120" s="14">
        <f>IFERROR(__xludf.DUMMYFUNCTION("IFERROR(GOOGLEFINANCE(B120,""price""),"""")"),18.4)</f>
        <v>18.4</v>
      </c>
    </row>
    <row r="121">
      <c r="A121" s="15">
        <v>46050.62663362584</v>
      </c>
      <c r="B121" s="16" t="s">
        <v>5591</v>
      </c>
      <c r="C121" s="16" t="s">
        <v>5592</v>
      </c>
      <c r="D121" s="17">
        <v>46054.0</v>
      </c>
      <c r="E121" s="18">
        <v>10.095</v>
      </c>
      <c r="F121" s="27">
        <v>1.0283</v>
      </c>
      <c r="G121" s="20">
        <v>2.3956546E7</v>
      </c>
      <c r="H121" s="16" t="s">
        <v>308</v>
      </c>
      <c r="I121" s="19">
        <v>5.5962</v>
      </c>
      <c r="J121" s="20">
        <v>2.326859093E9</v>
      </c>
      <c r="K121" s="16" t="s">
        <v>5593</v>
      </c>
      <c r="L121" s="16" t="s">
        <v>5414</v>
      </c>
      <c r="M121" s="22">
        <f>IFERROR(__xludf.DUMMYFUNCTION("IFERROR(GOOGLEFINANCE(B121,""price""),"""")"),9.54)</f>
        <v>9.54</v>
      </c>
    </row>
    <row r="122">
      <c r="A122" s="7">
        <v>46050.65015033935</v>
      </c>
      <c r="B122" s="8" t="s">
        <v>5503</v>
      </c>
      <c r="C122" s="8" t="s">
        <v>5504</v>
      </c>
      <c r="D122" s="9">
        <v>46054.0</v>
      </c>
      <c r="E122" s="10">
        <v>17.06</v>
      </c>
      <c r="F122" s="26">
        <v>1.6924</v>
      </c>
      <c r="G122" s="12">
        <v>1.3890948E7</v>
      </c>
      <c r="H122" s="8" t="s">
        <v>335</v>
      </c>
      <c r="I122" s="11">
        <v>-6.6229</v>
      </c>
      <c r="J122" s="12">
        <v>2.011451E9</v>
      </c>
      <c r="K122" s="8" t="s">
        <v>5505</v>
      </c>
      <c r="L122" s="8" t="s">
        <v>5445</v>
      </c>
      <c r="M122" s="14">
        <f>IFERROR(__xludf.DUMMYFUNCTION("IFERROR(GOOGLEFINANCE(B122,""price""),"""")"),8.87)</f>
        <v>8.87</v>
      </c>
    </row>
    <row r="123">
      <c r="A123" s="15">
        <v>46050.65015033935</v>
      </c>
      <c r="B123" s="16" t="s">
        <v>5577</v>
      </c>
      <c r="C123" s="16" t="s">
        <v>5578</v>
      </c>
      <c r="D123" s="17">
        <v>46054.0</v>
      </c>
      <c r="E123" s="18">
        <v>1.93</v>
      </c>
      <c r="F123" s="27">
        <v>1.6719</v>
      </c>
      <c r="G123" s="20">
        <v>2.5213604E7</v>
      </c>
      <c r="H123" s="16" t="s">
        <v>335</v>
      </c>
      <c r="I123" s="19">
        <v>26.9737</v>
      </c>
      <c r="J123" s="20">
        <v>5.53826292E8</v>
      </c>
      <c r="K123" s="16" t="s">
        <v>5579</v>
      </c>
      <c r="L123" s="16" t="s">
        <v>5445</v>
      </c>
      <c r="M123" s="22">
        <f>IFERROR(__xludf.DUMMYFUNCTION("IFERROR(GOOGLEFINANCE(B123,""price""),"""")"),1.54)</f>
        <v>1.54</v>
      </c>
    </row>
    <row r="124">
      <c r="A124" s="7">
        <v>46050.65015033935</v>
      </c>
      <c r="B124" s="8" t="s">
        <v>5580</v>
      </c>
      <c r="C124" s="8" t="s">
        <v>5581</v>
      </c>
      <c r="D124" s="9">
        <v>46054.0</v>
      </c>
      <c r="E124" s="10">
        <v>3.1</v>
      </c>
      <c r="F124" s="26">
        <v>1.5469</v>
      </c>
      <c r="G124" s="12">
        <v>1.9765587E7</v>
      </c>
      <c r="H124" s="8" t="s">
        <v>88</v>
      </c>
      <c r="I124" s="11">
        <v>1.9737</v>
      </c>
      <c r="J124" s="12">
        <v>1.236365564E9</v>
      </c>
      <c r="K124" s="8" t="s">
        <v>5582</v>
      </c>
      <c r="L124" s="8" t="s">
        <v>5429</v>
      </c>
      <c r="M124" s="14">
        <f>IFERROR(__xludf.DUMMYFUNCTION("IFERROR(GOOGLEFINANCE(B124,""price""),"""")"),2.38)</f>
        <v>2.38</v>
      </c>
    </row>
    <row r="125">
      <c r="A125" s="15">
        <v>46050.65015033935</v>
      </c>
      <c r="B125" s="16" t="s">
        <v>5035</v>
      </c>
      <c r="C125" s="16" t="s">
        <v>5036</v>
      </c>
      <c r="D125" s="17">
        <v>46054.0</v>
      </c>
      <c r="E125" s="18">
        <v>27.78</v>
      </c>
      <c r="F125" s="27">
        <v>1.5098</v>
      </c>
      <c r="G125" s="20">
        <v>1.7811512E7</v>
      </c>
      <c r="H125" s="16" t="s">
        <v>107</v>
      </c>
      <c r="I125" s="19">
        <v>-0.1079</v>
      </c>
      <c r="J125" s="20">
        <v>1.9745117855E10</v>
      </c>
      <c r="K125" s="16" t="s">
        <v>5037</v>
      </c>
      <c r="L125" s="16" t="s">
        <v>5613</v>
      </c>
      <c r="M125" s="22">
        <f>IFERROR(__xludf.DUMMYFUNCTION("IFERROR(GOOGLEFINANCE(B125,""price""),"""")"),39.01)</f>
        <v>39.01</v>
      </c>
    </row>
    <row r="126">
      <c r="A126" s="7">
        <v>46050.65015033935</v>
      </c>
      <c r="B126" s="8" t="s">
        <v>5510</v>
      </c>
      <c r="C126" s="8" t="s">
        <v>5511</v>
      </c>
      <c r="D126" s="9">
        <v>46054.0</v>
      </c>
      <c r="E126" s="10">
        <v>527.63</v>
      </c>
      <c r="F126" s="26">
        <v>1.5038</v>
      </c>
      <c r="G126" s="12">
        <v>1.5888291E7</v>
      </c>
      <c r="H126" s="8" t="s">
        <v>308</v>
      </c>
      <c r="I126" s="11">
        <v>9.5964</v>
      </c>
      <c r="J126" s="12">
        <v>7.7325851541E10</v>
      </c>
      <c r="K126" s="8" t="s">
        <v>5512</v>
      </c>
      <c r="L126" s="8" t="s">
        <v>5513</v>
      </c>
      <c r="M126" s="14">
        <f>IFERROR(__xludf.DUMMYFUNCTION("IFERROR(GOOGLEFINANCE(B126,""price""),"""")"),851.77)</f>
        <v>851.77</v>
      </c>
    </row>
    <row r="127">
      <c r="A127" s="15">
        <v>46050.65015033935</v>
      </c>
      <c r="B127" s="16" t="s">
        <v>2768</v>
      </c>
      <c r="C127" s="16" t="s">
        <v>2769</v>
      </c>
      <c r="D127" s="17">
        <v>46054.0</v>
      </c>
      <c r="E127" s="18">
        <v>279.7</v>
      </c>
      <c r="F127" s="27">
        <v>1.4262</v>
      </c>
      <c r="G127" s="20">
        <v>1.566122E7</v>
      </c>
      <c r="H127" s="16" t="s">
        <v>308</v>
      </c>
      <c r="I127" s="19">
        <v>10.7021</v>
      </c>
      <c r="J127" s="20">
        <v>9.5629233356E10</v>
      </c>
      <c r="K127" s="16" t="s">
        <v>2771</v>
      </c>
      <c r="L127" s="16" t="s">
        <v>5513</v>
      </c>
      <c r="M127" s="22">
        <f>IFERROR(__xludf.DUMMYFUNCTION("IFERROR(GOOGLEFINANCE(B127,""price""),"""")"),343.43)</f>
        <v>343.43</v>
      </c>
    </row>
    <row r="128">
      <c r="A128" s="7">
        <v>46050.65015033935</v>
      </c>
      <c r="B128" s="8" t="s">
        <v>5537</v>
      </c>
      <c r="C128" s="8" t="s">
        <v>5538</v>
      </c>
      <c r="D128" s="9">
        <v>46054.0</v>
      </c>
      <c r="E128" s="10">
        <v>5.08</v>
      </c>
      <c r="F128" s="26">
        <v>1.375</v>
      </c>
      <c r="G128" s="12">
        <v>1.05962219E8</v>
      </c>
      <c r="H128" s="8" t="s">
        <v>112</v>
      </c>
      <c r="I128" s="11">
        <v>-7.804</v>
      </c>
      <c r="J128" s="12">
        <v>1.09268754E9</v>
      </c>
      <c r="K128" s="8" t="s">
        <v>5539</v>
      </c>
      <c r="L128" s="8" t="s">
        <v>5540</v>
      </c>
      <c r="M128" s="14">
        <f>IFERROR(__xludf.DUMMYFUNCTION("IFERROR(GOOGLEFINANCE(B128,""price""),"""")"),2.01)</f>
        <v>2.01</v>
      </c>
    </row>
    <row r="129">
      <c r="A129" s="15">
        <v>46050.65015033935</v>
      </c>
      <c r="B129" s="16" t="s">
        <v>5446</v>
      </c>
      <c r="C129" s="16" t="s">
        <v>5447</v>
      </c>
      <c r="D129" s="17">
        <v>46054.0</v>
      </c>
      <c r="E129" s="18">
        <v>1.57</v>
      </c>
      <c r="F129" s="27">
        <v>1.3516</v>
      </c>
      <c r="G129" s="20">
        <v>1.0408104E7</v>
      </c>
      <c r="H129" s="16" t="s">
        <v>335</v>
      </c>
      <c r="I129" s="19">
        <v>-8.7209</v>
      </c>
      <c r="J129" s="20">
        <v>2.54118384E8</v>
      </c>
      <c r="K129" s="16" t="s">
        <v>5448</v>
      </c>
      <c r="L129" s="16" t="s">
        <v>5445</v>
      </c>
      <c r="M129" s="22">
        <f>IFERROR(__xludf.DUMMYFUNCTION("IFERROR(GOOGLEFINANCE(B129,""price""),"""")"),1.48)</f>
        <v>1.48</v>
      </c>
    </row>
    <row r="130">
      <c r="A130" s="7">
        <v>46050.65015033935</v>
      </c>
      <c r="B130" s="8" t="s">
        <v>1077</v>
      </c>
      <c r="C130" s="8" t="s">
        <v>1078</v>
      </c>
      <c r="D130" s="9">
        <v>46054.0</v>
      </c>
      <c r="E130" s="10">
        <v>9.7</v>
      </c>
      <c r="F130" s="26">
        <v>1.2822</v>
      </c>
      <c r="G130" s="12">
        <v>1.575095E7</v>
      </c>
      <c r="H130" s="8" t="s">
        <v>335</v>
      </c>
      <c r="I130" s="11">
        <v>-2.1191</v>
      </c>
      <c r="J130" s="12">
        <v>1.358345435E9</v>
      </c>
      <c r="K130" s="8" t="s">
        <v>1079</v>
      </c>
      <c r="L130" s="8" t="s">
        <v>5506</v>
      </c>
      <c r="M130" s="14">
        <f>IFERROR(__xludf.DUMMYFUNCTION("IFERROR(GOOGLEFINANCE(B130,""price""),"""")"),8.36)</f>
        <v>8.36</v>
      </c>
    </row>
    <row r="131">
      <c r="A131" s="15">
        <v>46050.65015033935</v>
      </c>
      <c r="B131" s="16" t="s">
        <v>5551</v>
      </c>
      <c r="C131" s="16" t="s">
        <v>5552</v>
      </c>
      <c r="D131" s="17">
        <v>46054.0</v>
      </c>
      <c r="E131" s="18">
        <v>1.56</v>
      </c>
      <c r="F131" s="27">
        <v>1.2813</v>
      </c>
      <c r="G131" s="20">
        <v>1.0387702E7</v>
      </c>
      <c r="H131" s="16" t="s">
        <v>88</v>
      </c>
      <c r="I131" s="19">
        <v>-1.8868</v>
      </c>
      <c r="J131" s="20">
        <v>1.447063829E9</v>
      </c>
      <c r="K131" s="16" t="s">
        <v>5553</v>
      </c>
      <c r="L131" s="16" t="s">
        <v>5471</v>
      </c>
      <c r="M131" s="22">
        <f>IFERROR(__xludf.DUMMYFUNCTION("IFERROR(GOOGLEFINANCE(B131,""price""),"""")"),0.95)</f>
        <v>0.95</v>
      </c>
    </row>
    <row r="132">
      <c r="A132" s="7">
        <v>46050.65015033935</v>
      </c>
      <c r="B132" s="8" t="s">
        <v>5514</v>
      </c>
      <c r="C132" s="8" t="s">
        <v>5515</v>
      </c>
      <c r="D132" s="9">
        <v>46054.0</v>
      </c>
      <c r="E132" s="10">
        <v>6.15</v>
      </c>
      <c r="F132" s="26">
        <v>1.2695</v>
      </c>
      <c r="G132" s="12">
        <v>3.4388054E7</v>
      </c>
      <c r="H132" s="8" t="s">
        <v>117</v>
      </c>
      <c r="I132" s="11">
        <v>3.3613</v>
      </c>
      <c r="J132" s="12">
        <v>6.057535847E9</v>
      </c>
      <c r="K132" s="8" t="s">
        <v>5516</v>
      </c>
      <c r="L132" s="8" t="s">
        <v>5491</v>
      </c>
      <c r="M132" s="14">
        <f>IFERROR(__xludf.DUMMYFUNCTION("IFERROR(GOOGLEFINANCE(B132,""price""),"""")"),7.28)</f>
        <v>7.28</v>
      </c>
    </row>
    <row r="133">
      <c r="A133" s="15">
        <v>46050.65015033935</v>
      </c>
      <c r="B133" s="16" t="s">
        <v>5601</v>
      </c>
      <c r="C133" s="16" t="s">
        <v>5602</v>
      </c>
      <c r="D133" s="17">
        <v>46054.0</v>
      </c>
      <c r="E133" s="18">
        <v>5.12</v>
      </c>
      <c r="F133" s="27">
        <v>1.1953</v>
      </c>
      <c r="G133" s="20">
        <v>1.3017975E7</v>
      </c>
      <c r="H133" s="16" t="s">
        <v>117</v>
      </c>
      <c r="I133" s="19">
        <v>-17.1521</v>
      </c>
      <c r="J133" s="20">
        <v>5.34232993E8</v>
      </c>
      <c r="K133" s="16" t="s">
        <v>5603</v>
      </c>
      <c r="L133" s="16" t="s">
        <v>5502</v>
      </c>
      <c r="M133" s="22">
        <f>IFERROR(__xludf.DUMMYFUNCTION("IFERROR(GOOGLEFINANCE(B133,""price""),"""")"),3.24)</f>
        <v>3.24</v>
      </c>
    </row>
    <row r="134">
      <c r="A134" s="7">
        <v>46050.65015033935</v>
      </c>
      <c r="B134" s="8" t="s">
        <v>5587</v>
      </c>
      <c r="C134" s="8" t="s">
        <v>5588</v>
      </c>
      <c r="D134" s="9">
        <v>46054.0</v>
      </c>
      <c r="E134" s="10">
        <v>24.6</v>
      </c>
      <c r="F134" s="26">
        <v>1.1803</v>
      </c>
      <c r="G134" s="12">
        <v>4.7769465E7</v>
      </c>
      <c r="H134" s="8" t="s">
        <v>93</v>
      </c>
      <c r="I134" s="11">
        <v>-3.3778</v>
      </c>
      <c r="J134" s="12">
        <v>3.1007031649E10</v>
      </c>
      <c r="K134" s="8" t="s">
        <v>5589</v>
      </c>
      <c r="L134" s="8" t="s">
        <v>5590</v>
      </c>
      <c r="M134" s="14">
        <f>IFERROR(__xludf.DUMMYFUNCTION("IFERROR(GOOGLEFINANCE(B134,""price""),"""")"),16.22)</f>
        <v>16.22</v>
      </c>
    </row>
    <row r="135">
      <c r="A135" s="15">
        <v>46050.65015033935</v>
      </c>
      <c r="B135" s="16" t="s">
        <v>5517</v>
      </c>
      <c r="C135" s="16" t="s">
        <v>5518</v>
      </c>
      <c r="D135" s="17">
        <v>46054.0</v>
      </c>
      <c r="E135" s="18">
        <v>13.29</v>
      </c>
      <c r="F135" s="27">
        <v>1.1777</v>
      </c>
      <c r="G135" s="20">
        <v>5.3453416E7</v>
      </c>
      <c r="H135" s="16" t="s">
        <v>308</v>
      </c>
      <c r="I135" s="19">
        <v>-6.4085</v>
      </c>
      <c r="J135" s="20">
        <v>2.194853935E9</v>
      </c>
      <c r="K135" s="16" t="s">
        <v>5519</v>
      </c>
      <c r="L135" s="16" t="s">
        <v>5520</v>
      </c>
      <c r="M135" s="22">
        <f>IFERROR(__xludf.DUMMYFUNCTION("IFERROR(GOOGLEFINANCE(B135,""price""),"""")"),9.29)</f>
        <v>9.29</v>
      </c>
    </row>
    <row r="136">
      <c r="A136" s="7">
        <v>46050.65015033935</v>
      </c>
      <c r="B136" s="8" t="s">
        <v>5422</v>
      </c>
      <c r="C136" s="8" t="s">
        <v>5423</v>
      </c>
      <c r="D136" s="9">
        <v>46054.0</v>
      </c>
      <c r="E136" s="10">
        <v>25.18</v>
      </c>
      <c r="F136" s="26">
        <v>1.175</v>
      </c>
      <c r="G136" s="12">
        <v>3.1952195E7</v>
      </c>
      <c r="H136" s="8" t="s">
        <v>102</v>
      </c>
      <c r="I136" s="11">
        <v>-4.4402</v>
      </c>
      <c r="J136" s="12">
        <v>3.718580732E9</v>
      </c>
      <c r="K136" s="8" t="s">
        <v>5424</v>
      </c>
      <c r="L136" s="8" t="s">
        <v>5425</v>
      </c>
      <c r="M136" s="14">
        <f>IFERROR(__xludf.DUMMYFUNCTION("IFERROR(GOOGLEFINANCE(B136,""price""),"""")"),16.15)</f>
        <v>16.15</v>
      </c>
    </row>
    <row r="137">
      <c r="A137" s="15">
        <v>46050.65015033935</v>
      </c>
      <c r="B137" s="16" t="s">
        <v>5604</v>
      </c>
      <c r="C137" s="16" t="s">
        <v>5605</v>
      </c>
      <c r="D137" s="17">
        <v>46054.0</v>
      </c>
      <c r="E137" s="18">
        <v>45.23</v>
      </c>
      <c r="F137" s="27">
        <v>1.1719</v>
      </c>
      <c r="G137" s="20">
        <v>1.1642906E7</v>
      </c>
      <c r="H137" s="16" t="s">
        <v>308</v>
      </c>
      <c r="I137" s="19">
        <v>20.9682</v>
      </c>
      <c r="J137" s="20">
        <v>3.088299463E9</v>
      </c>
      <c r="K137" s="16" t="s">
        <v>5606</v>
      </c>
      <c r="L137" s="16" t="s">
        <v>5414</v>
      </c>
      <c r="M137" s="22">
        <f>IFERROR(__xludf.DUMMYFUNCTION("IFERROR(GOOGLEFINANCE(B137,""price""),"""")"),150.6)</f>
        <v>150.6</v>
      </c>
    </row>
    <row r="138">
      <c r="A138" s="7">
        <v>46050.65015033935</v>
      </c>
      <c r="B138" s="8" t="s">
        <v>5607</v>
      </c>
      <c r="C138" s="8" t="s">
        <v>5608</v>
      </c>
      <c r="D138" s="9">
        <v>46054.0</v>
      </c>
      <c r="E138" s="10">
        <v>22.81</v>
      </c>
      <c r="F138" s="26">
        <v>1.1638</v>
      </c>
      <c r="G138" s="12">
        <v>1.6760517E7</v>
      </c>
      <c r="H138" s="8" t="s">
        <v>308</v>
      </c>
      <c r="I138" s="11">
        <v>12.4199</v>
      </c>
      <c r="J138" s="12">
        <v>4.110796543E9</v>
      </c>
      <c r="K138" s="8" t="s">
        <v>5609</v>
      </c>
      <c r="L138" s="8" t="s">
        <v>5520</v>
      </c>
      <c r="M138" s="14">
        <f>IFERROR(__xludf.DUMMYFUNCTION("IFERROR(GOOGLEFINANCE(B138,""price""),"""")"),23.57)</f>
        <v>23.57</v>
      </c>
    </row>
    <row r="139">
      <c r="A139" s="15">
        <v>46050.65015033935</v>
      </c>
      <c r="B139" s="16" t="s">
        <v>5610</v>
      </c>
      <c r="C139" s="16" t="s">
        <v>5611</v>
      </c>
      <c r="D139" s="17">
        <v>46054.0</v>
      </c>
      <c r="E139" s="18">
        <v>129.62</v>
      </c>
      <c r="F139" s="27">
        <v>1.1626</v>
      </c>
      <c r="G139" s="20">
        <v>1.7768787E7</v>
      </c>
      <c r="H139" s="16" t="s">
        <v>88</v>
      </c>
      <c r="I139" s="19">
        <v>-1.654</v>
      </c>
      <c r="J139" s="20">
        <v>1.34596211752E11</v>
      </c>
      <c r="K139" s="16" t="s">
        <v>5612</v>
      </c>
      <c r="L139" s="16" t="s">
        <v>5429</v>
      </c>
      <c r="M139" s="22">
        <f>IFERROR(__xludf.DUMMYFUNCTION("IFERROR(GOOGLEFINANCE(B139,""price""),"""")"),83.0)</f>
        <v>83</v>
      </c>
    </row>
    <row r="140">
      <c r="A140" s="7">
        <v>46050.65015033935</v>
      </c>
      <c r="B140" s="8" t="s">
        <v>5527</v>
      </c>
      <c r="C140" s="8" t="s">
        <v>5528</v>
      </c>
      <c r="D140" s="9">
        <v>46054.0</v>
      </c>
      <c r="E140" s="10">
        <v>16.38</v>
      </c>
      <c r="F140" s="26">
        <v>1.1605</v>
      </c>
      <c r="G140" s="12">
        <v>1.8111854E7</v>
      </c>
      <c r="H140" s="8" t="s">
        <v>88</v>
      </c>
      <c r="I140" s="11">
        <v>4.531</v>
      </c>
      <c r="J140" s="12">
        <v>1.955299274E9</v>
      </c>
      <c r="K140" s="8" t="s">
        <v>5529</v>
      </c>
      <c r="L140" s="8" t="s">
        <v>5429</v>
      </c>
      <c r="M140" s="14">
        <f>IFERROR(__xludf.DUMMYFUNCTION("IFERROR(GOOGLEFINANCE(B140,""price""),"""")"),12.37)</f>
        <v>12.37</v>
      </c>
    </row>
    <row r="141">
      <c r="A141" s="15">
        <v>46050.65015033935</v>
      </c>
      <c r="B141" s="16" t="s">
        <v>2704</v>
      </c>
      <c r="C141" s="16" t="s">
        <v>2705</v>
      </c>
      <c r="D141" s="17">
        <v>46054.0</v>
      </c>
      <c r="E141" s="18">
        <v>40.22</v>
      </c>
      <c r="F141" s="27">
        <v>1.1135</v>
      </c>
      <c r="G141" s="20">
        <v>3.0098404E7</v>
      </c>
      <c r="H141" s="16" t="s">
        <v>88</v>
      </c>
      <c r="I141" s="19">
        <v>-2.7328</v>
      </c>
      <c r="J141" s="20">
        <v>1.1244941081E10</v>
      </c>
      <c r="K141" s="16" t="s">
        <v>2707</v>
      </c>
      <c r="L141" s="16" t="s">
        <v>5471</v>
      </c>
      <c r="M141" s="22">
        <f>IFERROR(__xludf.DUMMYFUNCTION("IFERROR(GOOGLEFINANCE(B141,""price""),"""")"),26.24)</f>
        <v>26.24</v>
      </c>
    </row>
    <row r="142">
      <c r="A142" s="7">
        <v>46050.65015033935</v>
      </c>
      <c r="B142" s="8" t="s">
        <v>5574</v>
      </c>
      <c r="C142" s="8" t="s">
        <v>5575</v>
      </c>
      <c r="D142" s="9">
        <v>46054.0</v>
      </c>
      <c r="E142" s="10">
        <v>27.72</v>
      </c>
      <c r="F142" s="26">
        <v>1.1086</v>
      </c>
      <c r="G142" s="12">
        <v>2.8380202E7</v>
      </c>
      <c r="H142" s="8" t="s">
        <v>335</v>
      </c>
      <c r="I142" s="11">
        <v>14.7351</v>
      </c>
      <c r="J142" s="12">
        <v>6.577588902E9</v>
      </c>
      <c r="K142" s="8" t="s">
        <v>5576</v>
      </c>
      <c r="L142" s="8" t="s">
        <v>5506</v>
      </c>
      <c r="M142" s="14">
        <f>IFERROR(__xludf.DUMMYFUNCTION("IFERROR(GOOGLEFINANCE(B142,""price""),"""")"),18.4)</f>
        <v>18.4</v>
      </c>
    </row>
    <row r="143">
      <c r="A143" s="15">
        <v>46050.65015033935</v>
      </c>
      <c r="B143" s="16" t="s">
        <v>5544</v>
      </c>
      <c r="C143" s="16" t="s">
        <v>5545</v>
      </c>
      <c r="D143" s="17">
        <v>46054.0</v>
      </c>
      <c r="E143" s="18">
        <v>18.97</v>
      </c>
      <c r="F143" s="27">
        <v>1.096</v>
      </c>
      <c r="G143" s="20">
        <v>3.2888164E7</v>
      </c>
      <c r="H143" s="16" t="s">
        <v>88</v>
      </c>
      <c r="I143" s="19">
        <v>1.1733</v>
      </c>
      <c r="J143" s="20">
        <v>7.494896597E9</v>
      </c>
      <c r="K143" s="16" t="s">
        <v>5546</v>
      </c>
      <c r="L143" s="16" t="s">
        <v>5471</v>
      </c>
      <c r="M143" s="22">
        <f>IFERROR(__xludf.DUMMYFUNCTION("IFERROR(GOOGLEFINANCE(B143,""price""),"""")"),16.53)</f>
        <v>16.53</v>
      </c>
    </row>
    <row r="144">
      <c r="A144" s="7">
        <v>46050.65015033935</v>
      </c>
      <c r="B144" s="8" t="s">
        <v>5484</v>
      </c>
      <c r="C144" s="8" t="s">
        <v>5485</v>
      </c>
      <c r="D144" s="9">
        <v>46054.0</v>
      </c>
      <c r="E144" s="10">
        <v>62.94</v>
      </c>
      <c r="F144" s="26">
        <v>1.0932</v>
      </c>
      <c r="G144" s="12">
        <v>4.2948262E7</v>
      </c>
      <c r="H144" s="8" t="s">
        <v>88</v>
      </c>
      <c r="I144" s="11">
        <v>4.9175</v>
      </c>
      <c r="J144" s="12">
        <v>2.0612814207E10</v>
      </c>
      <c r="K144" s="8" t="s">
        <v>5486</v>
      </c>
      <c r="L144" s="8" t="s">
        <v>5471</v>
      </c>
      <c r="M144" s="14">
        <f>IFERROR(__xludf.DUMMYFUNCTION("IFERROR(GOOGLEFINANCE(B144,""price""),"""")"),39.32)</f>
        <v>39.32</v>
      </c>
    </row>
    <row r="145">
      <c r="A145" s="15">
        <v>46050.65015033935</v>
      </c>
      <c r="B145" s="16" t="s">
        <v>5530</v>
      </c>
      <c r="C145" s="16" t="s">
        <v>5531</v>
      </c>
      <c r="D145" s="17">
        <v>46054.0</v>
      </c>
      <c r="E145" s="18">
        <v>8.41</v>
      </c>
      <c r="F145" s="27">
        <v>1.0879</v>
      </c>
      <c r="G145" s="20">
        <v>1.0527989E7</v>
      </c>
      <c r="H145" s="16" t="s">
        <v>335</v>
      </c>
      <c r="I145" s="19">
        <v>4.472</v>
      </c>
      <c r="J145" s="20">
        <v>3.477468096E9</v>
      </c>
      <c r="K145" s="16" t="s">
        <v>5532</v>
      </c>
      <c r="L145" s="16" t="s">
        <v>5506</v>
      </c>
      <c r="M145" s="22">
        <f>IFERROR(__xludf.DUMMYFUNCTION("IFERROR(GOOGLEFINANCE(B145,""price""),"""")"),4.34)</f>
        <v>4.34</v>
      </c>
    </row>
    <row r="146">
      <c r="A146" s="7">
        <v>46050.65015033935</v>
      </c>
      <c r="B146" s="8" t="s">
        <v>5430</v>
      </c>
      <c r="C146" s="8" t="s">
        <v>5431</v>
      </c>
      <c r="D146" s="9">
        <v>46054.0</v>
      </c>
      <c r="E146" s="10">
        <v>2.45</v>
      </c>
      <c r="F146" s="26">
        <v>1.0625</v>
      </c>
      <c r="G146" s="12">
        <v>1.21065044E8</v>
      </c>
      <c r="H146" s="8" t="s">
        <v>308</v>
      </c>
      <c r="I146" s="11">
        <v>1.6598</v>
      </c>
      <c r="J146" s="12">
        <v>3.409506493E9</v>
      </c>
      <c r="K146" s="8" t="s">
        <v>5432</v>
      </c>
      <c r="L146" s="8" t="s">
        <v>5433</v>
      </c>
      <c r="M146" s="14">
        <f>IFERROR(__xludf.DUMMYFUNCTION("IFERROR(GOOGLEFINANCE(B146,""price""),"""")"),2.74)</f>
        <v>2.74</v>
      </c>
    </row>
    <row r="147">
      <c r="A147" s="15">
        <v>46050.65015033935</v>
      </c>
      <c r="B147" s="16" t="s">
        <v>5614</v>
      </c>
      <c r="C147" s="16" t="s">
        <v>5615</v>
      </c>
      <c r="D147" s="17">
        <v>46054.0</v>
      </c>
      <c r="E147" s="18">
        <v>40.86</v>
      </c>
      <c r="F147" s="27">
        <v>1.0565</v>
      </c>
      <c r="G147" s="20">
        <v>1.006078E7</v>
      </c>
      <c r="H147" s="16" t="s">
        <v>162</v>
      </c>
      <c r="I147" s="19">
        <v>-1.1611</v>
      </c>
      <c r="J147" s="20">
        <v>2.1130957069E10</v>
      </c>
      <c r="K147" s="16" t="s">
        <v>5616</v>
      </c>
      <c r="L147" s="16" t="s">
        <v>5490</v>
      </c>
      <c r="M147" s="22">
        <f>IFERROR(__xludf.DUMMYFUNCTION("IFERROR(GOOGLEFINANCE(B147,""price""),"""")"),39.56)</f>
        <v>39.56</v>
      </c>
    </row>
    <row r="148">
      <c r="A148" s="7">
        <v>46050.65015033935</v>
      </c>
      <c r="B148" s="8" t="s">
        <v>5591</v>
      </c>
      <c r="C148" s="8" t="s">
        <v>5592</v>
      </c>
      <c r="D148" s="9">
        <v>46054.0</v>
      </c>
      <c r="E148" s="10">
        <v>10.19</v>
      </c>
      <c r="F148" s="26">
        <v>1.0498</v>
      </c>
      <c r="G148" s="12">
        <v>2.7059866E7</v>
      </c>
      <c r="H148" s="8" t="s">
        <v>308</v>
      </c>
      <c r="I148" s="11">
        <v>6.59</v>
      </c>
      <c r="J148" s="12">
        <v>2.348756231E9</v>
      </c>
      <c r="K148" s="8" t="s">
        <v>5593</v>
      </c>
      <c r="L148" s="8" t="s">
        <v>5414</v>
      </c>
      <c r="M148" s="14">
        <f>IFERROR(__xludf.DUMMYFUNCTION("IFERROR(GOOGLEFINANCE(B148,""price""),"""")"),9.54)</f>
        <v>9.54</v>
      </c>
    </row>
    <row r="149">
      <c r="A149" s="15">
        <v>46050.65015033935</v>
      </c>
      <c r="B149" s="16" t="s">
        <v>5558</v>
      </c>
      <c r="C149" s="16" t="s">
        <v>5559</v>
      </c>
      <c r="D149" s="17">
        <v>46054.0</v>
      </c>
      <c r="E149" s="18">
        <v>16.68</v>
      </c>
      <c r="F149" s="27">
        <v>1.0393</v>
      </c>
      <c r="G149" s="20">
        <v>2.4811825E7</v>
      </c>
      <c r="H149" s="16" t="s">
        <v>102</v>
      </c>
      <c r="I149" s="19">
        <v>11.1259</v>
      </c>
      <c r="J149" s="20">
        <v>5.405957643E9</v>
      </c>
      <c r="K149" s="16" t="s">
        <v>5560</v>
      </c>
      <c r="L149" s="16" t="s">
        <v>5536</v>
      </c>
      <c r="M149" s="22">
        <f>IFERROR(__xludf.DUMMYFUNCTION("IFERROR(GOOGLEFINANCE(B149,""price""),"""")"),5.62)</f>
        <v>5.62</v>
      </c>
    </row>
    <row r="150">
      <c r="A150" s="7">
        <v>46050.65015033935</v>
      </c>
      <c r="B150" s="8" t="s">
        <v>5554</v>
      </c>
      <c r="C150" s="8" t="s">
        <v>5555</v>
      </c>
      <c r="D150" s="9">
        <v>46054.0</v>
      </c>
      <c r="E150" s="10">
        <v>121.23</v>
      </c>
      <c r="F150" s="26">
        <v>1.0291</v>
      </c>
      <c r="G150" s="12">
        <v>1.8316286E7</v>
      </c>
      <c r="H150" s="8" t="s">
        <v>873</v>
      </c>
      <c r="I150" s="11">
        <v>8.8827</v>
      </c>
      <c r="J150" s="12">
        <v>4.4540057563E10</v>
      </c>
      <c r="K150" s="8" t="s">
        <v>5556</v>
      </c>
      <c r="L150" s="8" t="s">
        <v>5557</v>
      </c>
      <c r="M150" s="14">
        <f>IFERROR(__xludf.DUMMYFUNCTION("IFERROR(GOOGLEFINANCE(B150,""price""),"""")"),94.9)</f>
        <v>94.9</v>
      </c>
    </row>
    <row r="151">
      <c r="A151" s="15">
        <v>46050.65015033935</v>
      </c>
      <c r="B151" s="16" t="s">
        <v>5434</v>
      </c>
      <c r="C151" s="16" t="s">
        <v>5435</v>
      </c>
      <c r="D151" s="17">
        <v>46054.0</v>
      </c>
      <c r="E151" s="18">
        <v>12.27</v>
      </c>
      <c r="F151" s="27">
        <v>1.0273</v>
      </c>
      <c r="G151" s="20">
        <v>9.9754222E7</v>
      </c>
      <c r="H151" s="16" t="s">
        <v>308</v>
      </c>
      <c r="I151" s="19">
        <v>0.0816</v>
      </c>
      <c r="J151" s="20">
        <v>5.185013845E9</v>
      </c>
      <c r="K151" s="16" t="s">
        <v>5436</v>
      </c>
      <c r="L151" s="16" t="s">
        <v>5437</v>
      </c>
      <c r="M151" s="22">
        <f>IFERROR(__xludf.DUMMYFUNCTION("IFERROR(GOOGLEFINANCE(B151,""price""),"""")"),9.13)</f>
        <v>9.13</v>
      </c>
    </row>
    <row r="152">
      <c r="A152" s="7">
        <v>46051.62817004133</v>
      </c>
      <c r="B152" s="8" t="s">
        <v>5617</v>
      </c>
      <c r="C152" s="8" t="s">
        <v>5618</v>
      </c>
      <c r="D152" s="9">
        <v>46054.0</v>
      </c>
      <c r="E152" s="10">
        <v>2.9479</v>
      </c>
      <c r="F152" s="26">
        <v>1.9883</v>
      </c>
      <c r="G152" s="12">
        <v>2.053135E7</v>
      </c>
      <c r="H152" s="8" t="s">
        <v>308</v>
      </c>
      <c r="I152" s="11">
        <v>-12.2649</v>
      </c>
      <c r="J152" s="12">
        <v>1.96093869E8</v>
      </c>
      <c r="K152" s="8" t="s">
        <v>5619</v>
      </c>
      <c r="L152" s="8" t="s">
        <v>5437</v>
      </c>
      <c r="M152" s="14">
        <f>IFERROR(__xludf.DUMMYFUNCTION("IFERROR(GOOGLEFINANCE(B152,""price""),"""")"),4.25)</f>
        <v>4.25</v>
      </c>
    </row>
    <row r="153">
      <c r="A153" s="15">
        <v>46051.62817004133</v>
      </c>
      <c r="B153" s="16" t="s">
        <v>5510</v>
      </c>
      <c r="C153" s="16" t="s">
        <v>5511</v>
      </c>
      <c r="D153" s="17">
        <v>46054.0</v>
      </c>
      <c r="E153" s="18">
        <v>543.37</v>
      </c>
      <c r="F153" s="27">
        <v>1.7924</v>
      </c>
      <c r="G153" s="20">
        <v>1.5325282E7</v>
      </c>
      <c r="H153" s="16" t="s">
        <v>308</v>
      </c>
      <c r="I153" s="19">
        <v>2.9832</v>
      </c>
      <c r="J153" s="20">
        <v>7.9632600458E10</v>
      </c>
      <c r="K153" s="16" t="s">
        <v>5512</v>
      </c>
      <c r="L153" s="16" t="s">
        <v>5513</v>
      </c>
      <c r="M153" s="22">
        <f>IFERROR(__xludf.DUMMYFUNCTION("IFERROR(GOOGLEFINANCE(B153,""price""),"""")"),851.77)</f>
        <v>851.77</v>
      </c>
    </row>
    <row r="154">
      <c r="A154" s="7">
        <v>46051.62817004133</v>
      </c>
      <c r="B154" s="8" t="s">
        <v>5175</v>
      </c>
      <c r="C154" s="8" t="s">
        <v>5176</v>
      </c>
      <c r="D154" s="9">
        <v>46054.0</v>
      </c>
      <c r="E154" s="10">
        <v>5.725</v>
      </c>
      <c r="F154" s="26">
        <v>1.6484</v>
      </c>
      <c r="G154" s="12">
        <v>1.1430571E7</v>
      </c>
      <c r="H154" s="8" t="s">
        <v>93</v>
      </c>
      <c r="I154" s="11">
        <v>-2.8014</v>
      </c>
      <c r="J154" s="12">
        <v>9.237276335E9</v>
      </c>
      <c r="K154" s="8" t="s">
        <v>5177</v>
      </c>
      <c r="L154" s="8" t="s">
        <v>5590</v>
      </c>
      <c r="M154" s="14">
        <f>IFERROR(__xludf.DUMMYFUNCTION("IFERROR(GOOGLEFINANCE(B154,""price""),"""")"),3.69)</f>
        <v>3.69</v>
      </c>
    </row>
    <row r="155">
      <c r="A155" s="15">
        <v>46051.62817004133</v>
      </c>
      <c r="B155" s="16" t="s">
        <v>5499</v>
      </c>
      <c r="C155" s="16" t="s">
        <v>5500</v>
      </c>
      <c r="D155" s="17">
        <v>46054.0</v>
      </c>
      <c r="E155" s="18">
        <v>2.655</v>
      </c>
      <c r="F155" s="27">
        <v>1.6406</v>
      </c>
      <c r="G155" s="20">
        <v>9162171.0</v>
      </c>
      <c r="H155" s="16" t="s">
        <v>117</v>
      </c>
      <c r="I155" s="19">
        <v>-3.4545</v>
      </c>
      <c r="J155" s="20">
        <v>1.053949924E9</v>
      </c>
      <c r="K155" s="16" t="s">
        <v>5501</v>
      </c>
      <c r="L155" s="16" t="s">
        <v>5502</v>
      </c>
      <c r="M155" s="22">
        <f>IFERROR(__xludf.DUMMYFUNCTION("IFERROR(GOOGLEFINANCE(B155,""price""),"""")"),3.7)</f>
        <v>3.7</v>
      </c>
    </row>
    <row r="156">
      <c r="A156" s="7">
        <v>46051.62817004133</v>
      </c>
      <c r="B156" s="8" t="s">
        <v>5446</v>
      </c>
      <c r="C156" s="8" t="s">
        <v>5447</v>
      </c>
      <c r="D156" s="9">
        <v>46054.0</v>
      </c>
      <c r="E156" s="10">
        <v>1.46</v>
      </c>
      <c r="F156" s="26">
        <v>1.5313</v>
      </c>
      <c r="G156" s="12">
        <v>9332278.0</v>
      </c>
      <c r="H156" s="8" t="s">
        <v>335</v>
      </c>
      <c r="I156" s="11">
        <v>-7.0064</v>
      </c>
      <c r="J156" s="12">
        <v>2.36313916E8</v>
      </c>
      <c r="K156" s="8" t="s">
        <v>5448</v>
      </c>
      <c r="L156" s="8" t="s">
        <v>5445</v>
      </c>
      <c r="M156" s="14">
        <f>IFERROR(__xludf.DUMMYFUNCTION("IFERROR(GOOGLEFINANCE(B156,""price""),"""")"),1.48)</f>
        <v>1.48</v>
      </c>
    </row>
    <row r="157">
      <c r="A157" s="15">
        <v>46051.62817004133</v>
      </c>
      <c r="B157" s="16" t="s">
        <v>5503</v>
      </c>
      <c r="C157" s="16" t="s">
        <v>5504</v>
      </c>
      <c r="D157" s="17">
        <v>46054.0</v>
      </c>
      <c r="E157" s="18">
        <v>14.225</v>
      </c>
      <c r="F157" s="27">
        <v>1.513</v>
      </c>
      <c r="G157" s="20">
        <v>2.4023563E7</v>
      </c>
      <c r="H157" s="16" t="s">
        <v>335</v>
      </c>
      <c r="I157" s="19">
        <v>-16.6178</v>
      </c>
      <c r="J157" s="20">
        <v>1.677191609E9</v>
      </c>
      <c r="K157" s="16" t="s">
        <v>5505</v>
      </c>
      <c r="L157" s="16" t="s">
        <v>5445</v>
      </c>
      <c r="M157" s="22">
        <f>IFERROR(__xludf.DUMMYFUNCTION("IFERROR(GOOGLEFINANCE(B157,""price""),"""")"),8.87)</f>
        <v>8.87</v>
      </c>
    </row>
    <row r="158">
      <c r="A158" s="7">
        <v>46051.62817004133</v>
      </c>
      <c r="B158" s="8" t="s">
        <v>2768</v>
      </c>
      <c r="C158" s="8" t="s">
        <v>2769</v>
      </c>
      <c r="D158" s="9">
        <v>46054.0</v>
      </c>
      <c r="E158" s="10">
        <v>278.3001</v>
      </c>
      <c r="F158" s="26">
        <v>1.4427</v>
      </c>
      <c r="G158" s="12">
        <v>1.222419E7</v>
      </c>
      <c r="H158" s="8" t="s">
        <v>308</v>
      </c>
      <c r="I158" s="11">
        <v>-0.5005</v>
      </c>
      <c r="J158" s="12">
        <v>9.5150611304E10</v>
      </c>
      <c r="K158" s="8" t="s">
        <v>2771</v>
      </c>
      <c r="L158" s="8" t="s">
        <v>5513</v>
      </c>
      <c r="M158" s="14">
        <f>IFERROR(__xludf.DUMMYFUNCTION("IFERROR(GOOGLEFINANCE(B158,""price""),"""")"),343.43)</f>
        <v>343.43</v>
      </c>
    </row>
    <row r="159">
      <c r="A159" s="15">
        <v>46051.62817004133</v>
      </c>
      <c r="B159" s="16" t="s">
        <v>5620</v>
      </c>
      <c r="C159" s="16" t="s">
        <v>5621</v>
      </c>
      <c r="D159" s="17">
        <v>46054.0</v>
      </c>
      <c r="E159" s="18">
        <v>5.1887</v>
      </c>
      <c r="F159" s="27">
        <v>1.4355</v>
      </c>
      <c r="G159" s="20">
        <v>2.2691484E7</v>
      </c>
      <c r="H159" s="16" t="s">
        <v>308</v>
      </c>
      <c r="I159" s="19">
        <v>-3.3762</v>
      </c>
      <c r="J159" s="20">
        <v>7.41292586E8</v>
      </c>
      <c r="K159" s="16" t="s">
        <v>5622</v>
      </c>
      <c r="L159" s="16" t="s">
        <v>5520</v>
      </c>
      <c r="M159" s="22">
        <f>IFERROR(__xludf.DUMMYFUNCTION("IFERROR(GOOGLEFINANCE(B159,""price""),"""")"),7.33)</f>
        <v>7.33</v>
      </c>
    </row>
    <row r="160">
      <c r="A160" s="7">
        <v>46051.62817004133</v>
      </c>
      <c r="B160" s="8" t="s">
        <v>5587</v>
      </c>
      <c r="C160" s="8" t="s">
        <v>5588</v>
      </c>
      <c r="D160" s="9">
        <v>46054.0</v>
      </c>
      <c r="E160" s="10">
        <v>24.255</v>
      </c>
      <c r="F160" s="26">
        <v>1.3133</v>
      </c>
      <c r="G160" s="12">
        <v>5.6163184E7</v>
      </c>
      <c r="H160" s="8" t="s">
        <v>93</v>
      </c>
      <c r="I160" s="11">
        <v>-1.4024</v>
      </c>
      <c r="J160" s="12">
        <v>3.0572178509E10</v>
      </c>
      <c r="K160" s="8" t="s">
        <v>5589</v>
      </c>
      <c r="L160" s="8" t="s">
        <v>5590</v>
      </c>
      <c r="M160" s="14">
        <f>IFERROR(__xludf.DUMMYFUNCTION("IFERROR(GOOGLEFINANCE(B160,""price""),"""")"),16.22)</f>
        <v>16.22</v>
      </c>
    </row>
    <row r="161">
      <c r="A161" s="15">
        <v>46051.62817004133</v>
      </c>
      <c r="B161" s="16" t="s">
        <v>5514</v>
      </c>
      <c r="C161" s="16" t="s">
        <v>5515</v>
      </c>
      <c r="D161" s="17">
        <v>46054.0</v>
      </c>
      <c r="E161" s="18">
        <v>5.815</v>
      </c>
      <c r="F161" s="27">
        <v>1.2832</v>
      </c>
      <c r="G161" s="20">
        <v>2.1521302E7</v>
      </c>
      <c r="H161" s="16" t="s">
        <v>117</v>
      </c>
      <c r="I161" s="19">
        <v>-5.4472</v>
      </c>
      <c r="J161" s="20">
        <v>5.727572785E9</v>
      </c>
      <c r="K161" s="16" t="s">
        <v>5516</v>
      </c>
      <c r="L161" s="16" t="s">
        <v>5491</v>
      </c>
      <c r="M161" s="22">
        <f>IFERROR(__xludf.DUMMYFUNCTION("IFERROR(GOOGLEFINANCE(B161,""price""),"""")"),7.28)</f>
        <v>7.28</v>
      </c>
    </row>
    <row r="162">
      <c r="A162" s="7">
        <v>46051.62817004133</v>
      </c>
      <c r="B162" s="8" t="s">
        <v>5533</v>
      </c>
      <c r="C162" s="8" t="s">
        <v>5534</v>
      </c>
      <c r="D162" s="9">
        <v>46054.0</v>
      </c>
      <c r="E162" s="10">
        <v>8.695</v>
      </c>
      <c r="F162" s="26">
        <v>1.2129</v>
      </c>
      <c r="G162" s="12">
        <v>2.2217813E7</v>
      </c>
      <c r="H162" s="8" t="s">
        <v>102</v>
      </c>
      <c r="I162" s="11">
        <v>-8.3772</v>
      </c>
      <c r="J162" s="12">
        <v>2.352630569E9</v>
      </c>
      <c r="K162" s="8" t="s">
        <v>5535</v>
      </c>
      <c r="L162" s="8" t="s">
        <v>5536</v>
      </c>
      <c r="M162" s="14">
        <f>IFERROR(__xludf.DUMMYFUNCTION("IFERROR(GOOGLEFINANCE(B162,""price""),"""")"),4.69)</f>
        <v>4.69</v>
      </c>
    </row>
    <row r="163">
      <c r="A163" s="15">
        <v>46051.62817004133</v>
      </c>
      <c r="B163" s="16" t="s">
        <v>5607</v>
      </c>
      <c r="C163" s="16" t="s">
        <v>5608</v>
      </c>
      <c r="D163" s="17">
        <v>46054.0</v>
      </c>
      <c r="E163" s="18">
        <v>20.99</v>
      </c>
      <c r="F163" s="27">
        <v>1.1967</v>
      </c>
      <c r="G163" s="20">
        <v>1.0006021E7</v>
      </c>
      <c r="H163" s="16" t="s">
        <v>308</v>
      </c>
      <c r="I163" s="19">
        <v>-7.979</v>
      </c>
      <c r="J163" s="20">
        <v>3.782797612E9</v>
      </c>
      <c r="K163" s="16" t="s">
        <v>5609</v>
      </c>
      <c r="L163" s="16" t="s">
        <v>5520</v>
      </c>
      <c r="M163" s="22">
        <f>IFERROR(__xludf.DUMMYFUNCTION("IFERROR(GOOGLEFINANCE(B163,""price""),"""")"),23.57)</f>
        <v>23.57</v>
      </c>
    </row>
    <row r="164">
      <c r="A164" s="7">
        <v>46051.62817004133</v>
      </c>
      <c r="B164" s="8" t="s">
        <v>1077</v>
      </c>
      <c r="C164" s="8" t="s">
        <v>1078</v>
      </c>
      <c r="D164" s="9">
        <v>46054.0</v>
      </c>
      <c r="E164" s="10">
        <v>8.1402</v>
      </c>
      <c r="F164" s="26">
        <v>1.1113</v>
      </c>
      <c r="G164" s="12">
        <v>2.2424436E7</v>
      </c>
      <c r="H164" s="8" t="s">
        <v>335</v>
      </c>
      <c r="I164" s="11">
        <v>-16.0804</v>
      </c>
      <c r="J164" s="12">
        <v>1.139917883E9</v>
      </c>
      <c r="K164" s="8" t="s">
        <v>1079</v>
      </c>
      <c r="L164" s="8" t="s">
        <v>5506</v>
      </c>
      <c r="M164" s="14">
        <f>IFERROR(__xludf.DUMMYFUNCTION("IFERROR(GOOGLEFINANCE(B164,""price""),"""")"),8.36)</f>
        <v>8.36</v>
      </c>
    </row>
    <row r="165">
      <c r="A165" s="15">
        <v>46051.62817004133</v>
      </c>
      <c r="B165" s="16" t="s">
        <v>5544</v>
      </c>
      <c r="C165" s="16" t="s">
        <v>5545</v>
      </c>
      <c r="D165" s="17">
        <v>46054.0</v>
      </c>
      <c r="E165" s="18">
        <v>17.515</v>
      </c>
      <c r="F165" s="27">
        <v>1.1038</v>
      </c>
      <c r="G165" s="20">
        <v>3.0156822E7</v>
      </c>
      <c r="H165" s="16" t="s">
        <v>88</v>
      </c>
      <c r="I165" s="19">
        <v>-7.67</v>
      </c>
      <c r="J165" s="20">
        <v>6.920037383E9</v>
      </c>
      <c r="K165" s="16" t="s">
        <v>5546</v>
      </c>
      <c r="L165" s="16" t="s">
        <v>5471</v>
      </c>
      <c r="M165" s="22">
        <f>IFERROR(__xludf.DUMMYFUNCTION("IFERROR(GOOGLEFINANCE(B165,""price""),"""")"),16.53)</f>
        <v>16.53</v>
      </c>
    </row>
    <row r="166">
      <c r="A166" s="7">
        <v>46051.62817004133</v>
      </c>
      <c r="B166" s="8" t="s">
        <v>5517</v>
      </c>
      <c r="C166" s="8" t="s">
        <v>5518</v>
      </c>
      <c r="D166" s="9">
        <v>46054.0</v>
      </c>
      <c r="E166" s="10">
        <v>12.7384</v>
      </c>
      <c r="F166" s="26">
        <v>1.0869</v>
      </c>
      <c r="G166" s="12">
        <v>3.610948E7</v>
      </c>
      <c r="H166" s="8" t="s">
        <v>308</v>
      </c>
      <c r="I166" s="11">
        <v>-4.1505</v>
      </c>
      <c r="J166" s="12">
        <v>2.103756784E9</v>
      </c>
      <c r="K166" s="8" t="s">
        <v>5519</v>
      </c>
      <c r="L166" s="8" t="s">
        <v>5520</v>
      </c>
      <c r="M166" s="14">
        <f>IFERROR(__xludf.DUMMYFUNCTION("IFERROR(GOOGLEFINANCE(B166,""price""),"""")"),9.29)</f>
        <v>9.29</v>
      </c>
    </row>
    <row r="167">
      <c r="A167" s="15">
        <v>46051.62817004133</v>
      </c>
      <c r="B167" s="16" t="s">
        <v>5422</v>
      </c>
      <c r="C167" s="16" t="s">
        <v>5423</v>
      </c>
      <c r="D167" s="17">
        <v>46054.0</v>
      </c>
      <c r="E167" s="18">
        <v>22.09</v>
      </c>
      <c r="F167" s="27">
        <v>1.0852</v>
      </c>
      <c r="G167" s="20">
        <v>3.6716732E7</v>
      </c>
      <c r="H167" s="16" t="s">
        <v>102</v>
      </c>
      <c r="I167" s="19">
        <v>-12.2716</v>
      </c>
      <c r="J167" s="20">
        <v>3.26224973E9</v>
      </c>
      <c r="K167" s="16" t="s">
        <v>5424</v>
      </c>
      <c r="L167" s="16" t="s">
        <v>5425</v>
      </c>
      <c r="M167" s="22">
        <f>IFERROR(__xludf.DUMMYFUNCTION("IFERROR(GOOGLEFINANCE(B167,""price""),"""")"),16.15)</f>
        <v>16.15</v>
      </c>
    </row>
    <row r="168">
      <c r="A168" s="7">
        <v>46051.62817004133</v>
      </c>
      <c r="B168" s="8" t="s">
        <v>5594</v>
      </c>
      <c r="C168" s="8" t="s">
        <v>5595</v>
      </c>
      <c r="D168" s="9">
        <v>46054.0</v>
      </c>
      <c r="E168" s="10">
        <v>14.11</v>
      </c>
      <c r="F168" s="26">
        <v>1.0755</v>
      </c>
      <c r="G168" s="12">
        <v>2.601884E7</v>
      </c>
      <c r="H168" s="8" t="s">
        <v>88</v>
      </c>
      <c r="I168" s="11">
        <v>-6.6181</v>
      </c>
      <c r="J168" s="12">
        <v>5.90760126E9</v>
      </c>
      <c r="K168" s="8" t="s">
        <v>5596</v>
      </c>
      <c r="L168" s="8" t="s">
        <v>5471</v>
      </c>
      <c r="M168" s="14">
        <f>IFERROR(__xludf.DUMMYFUNCTION("IFERROR(GOOGLEFINANCE(B168,""price""),"""")"),18.88)</f>
        <v>18.88</v>
      </c>
    </row>
    <row r="169">
      <c r="A169" s="15">
        <v>46051.62817004133</v>
      </c>
      <c r="B169" s="16" t="s">
        <v>5537</v>
      </c>
      <c r="C169" s="16" t="s">
        <v>5538</v>
      </c>
      <c r="D169" s="17">
        <v>46054.0</v>
      </c>
      <c r="E169" s="18">
        <v>3.9991</v>
      </c>
      <c r="F169" s="27">
        <v>1.0703</v>
      </c>
      <c r="G169" s="20">
        <v>9.1281876E7</v>
      </c>
      <c r="H169" s="16" t="s">
        <v>112</v>
      </c>
      <c r="I169" s="19">
        <v>-21.2776</v>
      </c>
      <c r="J169" s="20">
        <v>8.60190255E8</v>
      </c>
      <c r="K169" s="16" t="s">
        <v>5539</v>
      </c>
      <c r="L169" s="16" t="s">
        <v>5540</v>
      </c>
      <c r="M169" s="22">
        <f>IFERROR(__xludf.DUMMYFUNCTION("IFERROR(GOOGLEFINANCE(B169,""price""),"""")"),2.01)</f>
        <v>2.01</v>
      </c>
    </row>
    <row r="170">
      <c r="A170" s="7">
        <v>46051.62817004133</v>
      </c>
      <c r="B170" s="8" t="s">
        <v>5574</v>
      </c>
      <c r="C170" s="8" t="s">
        <v>5575</v>
      </c>
      <c r="D170" s="9">
        <v>46054.0</v>
      </c>
      <c r="E170" s="10">
        <v>24.75</v>
      </c>
      <c r="F170" s="26">
        <v>1.0647</v>
      </c>
      <c r="G170" s="12">
        <v>2.4162694E7</v>
      </c>
      <c r="H170" s="8" t="s">
        <v>335</v>
      </c>
      <c r="I170" s="11">
        <v>-10.7143</v>
      </c>
      <c r="J170" s="12">
        <v>5.872847126E9</v>
      </c>
      <c r="K170" s="8" t="s">
        <v>5576</v>
      </c>
      <c r="L170" s="8" t="s">
        <v>5506</v>
      </c>
      <c r="M170" s="14">
        <f>IFERROR(__xludf.DUMMYFUNCTION("IFERROR(GOOGLEFINANCE(B170,""price""),"""")"),18.4)</f>
        <v>18.4</v>
      </c>
    </row>
    <row r="171">
      <c r="A171" s="15">
        <v>46051.62817004133</v>
      </c>
      <c r="B171" s="16" t="s">
        <v>5623</v>
      </c>
      <c r="C171" s="16" t="s">
        <v>5624</v>
      </c>
      <c r="D171" s="17">
        <v>46054.0</v>
      </c>
      <c r="E171" s="18">
        <v>4.47</v>
      </c>
      <c r="F171" s="27">
        <v>1.0391</v>
      </c>
      <c r="G171" s="20">
        <v>1.3216746E7</v>
      </c>
      <c r="H171" s="16" t="s">
        <v>88</v>
      </c>
      <c r="I171" s="19">
        <v>-0.6667</v>
      </c>
      <c r="J171" s="20">
        <v>8.651108174E9</v>
      </c>
      <c r="K171" s="16" t="s">
        <v>5625</v>
      </c>
      <c r="L171" s="16" t="s">
        <v>5429</v>
      </c>
      <c r="M171" s="22">
        <f>IFERROR(__xludf.DUMMYFUNCTION("IFERROR(GOOGLEFINANCE(B171,""price""),"""")"),4.15)</f>
        <v>4.15</v>
      </c>
    </row>
    <row r="172">
      <c r="A172" s="7">
        <v>46051.62817004133</v>
      </c>
      <c r="B172" s="8" t="s">
        <v>5626</v>
      </c>
      <c r="C172" s="8" t="s">
        <v>5627</v>
      </c>
      <c r="D172" s="9">
        <v>46054.0</v>
      </c>
      <c r="E172" s="10">
        <v>28.68</v>
      </c>
      <c r="F172" s="26">
        <v>1.0207</v>
      </c>
      <c r="G172" s="12">
        <v>9798276.0</v>
      </c>
      <c r="H172" s="8" t="s">
        <v>88</v>
      </c>
      <c r="I172" s="11">
        <v>-4.7809</v>
      </c>
      <c r="J172" s="12">
        <v>1.6548476155E10</v>
      </c>
      <c r="K172" s="8" t="s">
        <v>5628</v>
      </c>
      <c r="L172" s="8" t="s">
        <v>5429</v>
      </c>
      <c r="M172" s="14">
        <f>IFERROR(__xludf.DUMMYFUNCTION("IFERROR(GOOGLEFINANCE(B172,""price""),"""")"),25.85)</f>
        <v>25.85</v>
      </c>
    </row>
    <row r="173">
      <c r="A173" s="15">
        <v>46051.62817004133</v>
      </c>
      <c r="B173" s="16" t="s">
        <v>4884</v>
      </c>
      <c r="C173" s="16" t="s">
        <v>4885</v>
      </c>
      <c r="D173" s="17">
        <v>46054.0</v>
      </c>
      <c r="E173" s="18">
        <v>18.86</v>
      </c>
      <c r="F173" s="27">
        <v>1.0147</v>
      </c>
      <c r="G173" s="20">
        <v>9593129.0</v>
      </c>
      <c r="H173" s="16" t="s">
        <v>88</v>
      </c>
      <c r="I173" s="19">
        <v>-3.2324</v>
      </c>
      <c r="J173" s="20">
        <v>5.847756234E9</v>
      </c>
      <c r="K173" s="16" t="s">
        <v>4886</v>
      </c>
      <c r="L173" s="16" t="s">
        <v>5471</v>
      </c>
      <c r="M173" s="22">
        <f>IFERROR(__xludf.DUMMYFUNCTION("IFERROR(GOOGLEFINANCE(B173,""price""),"""")"),18.32)</f>
        <v>18.32</v>
      </c>
    </row>
    <row r="174">
      <c r="A174" s="7">
        <v>46051.62817004133</v>
      </c>
      <c r="B174" s="8" t="s">
        <v>5629</v>
      </c>
      <c r="C174" s="8" t="s">
        <v>5630</v>
      </c>
      <c r="D174" s="9">
        <v>46054.0</v>
      </c>
      <c r="E174" s="10">
        <v>4.185</v>
      </c>
      <c r="F174" s="26">
        <v>0.9941</v>
      </c>
      <c r="G174" s="12">
        <v>8893433.0</v>
      </c>
      <c r="H174" s="8" t="s">
        <v>102</v>
      </c>
      <c r="I174" s="11">
        <v>-2.9002</v>
      </c>
      <c r="J174" s="12">
        <v>1.754352028E9</v>
      </c>
      <c r="K174" s="8" t="s">
        <v>5631</v>
      </c>
      <c r="L174" s="8" t="s">
        <v>5632</v>
      </c>
      <c r="M174" s="14">
        <f>IFERROR(__xludf.DUMMYFUNCTION("IFERROR(GOOGLEFINANCE(B174,""price""),"""")"),3.89)</f>
        <v>3.89</v>
      </c>
    </row>
    <row r="175">
      <c r="A175" s="15">
        <v>46051.62817004133</v>
      </c>
      <c r="B175" s="16" t="s">
        <v>5558</v>
      </c>
      <c r="C175" s="16" t="s">
        <v>5559</v>
      </c>
      <c r="D175" s="17">
        <v>46054.0</v>
      </c>
      <c r="E175" s="18">
        <v>15.7878</v>
      </c>
      <c r="F175" s="27">
        <v>0.9818</v>
      </c>
      <c r="G175" s="20">
        <v>1.9437361E7</v>
      </c>
      <c r="H175" s="16" t="s">
        <v>102</v>
      </c>
      <c r="I175" s="19">
        <v>-5.3489</v>
      </c>
      <c r="J175" s="20">
        <v>5.116797262E9</v>
      </c>
      <c r="K175" s="16" t="s">
        <v>5560</v>
      </c>
      <c r="L175" s="16" t="s">
        <v>5536</v>
      </c>
      <c r="M175" s="22">
        <f>IFERROR(__xludf.DUMMYFUNCTION("IFERROR(GOOGLEFINANCE(B175,""price""),"""")"),5.62)</f>
        <v>5.62</v>
      </c>
    </row>
    <row r="176">
      <c r="A176" s="7">
        <v>46051.62817004133</v>
      </c>
      <c r="B176" s="8" t="s">
        <v>5521</v>
      </c>
      <c r="C176" s="8" t="s">
        <v>5522</v>
      </c>
      <c r="D176" s="9">
        <v>46054.0</v>
      </c>
      <c r="E176" s="10">
        <v>6.55</v>
      </c>
      <c r="F176" s="26">
        <v>0.9766</v>
      </c>
      <c r="G176" s="12">
        <v>1.241295E7</v>
      </c>
      <c r="H176" s="8" t="s">
        <v>335</v>
      </c>
      <c r="I176" s="11">
        <v>-10.274</v>
      </c>
      <c r="J176" s="12">
        <v>8.05461175E8</v>
      </c>
      <c r="K176" s="8" t="s">
        <v>5523</v>
      </c>
      <c r="L176" s="8" t="s">
        <v>5506</v>
      </c>
      <c r="M176" s="14">
        <f>IFERROR(__xludf.DUMMYFUNCTION("IFERROR(GOOGLEFINANCE(B176,""price""),"""")"),4.82)</f>
        <v>4.82</v>
      </c>
    </row>
    <row r="177">
      <c r="A177" s="15">
        <v>46051.62817004133</v>
      </c>
      <c r="B177" s="16" t="s">
        <v>2735</v>
      </c>
      <c r="C177" s="16" t="s">
        <v>2736</v>
      </c>
      <c r="D177" s="17">
        <v>46054.0</v>
      </c>
      <c r="E177" s="18">
        <v>26.185</v>
      </c>
      <c r="F177" s="27">
        <v>0.9694</v>
      </c>
      <c r="G177" s="20">
        <v>3.1380733E7</v>
      </c>
      <c r="H177" s="16" t="s">
        <v>335</v>
      </c>
      <c r="I177" s="19">
        <v>-3.6962</v>
      </c>
      <c r="J177" s="20">
        <v>1.7546534643E10</v>
      </c>
      <c r="K177" s="16" t="s">
        <v>2738</v>
      </c>
      <c r="L177" s="16" t="s">
        <v>5445</v>
      </c>
      <c r="M177" s="22">
        <f>IFERROR(__xludf.DUMMYFUNCTION("IFERROR(GOOGLEFINANCE(B177,""price""),"""")"),19.46)</f>
        <v>19.46</v>
      </c>
    </row>
    <row r="178">
      <c r="A178" s="7">
        <v>46051.62817004133</v>
      </c>
      <c r="B178" s="8" t="s">
        <v>5633</v>
      </c>
      <c r="C178" s="8" t="s">
        <v>5634</v>
      </c>
      <c r="D178" s="9">
        <v>46054.0</v>
      </c>
      <c r="E178" s="10">
        <v>39.27</v>
      </c>
      <c r="F178" s="26">
        <v>0.9629</v>
      </c>
      <c r="G178" s="12">
        <v>1.6324875E7</v>
      </c>
      <c r="H178" s="8" t="s">
        <v>107</v>
      </c>
      <c r="I178" s="11">
        <v>-5.3507</v>
      </c>
      <c r="J178" s="12">
        <v>2.0736066061E10</v>
      </c>
      <c r="K178" s="8" t="s">
        <v>5635</v>
      </c>
      <c r="L178" s="8" t="s">
        <v>5636</v>
      </c>
      <c r="M178" s="14">
        <f>IFERROR(__xludf.DUMMYFUNCTION("IFERROR(GOOGLEFINANCE(B178,""price""),"""")"),36.5)</f>
        <v>36.5</v>
      </c>
    </row>
    <row r="179">
      <c r="A179" s="15">
        <v>46051.62817004133</v>
      </c>
      <c r="B179" s="16" t="s">
        <v>5484</v>
      </c>
      <c r="C179" s="16" t="s">
        <v>5485</v>
      </c>
      <c r="D179" s="17">
        <v>46054.0</v>
      </c>
      <c r="E179" s="18">
        <v>59.2423</v>
      </c>
      <c r="F179" s="27">
        <v>0.9548</v>
      </c>
      <c r="G179" s="20">
        <v>4.2703014E7</v>
      </c>
      <c r="H179" s="16" t="s">
        <v>88</v>
      </c>
      <c r="I179" s="19">
        <v>-5.875</v>
      </c>
      <c r="J179" s="20">
        <v>1.9401818594E10</v>
      </c>
      <c r="K179" s="16" t="s">
        <v>5486</v>
      </c>
      <c r="L179" s="16" t="s">
        <v>5471</v>
      </c>
      <c r="M179" s="22">
        <f>IFERROR(__xludf.DUMMYFUNCTION("IFERROR(GOOGLEFINANCE(B179,""price""),"""")"),39.32)</f>
        <v>39.32</v>
      </c>
    </row>
    <row r="180">
      <c r="A180" s="7">
        <v>46051.62817004133</v>
      </c>
      <c r="B180" s="8" t="s">
        <v>5449</v>
      </c>
      <c r="C180" s="8" t="s">
        <v>5450</v>
      </c>
      <c r="D180" s="9">
        <v>46054.0</v>
      </c>
      <c r="E180" s="10">
        <v>17.245</v>
      </c>
      <c r="F180" s="26">
        <v>0.9536</v>
      </c>
      <c r="G180" s="12">
        <v>3.7048659E7</v>
      </c>
      <c r="H180" s="8" t="s">
        <v>286</v>
      </c>
      <c r="I180" s="11">
        <v>-0.5479</v>
      </c>
      <c r="J180" s="12">
        <v>3.3041620276E10</v>
      </c>
      <c r="K180" s="8" t="s">
        <v>5451</v>
      </c>
      <c r="L180" s="8" t="s">
        <v>5452</v>
      </c>
      <c r="M180" s="14">
        <f>IFERROR(__xludf.DUMMYFUNCTION("IFERROR(GOOGLEFINANCE(B180,""price""),"""")"),17.35)</f>
        <v>17.35</v>
      </c>
    </row>
    <row r="181">
      <c r="A181" s="15">
        <v>46051.62817004133</v>
      </c>
      <c r="B181" s="16" t="s">
        <v>2704</v>
      </c>
      <c r="C181" s="16" t="s">
        <v>2705</v>
      </c>
      <c r="D181" s="17">
        <v>46054.0</v>
      </c>
      <c r="E181" s="18">
        <v>37.825</v>
      </c>
      <c r="F181" s="27">
        <v>0.9436</v>
      </c>
      <c r="G181" s="20">
        <v>2.8077133E7</v>
      </c>
      <c r="H181" s="16" t="s">
        <v>88</v>
      </c>
      <c r="I181" s="19">
        <v>-5.9547</v>
      </c>
      <c r="J181" s="20">
        <v>1.057533379E10</v>
      </c>
      <c r="K181" s="16" t="s">
        <v>2707</v>
      </c>
      <c r="L181" s="16" t="s">
        <v>5471</v>
      </c>
      <c r="M181" s="22">
        <f>IFERROR(__xludf.DUMMYFUNCTION("IFERROR(GOOGLEFINANCE(B181,""price""),"""")"),26.24)</f>
        <v>26.24</v>
      </c>
    </row>
    <row r="182">
      <c r="A182" s="7">
        <v>46052.469663445765</v>
      </c>
      <c r="B182" s="8" t="s">
        <v>5637</v>
      </c>
      <c r="C182" s="8" t="s">
        <v>5638</v>
      </c>
      <c r="D182" s="9">
        <v>46054.0</v>
      </c>
      <c r="E182" s="10">
        <v>30.415</v>
      </c>
      <c r="F182" s="26">
        <v>1.6943</v>
      </c>
      <c r="G182" s="12">
        <v>5.8564334E7</v>
      </c>
      <c r="H182" s="8" t="s">
        <v>88</v>
      </c>
      <c r="I182" s="11">
        <v>-20.7943</v>
      </c>
      <c r="J182" s="12">
        <v>1.30149696E10</v>
      </c>
      <c r="K182" s="8" t="s">
        <v>5639</v>
      </c>
      <c r="L182" s="8" t="s">
        <v>5429</v>
      </c>
      <c r="M182" s="14">
        <f>IFERROR(__xludf.DUMMYFUNCTION("IFERROR(GOOGLEFINANCE(B182,""price""),"""")"),21.62)</f>
        <v>21.62</v>
      </c>
    </row>
    <row r="183">
      <c r="A183" s="15">
        <v>46052.469663445765</v>
      </c>
      <c r="B183" s="16" t="s">
        <v>5640</v>
      </c>
      <c r="C183" s="16" t="s">
        <v>5641</v>
      </c>
      <c r="D183" s="17">
        <v>46054.0</v>
      </c>
      <c r="E183" s="18">
        <v>19.1653</v>
      </c>
      <c r="F183" s="27">
        <v>1.5317</v>
      </c>
      <c r="G183" s="20">
        <v>7494143.0</v>
      </c>
      <c r="H183" s="16" t="s">
        <v>308</v>
      </c>
      <c r="I183" s="19">
        <v>17.0043</v>
      </c>
      <c r="J183" s="20">
        <v>1.059345775E9</v>
      </c>
      <c r="K183" s="16" t="s">
        <v>5642</v>
      </c>
      <c r="L183" s="16" t="s">
        <v>5433</v>
      </c>
      <c r="M183" s="22">
        <f>IFERROR(__xludf.DUMMYFUNCTION("IFERROR(GOOGLEFINANCE(B183,""price""),"""")"),64.18)</f>
        <v>64.18</v>
      </c>
    </row>
    <row r="184">
      <c r="A184" s="7">
        <v>46052.469663445765</v>
      </c>
      <c r="B184" s="8" t="s">
        <v>5533</v>
      </c>
      <c r="C184" s="8" t="s">
        <v>5534</v>
      </c>
      <c r="D184" s="9">
        <v>46054.0</v>
      </c>
      <c r="E184" s="10">
        <v>8.53</v>
      </c>
      <c r="F184" s="26">
        <v>1.5195</v>
      </c>
      <c r="G184" s="12">
        <v>7537290.0</v>
      </c>
      <c r="H184" s="8" t="s">
        <v>102</v>
      </c>
      <c r="I184" s="11">
        <v>-3.9414</v>
      </c>
      <c r="J184" s="12">
        <v>2.307986142E9</v>
      </c>
      <c r="K184" s="8" t="s">
        <v>5535</v>
      </c>
      <c r="L184" s="8" t="s">
        <v>5536</v>
      </c>
      <c r="M184" s="14">
        <f>IFERROR(__xludf.DUMMYFUNCTION("IFERROR(GOOGLEFINANCE(B184,""price""),"""")"),4.69)</f>
        <v>4.69</v>
      </c>
    </row>
    <row r="185">
      <c r="A185" s="15">
        <v>46052.469663445765</v>
      </c>
      <c r="B185" s="16" t="s">
        <v>5507</v>
      </c>
      <c r="C185" s="16" t="s">
        <v>5508</v>
      </c>
      <c r="D185" s="17">
        <v>46054.0</v>
      </c>
      <c r="E185" s="18">
        <v>39.545</v>
      </c>
      <c r="F185" s="27">
        <v>1.4988</v>
      </c>
      <c r="G185" s="20">
        <v>5080522.0</v>
      </c>
      <c r="H185" s="16" t="s">
        <v>335</v>
      </c>
      <c r="I185" s="19">
        <v>-13.525</v>
      </c>
      <c r="J185" s="20">
        <v>3.283238737E9</v>
      </c>
      <c r="K185" s="16" t="s">
        <v>5509</v>
      </c>
      <c r="L185" s="16" t="s">
        <v>5445</v>
      </c>
      <c r="M185" s="22">
        <f>IFERROR(__xludf.DUMMYFUNCTION("IFERROR(GOOGLEFINANCE(B185,""price""),"""")"),37.5)</f>
        <v>37.5</v>
      </c>
    </row>
    <row r="186">
      <c r="A186" s="7">
        <v>46052.469663445765</v>
      </c>
      <c r="B186" s="8" t="s">
        <v>5620</v>
      </c>
      <c r="C186" s="8" t="s">
        <v>5621</v>
      </c>
      <c r="D186" s="9">
        <v>46054.0</v>
      </c>
      <c r="E186" s="10">
        <v>4.745</v>
      </c>
      <c r="F186" s="26">
        <v>1.4023</v>
      </c>
      <c r="G186" s="12">
        <v>9452194.0</v>
      </c>
      <c r="H186" s="8" t="s">
        <v>308</v>
      </c>
      <c r="I186" s="11">
        <v>-9.4466</v>
      </c>
      <c r="J186" s="12">
        <v>6.77902605E8</v>
      </c>
      <c r="K186" s="8" t="s">
        <v>5622</v>
      </c>
      <c r="L186" s="8" t="s">
        <v>5520</v>
      </c>
      <c r="M186" s="14">
        <f>IFERROR(__xludf.DUMMYFUNCTION("IFERROR(GOOGLEFINANCE(B186,""price""),"""")"),7.33)</f>
        <v>7.33</v>
      </c>
    </row>
    <row r="187">
      <c r="A187" s="15">
        <v>46052.469663445765</v>
      </c>
      <c r="B187" s="16" t="s">
        <v>5175</v>
      </c>
      <c r="C187" s="16" t="s">
        <v>5176</v>
      </c>
      <c r="D187" s="17">
        <v>46054.0</v>
      </c>
      <c r="E187" s="18">
        <v>5.175</v>
      </c>
      <c r="F187" s="27">
        <v>1.2656</v>
      </c>
      <c r="G187" s="20">
        <v>1.8248924E7</v>
      </c>
      <c r="H187" s="16" t="s">
        <v>93</v>
      </c>
      <c r="I187" s="19">
        <v>-9.2105</v>
      </c>
      <c r="J187" s="20">
        <v>8.349852317E9</v>
      </c>
      <c r="K187" s="16" t="s">
        <v>5177</v>
      </c>
      <c r="L187" s="16" t="s">
        <v>5590</v>
      </c>
      <c r="M187" s="22">
        <f>IFERROR(__xludf.DUMMYFUNCTION("IFERROR(GOOGLEFINANCE(B187,""price""),"""")"),3.69)</f>
        <v>3.69</v>
      </c>
    </row>
    <row r="188">
      <c r="A188" s="7">
        <v>46052.469663445765</v>
      </c>
      <c r="B188" s="8" t="s">
        <v>5643</v>
      </c>
      <c r="C188" s="8" t="s">
        <v>5644</v>
      </c>
      <c r="D188" s="9">
        <v>46054.0</v>
      </c>
      <c r="E188" s="10">
        <v>31.12</v>
      </c>
      <c r="F188" s="26">
        <v>1.2306</v>
      </c>
      <c r="G188" s="12">
        <v>4249240.0</v>
      </c>
      <c r="H188" s="8" t="s">
        <v>102</v>
      </c>
      <c r="I188" s="11">
        <v>-1.4254</v>
      </c>
      <c r="J188" s="12">
        <v>5.719106836E9</v>
      </c>
      <c r="K188" s="8" t="s">
        <v>5645</v>
      </c>
      <c r="L188" s="8" t="s">
        <v>5536</v>
      </c>
      <c r="M188" s="14">
        <f>IFERROR(__xludf.DUMMYFUNCTION("IFERROR(GOOGLEFINANCE(B188,""price""),"""")"),13.78)</f>
        <v>13.78</v>
      </c>
    </row>
    <row r="189">
      <c r="A189" s="15">
        <v>46052.469663445765</v>
      </c>
      <c r="B189" s="16" t="s">
        <v>5514</v>
      </c>
      <c r="C189" s="16" t="s">
        <v>5515</v>
      </c>
      <c r="D189" s="17">
        <v>46054.0</v>
      </c>
      <c r="E189" s="18">
        <v>6.0137</v>
      </c>
      <c r="F189" s="27">
        <v>1.2285</v>
      </c>
      <c r="G189" s="20">
        <v>8342932.0</v>
      </c>
      <c r="H189" s="16" t="s">
        <v>117</v>
      </c>
      <c r="I189" s="19">
        <v>1.7547</v>
      </c>
      <c r="J189" s="20">
        <v>5.923285131E9</v>
      </c>
      <c r="K189" s="16" t="s">
        <v>5516</v>
      </c>
      <c r="L189" s="16" t="s">
        <v>5491</v>
      </c>
      <c r="M189" s="22">
        <f>IFERROR(__xludf.DUMMYFUNCTION("IFERROR(GOOGLEFINANCE(B189,""price""),"""")"),7.28)</f>
        <v>7.28</v>
      </c>
    </row>
    <row r="190">
      <c r="A190" s="7">
        <v>46052.469663445765</v>
      </c>
      <c r="B190" s="8" t="s">
        <v>5607</v>
      </c>
      <c r="C190" s="8" t="s">
        <v>5608</v>
      </c>
      <c r="D190" s="9">
        <v>46054.0</v>
      </c>
      <c r="E190" s="10">
        <v>19.22</v>
      </c>
      <c r="F190" s="26">
        <v>1.2168</v>
      </c>
      <c r="G190" s="12">
        <v>4517317.0</v>
      </c>
      <c r="H190" s="8" t="s">
        <v>308</v>
      </c>
      <c r="I190" s="11">
        <v>-8.4326</v>
      </c>
      <c r="J190" s="12">
        <v>3.463809958E9</v>
      </c>
      <c r="K190" s="8" t="s">
        <v>5609</v>
      </c>
      <c r="L190" s="8" t="s">
        <v>5520</v>
      </c>
      <c r="M190" s="14">
        <f>IFERROR(__xludf.DUMMYFUNCTION("IFERROR(GOOGLEFINANCE(B190,""price""),"""")"),23.57)</f>
        <v>23.57</v>
      </c>
    </row>
    <row r="191">
      <c r="A191" s="15">
        <v>46052.469663445765</v>
      </c>
      <c r="B191" s="16" t="s">
        <v>5527</v>
      </c>
      <c r="C191" s="16" t="s">
        <v>5528</v>
      </c>
      <c r="D191" s="17">
        <v>46054.0</v>
      </c>
      <c r="E191" s="18">
        <v>13.39</v>
      </c>
      <c r="F191" s="27">
        <v>1.1123</v>
      </c>
      <c r="G191" s="20">
        <v>5167663.0</v>
      </c>
      <c r="H191" s="16" t="s">
        <v>88</v>
      </c>
      <c r="I191" s="19">
        <v>-10.3148</v>
      </c>
      <c r="J191" s="20">
        <v>1.598379591E9</v>
      </c>
      <c r="K191" s="16" t="s">
        <v>5529</v>
      </c>
      <c r="L191" s="16" t="s">
        <v>5429</v>
      </c>
      <c r="M191" s="22">
        <f>IFERROR(__xludf.DUMMYFUNCTION("IFERROR(GOOGLEFINANCE(B191,""price""),"""")"),12.37)</f>
        <v>12.37</v>
      </c>
    </row>
    <row r="192">
      <c r="A192" s="7">
        <v>46052.469663445765</v>
      </c>
      <c r="B192" s="8" t="s">
        <v>5503</v>
      </c>
      <c r="C192" s="8" t="s">
        <v>5504</v>
      </c>
      <c r="D192" s="9">
        <v>46054.0</v>
      </c>
      <c r="E192" s="10">
        <v>13.755</v>
      </c>
      <c r="F192" s="26">
        <v>1.0527</v>
      </c>
      <c r="G192" s="12">
        <v>1.0450554E7</v>
      </c>
      <c r="H192" s="8" t="s">
        <v>335</v>
      </c>
      <c r="I192" s="11">
        <v>-1.8201</v>
      </c>
      <c r="J192" s="12">
        <v>1.621776568E9</v>
      </c>
      <c r="K192" s="8" t="s">
        <v>5505</v>
      </c>
      <c r="L192" s="8" t="s">
        <v>5445</v>
      </c>
      <c r="M192" s="14">
        <f>IFERROR(__xludf.DUMMYFUNCTION("IFERROR(GOOGLEFINANCE(B192,""price""),"""")"),8.87)</f>
        <v>8.87</v>
      </c>
    </row>
    <row r="193">
      <c r="A193" s="15">
        <v>46052.469663445765</v>
      </c>
      <c r="B193" s="16" t="s">
        <v>5646</v>
      </c>
      <c r="C193" s="16" t="s">
        <v>5647</v>
      </c>
      <c r="D193" s="17">
        <v>46054.0</v>
      </c>
      <c r="E193" s="18">
        <v>397.54</v>
      </c>
      <c r="F193" s="27">
        <v>1.0429</v>
      </c>
      <c r="G193" s="20">
        <v>4474871.0</v>
      </c>
      <c r="H193" s="16" t="s">
        <v>102</v>
      </c>
      <c r="I193" s="19">
        <v>4.2208</v>
      </c>
      <c r="J193" s="20">
        <v>2.8185586787E10</v>
      </c>
      <c r="K193" s="16" t="s">
        <v>5648</v>
      </c>
      <c r="L193" s="16" t="s">
        <v>5536</v>
      </c>
      <c r="M193" s="22">
        <f>IFERROR(__xludf.DUMMYFUNCTION("IFERROR(GOOGLEFINANCE(B193,""price""),"""")"),897.3)</f>
        <v>897.3</v>
      </c>
    </row>
    <row r="194">
      <c r="A194" s="7">
        <v>46052.469663445765</v>
      </c>
      <c r="B194" s="8" t="s">
        <v>5604</v>
      </c>
      <c r="C194" s="8" t="s">
        <v>5605</v>
      </c>
      <c r="D194" s="9">
        <v>46054.0</v>
      </c>
      <c r="E194" s="10">
        <v>44.62</v>
      </c>
      <c r="F194" s="26">
        <v>1.0407</v>
      </c>
      <c r="G194" s="12">
        <v>7373816.0</v>
      </c>
      <c r="H194" s="8" t="s">
        <v>308</v>
      </c>
      <c r="I194" s="11">
        <v>12.7622</v>
      </c>
      <c r="J194" s="12">
        <v>3.046648756E9</v>
      </c>
      <c r="K194" s="8" t="s">
        <v>5606</v>
      </c>
      <c r="L194" s="8" t="s">
        <v>5414</v>
      </c>
      <c r="M194" s="14">
        <f>IFERROR(__xludf.DUMMYFUNCTION("IFERROR(GOOGLEFINANCE(B194,""price""),"""")"),150.6)</f>
        <v>150.6</v>
      </c>
    </row>
    <row r="195">
      <c r="A195" s="15">
        <v>46052.469663445765</v>
      </c>
      <c r="B195" s="16" t="s">
        <v>5591</v>
      </c>
      <c r="C195" s="16" t="s">
        <v>5592</v>
      </c>
      <c r="D195" s="17">
        <v>46054.0</v>
      </c>
      <c r="E195" s="18">
        <v>8.9301</v>
      </c>
      <c r="F195" s="27">
        <v>0.9883</v>
      </c>
      <c r="G195" s="20">
        <v>7153220.0</v>
      </c>
      <c r="H195" s="16" t="s">
        <v>308</v>
      </c>
      <c r="I195" s="19">
        <v>-5.6015</v>
      </c>
      <c r="J195" s="20">
        <v>2.058353993E9</v>
      </c>
      <c r="K195" s="16" t="s">
        <v>5593</v>
      </c>
      <c r="L195" s="16" t="s">
        <v>5414</v>
      </c>
      <c r="M195" s="22">
        <f>IFERROR(__xludf.DUMMYFUNCTION("IFERROR(GOOGLEFINANCE(B195,""price""),"""")"),9.54)</f>
        <v>9.54</v>
      </c>
    </row>
    <row r="196">
      <c r="A196" s="7">
        <v>46052.469663445765</v>
      </c>
      <c r="B196" s="8" t="s">
        <v>2735</v>
      </c>
      <c r="C196" s="8" t="s">
        <v>2736</v>
      </c>
      <c r="D196" s="9">
        <v>46054.0</v>
      </c>
      <c r="E196" s="10">
        <v>23.565</v>
      </c>
      <c r="F196" s="26">
        <v>0.984</v>
      </c>
      <c r="G196" s="12">
        <v>1.8101183E7</v>
      </c>
      <c r="H196" s="8" t="s">
        <v>335</v>
      </c>
      <c r="I196" s="11">
        <v>-10.4673</v>
      </c>
      <c r="J196" s="12">
        <v>1.5790875538E10</v>
      </c>
      <c r="K196" s="8" t="s">
        <v>2738</v>
      </c>
      <c r="L196" s="8" t="s">
        <v>5445</v>
      </c>
      <c r="M196" s="14">
        <f>IFERROR(__xludf.DUMMYFUNCTION("IFERROR(GOOGLEFINANCE(B196,""price""),"""")"),19.46)</f>
        <v>19.46</v>
      </c>
    </row>
    <row r="197">
      <c r="A197" s="15">
        <v>46052.469663445765</v>
      </c>
      <c r="B197" s="16" t="s">
        <v>5122</v>
      </c>
      <c r="C197" s="16" t="s">
        <v>5123</v>
      </c>
      <c r="D197" s="17">
        <v>46054.0</v>
      </c>
      <c r="E197" s="18">
        <v>12.285</v>
      </c>
      <c r="F197" s="27">
        <v>0.9736</v>
      </c>
      <c r="G197" s="20">
        <v>5555013.0</v>
      </c>
      <c r="H197" s="16" t="s">
        <v>102</v>
      </c>
      <c r="I197" s="19">
        <v>-9.5361</v>
      </c>
      <c r="J197" s="20">
        <v>1.602993977E9</v>
      </c>
      <c r="K197" s="16" t="s">
        <v>5124</v>
      </c>
      <c r="L197" s="16" t="s">
        <v>5536</v>
      </c>
      <c r="M197" s="22">
        <f>IFERROR(__xludf.DUMMYFUNCTION("IFERROR(GOOGLEFINANCE(B197,""price""),"""")"),17.22)</f>
        <v>17.22</v>
      </c>
    </row>
    <row r="198">
      <c r="A198" s="7">
        <v>46052.469663445765</v>
      </c>
      <c r="B198" s="8" t="s">
        <v>5564</v>
      </c>
      <c r="C198" s="8" t="s">
        <v>5565</v>
      </c>
      <c r="D198" s="9">
        <v>46054.0</v>
      </c>
      <c r="E198" s="10">
        <v>21.065</v>
      </c>
      <c r="F198" s="26">
        <v>0.9727</v>
      </c>
      <c r="G198" s="12">
        <v>1.9395003E7</v>
      </c>
      <c r="H198" s="8" t="s">
        <v>335</v>
      </c>
      <c r="I198" s="11">
        <v>-14.2654</v>
      </c>
      <c r="J198" s="12">
        <v>1.3525974674E10</v>
      </c>
      <c r="K198" s="8" t="s">
        <v>5566</v>
      </c>
      <c r="L198" s="8" t="s">
        <v>5445</v>
      </c>
      <c r="M198" s="14">
        <f>IFERROR(__xludf.DUMMYFUNCTION("IFERROR(GOOGLEFINANCE(B198,""price""),"""")"),20.24)</f>
        <v>20.24</v>
      </c>
    </row>
    <row r="199">
      <c r="A199" s="15">
        <v>46052.469663445765</v>
      </c>
      <c r="B199" s="16" t="s">
        <v>5594</v>
      </c>
      <c r="C199" s="16" t="s">
        <v>5595</v>
      </c>
      <c r="D199" s="17">
        <v>46054.0</v>
      </c>
      <c r="E199" s="18">
        <v>13.205</v>
      </c>
      <c r="F199" s="27">
        <v>0.9701</v>
      </c>
      <c r="G199" s="20">
        <v>1.3786497E7</v>
      </c>
      <c r="H199" s="16" t="s">
        <v>88</v>
      </c>
      <c r="I199" s="19">
        <v>-9.1816</v>
      </c>
      <c r="J199" s="20">
        <v>5.528694274E9</v>
      </c>
      <c r="K199" s="16" t="s">
        <v>5596</v>
      </c>
      <c r="L199" s="16" t="s">
        <v>5471</v>
      </c>
      <c r="M199" s="22">
        <f>IFERROR(__xludf.DUMMYFUNCTION("IFERROR(GOOGLEFINANCE(B199,""price""),"""")"),18.88)</f>
        <v>18.88</v>
      </c>
    </row>
    <row r="200">
      <c r="A200" s="7">
        <v>46052.469663445765</v>
      </c>
      <c r="B200" s="8" t="s">
        <v>5449</v>
      </c>
      <c r="C200" s="8" t="s">
        <v>5450</v>
      </c>
      <c r="D200" s="9">
        <v>46054.0</v>
      </c>
      <c r="E200" s="10">
        <v>17.255</v>
      </c>
      <c r="F200" s="26">
        <v>0.9575</v>
      </c>
      <c r="G200" s="12">
        <v>9310082.0</v>
      </c>
      <c r="H200" s="8" t="s">
        <v>286</v>
      </c>
      <c r="I200" s="11">
        <v>0.3198</v>
      </c>
      <c r="J200" s="12">
        <v>3.3060781567E10</v>
      </c>
      <c r="K200" s="8" t="s">
        <v>5451</v>
      </c>
      <c r="L200" s="8" t="s">
        <v>5452</v>
      </c>
      <c r="M200" s="14">
        <f>IFERROR(__xludf.DUMMYFUNCTION("IFERROR(GOOGLEFINANCE(B200,""price""),"""")"),17.35)</f>
        <v>17.35</v>
      </c>
    </row>
    <row r="201">
      <c r="A201" s="15">
        <v>46052.469663445765</v>
      </c>
      <c r="B201" s="16" t="s">
        <v>5524</v>
      </c>
      <c r="C201" s="16" t="s">
        <v>5525</v>
      </c>
      <c r="D201" s="17">
        <v>46054.0</v>
      </c>
      <c r="E201" s="18">
        <v>4.15</v>
      </c>
      <c r="F201" s="27">
        <v>0.9375</v>
      </c>
      <c r="G201" s="20">
        <v>3905068.0</v>
      </c>
      <c r="H201" s="16" t="s">
        <v>308</v>
      </c>
      <c r="I201" s="19">
        <v>-3.9352</v>
      </c>
      <c r="J201" s="20">
        <v>7.67335035E8</v>
      </c>
      <c r="K201" s="16" t="s">
        <v>5526</v>
      </c>
      <c r="L201" s="16" t="s">
        <v>5414</v>
      </c>
      <c r="M201" s="22">
        <f>IFERROR(__xludf.DUMMYFUNCTION("IFERROR(GOOGLEFINANCE(B201,""price""),"""")"),2.1)</f>
        <v>2.1</v>
      </c>
    </row>
    <row r="202">
      <c r="A202" s="7">
        <v>46052.469663445765</v>
      </c>
      <c r="B202" s="8" t="s">
        <v>3562</v>
      </c>
      <c r="C202" s="8" t="s">
        <v>3563</v>
      </c>
      <c r="D202" s="9">
        <v>46054.0</v>
      </c>
      <c r="E202" s="10">
        <v>28.425</v>
      </c>
      <c r="F202" s="26">
        <v>0.9307</v>
      </c>
      <c r="G202" s="12">
        <v>4844844.0</v>
      </c>
      <c r="H202" s="8" t="s">
        <v>245</v>
      </c>
      <c r="I202" s="11">
        <v>1.3008</v>
      </c>
      <c r="J202" s="12">
        <v>2.164215683E10</v>
      </c>
      <c r="K202" s="8" t="s">
        <v>3565</v>
      </c>
      <c r="L202" s="8" t="s">
        <v>5410</v>
      </c>
      <c r="M202" s="14">
        <f>IFERROR(__xludf.DUMMYFUNCTION("IFERROR(GOOGLEFINANCE(B202,""price""),"""")"),33.41)</f>
        <v>33.41</v>
      </c>
    </row>
    <row r="203">
      <c r="A203" s="15">
        <v>46052.469663445765</v>
      </c>
      <c r="B203" s="16" t="s">
        <v>1077</v>
      </c>
      <c r="C203" s="16" t="s">
        <v>1078</v>
      </c>
      <c r="D203" s="17">
        <v>46054.0</v>
      </c>
      <c r="E203" s="18">
        <v>7.5504</v>
      </c>
      <c r="F203" s="27">
        <v>0.9297</v>
      </c>
      <c r="G203" s="20">
        <v>6879945.0</v>
      </c>
      <c r="H203" s="16" t="s">
        <v>335</v>
      </c>
      <c r="I203" s="19">
        <v>-8.9216</v>
      </c>
      <c r="J203" s="20">
        <v>1.057324895E9</v>
      </c>
      <c r="K203" s="16" t="s">
        <v>1079</v>
      </c>
      <c r="L203" s="16" t="s">
        <v>5506</v>
      </c>
      <c r="M203" s="22">
        <f>IFERROR(__xludf.DUMMYFUNCTION("IFERROR(GOOGLEFINANCE(B203,""price""),"""")"),8.36)</f>
        <v>8.36</v>
      </c>
    </row>
    <row r="204">
      <c r="A204" s="7">
        <v>46052.469663445765</v>
      </c>
      <c r="B204" s="8" t="s">
        <v>5649</v>
      </c>
      <c r="C204" s="8" t="s">
        <v>5650</v>
      </c>
      <c r="D204" s="9">
        <v>46054.0</v>
      </c>
      <c r="E204" s="10">
        <v>25.0</v>
      </c>
      <c r="F204" s="26">
        <v>0.9207</v>
      </c>
      <c r="G204" s="12">
        <v>6623506.0</v>
      </c>
      <c r="H204" s="8" t="s">
        <v>88</v>
      </c>
      <c r="I204" s="11">
        <v>-5.1233</v>
      </c>
      <c r="J204" s="12">
        <v>8.33472514E9</v>
      </c>
      <c r="K204" s="8" t="s">
        <v>5651</v>
      </c>
      <c r="L204" s="8" t="s">
        <v>5429</v>
      </c>
      <c r="M204" s="14">
        <f>IFERROR(__xludf.DUMMYFUNCTION("IFERROR(GOOGLEFINANCE(B204,""price""),"""")"),34.67)</f>
        <v>34.67</v>
      </c>
    </row>
    <row r="205">
      <c r="A205" s="15">
        <v>46052.469663445765</v>
      </c>
      <c r="B205" s="16" t="s">
        <v>2768</v>
      </c>
      <c r="C205" s="16" t="s">
        <v>2769</v>
      </c>
      <c r="D205" s="17">
        <v>46054.0</v>
      </c>
      <c r="E205" s="18">
        <v>254.255</v>
      </c>
      <c r="F205" s="27">
        <v>0.9052</v>
      </c>
      <c r="G205" s="20">
        <v>1.0963041E7</v>
      </c>
      <c r="H205" s="16" t="s">
        <v>308</v>
      </c>
      <c r="I205" s="19">
        <v>-8.6761</v>
      </c>
      <c r="J205" s="20">
        <v>8.6929605629E10</v>
      </c>
      <c r="K205" s="16" t="s">
        <v>2771</v>
      </c>
      <c r="L205" s="16" t="s">
        <v>5513</v>
      </c>
      <c r="M205" s="22">
        <f>IFERROR(__xludf.DUMMYFUNCTION("IFERROR(GOOGLEFINANCE(B205,""price""),"""")"),343.43)</f>
        <v>343.43</v>
      </c>
    </row>
    <row r="206">
      <c r="A206" s="7">
        <v>46052.469663445765</v>
      </c>
      <c r="B206" s="8" t="s">
        <v>5422</v>
      </c>
      <c r="C206" s="8" t="s">
        <v>5423</v>
      </c>
      <c r="D206" s="9">
        <v>46054.0</v>
      </c>
      <c r="E206" s="10">
        <v>22.77</v>
      </c>
      <c r="F206" s="26">
        <v>0.9019</v>
      </c>
      <c r="G206" s="12">
        <v>1.7758223E7</v>
      </c>
      <c r="H206" s="8" t="s">
        <v>102</v>
      </c>
      <c r="I206" s="11">
        <v>3.1717</v>
      </c>
      <c r="J206" s="12">
        <v>3.362671997E9</v>
      </c>
      <c r="K206" s="8" t="s">
        <v>5424</v>
      </c>
      <c r="L206" s="8" t="s">
        <v>5425</v>
      </c>
      <c r="M206" s="14">
        <f>IFERROR(__xludf.DUMMYFUNCTION("IFERROR(GOOGLEFINANCE(B206,""price""),"""")"),16.15)</f>
        <v>16.15</v>
      </c>
    </row>
    <row r="207">
      <c r="A207" s="15">
        <v>46052.469663445765</v>
      </c>
      <c r="B207" s="16" t="s">
        <v>5561</v>
      </c>
      <c r="C207" s="16" t="s">
        <v>5562</v>
      </c>
      <c r="D207" s="17">
        <v>46054.0</v>
      </c>
      <c r="E207" s="18">
        <v>17.86</v>
      </c>
      <c r="F207" s="27">
        <v>0.8862</v>
      </c>
      <c r="G207" s="20">
        <v>1.003594E7</v>
      </c>
      <c r="H207" s="16" t="s">
        <v>102</v>
      </c>
      <c r="I207" s="19">
        <v>-5.6025</v>
      </c>
      <c r="J207" s="20">
        <v>5.40666092E9</v>
      </c>
      <c r="K207" s="16" t="s">
        <v>5563</v>
      </c>
      <c r="L207" s="16" t="s">
        <v>5536</v>
      </c>
      <c r="M207" s="22">
        <f>IFERROR(__xludf.DUMMYFUNCTION("IFERROR(GOOGLEFINANCE(B207,""price""),"""")"),9.21)</f>
        <v>9.21</v>
      </c>
    </row>
    <row r="208">
      <c r="A208" s="7">
        <v>46052.469663445765</v>
      </c>
      <c r="B208" s="8" t="s">
        <v>5537</v>
      </c>
      <c r="C208" s="8" t="s">
        <v>5538</v>
      </c>
      <c r="D208" s="9">
        <v>46054.0</v>
      </c>
      <c r="E208" s="10">
        <v>3.4607</v>
      </c>
      <c r="F208" s="26">
        <v>0.875</v>
      </c>
      <c r="G208" s="12">
        <v>2.5418184E7</v>
      </c>
      <c r="H208" s="8" t="s">
        <v>112</v>
      </c>
      <c r="I208" s="11">
        <v>-13.9129</v>
      </c>
      <c r="J208" s="12">
        <v>7.44382597E8</v>
      </c>
      <c r="K208" s="8" t="s">
        <v>5539</v>
      </c>
      <c r="L208" s="8" t="s">
        <v>5540</v>
      </c>
      <c r="M208" s="14">
        <f>IFERROR(__xludf.DUMMYFUNCTION("IFERROR(GOOGLEFINANCE(B208,""price""),"""")"),2.01)</f>
        <v>2.01</v>
      </c>
    </row>
    <row r="209">
      <c r="A209" s="15">
        <v>46052.469663445765</v>
      </c>
      <c r="B209" s="16" t="s">
        <v>1941</v>
      </c>
      <c r="C209" s="16" t="s">
        <v>1942</v>
      </c>
      <c r="D209" s="17">
        <v>46054.0</v>
      </c>
      <c r="E209" s="18">
        <v>27.54</v>
      </c>
      <c r="F209" s="27">
        <v>0.8658</v>
      </c>
      <c r="G209" s="20">
        <v>6067650.0</v>
      </c>
      <c r="H209" s="16" t="s">
        <v>149</v>
      </c>
      <c r="I209" s="19">
        <v>-0.2174</v>
      </c>
      <c r="J209" s="20">
        <v>6.8255100636E10</v>
      </c>
      <c r="K209" s="16" t="s">
        <v>1943</v>
      </c>
      <c r="L209" s="16" t="s">
        <v>5480</v>
      </c>
      <c r="M209" s="22">
        <f>IFERROR(__xludf.DUMMYFUNCTION("IFERROR(GOOGLEFINANCE(B209,""price""),"""")"),27.44)</f>
        <v>27.44</v>
      </c>
    </row>
    <row r="210">
      <c r="A210" s="7">
        <v>46052.469663445765</v>
      </c>
      <c r="B210" s="8" t="s">
        <v>5530</v>
      </c>
      <c r="C210" s="8" t="s">
        <v>5531</v>
      </c>
      <c r="D210" s="9">
        <v>46054.0</v>
      </c>
      <c r="E210" s="10">
        <v>6.9337</v>
      </c>
      <c r="F210" s="26">
        <v>0.8594</v>
      </c>
      <c r="G210" s="12">
        <v>5346235.0</v>
      </c>
      <c r="H210" s="8" t="s">
        <v>335</v>
      </c>
      <c r="I210" s="11">
        <v>-7.6738</v>
      </c>
      <c r="J210" s="12">
        <v>2.86702981E9</v>
      </c>
      <c r="K210" s="8" t="s">
        <v>5532</v>
      </c>
      <c r="L210" s="8" t="s">
        <v>5506</v>
      </c>
      <c r="M210" s="14">
        <f>IFERROR(__xludf.DUMMYFUNCTION("IFERROR(GOOGLEFINANCE(B210,""price""),"""")"),4.34)</f>
        <v>4.34</v>
      </c>
    </row>
    <row r="211">
      <c r="A211" s="15">
        <v>46052.469663445765</v>
      </c>
      <c r="B211" s="16" t="s">
        <v>5574</v>
      </c>
      <c r="C211" s="16" t="s">
        <v>5575</v>
      </c>
      <c r="D211" s="17">
        <v>46054.0</v>
      </c>
      <c r="E211" s="18">
        <v>22.8</v>
      </c>
      <c r="F211" s="27">
        <v>0.859</v>
      </c>
      <c r="G211" s="20">
        <v>7387818.0</v>
      </c>
      <c r="H211" s="16" t="s">
        <v>335</v>
      </c>
      <c r="I211" s="19">
        <v>-8.3601</v>
      </c>
      <c r="J211" s="20">
        <v>5.410137909E9</v>
      </c>
      <c r="K211" s="16" t="s">
        <v>5576</v>
      </c>
      <c r="L211" s="16" t="s">
        <v>5506</v>
      </c>
      <c r="M211" s="22">
        <f>IFERROR(__xludf.DUMMYFUNCTION("IFERROR(GOOGLEFINANCE(B211,""price""),"""")"),18.4)</f>
        <v>18.4</v>
      </c>
    </row>
    <row r="212">
      <c r="A212" s="7">
        <v>46052.626116913045</v>
      </c>
      <c r="B212" s="8" t="s">
        <v>5507</v>
      </c>
      <c r="C212" s="8" t="s">
        <v>5508</v>
      </c>
      <c r="D212" s="9">
        <v>46054.0</v>
      </c>
      <c r="E212" s="10">
        <v>37.3901</v>
      </c>
      <c r="F212" s="26">
        <v>1.4904</v>
      </c>
      <c r="G212" s="12">
        <v>8324639.0</v>
      </c>
      <c r="H212" s="8" t="s">
        <v>335</v>
      </c>
      <c r="I212" s="11">
        <v>-18.2373</v>
      </c>
      <c r="J212" s="12">
        <v>3.104327341E9</v>
      </c>
      <c r="K212" s="8" t="s">
        <v>5509</v>
      </c>
      <c r="L212" s="8" t="s">
        <v>5445</v>
      </c>
      <c r="M212" s="14">
        <f>IFERROR(__xludf.DUMMYFUNCTION("IFERROR(GOOGLEFINANCE(B212,""price""),"""")"),37.5)</f>
        <v>37.5</v>
      </c>
    </row>
    <row r="213">
      <c r="A213" s="15">
        <v>46052.626116913045</v>
      </c>
      <c r="B213" s="16" t="s">
        <v>5510</v>
      </c>
      <c r="C213" s="16" t="s">
        <v>5511</v>
      </c>
      <c r="D213" s="17">
        <v>46054.0</v>
      </c>
      <c r="E213" s="18">
        <v>562.71</v>
      </c>
      <c r="F213" s="27">
        <v>1.4835</v>
      </c>
      <c r="G213" s="20">
        <v>3.6418447E7</v>
      </c>
      <c r="H213" s="16" t="s">
        <v>308</v>
      </c>
      <c r="I213" s="19">
        <v>4.3408</v>
      </c>
      <c r="J213" s="20">
        <v>8.2466936295E10</v>
      </c>
      <c r="K213" s="16" t="s">
        <v>5512</v>
      </c>
      <c r="L213" s="16" t="s">
        <v>5513</v>
      </c>
      <c r="M213" s="22">
        <f>IFERROR(__xludf.DUMMYFUNCTION("IFERROR(GOOGLEFINANCE(B213,""price""),"""")"),851.77)</f>
        <v>851.77</v>
      </c>
    </row>
    <row r="214">
      <c r="A214" s="7">
        <v>46052.626116913045</v>
      </c>
      <c r="B214" s="8" t="s">
        <v>5623</v>
      </c>
      <c r="C214" s="8" t="s">
        <v>5624</v>
      </c>
      <c r="D214" s="9">
        <v>46054.0</v>
      </c>
      <c r="E214" s="10">
        <v>4.205</v>
      </c>
      <c r="F214" s="26">
        <v>1.4531</v>
      </c>
      <c r="G214" s="12">
        <v>1.3151781E7</v>
      </c>
      <c r="H214" s="8" t="s">
        <v>88</v>
      </c>
      <c r="I214" s="11">
        <v>-6.7627</v>
      </c>
      <c r="J214" s="12">
        <v>8.138235284E9</v>
      </c>
      <c r="K214" s="8" t="s">
        <v>5625</v>
      </c>
      <c r="L214" s="8" t="s">
        <v>5429</v>
      </c>
      <c r="M214" s="14">
        <f>IFERROR(__xludf.DUMMYFUNCTION("IFERROR(GOOGLEFINANCE(B214,""price""),"""")"),4.15)</f>
        <v>4.15</v>
      </c>
    </row>
    <row r="215">
      <c r="A215" s="15">
        <v>46052.626116913045</v>
      </c>
      <c r="B215" s="16" t="s">
        <v>5580</v>
      </c>
      <c r="C215" s="16" t="s">
        <v>5581</v>
      </c>
      <c r="D215" s="17">
        <v>46054.0</v>
      </c>
      <c r="E215" s="18">
        <v>2.635</v>
      </c>
      <c r="F215" s="27">
        <v>1.2813</v>
      </c>
      <c r="G215" s="20">
        <v>2.5283587E7</v>
      </c>
      <c r="H215" s="16" t="s">
        <v>88</v>
      </c>
      <c r="I215" s="19">
        <v>-7.5439</v>
      </c>
      <c r="J215" s="20">
        <v>1.050910708E9</v>
      </c>
      <c r="K215" s="16" t="s">
        <v>5582</v>
      </c>
      <c r="L215" s="16" t="s">
        <v>5429</v>
      </c>
      <c r="M215" s="22">
        <f>IFERROR(__xludf.DUMMYFUNCTION("IFERROR(GOOGLEFINANCE(B215,""price""),"""")"),2.38)</f>
        <v>2.38</v>
      </c>
    </row>
    <row r="216">
      <c r="A216" s="7">
        <v>46052.626116913045</v>
      </c>
      <c r="B216" s="8" t="s">
        <v>5514</v>
      </c>
      <c r="C216" s="8" t="s">
        <v>5515</v>
      </c>
      <c r="D216" s="9">
        <v>46054.0</v>
      </c>
      <c r="E216" s="10">
        <v>6.2657</v>
      </c>
      <c r="F216" s="26">
        <v>1.2647</v>
      </c>
      <c r="G216" s="12">
        <v>2.5106408E7</v>
      </c>
      <c r="H216" s="8" t="s">
        <v>117</v>
      </c>
      <c r="I216" s="11">
        <v>6.0186</v>
      </c>
      <c r="J216" s="12">
        <v>6.171496357E9</v>
      </c>
      <c r="K216" s="8" t="s">
        <v>5516</v>
      </c>
      <c r="L216" s="8" t="s">
        <v>5491</v>
      </c>
      <c r="M216" s="14">
        <f>IFERROR(__xludf.DUMMYFUNCTION("IFERROR(GOOGLEFINANCE(B216,""price""),"""")"),7.28)</f>
        <v>7.28</v>
      </c>
    </row>
    <row r="217">
      <c r="A217" s="15">
        <v>46052.626116913045</v>
      </c>
      <c r="B217" s="16" t="s">
        <v>2768</v>
      </c>
      <c r="C217" s="16" t="s">
        <v>2769</v>
      </c>
      <c r="D217" s="17">
        <v>46054.0</v>
      </c>
      <c r="E217" s="18">
        <v>243.4</v>
      </c>
      <c r="F217" s="27">
        <v>1.1992</v>
      </c>
      <c r="G217" s="20">
        <v>1.8571638E7</v>
      </c>
      <c r="H217" s="16" t="s">
        <v>308</v>
      </c>
      <c r="I217" s="19">
        <v>-12.575</v>
      </c>
      <c r="J217" s="20">
        <v>8.3218288766E10</v>
      </c>
      <c r="K217" s="16" t="s">
        <v>2771</v>
      </c>
      <c r="L217" s="16" t="s">
        <v>5513</v>
      </c>
      <c r="M217" s="22">
        <f>IFERROR(__xludf.DUMMYFUNCTION("IFERROR(GOOGLEFINANCE(B217,""price""),"""")"),343.43)</f>
        <v>343.43</v>
      </c>
    </row>
    <row r="218">
      <c r="A218" s="7">
        <v>46052.626116913045</v>
      </c>
      <c r="B218" s="8" t="s">
        <v>5533</v>
      </c>
      <c r="C218" s="8" t="s">
        <v>5534</v>
      </c>
      <c r="D218" s="9">
        <v>46054.0</v>
      </c>
      <c r="E218" s="10">
        <v>8.3203</v>
      </c>
      <c r="F218" s="26">
        <v>1.1758</v>
      </c>
      <c r="G218" s="12">
        <v>1.45129E7</v>
      </c>
      <c r="H218" s="8" t="s">
        <v>102</v>
      </c>
      <c r="I218" s="11">
        <v>-6.3029</v>
      </c>
      <c r="J218" s="12">
        <v>2.251247022E9</v>
      </c>
      <c r="K218" s="8" t="s">
        <v>5535</v>
      </c>
      <c r="L218" s="8" t="s">
        <v>5536</v>
      </c>
      <c r="M218" s="14">
        <f>IFERROR(__xludf.DUMMYFUNCTION("IFERROR(GOOGLEFINANCE(B218,""price""),"""")"),4.69)</f>
        <v>4.69</v>
      </c>
    </row>
    <row r="219">
      <c r="A219" s="15">
        <v>46052.626116913045</v>
      </c>
      <c r="B219" s="16" t="s">
        <v>5637</v>
      </c>
      <c r="C219" s="16" t="s">
        <v>5638</v>
      </c>
      <c r="D219" s="17">
        <v>46054.0</v>
      </c>
      <c r="E219" s="18">
        <v>28.85</v>
      </c>
      <c r="F219" s="27">
        <v>1.1699</v>
      </c>
      <c r="G219" s="20">
        <v>8.043424E7</v>
      </c>
      <c r="H219" s="16" t="s">
        <v>88</v>
      </c>
      <c r="I219" s="19">
        <v>-24.8698</v>
      </c>
      <c r="J219" s="20">
        <v>1.2345285976E10</v>
      </c>
      <c r="K219" s="16" t="s">
        <v>5639</v>
      </c>
      <c r="L219" s="16" t="s">
        <v>5429</v>
      </c>
      <c r="M219" s="22">
        <f>IFERROR(__xludf.DUMMYFUNCTION("IFERROR(GOOGLEFINANCE(B219,""price""),"""")"),21.62)</f>
        <v>21.62</v>
      </c>
    </row>
    <row r="220">
      <c r="A220" s="7">
        <v>46052.626116913045</v>
      </c>
      <c r="B220" s="8" t="s">
        <v>5527</v>
      </c>
      <c r="C220" s="8" t="s">
        <v>5528</v>
      </c>
      <c r="D220" s="9">
        <v>46054.0</v>
      </c>
      <c r="E220" s="10">
        <v>13.265</v>
      </c>
      <c r="F220" s="26">
        <v>1.097</v>
      </c>
      <c r="G220" s="12">
        <v>9529673.0</v>
      </c>
      <c r="H220" s="8" t="s">
        <v>88</v>
      </c>
      <c r="I220" s="11">
        <v>-11.152</v>
      </c>
      <c r="J220" s="12">
        <v>1.583458199E9</v>
      </c>
      <c r="K220" s="8" t="s">
        <v>5529</v>
      </c>
      <c r="L220" s="8" t="s">
        <v>5429</v>
      </c>
      <c r="M220" s="14">
        <f>IFERROR(__xludf.DUMMYFUNCTION("IFERROR(GOOGLEFINANCE(B220,""price""),"""")"),12.37)</f>
        <v>12.37</v>
      </c>
    </row>
    <row r="221">
      <c r="A221" s="15">
        <v>46052.626116913045</v>
      </c>
      <c r="B221" s="16" t="s">
        <v>5652</v>
      </c>
      <c r="C221" s="16" t="s">
        <v>5653</v>
      </c>
      <c r="D221" s="17">
        <v>46054.0</v>
      </c>
      <c r="E221" s="18">
        <v>4.2</v>
      </c>
      <c r="F221" s="27">
        <v>1.0938</v>
      </c>
      <c r="G221" s="20">
        <v>1.6228113E7</v>
      </c>
      <c r="H221" s="16" t="s">
        <v>117</v>
      </c>
      <c r="I221" s="19">
        <v>-2.7778</v>
      </c>
      <c r="J221" s="20">
        <v>2.185920329E9</v>
      </c>
      <c r="K221" s="16" t="s">
        <v>5654</v>
      </c>
      <c r="L221" s="16" t="s">
        <v>5502</v>
      </c>
      <c r="M221" s="22">
        <f>IFERROR(__xludf.DUMMYFUNCTION("IFERROR(GOOGLEFINANCE(B221,""price""),"""")"),3.28)</f>
        <v>3.28</v>
      </c>
    </row>
    <row r="222">
      <c r="A222" s="7">
        <v>46052.626116913045</v>
      </c>
      <c r="B222" s="8" t="s">
        <v>5564</v>
      </c>
      <c r="C222" s="8" t="s">
        <v>5565</v>
      </c>
      <c r="D222" s="9">
        <v>46054.0</v>
      </c>
      <c r="E222" s="10">
        <v>20.505</v>
      </c>
      <c r="F222" s="26">
        <v>1.0342</v>
      </c>
      <c r="G222" s="12">
        <v>4.1776584E7</v>
      </c>
      <c r="H222" s="8" t="s">
        <v>335</v>
      </c>
      <c r="I222" s="11">
        <v>-16.5446</v>
      </c>
      <c r="J222" s="12">
        <v>1.3166395001E10</v>
      </c>
      <c r="K222" s="8" t="s">
        <v>5566</v>
      </c>
      <c r="L222" s="8" t="s">
        <v>5445</v>
      </c>
      <c r="M222" s="14">
        <f>IFERROR(__xludf.DUMMYFUNCTION("IFERROR(GOOGLEFINANCE(B222,""price""),"""")"),20.24)</f>
        <v>20.24</v>
      </c>
    </row>
    <row r="223">
      <c r="A223" s="15">
        <v>46052.626116913045</v>
      </c>
      <c r="B223" s="16" t="s">
        <v>5655</v>
      </c>
      <c r="C223" s="16" t="s">
        <v>5656</v>
      </c>
      <c r="D223" s="17">
        <v>46054.0</v>
      </c>
      <c r="E223" s="18">
        <v>7.615</v>
      </c>
      <c r="F223" s="27">
        <v>0.9629</v>
      </c>
      <c r="G223" s="20">
        <v>8612992.0</v>
      </c>
      <c r="H223" s="16" t="s">
        <v>88</v>
      </c>
      <c r="I223" s="19">
        <v>1.1288</v>
      </c>
      <c r="J223" s="20">
        <v>4.879521467E9</v>
      </c>
      <c r="K223" s="16" t="s">
        <v>5657</v>
      </c>
      <c r="L223" s="16" t="s">
        <v>5429</v>
      </c>
      <c r="M223" s="22">
        <f>IFERROR(__xludf.DUMMYFUNCTION("IFERROR(GOOGLEFINANCE(B223,""price""),"""")"),4.99)</f>
        <v>4.99</v>
      </c>
    </row>
    <row r="224">
      <c r="A224" s="7">
        <v>46052.626116913045</v>
      </c>
      <c r="B224" s="8" t="s">
        <v>5658</v>
      </c>
      <c r="C224" s="8" t="s">
        <v>5659</v>
      </c>
      <c r="D224" s="9">
        <v>46054.0</v>
      </c>
      <c r="E224" s="10">
        <v>11.035</v>
      </c>
      <c r="F224" s="26">
        <v>0.9544</v>
      </c>
      <c r="G224" s="12">
        <v>1.2152721E7</v>
      </c>
      <c r="H224" s="8" t="s">
        <v>88</v>
      </c>
      <c r="I224" s="11">
        <v>-9.9918</v>
      </c>
      <c r="J224" s="12">
        <v>1.51458998E9</v>
      </c>
      <c r="K224" s="8" t="s">
        <v>5660</v>
      </c>
      <c r="L224" s="8" t="s">
        <v>5429</v>
      </c>
      <c r="M224" s="14">
        <f>IFERROR(__xludf.DUMMYFUNCTION("IFERROR(GOOGLEFINANCE(B224,""price""),"""")"),8.28)</f>
        <v>8.28</v>
      </c>
    </row>
    <row r="225">
      <c r="A225" s="15">
        <v>46052.626116913045</v>
      </c>
      <c r="B225" s="16" t="s">
        <v>5122</v>
      </c>
      <c r="C225" s="16" t="s">
        <v>5123</v>
      </c>
      <c r="D225" s="17">
        <v>46054.0</v>
      </c>
      <c r="E225" s="18">
        <v>12.4494</v>
      </c>
      <c r="F225" s="27">
        <v>0.9448</v>
      </c>
      <c r="G225" s="20">
        <v>1.0066319E7</v>
      </c>
      <c r="H225" s="16" t="s">
        <v>102</v>
      </c>
      <c r="I225" s="19">
        <v>-8.3255</v>
      </c>
      <c r="J225" s="20">
        <v>1.62444552E9</v>
      </c>
      <c r="K225" s="16" t="s">
        <v>5124</v>
      </c>
      <c r="L225" s="16" t="s">
        <v>5536</v>
      </c>
      <c r="M225" s="22">
        <f>IFERROR(__xludf.DUMMYFUNCTION("IFERROR(GOOGLEFINANCE(B225,""price""),"""")"),17.22)</f>
        <v>17.22</v>
      </c>
    </row>
    <row r="226">
      <c r="A226" s="7">
        <v>46052.626116913045</v>
      </c>
      <c r="B226" s="8" t="s">
        <v>5661</v>
      </c>
      <c r="C226" s="8" t="s">
        <v>5662</v>
      </c>
      <c r="D226" s="9">
        <v>46054.0</v>
      </c>
      <c r="E226" s="10">
        <v>1.515</v>
      </c>
      <c r="F226" s="26">
        <v>0.9375</v>
      </c>
      <c r="G226" s="12">
        <v>9429463.0</v>
      </c>
      <c r="H226" s="8" t="s">
        <v>88</v>
      </c>
      <c r="I226" s="11">
        <v>-0.9804</v>
      </c>
      <c r="J226" s="12">
        <v>8.07797346E8</v>
      </c>
      <c r="K226" s="8" t="s">
        <v>5663</v>
      </c>
      <c r="L226" s="8" t="s">
        <v>5664</v>
      </c>
      <c r="M226" s="14">
        <f>IFERROR(__xludf.DUMMYFUNCTION("IFERROR(GOOGLEFINANCE(B226,""price""),"""")"),0.58)</f>
        <v>0.58</v>
      </c>
    </row>
    <row r="227">
      <c r="A227" s="15">
        <v>46052.626116913045</v>
      </c>
      <c r="B227" s="16" t="s">
        <v>5594</v>
      </c>
      <c r="C227" s="16" t="s">
        <v>5595</v>
      </c>
      <c r="D227" s="17">
        <v>46054.0</v>
      </c>
      <c r="E227" s="18">
        <v>13.305</v>
      </c>
      <c r="F227" s="27">
        <v>0.8815</v>
      </c>
      <c r="G227" s="20">
        <v>2.7864459E7</v>
      </c>
      <c r="H227" s="16" t="s">
        <v>88</v>
      </c>
      <c r="I227" s="19">
        <v>-8.4938</v>
      </c>
      <c r="J227" s="20">
        <v>5.570562463E9</v>
      </c>
      <c r="K227" s="16" t="s">
        <v>5596</v>
      </c>
      <c r="L227" s="16" t="s">
        <v>5471</v>
      </c>
      <c r="M227" s="22">
        <f>IFERROR(__xludf.DUMMYFUNCTION("IFERROR(GOOGLEFINANCE(B227,""price""),"""")"),18.88)</f>
        <v>18.88</v>
      </c>
    </row>
    <row r="228">
      <c r="A228" s="7">
        <v>46052.626116913045</v>
      </c>
      <c r="B228" s="8" t="s">
        <v>5665</v>
      </c>
      <c r="C228" s="8" t="s">
        <v>5666</v>
      </c>
      <c r="D228" s="9">
        <v>46054.0</v>
      </c>
      <c r="E228" s="10">
        <v>63.66</v>
      </c>
      <c r="F228" s="26">
        <v>0.8333</v>
      </c>
      <c r="G228" s="12">
        <v>1.314804E7</v>
      </c>
      <c r="H228" s="8" t="s">
        <v>88</v>
      </c>
      <c r="I228" s="11">
        <v>-5.7587</v>
      </c>
      <c r="J228" s="12">
        <v>1.4990376297E10</v>
      </c>
      <c r="K228" s="8" t="s">
        <v>5667</v>
      </c>
      <c r="L228" s="8" t="s">
        <v>5429</v>
      </c>
      <c r="M228" s="14">
        <f>IFERROR(__xludf.DUMMYFUNCTION("IFERROR(GOOGLEFINANCE(B228,""price""),"""")"),88.04)</f>
        <v>88.04</v>
      </c>
    </row>
    <row r="229">
      <c r="A229" s="15">
        <v>46052.626116913045</v>
      </c>
      <c r="B229" s="16" t="s">
        <v>5668</v>
      </c>
      <c r="C229" s="16" t="s">
        <v>5669</v>
      </c>
      <c r="D229" s="17">
        <v>46054.0</v>
      </c>
      <c r="E229" s="18">
        <v>9.3</v>
      </c>
      <c r="F229" s="27">
        <v>0.832</v>
      </c>
      <c r="G229" s="20">
        <v>1.6094621E7</v>
      </c>
      <c r="H229" s="16" t="s">
        <v>88</v>
      </c>
      <c r="I229" s="19">
        <v>-8.6444</v>
      </c>
      <c r="J229" s="20">
        <v>2.084346669E9</v>
      </c>
      <c r="K229" s="16" t="s">
        <v>5670</v>
      </c>
      <c r="L229" s="16" t="s">
        <v>5664</v>
      </c>
      <c r="M229" s="22">
        <f>IFERROR(__xludf.DUMMYFUNCTION("IFERROR(GOOGLEFINANCE(B229,""price""),"""")"),7.06)</f>
        <v>7.06</v>
      </c>
    </row>
    <row r="230">
      <c r="A230" s="7">
        <v>46052.626116913045</v>
      </c>
      <c r="B230" s="8" t="s">
        <v>3562</v>
      </c>
      <c r="C230" s="8" t="s">
        <v>3563</v>
      </c>
      <c r="D230" s="9">
        <v>46054.0</v>
      </c>
      <c r="E230" s="10">
        <v>28.71</v>
      </c>
      <c r="F230" s="26">
        <v>0.8312</v>
      </c>
      <c r="G230" s="12">
        <v>9510448.0</v>
      </c>
      <c r="H230" s="8" t="s">
        <v>245</v>
      </c>
      <c r="I230" s="11">
        <v>2.3165</v>
      </c>
      <c r="J230" s="12">
        <v>2.1859149432E10</v>
      </c>
      <c r="K230" s="8" t="s">
        <v>3565</v>
      </c>
      <c r="L230" s="8" t="s">
        <v>5410</v>
      </c>
      <c r="M230" s="14">
        <f>IFERROR(__xludf.DUMMYFUNCTION("IFERROR(GOOGLEFINANCE(B230,""price""),"""")"),33.41)</f>
        <v>33.41</v>
      </c>
    </row>
    <row r="231">
      <c r="A231" s="15">
        <v>46052.626116913045</v>
      </c>
      <c r="B231" s="16" t="s">
        <v>5558</v>
      </c>
      <c r="C231" s="16" t="s">
        <v>5559</v>
      </c>
      <c r="D231" s="17">
        <v>46054.0</v>
      </c>
      <c r="E231" s="18">
        <v>14.485</v>
      </c>
      <c r="F231" s="27">
        <v>0.8223</v>
      </c>
      <c r="G231" s="20">
        <v>1.6024755E7</v>
      </c>
      <c r="H231" s="16" t="s">
        <v>102</v>
      </c>
      <c r="I231" s="19">
        <v>-10.0869</v>
      </c>
      <c r="J231" s="20">
        <v>4.694562244E9</v>
      </c>
      <c r="K231" s="16" t="s">
        <v>5560</v>
      </c>
      <c r="L231" s="16" t="s">
        <v>5536</v>
      </c>
      <c r="M231" s="22">
        <f>IFERROR(__xludf.DUMMYFUNCTION("IFERROR(GOOGLEFINANCE(B231,""price""),"""")"),5.62)</f>
        <v>5.62</v>
      </c>
    </row>
    <row r="232">
      <c r="A232" s="7">
        <v>46052.626116913045</v>
      </c>
      <c r="B232" s="8" t="s">
        <v>5671</v>
      </c>
      <c r="C232" s="8" t="s">
        <v>5672</v>
      </c>
      <c r="D232" s="9">
        <v>46054.0</v>
      </c>
      <c r="E232" s="10">
        <v>17.95</v>
      </c>
      <c r="F232" s="26">
        <v>0.8052</v>
      </c>
      <c r="G232" s="12">
        <v>2.8399796E7</v>
      </c>
      <c r="H232" s="8" t="s">
        <v>308</v>
      </c>
      <c r="I232" s="11">
        <v>-9.5718</v>
      </c>
      <c r="J232" s="12">
        <v>5.923967927E9</v>
      </c>
      <c r="K232" s="8" t="s">
        <v>5673</v>
      </c>
      <c r="L232" s="8" t="s">
        <v>5674</v>
      </c>
      <c r="M232" s="14">
        <f>IFERROR(__xludf.DUMMYFUNCTION("IFERROR(GOOGLEFINANCE(B232,""price""),"""")"),14.68)</f>
        <v>14.68</v>
      </c>
    </row>
    <row r="233">
      <c r="A233" s="15">
        <v>46052.626116913045</v>
      </c>
      <c r="B233" s="16" t="s">
        <v>5503</v>
      </c>
      <c r="C233" s="16" t="s">
        <v>5504</v>
      </c>
      <c r="D233" s="17">
        <v>46054.0</v>
      </c>
      <c r="E233" s="18">
        <v>13.2</v>
      </c>
      <c r="F233" s="27">
        <v>0.7949</v>
      </c>
      <c r="G233" s="20">
        <v>1.551853E7</v>
      </c>
      <c r="H233" s="16" t="s">
        <v>335</v>
      </c>
      <c r="I233" s="19">
        <v>-5.7816</v>
      </c>
      <c r="J233" s="20">
        <v>1.556339564E9</v>
      </c>
      <c r="K233" s="16" t="s">
        <v>5505</v>
      </c>
      <c r="L233" s="16" t="s">
        <v>5445</v>
      </c>
      <c r="M233" s="22">
        <f>IFERROR(__xludf.DUMMYFUNCTION("IFERROR(GOOGLEFINANCE(B233,""price""),"""")"),8.87)</f>
        <v>8.87</v>
      </c>
    </row>
    <row r="234">
      <c r="A234" s="7">
        <v>46052.626116913045</v>
      </c>
      <c r="B234" s="8" t="s">
        <v>5604</v>
      </c>
      <c r="C234" s="8" t="s">
        <v>5605</v>
      </c>
      <c r="D234" s="9">
        <v>46054.0</v>
      </c>
      <c r="E234" s="10">
        <v>44.103</v>
      </c>
      <c r="F234" s="26">
        <v>0.7596</v>
      </c>
      <c r="G234" s="12">
        <v>1.1143316E7</v>
      </c>
      <c r="H234" s="8" t="s">
        <v>308</v>
      </c>
      <c r="I234" s="11">
        <v>11.4556</v>
      </c>
      <c r="J234" s="12">
        <v>3.011348052E9</v>
      </c>
      <c r="K234" s="8" t="s">
        <v>5606</v>
      </c>
      <c r="L234" s="8" t="s">
        <v>5414</v>
      </c>
      <c r="M234" s="14">
        <f>IFERROR(__xludf.DUMMYFUNCTION("IFERROR(GOOGLEFINANCE(B234,""price""),"""")"),150.6)</f>
        <v>150.6</v>
      </c>
    </row>
    <row r="235">
      <c r="A235" s="15">
        <v>46052.626116913045</v>
      </c>
      <c r="B235" s="16" t="s">
        <v>5574</v>
      </c>
      <c r="C235" s="16" t="s">
        <v>5575</v>
      </c>
      <c r="D235" s="17">
        <v>46054.0</v>
      </c>
      <c r="E235" s="18">
        <v>22.393</v>
      </c>
      <c r="F235" s="27">
        <v>0.7246</v>
      </c>
      <c r="G235" s="20">
        <v>1.8749803E7</v>
      </c>
      <c r="H235" s="16" t="s">
        <v>335</v>
      </c>
      <c r="I235" s="19">
        <v>-9.996</v>
      </c>
      <c r="J235" s="20">
        <v>5.313562202E9</v>
      </c>
      <c r="K235" s="16" t="s">
        <v>5576</v>
      </c>
      <c r="L235" s="16" t="s">
        <v>5506</v>
      </c>
      <c r="M235" s="22">
        <f>IFERROR(__xludf.DUMMYFUNCTION("IFERROR(GOOGLEFINANCE(B235,""price""),"""")"),18.4)</f>
        <v>18.4</v>
      </c>
    </row>
    <row r="236">
      <c r="A236" s="7">
        <v>46052.626116913045</v>
      </c>
      <c r="B236" s="8" t="s">
        <v>5675</v>
      </c>
      <c r="C236" s="8" t="s">
        <v>5676</v>
      </c>
      <c r="D236" s="9">
        <v>46054.0</v>
      </c>
      <c r="E236" s="10">
        <v>13.585</v>
      </c>
      <c r="F236" s="26">
        <v>0.7246</v>
      </c>
      <c r="G236" s="12">
        <v>1.6072274E7</v>
      </c>
      <c r="H236" s="8" t="s">
        <v>93</v>
      </c>
      <c r="I236" s="11">
        <v>-2.8949</v>
      </c>
      <c r="J236" s="12">
        <v>2.1187590781E10</v>
      </c>
      <c r="K236" s="8" t="s">
        <v>5677</v>
      </c>
      <c r="L236" s="8" t="s">
        <v>5678</v>
      </c>
      <c r="M236" s="14">
        <f>IFERROR(__xludf.DUMMYFUNCTION("IFERROR(GOOGLEFINANCE(B236,""price""),"""")"),8.23)</f>
        <v>8.23</v>
      </c>
    </row>
    <row r="237">
      <c r="A237" s="15">
        <v>46052.626116913045</v>
      </c>
      <c r="B237" s="16" t="s">
        <v>2735</v>
      </c>
      <c r="C237" s="16" t="s">
        <v>2736</v>
      </c>
      <c r="D237" s="17">
        <v>46054.0</v>
      </c>
      <c r="E237" s="18">
        <v>22.485</v>
      </c>
      <c r="F237" s="27">
        <v>0.7152</v>
      </c>
      <c r="G237" s="20">
        <v>4.2819182E7</v>
      </c>
      <c r="H237" s="16" t="s">
        <v>335</v>
      </c>
      <c r="I237" s="19">
        <v>-14.5707</v>
      </c>
      <c r="J237" s="20">
        <v>1.5067168957E10</v>
      </c>
      <c r="K237" s="16" t="s">
        <v>2738</v>
      </c>
      <c r="L237" s="16" t="s">
        <v>5445</v>
      </c>
      <c r="M237" s="22">
        <f>IFERROR(__xludf.DUMMYFUNCTION("IFERROR(GOOGLEFINANCE(B237,""price""),"""")"),19.46)</f>
        <v>19.46</v>
      </c>
    </row>
    <row r="238">
      <c r="A238" s="7">
        <v>46052.626116913045</v>
      </c>
      <c r="B238" s="8" t="s">
        <v>5679</v>
      </c>
      <c r="C238" s="8" t="s">
        <v>5680</v>
      </c>
      <c r="D238" s="9">
        <v>46054.0</v>
      </c>
      <c r="E238" s="10">
        <v>21.06</v>
      </c>
      <c r="F238" s="26">
        <v>0.7144</v>
      </c>
      <c r="G238" s="12">
        <v>2.7232638E7</v>
      </c>
      <c r="H238" s="8" t="s">
        <v>308</v>
      </c>
      <c r="I238" s="11">
        <v>-9.3023</v>
      </c>
      <c r="J238" s="12">
        <v>7.860273787E9</v>
      </c>
      <c r="K238" s="8" t="s">
        <v>5681</v>
      </c>
      <c r="L238" s="8" t="s">
        <v>5674</v>
      </c>
      <c r="M238" s="14">
        <f>IFERROR(__xludf.DUMMYFUNCTION("IFERROR(GOOGLEFINANCE(B238,""price""),"""")"),14.25)</f>
        <v>14.25</v>
      </c>
    </row>
    <row r="239">
      <c r="A239" s="15">
        <v>46052.626116913045</v>
      </c>
      <c r="B239" s="16" t="s">
        <v>5544</v>
      </c>
      <c r="C239" s="16" t="s">
        <v>5545</v>
      </c>
      <c r="D239" s="17">
        <v>46054.0</v>
      </c>
      <c r="E239" s="18">
        <v>16.03</v>
      </c>
      <c r="F239" s="27">
        <v>0.7064</v>
      </c>
      <c r="G239" s="20">
        <v>2.4589637E7</v>
      </c>
      <c r="H239" s="16" t="s">
        <v>88</v>
      </c>
      <c r="I239" s="19">
        <v>-9.435</v>
      </c>
      <c r="J239" s="20">
        <v>6.33332618E9</v>
      </c>
      <c r="K239" s="16" t="s">
        <v>5546</v>
      </c>
      <c r="L239" s="16" t="s">
        <v>5471</v>
      </c>
      <c r="M239" s="22">
        <f>IFERROR(__xludf.DUMMYFUNCTION("IFERROR(GOOGLEFINANCE(B239,""price""),"""")"),16.53)</f>
        <v>16.53</v>
      </c>
    </row>
    <row r="240">
      <c r="A240" s="7">
        <v>46052.626116913045</v>
      </c>
      <c r="B240" s="8" t="s">
        <v>5484</v>
      </c>
      <c r="C240" s="8" t="s">
        <v>5485</v>
      </c>
      <c r="D240" s="9">
        <v>46054.0</v>
      </c>
      <c r="E240" s="10">
        <v>53.96</v>
      </c>
      <c r="F240" s="26">
        <v>0.7023</v>
      </c>
      <c r="G240" s="12">
        <v>4.187278E7</v>
      </c>
      <c r="H240" s="8" t="s">
        <v>88</v>
      </c>
      <c r="I240" s="11">
        <v>-9.8262</v>
      </c>
      <c r="J240" s="12">
        <v>1.7671868865E10</v>
      </c>
      <c r="K240" s="8" t="s">
        <v>5486</v>
      </c>
      <c r="L240" s="8" t="s">
        <v>5471</v>
      </c>
      <c r="M240" s="14">
        <f>IFERROR(__xludf.DUMMYFUNCTION("IFERROR(GOOGLEFINANCE(B240,""price""),"""")"),39.32)</f>
        <v>39.32</v>
      </c>
    </row>
    <row r="241">
      <c r="A241" s="15">
        <v>46052.626116913045</v>
      </c>
      <c r="B241" s="16" t="s">
        <v>5682</v>
      </c>
      <c r="C241" s="16" t="s">
        <v>5683</v>
      </c>
      <c r="D241" s="17">
        <v>46054.0</v>
      </c>
      <c r="E241" s="18">
        <v>17.975</v>
      </c>
      <c r="F241" s="27">
        <v>0.6966</v>
      </c>
      <c r="G241" s="20">
        <v>7.6281905E7</v>
      </c>
      <c r="H241" s="16" t="s">
        <v>93</v>
      </c>
      <c r="I241" s="19">
        <v>-13.4569</v>
      </c>
      <c r="J241" s="20">
        <v>5.0615624118E10</v>
      </c>
      <c r="K241" s="16" t="s">
        <v>5684</v>
      </c>
      <c r="L241" s="16" t="s">
        <v>5590</v>
      </c>
      <c r="M241" s="22">
        <f>IFERROR(__xludf.DUMMYFUNCTION("IFERROR(GOOGLEFINANCE(B241,""price""),"""")"),14.85)</f>
        <v>14.85</v>
      </c>
    </row>
    <row r="242">
      <c r="A242" s="7">
        <v>46052.89178812743</v>
      </c>
      <c r="B242" s="8" t="s">
        <v>5567</v>
      </c>
      <c r="C242" s="8" t="s">
        <v>5568</v>
      </c>
      <c r="D242" s="9">
        <v>46054.0</v>
      </c>
      <c r="E242" s="10">
        <v>151.37</v>
      </c>
      <c r="F242" s="26">
        <v>1.5998</v>
      </c>
      <c r="G242" s="12">
        <v>1.1489444E7</v>
      </c>
      <c r="H242" s="8" t="s">
        <v>308</v>
      </c>
      <c r="I242" s="11">
        <v>-3.2841</v>
      </c>
      <c r="J242" s="12">
        <v>3.5800632098E10</v>
      </c>
      <c r="K242" s="8" t="s">
        <v>5569</v>
      </c>
      <c r="L242" s="8" t="s">
        <v>5433</v>
      </c>
      <c r="M242" s="14">
        <f>IFERROR(__xludf.DUMMYFUNCTION("IFERROR(GOOGLEFINANCE(B242,""price""),"""")"),166.7)</f>
        <v>166.7</v>
      </c>
    </row>
    <row r="243">
      <c r="A243" s="15">
        <v>46052.89178812743</v>
      </c>
      <c r="B243" s="16" t="s">
        <v>5484</v>
      </c>
      <c r="C243" s="16" t="s">
        <v>5485</v>
      </c>
      <c r="D243" s="17">
        <v>46054.0</v>
      </c>
      <c r="E243" s="18">
        <v>53.74</v>
      </c>
      <c r="F243" s="27">
        <v>1.5224</v>
      </c>
      <c r="G243" s="20">
        <v>4.8061125E7</v>
      </c>
      <c r="H243" s="16" t="s">
        <v>88</v>
      </c>
      <c r="I243" s="19">
        <v>-10.1939</v>
      </c>
      <c r="J243" s="20">
        <v>1.7599818992E10</v>
      </c>
      <c r="K243" s="16" t="s">
        <v>5486</v>
      </c>
      <c r="L243" s="16" t="s">
        <v>5471</v>
      </c>
      <c r="M243" s="22">
        <f>IFERROR(__xludf.DUMMYFUNCTION("IFERROR(GOOGLEFINANCE(B243,""price""),"""")"),39.32)</f>
        <v>39.32</v>
      </c>
    </row>
    <row r="244">
      <c r="A244" s="7">
        <v>46052.89178812743</v>
      </c>
      <c r="B244" s="8" t="s">
        <v>5503</v>
      </c>
      <c r="C244" s="8" t="s">
        <v>5504</v>
      </c>
      <c r="D244" s="9">
        <v>46054.0</v>
      </c>
      <c r="E244" s="10">
        <v>13.17</v>
      </c>
      <c r="F244" s="26">
        <v>1.4595</v>
      </c>
      <c r="G244" s="12">
        <v>1.7505594E7</v>
      </c>
      <c r="H244" s="8" t="s">
        <v>335</v>
      </c>
      <c r="I244" s="11">
        <v>-5.9957</v>
      </c>
      <c r="J244" s="12">
        <v>1.552802429E9</v>
      </c>
      <c r="K244" s="8" t="s">
        <v>5505</v>
      </c>
      <c r="L244" s="8" t="s">
        <v>5445</v>
      </c>
      <c r="M244" s="14">
        <f>IFERROR(__xludf.DUMMYFUNCTION("IFERROR(GOOGLEFINANCE(B244,""price""),"""")"),8.87)</f>
        <v>8.87</v>
      </c>
    </row>
    <row r="245">
      <c r="A245" s="15">
        <v>46052.89178812743</v>
      </c>
      <c r="B245" s="16" t="s">
        <v>5685</v>
      </c>
      <c r="C245" s="16" t="s">
        <v>5686</v>
      </c>
      <c r="D245" s="17">
        <v>46054.0</v>
      </c>
      <c r="E245" s="18">
        <v>65.76</v>
      </c>
      <c r="F245" s="27">
        <v>1.4094</v>
      </c>
      <c r="G245" s="20">
        <v>2.9754103E7</v>
      </c>
      <c r="H245" s="16" t="s">
        <v>88</v>
      </c>
      <c r="I245" s="19">
        <v>-13.1652</v>
      </c>
      <c r="J245" s="20">
        <v>4.6158592775E10</v>
      </c>
      <c r="K245" s="16" t="s">
        <v>5687</v>
      </c>
      <c r="L245" s="16" t="s">
        <v>5429</v>
      </c>
      <c r="M245" s="22">
        <f>IFERROR(__xludf.DUMMYFUNCTION("IFERROR(GOOGLEFINANCE(B245,""price""),"""")"),55.59)</f>
        <v>55.59</v>
      </c>
    </row>
    <row r="246">
      <c r="A246" s="7">
        <v>46052.89178812743</v>
      </c>
      <c r="B246" s="8" t="s">
        <v>5688</v>
      </c>
      <c r="C246" s="8" t="s">
        <v>5689</v>
      </c>
      <c r="D246" s="9">
        <v>46054.0</v>
      </c>
      <c r="E246" s="10">
        <v>6.93</v>
      </c>
      <c r="F246" s="26">
        <v>1.4063</v>
      </c>
      <c r="G246" s="12">
        <v>4.4350647E7</v>
      </c>
      <c r="H246" s="8" t="s">
        <v>88</v>
      </c>
      <c r="I246" s="11">
        <v>-4.2818</v>
      </c>
      <c r="J246" s="12">
        <v>1.1915155165E10</v>
      </c>
      <c r="K246" s="8" t="s">
        <v>5690</v>
      </c>
      <c r="L246" s="8" t="s">
        <v>5429</v>
      </c>
      <c r="M246" s="14">
        <f>IFERROR(__xludf.DUMMYFUNCTION("IFERROR(GOOGLEFINANCE(B246,""price""),"""")"),4.82)</f>
        <v>4.82</v>
      </c>
    </row>
    <row r="247">
      <c r="A247" s="15">
        <v>46052.89178812743</v>
      </c>
      <c r="B247" s="16" t="s">
        <v>5691</v>
      </c>
      <c r="C247" s="16" t="s">
        <v>5692</v>
      </c>
      <c r="D247" s="17">
        <v>46054.0</v>
      </c>
      <c r="E247" s="18">
        <v>8.82</v>
      </c>
      <c r="F247" s="27">
        <v>1.3564</v>
      </c>
      <c r="G247" s="20">
        <v>1.1609393E7</v>
      </c>
      <c r="H247" s="16" t="s">
        <v>873</v>
      </c>
      <c r="I247" s="19">
        <v>-1.2318</v>
      </c>
      <c r="J247" s="20">
        <v>9.046178615E9</v>
      </c>
      <c r="K247" s="16" t="s">
        <v>5693</v>
      </c>
      <c r="L247" s="16" t="s">
        <v>5694</v>
      </c>
      <c r="M247" s="22">
        <f>IFERROR(__xludf.DUMMYFUNCTION("IFERROR(GOOGLEFINANCE(B247,""price""),"""")"),7.44)</f>
        <v>7.44</v>
      </c>
    </row>
    <row r="248">
      <c r="A248" s="7">
        <v>46052.89178812743</v>
      </c>
      <c r="B248" s="8" t="s">
        <v>1077</v>
      </c>
      <c r="C248" s="8" t="s">
        <v>1078</v>
      </c>
      <c r="D248" s="9">
        <v>46054.0</v>
      </c>
      <c r="E248" s="10">
        <v>7.33</v>
      </c>
      <c r="F248" s="26">
        <v>1.3086</v>
      </c>
      <c r="G248" s="12">
        <v>1.6249675E7</v>
      </c>
      <c r="H248" s="8" t="s">
        <v>335</v>
      </c>
      <c r="I248" s="11">
        <v>-11.5802</v>
      </c>
      <c r="J248" s="12">
        <v>1.026461046E9</v>
      </c>
      <c r="K248" s="8" t="s">
        <v>1079</v>
      </c>
      <c r="L248" s="8" t="s">
        <v>5506</v>
      </c>
      <c r="M248" s="14">
        <f>IFERROR(__xludf.DUMMYFUNCTION("IFERROR(GOOGLEFINANCE(B248,""price""),"""")"),8.36)</f>
        <v>8.36</v>
      </c>
    </row>
    <row r="249">
      <c r="A249" s="15">
        <v>46052.89178812743</v>
      </c>
      <c r="B249" s="16" t="s">
        <v>5695</v>
      </c>
      <c r="C249" s="16" t="s">
        <v>5696</v>
      </c>
      <c r="D249" s="17">
        <v>46054.0</v>
      </c>
      <c r="E249" s="18">
        <v>5.59</v>
      </c>
      <c r="F249" s="27">
        <v>1.2773</v>
      </c>
      <c r="G249" s="20">
        <v>1.2282756E7</v>
      </c>
      <c r="H249" s="16" t="s">
        <v>149</v>
      </c>
      <c r="I249" s="19">
        <v>-2.4433</v>
      </c>
      <c r="J249" s="20">
        <v>2.335538237E9</v>
      </c>
      <c r="K249" s="16" t="s">
        <v>5697</v>
      </c>
      <c r="L249" s="16" t="s">
        <v>5698</v>
      </c>
      <c r="M249" s="22">
        <f>IFERROR(__xludf.DUMMYFUNCTION("IFERROR(GOOGLEFINANCE(B249,""price""),"""")"),4.62)</f>
        <v>4.62</v>
      </c>
    </row>
    <row r="250">
      <c r="A250" s="7">
        <v>46052.89178812743</v>
      </c>
      <c r="B250" s="8" t="s">
        <v>5514</v>
      </c>
      <c r="C250" s="8" t="s">
        <v>5515</v>
      </c>
      <c r="D250" s="9">
        <v>46054.0</v>
      </c>
      <c r="E250" s="10">
        <v>6.25</v>
      </c>
      <c r="F250" s="26">
        <v>1.2734</v>
      </c>
      <c r="G250" s="12">
        <v>2.9537843E7</v>
      </c>
      <c r="H250" s="8" t="s">
        <v>117</v>
      </c>
      <c r="I250" s="11">
        <v>5.753</v>
      </c>
      <c r="J250" s="12">
        <v>6.156032404E9</v>
      </c>
      <c r="K250" s="8" t="s">
        <v>5516</v>
      </c>
      <c r="L250" s="8" t="s">
        <v>5491</v>
      </c>
      <c r="M250" s="14">
        <f>IFERROR(__xludf.DUMMYFUNCTION("IFERROR(GOOGLEFINANCE(B250,""price""),"""")"),7.28)</f>
        <v>7.28</v>
      </c>
    </row>
    <row r="251">
      <c r="A251" s="15">
        <v>46052.89178812743</v>
      </c>
      <c r="B251" s="16" t="s">
        <v>5530</v>
      </c>
      <c r="C251" s="16" t="s">
        <v>5531</v>
      </c>
      <c r="D251" s="17">
        <v>46054.0</v>
      </c>
      <c r="E251" s="18">
        <v>6.62</v>
      </c>
      <c r="F251" s="27">
        <v>1.2441</v>
      </c>
      <c r="G251" s="20">
        <v>1.2049095E7</v>
      </c>
      <c r="H251" s="16" t="s">
        <v>335</v>
      </c>
      <c r="I251" s="19">
        <v>-11.8509</v>
      </c>
      <c r="J251" s="20">
        <v>2.737317355E9</v>
      </c>
      <c r="K251" s="16" t="s">
        <v>5532</v>
      </c>
      <c r="L251" s="16" t="s">
        <v>5506</v>
      </c>
      <c r="M251" s="22">
        <f>IFERROR(__xludf.DUMMYFUNCTION("IFERROR(GOOGLEFINANCE(B251,""price""),"""")"),4.34)</f>
        <v>4.34</v>
      </c>
    </row>
    <row r="252">
      <c r="A252" s="7">
        <v>46052.89178812743</v>
      </c>
      <c r="B252" s="8" t="s">
        <v>5537</v>
      </c>
      <c r="C252" s="8" t="s">
        <v>5538</v>
      </c>
      <c r="D252" s="9">
        <v>46054.0</v>
      </c>
      <c r="E252" s="10">
        <v>3.58</v>
      </c>
      <c r="F252" s="26">
        <v>1.2422</v>
      </c>
      <c r="G252" s="12">
        <v>4.5814109E7</v>
      </c>
      <c r="H252" s="8" t="s">
        <v>112</v>
      </c>
      <c r="I252" s="11">
        <v>-10.9453</v>
      </c>
      <c r="J252" s="12">
        <v>7.70043546E8</v>
      </c>
      <c r="K252" s="8" t="s">
        <v>5539</v>
      </c>
      <c r="L252" s="8" t="s">
        <v>5540</v>
      </c>
      <c r="M252" s="14">
        <f>IFERROR(__xludf.DUMMYFUNCTION("IFERROR(GOOGLEFINANCE(B252,""price""),"""")"),2.01)</f>
        <v>2.01</v>
      </c>
    </row>
    <row r="253">
      <c r="A253" s="15">
        <v>46052.89178812743</v>
      </c>
      <c r="B253" s="16" t="s">
        <v>5580</v>
      </c>
      <c r="C253" s="16" t="s">
        <v>5581</v>
      </c>
      <c r="D253" s="17">
        <v>46054.0</v>
      </c>
      <c r="E253" s="18">
        <v>2.58</v>
      </c>
      <c r="F253" s="27">
        <v>1.2266</v>
      </c>
      <c r="G253" s="20">
        <v>2.9101205E7</v>
      </c>
      <c r="H253" s="16" t="s">
        <v>88</v>
      </c>
      <c r="I253" s="19">
        <v>-9.4737</v>
      </c>
      <c r="J253" s="20">
        <v>1.02897519E9</v>
      </c>
      <c r="K253" s="16" t="s">
        <v>5582</v>
      </c>
      <c r="L253" s="16" t="s">
        <v>5429</v>
      </c>
      <c r="M253" s="22">
        <f>IFERROR(__xludf.DUMMYFUNCTION("IFERROR(GOOGLEFINANCE(B253,""price""),"""")"),2.38)</f>
        <v>2.38</v>
      </c>
    </row>
    <row r="254">
      <c r="A254" s="7">
        <v>46052.89178812743</v>
      </c>
      <c r="B254" s="8" t="s">
        <v>5637</v>
      </c>
      <c r="C254" s="8" t="s">
        <v>5638</v>
      </c>
      <c r="D254" s="9">
        <v>46054.0</v>
      </c>
      <c r="E254" s="10">
        <v>29.1</v>
      </c>
      <c r="F254" s="26">
        <v>1.1865</v>
      </c>
      <c r="G254" s="12">
        <v>8.6855244E7</v>
      </c>
      <c r="H254" s="8" t="s">
        <v>88</v>
      </c>
      <c r="I254" s="11">
        <v>-24.2187</v>
      </c>
      <c r="J254" s="12">
        <v>1.2452264191E10</v>
      </c>
      <c r="K254" s="8" t="s">
        <v>5639</v>
      </c>
      <c r="L254" s="8" t="s">
        <v>5429</v>
      </c>
      <c r="M254" s="14">
        <f>IFERROR(__xludf.DUMMYFUNCTION("IFERROR(GOOGLEFINANCE(B254,""price""),"""")"),21.62)</f>
        <v>21.62</v>
      </c>
    </row>
    <row r="255">
      <c r="A255" s="15">
        <v>46052.89178812743</v>
      </c>
      <c r="B255" s="16" t="s">
        <v>5517</v>
      </c>
      <c r="C255" s="16" t="s">
        <v>5518</v>
      </c>
      <c r="D255" s="17">
        <v>46054.0</v>
      </c>
      <c r="E255" s="18">
        <v>11.75</v>
      </c>
      <c r="F255" s="27">
        <v>1.1856</v>
      </c>
      <c r="G255" s="20">
        <v>4.2742519E7</v>
      </c>
      <c r="H255" s="16" t="s">
        <v>308</v>
      </c>
      <c r="I255" s="19">
        <v>-8.2748</v>
      </c>
      <c r="J255" s="20">
        <v>1.940521815E9</v>
      </c>
      <c r="K255" s="16" t="s">
        <v>5519</v>
      </c>
      <c r="L255" s="16" t="s">
        <v>5520</v>
      </c>
      <c r="M255" s="22">
        <f>IFERROR(__xludf.DUMMYFUNCTION("IFERROR(GOOGLEFINANCE(B255,""price""),"""")"),9.29)</f>
        <v>9.29</v>
      </c>
    </row>
    <row r="256">
      <c r="A256" s="7">
        <v>46052.89178812743</v>
      </c>
      <c r="B256" s="8" t="s">
        <v>5422</v>
      </c>
      <c r="C256" s="8" t="s">
        <v>5423</v>
      </c>
      <c r="D256" s="9">
        <v>46054.0</v>
      </c>
      <c r="E256" s="10">
        <v>22.42</v>
      </c>
      <c r="F256" s="26">
        <v>1.1518</v>
      </c>
      <c r="G256" s="12">
        <v>2.9837231E7</v>
      </c>
      <c r="H256" s="8" t="s">
        <v>102</v>
      </c>
      <c r="I256" s="11">
        <v>1.5859</v>
      </c>
      <c r="J256" s="12">
        <v>3.310984021E9</v>
      </c>
      <c r="K256" s="8" t="s">
        <v>5424</v>
      </c>
      <c r="L256" s="8" t="s">
        <v>5425</v>
      </c>
      <c r="M256" s="14">
        <f>IFERROR(__xludf.DUMMYFUNCTION("IFERROR(GOOGLEFINANCE(B256,""price""),"""")"),16.15)</f>
        <v>16.15</v>
      </c>
    </row>
    <row r="257">
      <c r="A257" s="15">
        <v>46052.89178812743</v>
      </c>
      <c r="B257" s="16" t="s">
        <v>5604</v>
      </c>
      <c r="C257" s="16" t="s">
        <v>5605</v>
      </c>
      <c r="D257" s="17">
        <v>46054.0</v>
      </c>
      <c r="E257" s="18">
        <v>43.61</v>
      </c>
      <c r="F257" s="27">
        <v>1.1369</v>
      </c>
      <c r="G257" s="20">
        <v>1.200099E7</v>
      </c>
      <c r="H257" s="16" t="s">
        <v>308</v>
      </c>
      <c r="I257" s="19">
        <v>10.2098</v>
      </c>
      <c r="J257" s="20">
        <v>2.977686065E9</v>
      </c>
      <c r="K257" s="16" t="s">
        <v>5606</v>
      </c>
      <c r="L257" s="16" t="s">
        <v>5414</v>
      </c>
      <c r="M257" s="22">
        <f>IFERROR(__xludf.DUMMYFUNCTION("IFERROR(GOOGLEFINANCE(B257,""price""),"""")"),150.6)</f>
        <v>150.6</v>
      </c>
    </row>
    <row r="258">
      <c r="A258" s="7">
        <v>46052.89178812743</v>
      </c>
      <c r="B258" s="8" t="s">
        <v>5481</v>
      </c>
      <c r="C258" s="8" t="s">
        <v>5482</v>
      </c>
      <c r="D258" s="9">
        <v>46054.0</v>
      </c>
      <c r="E258" s="10">
        <v>11.84</v>
      </c>
      <c r="F258" s="26">
        <v>1.1231</v>
      </c>
      <c r="G258" s="12">
        <v>2.439834E7</v>
      </c>
      <c r="H258" s="8" t="s">
        <v>88</v>
      </c>
      <c r="I258" s="11">
        <v>-5.9571</v>
      </c>
      <c r="J258" s="12">
        <v>3.026107907E9</v>
      </c>
      <c r="K258" s="8" t="s">
        <v>5483</v>
      </c>
      <c r="L258" s="8" t="s">
        <v>5471</v>
      </c>
      <c r="M258" s="14">
        <f>IFERROR(__xludf.DUMMYFUNCTION("IFERROR(GOOGLEFINANCE(B258,""price""),"""")"),10.02)</f>
        <v>10.02</v>
      </c>
    </row>
    <row r="259">
      <c r="A259" s="15">
        <v>46052.89178812743</v>
      </c>
      <c r="B259" s="16" t="s">
        <v>5544</v>
      </c>
      <c r="C259" s="16" t="s">
        <v>5545</v>
      </c>
      <c r="D259" s="17">
        <v>46054.0</v>
      </c>
      <c r="E259" s="18">
        <v>15.96</v>
      </c>
      <c r="F259" s="27">
        <v>1.1231</v>
      </c>
      <c r="G259" s="20">
        <v>2.8279166E7</v>
      </c>
      <c r="H259" s="16" t="s">
        <v>88</v>
      </c>
      <c r="I259" s="19">
        <v>-9.8305</v>
      </c>
      <c r="J259" s="20">
        <v>6.305669734E9</v>
      </c>
      <c r="K259" s="16" t="s">
        <v>5546</v>
      </c>
      <c r="L259" s="16" t="s">
        <v>5471</v>
      </c>
      <c r="M259" s="22">
        <f>IFERROR(__xludf.DUMMYFUNCTION("IFERROR(GOOGLEFINANCE(B259,""price""),"""")"),16.53)</f>
        <v>16.53</v>
      </c>
    </row>
    <row r="260">
      <c r="A260" s="7">
        <v>46052.89178812743</v>
      </c>
      <c r="B260" s="8" t="s">
        <v>5699</v>
      </c>
      <c r="C260" s="8" t="s">
        <v>5700</v>
      </c>
      <c r="D260" s="9">
        <v>46054.0</v>
      </c>
      <c r="E260" s="10">
        <v>29.11</v>
      </c>
      <c r="F260" s="26">
        <v>1.1218</v>
      </c>
      <c r="G260" s="12">
        <v>2.4089531E7</v>
      </c>
      <c r="H260" s="8" t="s">
        <v>308</v>
      </c>
      <c r="I260" s="11">
        <v>-3.3533</v>
      </c>
      <c r="J260" s="12">
        <v>1.737783009E10</v>
      </c>
      <c r="K260" s="8" t="s">
        <v>5701</v>
      </c>
      <c r="L260" s="8" t="s">
        <v>5674</v>
      </c>
      <c r="M260" s="14">
        <f>IFERROR(__xludf.DUMMYFUNCTION("IFERROR(GOOGLEFINANCE(B260,""price""),"""")"),25.26)</f>
        <v>25.26</v>
      </c>
    </row>
    <row r="261">
      <c r="A261" s="15">
        <v>46052.89178812743</v>
      </c>
      <c r="B261" s="16" t="s">
        <v>5574</v>
      </c>
      <c r="C261" s="16" t="s">
        <v>5575</v>
      </c>
      <c r="D261" s="17">
        <v>46054.0</v>
      </c>
      <c r="E261" s="18">
        <v>22.44</v>
      </c>
      <c r="F261" s="27">
        <v>1.1202</v>
      </c>
      <c r="G261" s="20">
        <v>2.1888039E7</v>
      </c>
      <c r="H261" s="16" t="s">
        <v>335</v>
      </c>
      <c r="I261" s="19">
        <v>-9.8071</v>
      </c>
      <c r="J261" s="20">
        <v>5.324714679E9</v>
      </c>
      <c r="K261" s="16" t="s">
        <v>5576</v>
      </c>
      <c r="L261" s="16" t="s">
        <v>5506</v>
      </c>
      <c r="M261" s="22">
        <f>IFERROR(__xludf.DUMMYFUNCTION("IFERROR(GOOGLEFINANCE(B261,""price""),"""")"),18.4)</f>
        <v>18.4</v>
      </c>
    </row>
    <row r="262">
      <c r="A262" s="7">
        <v>46052.89178812743</v>
      </c>
      <c r="B262" s="8" t="s">
        <v>2704</v>
      </c>
      <c r="C262" s="8" t="s">
        <v>2705</v>
      </c>
      <c r="D262" s="9">
        <v>46054.0</v>
      </c>
      <c r="E262" s="10">
        <v>33.88</v>
      </c>
      <c r="F262" s="26">
        <v>1.1162</v>
      </c>
      <c r="G262" s="12">
        <v>3.0806642E7</v>
      </c>
      <c r="H262" s="8" t="s">
        <v>88</v>
      </c>
      <c r="I262" s="11">
        <v>-11.006</v>
      </c>
      <c r="J262" s="12">
        <v>9.472367351E9</v>
      </c>
      <c r="K262" s="8" t="s">
        <v>2707</v>
      </c>
      <c r="L262" s="8" t="s">
        <v>5471</v>
      </c>
      <c r="M262" s="14">
        <f>IFERROR(__xludf.DUMMYFUNCTION("IFERROR(GOOGLEFINANCE(B262,""price""),"""")"),26.24)</f>
        <v>26.24</v>
      </c>
    </row>
    <row r="263">
      <c r="A263" s="15">
        <v>46052.89178812743</v>
      </c>
      <c r="B263" s="16" t="s">
        <v>5554</v>
      </c>
      <c r="C263" s="16" t="s">
        <v>5555</v>
      </c>
      <c r="D263" s="17">
        <v>46054.0</v>
      </c>
      <c r="E263" s="18">
        <v>111.21</v>
      </c>
      <c r="F263" s="27">
        <v>1.1111</v>
      </c>
      <c r="G263" s="20">
        <v>1.9691768E7</v>
      </c>
      <c r="H263" s="16" t="s">
        <v>873</v>
      </c>
      <c r="I263" s="19">
        <v>-8.9115</v>
      </c>
      <c r="J263" s="20">
        <v>4.0858696824E10</v>
      </c>
      <c r="K263" s="16" t="s">
        <v>5556</v>
      </c>
      <c r="L263" s="16" t="s">
        <v>5557</v>
      </c>
      <c r="M263" s="22">
        <f>IFERROR(__xludf.DUMMYFUNCTION("IFERROR(GOOGLEFINANCE(B263,""price""),"""")"),94.9)</f>
        <v>94.9</v>
      </c>
    </row>
    <row r="264">
      <c r="A264" s="7">
        <v>46052.89178812743</v>
      </c>
      <c r="B264" s="8" t="s">
        <v>5510</v>
      </c>
      <c r="C264" s="8" t="s">
        <v>5511</v>
      </c>
      <c r="D264" s="9">
        <v>46054.0</v>
      </c>
      <c r="E264" s="10">
        <v>576.25</v>
      </c>
      <c r="F264" s="26">
        <v>1.0971</v>
      </c>
      <c r="G264" s="12">
        <v>4.0931153E7</v>
      </c>
      <c r="H264" s="8" t="s">
        <v>308</v>
      </c>
      <c r="I264" s="11">
        <v>6.8515</v>
      </c>
      <c r="J264" s="12">
        <v>8.4451266265E10</v>
      </c>
      <c r="K264" s="8" t="s">
        <v>5512</v>
      </c>
      <c r="L264" s="8" t="s">
        <v>5513</v>
      </c>
      <c r="M264" s="14">
        <f>IFERROR(__xludf.DUMMYFUNCTION("IFERROR(GOOGLEFINANCE(B264,""price""),"""")"),851.77)</f>
        <v>851.77</v>
      </c>
    </row>
    <row r="265">
      <c r="A265" s="15">
        <v>46052.89178812743</v>
      </c>
      <c r="B265" s="16" t="s">
        <v>5558</v>
      </c>
      <c r="C265" s="16" t="s">
        <v>5559</v>
      </c>
      <c r="D265" s="17">
        <v>46054.0</v>
      </c>
      <c r="E265" s="18">
        <v>14.64</v>
      </c>
      <c r="F265" s="27">
        <v>1.0957</v>
      </c>
      <c r="G265" s="20">
        <v>1.8776041E7</v>
      </c>
      <c r="H265" s="16" t="s">
        <v>102</v>
      </c>
      <c r="I265" s="19">
        <v>-9.1248</v>
      </c>
      <c r="J265" s="20">
        <v>4.744797463E9</v>
      </c>
      <c r="K265" s="16" t="s">
        <v>5560</v>
      </c>
      <c r="L265" s="16" t="s">
        <v>5536</v>
      </c>
      <c r="M265" s="22">
        <f>IFERROR(__xludf.DUMMYFUNCTION("IFERROR(GOOGLEFINANCE(B265,""price""),"""")"),5.62)</f>
        <v>5.62</v>
      </c>
    </row>
    <row r="266">
      <c r="A266" s="7">
        <v>46052.89178812743</v>
      </c>
      <c r="B266" s="8" t="s">
        <v>5594</v>
      </c>
      <c r="C266" s="8" t="s">
        <v>5595</v>
      </c>
      <c r="D266" s="9">
        <v>46054.0</v>
      </c>
      <c r="E266" s="10">
        <v>13.37</v>
      </c>
      <c r="F266" s="26">
        <v>1.0413</v>
      </c>
      <c r="G266" s="12">
        <v>3.1973607E7</v>
      </c>
      <c r="H266" s="8" t="s">
        <v>88</v>
      </c>
      <c r="I266" s="11">
        <v>-8.0468</v>
      </c>
      <c r="J266" s="12">
        <v>5.597776785E9</v>
      </c>
      <c r="K266" s="8" t="s">
        <v>5596</v>
      </c>
      <c r="L266" s="8" t="s">
        <v>5471</v>
      </c>
      <c r="M266" s="14">
        <f>IFERROR(__xludf.DUMMYFUNCTION("IFERROR(GOOGLEFINANCE(B266,""price""),"""")"),18.88)</f>
        <v>18.88</v>
      </c>
    </row>
    <row r="267">
      <c r="A267" s="15">
        <v>46052.89178812743</v>
      </c>
      <c r="B267" s="16" t="s">
        <v>5434</v>
      </c>
      <c r="C267" s="16" t="s">
        <v>5435</v>
      </c>
      <c r="D267" s="17">
        <v>46054.0</v>
      </c>
      <c r="E267" s="18">
        <v>10.36</v>
      </c>
      <c r="F267" s="27">
        <v>1.04</v>
      </c>
      <c r="G267" s="20">
        <v>7.9361686E7</v>
      </c>
      <c r="H267" s="16" t="s">
        <v>308</v>
      </c>
      <c r="I267" s="19">
        <v>-8.0745</v>
      </c>
      <c r="J267" s="20">
        <v>4.377892796E9</v>
      </c>
      <c r="K267" s="16" t="s">
        <v>5436</v>
      </c>
      <c r="L267" s="16" t="s">
        <v>5437</v>
      </c>
      <c r="M267" s="22">
        <f>IFERROR(__xludf.DUMMYFUNCTION("IFERROR(GOOGLEFINANCE(B267,""price""),"""")"),9.13)</f>
        <v>9.13</v>
      </c>
    </row>
    <row r="268">
      <c r="A268" s="7">
        <v>46052.89178812743</v>
      </c>
      <c r="B268" s="8" t="s">
        <v>2735</v>
      </c>
      <c r="C268" s="8" t="s">
        <v>2736</v>
      </c>
      <c r="D268" s="9">
        <v>46054.0</v>
      </c>
      <c r="E268" s="10">
        <v>22.52</v>
      </c>
      <c r="F268" s="26">
        <v>1.0339</v>
      </c>
      <c r="G268" s="12">
        <v>4.9275295E7</v>
      </c>
      <c r="H268" s="8" t="s">
        <v>335</v>
      </c>
      <c r="I268" s="11">
        <v>-14.4377</v>
      </c>
      <c r="J268" s="12">
        <v>1.5090622411E10</v>
      </c>
      <c r="K268" s="8" t="s">
        <v>2738</v>
      </c>
      <c r="L268" s="8" t="s">
        <v>5445</v>
      </c>
      <c r="M268" s="14">
        <f>IFERROR(__xludf.DUMMYFUNCTION("IFERROR(GOOGLEFINANCE(B268,""price""),"""")"),19.46)</f>
        <v>19.46</v>
      </c>
    </row>
    <row r="269">
      <c r="A269" s="15">
        <v>46052.89178812743</v>
      </c>
      <c r="B269" s="16" t="s">
        <v>5533</v>
      </c>
      <c r="C269" s="16" t="s">
        <v>5534</v>
      </c>
      <c r="D269" s="17">
        <v>46054.0</v>
      </c>
      <c r="E269" s="18">
        <v>8.33</v>
      </c>
      <c r="F269" s="27">
        <v>1.0273</v>
      </c>
      <c r="G269" s="20">
        <v>1.6306666E7</v>
      </c>
      <c r="H269" s="16" t="s">
        <v>102</v>
      </c>
      <c r="I269" s="19">
        <v>-6.1937</v>
      </c>
      <c r="J269" s="20">
        <v>2.253871578E9</v>
      </c>
      <c r="K269" s="16" t="s">
        <v>5535</v>
      </c>
      <c r="L269" s="16" t="s">
        <v>5536</v>
      </c>
      <c r="M269" s="22">
        <f>IFERROR(__xludf.DUMMYFUNCTION("IFERROR(GOOGLEFINANCE(B269,""price""),"""")"),4.69)</f>
        <v>4.69</v>
      </c>
    </row>
    <row r="270">
      <c r="A270" s="7">
        <v>46052.89178812743</v>
      </c>
      <c r="B270" s="8" t="s">
        <v>5591</v>
      </c>
      <c r="C270" s="8" t="s">
        <v>5592</v>
      </c>
      <c r="D270" s="9">
        <v>46054.0</v>
      </c>
      <c r="E270" s="10">
        <v>8.58</v>
      </c>
      <c r="F270" s="26">
        <v>1.0273</v>
      </c>
      <c r="G270" s="12">
        <v>1.6658608E7</v>
      </c>
      <c r="H270" s="8" t="s">
        <v>308</v>
      </c>
      <c r="I270" s="11">
        <v>-9.3023</v>
      </c>
      <c r="J270" s="12">
        <v>1.977657278E9</v>
      </c>
      <c r="K270" s="8" t="s">
        <v>5593</v>
      </c>
      <c r="L270" s="8" t="s">
        <v>5414</v>
      </c>
      <c r="M270" s="14">
        <f>IFERROR(__xludf.DUMMYFUNCTION("IFERROR(GOOGLEFINANCE(B270,""price""),"""")"),9.54)</f>
        <v>9.54</v>
      </c>
    </row>
    <row r="271">
      <c r="A271" s="15">
        <v>46052.89178812743</v>
      </c>
      <c r="B271" s="16" t="s">
        <v>5561</v>
      </c>
      <c r="C271" s="16" t="s">
        <v>5562</v>
      </c>
      <c r="D271" s="17">
        <v>46054.0</v>
      </c>
      <c r="E271" s="18">
        <v>17.48</v>
      </c>
      <c r="F271" s="27">
        <v>1.0182</v>
      </c>
      <c r="G271" s="20">
        <v>2.5697165E7</v>
      </c>
      <c r="H271" s="16" t="s">
        <v>102</v>
      </c>
      <c r="I271" s="19">
        <v>-7.611</v>
      </c>
      <c r="J271" s="20">
        <v>5.291625581E9</v>
      </c>
      <c r="K271" s="16" t="s">
        <v>5563</v>
      </c>
      <c r="L271" s="16" t="s">
        <v>5536</v>
      </c>
      <c r="M271" s="22">
        <f>IFERROR(__xludf.DUMMYFUNCTION("IFERROR(GOOGLEFINANCE(B271,""price""),"""")"),9.21)</f>
        <v>9.21</v>
      </c>
    </row>
    <row r="272">
      <c r="A272" s="7">
        <v>46055.62737101846</v>
      </c>
      <c r="B272" s="8" t="s">
        <v>5567</v>
      </c>
      <c r="C272" s="8" t="s">
        <v>5568</v>
      </c>
      <c r="D272" s="9">
        <v>46061.0</v>
      </c>
      <c r="E272" s="10">
        <v>155.73</v>
      </c>
      <c r="F272" s="26">
        <v>1.8009</v>
      </c>
      <c r="G272" s="12">
        <v>8175401.0</v>
      </c>
      <c r="H272" s="8" t="s">
        <v>308</v>
      </c>
      <c r="I272" s="11">
        <v>2.8804</v>
      </c>
      <c r="J272" s="12">
        <v>3.6831819069E10</v>
      </c>
      <c r="K272" s="23"/>
      <c r="L272" s="13">
        <v>-0.0291</v>
      </c>
      <c r="M272" s="8" t="s">
        <v>5569</v>
      </c>
      <c r="N272" s="8" t="s">
        <v>5433</v>
      </c>
      <c r="O272" s="13">
        <v>2.8171</v>
      </c>
      <c r="P272" s="13">
        <v>7.0245</v>
      </c>
      <c r="Q272" s="13">
        <v>44.5274</v>
      </c>
      <c r="R272" s="13">
        <v>2.3214</v>
      </c>
      <c r="S272" s="13">
        <v>4.34</v>
      </c>
      <c r="T272" s="14">
        <f>IFERROR(__xludf.DUMMYFUNCTION("IFERROR(GOOGLEFINANCE(B272,""price""),"""")"),166.7)</f>
        <v>166.7</v>
      </c>
    </row>
    <row r="273">
      <c r="A273" s="15">
        <v>46055.62737101846</v>
      </c>
      <c r="B273" s="16" t="s">
        <v>5484</v>
      </c>
      <c r="C273" s="16" t="s">
        <v>5485</v>
      </c>
      <c r="D273" s="17">
        <v>46061.0</v>
      </c>
      <c r="E273" s="18">
        <v>52.57</v>
      </c>
      <c r="F273" s="27">
        <v>1.7089</v>
      </c>
      <c r="G273" s="20">
        <v>3.746672E7</v>
      </c>
      <c r="H273" s="16" t="s">
        <v>88</v>
      </c>
      <c r="I273" s="19">
        <v>-2.1771</v>
      </c>
      <c r="J273" s="20">
        <v>1.7216645161E10</v>
      </c>
      <c r="K273" s="21">
        <v>26.8037</v>
      </c>
      <c r="L273" s="21">
        <v>1.9613</v>
      </c>
      <c r="M273" s="16" t="s">
        <v>5486</v>
      </c>
      <c r="N273" s="16" t="s">
        <v>5471</v>
      </c>
      <c r="O273" s="21">
        <v>30.1877</v>
      </c>
      <c r="P273" s="21">
        <v>-0.3959</v>
      </c>
      <c r="Q273" s="21">
        <v>236.1371</v>
      </c>
      <c r="R273" s="21">
        <v>0.3357</v>
      </c>
      <c r="S273" s="21">
        <v>5.5164</v>
      </c>
      <c r="T273" s="22">
        <f>IFERROR(__xludf.DUMMYFUNCTION("IFERROR(GOOGLEFINANCE(B273,""price""),"""")"),39.32)</f>
        <v>39.32</v>
      </c>
    </row>
    <row r="274">
      <c r="A274" s="7">
        <v>46055.62737101846</v>
      </c>
      <c r="B274" s="8" t="s">
        <v>5640</v>
      </c>
      <c r="C274" s="8" t="s">
        <v>5641</v>
      </c>
      <c r="D274" s="9">
        <v>46061.0</v>
      </c>
      <c r="E274" s="10">
        <v>20.93</v>
      </c>
      <c r="F274" s="26">
        <v>1.6548</v>
      </c>
      <c r="G274" s="12">
        <v>8291963.0</v>
      </c>
      <c r="H274" s="8" t="s">
        <v>308</v>
      </c>
      <c r="I274" s="11">
        <v>12.891</v>
      </c>
      <c r="J274" s="12">
        <v>1.156888194E9</v>
      </c>
      <c r="K274" s="23"/>
      <c r="L274" s="13">
        <v>-0.5272</v>
      </c>
      <c r="M274" s="8" t="s">
        <v>5642</v>
      </c>
      <c r="N274" s="8" t="s">
        <v>5433</v>
      </c>
      <c r="O274" s="13">
        <v>-12.0038</v>
      </c>
      <c r="P274" s="13">
        <v>-26.8924</v>
      </c>
      <c r="Q274" s="13">
        <v>-4.5361</v>
      </c>
      <c r="R274" s="13">
        <v>0.3555</v>
      </c>
      <c r="S274" s="13">
        <v>1.764</v>
      </c>
      <c r="T274" s="14">
        <f>IFERROR(__xludf.DUMMYFUNCTION("IFERROR(GOOGLEFINANCE(B274,""price""),"""")"),64.18)</f>
        <v>64.18</v>
      </c>
    </row>
    <row r="275">
      <c r="A275" s="15">
        <v>46055.62737101846</v>
      </c>
      <c r="B275" s="16" t="s">
        <v>5685</v>
      </c>
      <c r="C275" s="16" t="s">
        <v>5686</v>
      </c>
      <c r="D275" s="17">
        <v>46061.0</v>
      </c>
      <c r="E275" s="18">
        <v>67.55</v>
      </c>
      <c r="F275" s="27">
        <v>1.5846</v>
      </c>
      <c r="G275" s="20">
        <v>1.0455618E7</v>
      </c>
      <c r="H275" s="16" t="s">
        <v>88</v>
      </c>
      <c r="I275" s="19">
        <v>2.722</v>
      </c>
      <c r="J275" s="20">
        <v>4.7415038094E10</v>
      </c>
      <c r="K275" s="24"/>
      <c r="L275" s="21">
        <v>-1.4255</v>
      </c>
      <c r="M275" s="16" t="s">
        <v>5687</v>
      </c>
      <c r="N275" s="16" t="s">
        <v>5429</v>
      </c>
      <c r="O275" s="21">
        <v>-324.2417</v>
      </c>
      <c r="P275" s="21">
        <v>-25.0423</v>
      </c>
      <c r="Q275" s="21">
        <v>32.7011</v>
      </c>
      <c r="R275" s="21">
        <v>4.329</v>
      </c>
      <c r="S275" s="21">
        <v>0.7926</v>
      </c>
      <c r="T275" s="22">
        <f>IFERROR(__xludf.DUMMYFUNCTION("IFERROR(GOOGLEFINANCE(B275,""price""),"""")"),55.59)</f>
        <v>55.59</v>
      </c>
    </row>
    <row r="276">
      <c r="A276" s="7">
        <v>46055.62737101846</v>
      </c>
      <c r="B276" s="8" t="s">
        <v>5688</v>
      </c>
      <c r="C276" s="8" t="s">
        <v>5689</v>
      </c>
      <c r="D276" s="9">
        <v>46061.0</v>
      </c>
      <c r="E276" s="10">
        <v>6.665</v>
      </c>
      <c r="F276" s="26">
        <v>1.582</v>
      </c>
      <c r="G276" s="12">
        <v>4.5383442E7</v>
      </c>
      <c r="H276" s="8" t="s">
        <v>88</v>
      </c>
      <c r="I276" s="11">
        <v>-3.824</v>
      </c>
      <c r="J276" s="12">
        <v>1.1459525212E10</v>
      </c>
      <c r="K276" s="23"/>
      <c r="L276" s="13">
        <v>-0.2948</v>
      </c>
      <c r="M276" s="8" t="s">
        <v>5690</v>
      </c>
      <c r="N276" s="8" t="s">
        <v>5429</v>
      </c>
      <c r="O276" s="13">
        <v>-22.3822</v>
      </c>
      <c r="P276" s="13">
        <v>-10.5463</v>
      </c>
      <c r="Q276" s="13">
        <v>11.7487</v>
      </c>
      <c r="R276" s="13">
        <v>1.8648</v>
      </c>
      <c r="S276" s="13">
        <v>3.6673</v>
      </c>
      <c r="T276" s="14">
        <f>IFERROR(__xludf.DUMMYFUNCTION("IFERROR(GOOGLEFINANCE(B276,""price""),"""")"),4.82)</f>
        <v>4.82</v>
      </c>
    </row>
    <row r="277">
      <c r="A277" s="15">
        <v>46055.62737101846</v>
      </c>
      <c r="B277" s="16" t="s">
        <v>5691</v>
      </c>
      <c r="C277" s="16" t="s">
        <v>5692</v>
      </c>
      <c r="D277" s="17">
        <v>46061.0</v>
      </c>
      <c r="E277" s="18">
        <v>8.875</v>
      </c>
      <c r="F277" s="27">
        <v>1.5723</v>
      </c>
      <c r="G277" s="20">
        <v>1.3683948E7</v>
      </c>
      <c r="H277" s="16" t="s">
        <v>873</v>
      </c>
      <c r="I277" s="19">
        <v>0.6236</v>
      </c>
      <c r="J277" s="20">
        <v>9.1025884E9</v>
      </c>
      <c r="K277" s="24"/>
      <c r="L277" s="21">
        <v>-1.6604</v>
      </c>
      <c r="M277" s="16" t="s">
        <v>5693</v>
      </c>
      <c r="N277" s="16" t="s">
        <v>5694</v>
      </c>
      <c r="O277" s="24"/>
      <c r="P277" s="21">
        <v>1.3396</v>
      </c>
      <c r="Q277" s="21">
        <v>-4.5578</v>
      </c>
      <c r="R277" s="24"/>
      <c r="S277" s="21">
        <v>2.1549</v>
      </c>
      <c r="T277" s="22">
        <f>IFERROR(__xludf.DUMMYFUNCTION("IFERROR(GOOGLEFINANCE(B277,""price""),"""")"),7.44)</f>
        <v>7.44</v>
      </c>
    </row>
    <row r="278">
      <c r="A278" s="7">
        <v>46055.62737101846</v>
      </c>
      <c r="B278" s="8" t="s">
        <v>5702</v>
      </c>
      <c r="C278" s="8" t="s">
        <v>5703</v>
      </c>
      <c r="D278" s="9">
        <v>46061.0</v>
      </c>
      <c r="E278" s="10">
        <v>5.0416</v>
      </c>
      <c r="F278" s="26">
        <v>1.5098</v>
      </c>
      <c r="G278" s="12">
        <v>2.1822537E7</v>
      </c>
      <c r="H278" s="8" t="s">
        <v>117</v>
      </c>
      <c r="I278" s="11">
        <v>33.0237</v>
      </c>
      <c r="J278" s="12">
        <v>3.74782406E8</v>
      </c>
      <c r="K278" s="23"/>
      <c r="L278" s="13">
        <v>-1.4586</v>
      </c>
      <c r="M278" s="8" t="s">
        <v>5704</v>
      </c>
      <c r="N278" s="8" t="s">
        <v>5418</v>
      </c>
      <c r="O278" s="13">
        <v>-37.2376</v>
      </c>
      <c r="P278" s="13">
        <v>-8802.5116</v>
      </c>
      <c r="Q278" s="13">
        <v>-87.8407</v>
      </c>
      <c r="R278" s="13">
        <v>0.0137</v>
      </c>
      <c r="S278" s="13">
        <v>8.6575</v>
      </c>
      <c r="T278" s="14">
        <f>IFERROR(__xludf.DUMMYFUNCTION("IFERROR(GOOGLEFINANCE(B278,""price""),"""")"),4.47)</f>
        <v>4.47</v>
      </c>
    </row>
    <row r="279">
      <c r="A279" s="15">
        <v>46055.62737101846</v>
      </c>
      <c r="B279" s="16" t="s">
        <v>5503</v>
      </c>
      <c r="C279" s="16" t="s">
        <v>5504</v>
      </c>
      <c r="D279" s="17">
        <v>46061.0</v>
      </c>
      <c r="E279" s="18">
        <v>12.685</v>
      </c>
      <c r="F279" s="27">
        <v>1.4889</v>
      </c>
      <c r="G279" s="20">
        <v>2.0167505E7</v>
      </c>
      <c r="H279" s="16" t="s">
        <v>335</v>
      </c>
      <c r="I279" s="19">
        <v>-3.6826</v>
      </c>
      <c r="J279" s="20">
        <v>1.495618724E9</v>
      </c>
      <c r="K279" s="24"/>
      <c r="L279" s="21">
        <v>-0.5583</v>
      </c>
      <c r="M279" s="16" t="s">
        <v>5505</v>
      </c>
      <c r="N279" s="16" t="s">
        <v>5445</v>
      </c>
      <c r="O279" s="21">
        <v>-128.3047</v>
      </c>
      <c r="P279" s="24"/>
      <c r="Q279" s="24"/>
      <c r="R279" s="21">
        <v>0.064</v>
      </c>
      <c r="S279" s="21">
        <v>0.1282</v>
      </c>
      <c r="T279" s="22">
        <f>IFERROR(__xludf.DUMMYFUNCTION("IFERROR(GOOGLEFINANCE(B279,""price""),"""")"),8.87)</f>
        <v>8.87</v>
      </c>
    </row>
    <row r="280">
      <c r="A280" s="7">
        <v>46055.62737101846</v>
      </c>
      <c r="B280" s="8" t="s">
        <v>5695</v>
      </c>
      <c r="C280" s="8" t="s">
        <v>5696</v>
      </c>
      <c r="D280" s="9">
        <v>46061.0</v>
      </c>
      <c r="E280" s="10">
        <v>5.755</v>
      </c>
      <c r="F280" s="26">
        <v>1.4219</v>
      </c>
      <c r="G280" s="12">
        <v>9151583.0</v>
      </c>
      <c r="H280" s="8" t="s">
        <v>149</v>
      </c>
      <c r="I280" s="11">
        <v>2.9517</v>
      </c>
      <c r="J280" s="12">
        <v>2.404476364E9</v>
      </c>
      <c r="K280" s="23"/>
      <c r="L280" s="13">
        <v>-0.2742</v>
      </c>
      <c r="M280" s="8" t="s">
        <v>5697</v>
      </c>
      <c r="N280" s="8" t="s">
        <v>5698</v>
      </c>
      <c r="O280" s="23"/>
      <c r="P280" s="13">
        <v>3.8769</v>
      </c>
      <c r="Q280" s="13">
        <v>-8.7443</v>
      </c>
      <c r="R280" s="23"/>
      <c r="S280" s="13">
        <v>1.902</v>
      </c>
      <c r="T280" s="14">
        <f>IFERROR(__xludf.DUMMYFUNCTION("IFERROR(GOOGLEFINANCE(B280,""price""),"""")"),4.62)</f>
        <v>4.62</v>
      </c>
    </row>
    <row r="281">
      <c r="A281" s="15">
        <v>46055.62737101846</v>
      </c>
      <c r="B281" s="16" t="s">
        <v>5551</v>
      </c>
      <c r="C281" s="16" t="s">
        <v>5552</v>
      </c>
      <c r="D281" s="17">
        <v>46061.0</v>
      </c>
      <c r="E281" s="18">
        <v>1.4509</v>
      </c>
      <c r="F281" s="27">
        <v>1.4063</v>
      </c>
      <c r="G281" s="20">
        <v>9419680.0</v>
      </c>
      <c r="H281" s="16" t="s">
        <v>88</v>
      </c>
      <c r="I281" s="19">
        <v>-3.9139</v>
      </c>
      <c r="J281" s="20">
        <v>1.345862085E9</v>
      </c>
      <c r="K281" s="24"/>
      <c r="L281" s="21">
        <v>-0.7493</v>
      </c>
      <c r="M281" s="16" t="s">
        <v>5553</v>
      </c>
      <c r="N281" s="16" t="s">
        <v>5471</v>
      </c>
      <c r="O281" s="21">
        <v>-2.7528</v>
      </c>
      <c r="P281" s="21">
        <v>7.0352</v>
      </c>
      <c r="Q281" s="21">
        <v>623.0875</v>
      </c>
      <c r="R281" s="21">
        <v>0.3226</v>
      </c>
      <c r="S281" s="21">
        <v>0.0737</v>
      </c>
      <c r="T281" s="22">
        <f>IFERROR(__xludf.DUMMYFUNCTION("IFERROR(GOOGLEFINANCE(B281,""price""),"""")"),0.95)</f>
        <v>0.95</v>
      </c>
    </row>
    <row r="282">
      <c r="A282" s="7">
        <v>46055.62737101846</v>
      </c>
      <c r="B282" s="8" t="s">
        <v>1077</v>
      </c>
      <c r="C282" s="8" t="s">
        <v>1078</v>
      </c>
      <c r="D282" s="9">
        <v>46061.0</v>
      </c>
      <c r="E282" s="10">
        <v>7.855</v>
      </c>
      <c r="F282" s="26">
        <v>1.3623</v>
      </c>
      <c r="G282" s="12">
        <v>1.541294E7</v>
      </c>
      <c r="H282" s="8" t="s">
        <v>335</v>
      </c>
      <c r="I282" s="11">
        <v>7.1623</v>
      </c>
      <c r="J282" s="12">
        <v>1.099979737E9</v>
      </c>
      <c r="K282" s="23"/>
      <c r="L282" s="13">
        <v>-0.041</v>
      </c>
      <c r="M282" s="8" t="s">
        <v>1079</v>
      </c>
      <c r="N282" s="8" t="s">
        <v>5506</v>
      </c>
      <c r="O282" s="13">
        <v>-10.5913</v>
      </c>
      <c r="P282" s="13">
        <v>-18.9471</v>
      </c>
      <c r="Q282" s="13">
        <v>240.123</v>
      </c>
      <c r="R282" s="13">
        <v>0.0037</v>
      </c>
      <c r="S282" s="13">
        <v>5.0784</v>
      </c>
      <c r="T282" s="14">
        <f>IFERROR(__xludf.DUMMYFUNCTION("IFERROR(GOOGLEFINANCE(B282,""price""),"""")"),8.36)</f>
        <v>8.36</v>
      </c>
    </row>
    <row r="283">
      <c r="A283" s="15">
        <v>46055.62737101846</v>
      </c>
      <c r="B283" s="16" t="s">
        <v>5422</v>
      </c>
      <c r="C283" s="16" t="s">
        <v>5423</v>
      </c>
      <c r="D283" s="17">
        <v>46061.0</v>
      </c>
      <c r="E283" s="18">
        <v>21.935</v>
      </c>
      <c r="F283" s="27">
        <v>1.3538</v>
      </c>
      <c r="G283" s="20">
        <v>4.5568499E7</v>
      </c>
      <c r="H283" s="16" t="s">
        <v>102</v>
      </c>
      <c r="I283" s="19">
        <v>-2.1632</v>
      </c>
      <c r="J283" s="20">
        <v>3.239359312E9</v>
      </c>
      <c r="K283" s="24"/>
      <c r="L283" s="21">
        <v>-2.5128</v>
      </c>
      <c r="M283" s="16" t="s">
        <v>5424</v>
      </c>
      <c r="N283" s="16" t="s">
        <v>5425</v>
      </c>
      <c r="O283" s="21">
        <v>-255.9098</v>
      </c>
      <c r="P283" s="24"/>
      <c r="Q283" s="24"/>
      <c r="R283" s="24"/>
      <c r="S283" s="21">
        <v>16.5111</v>
      </c>
      <c r="T283" s="22">
        <f>IFERROR(__xludf.DUMMYFUNCTION("IFERROR(GOOGLEFINANCE(B283,""price""),"""")"),16.15)</f>
        <v>16.15</v>
      </c>
    </row>
    <row r="284">
      <c r="A284" s="7">
        <v>46055.62737101846</v>
      </c>
      <c r="B284" s="8" t="s">
        <v>5481</v>
      </c>
      <c r="C284" s="8" t="s">
        <v>5482</v>
      </c>
      <c r="D284" s="9">
        <v>46061.0</v>
      </c>
      <c r="E284" s="10">
        <v>11.025</v>
      </c>
      <c r="F284" s="26">
        <v>1.3457</v>
      </c>
      <c r="G284" s="12">
        <v>2.5279754E7</v>
      </c>
      <c r="H284" s="8" t="s">
        <v>88</v>
      </c>
      <c r="I284" s="11">
        <v>-6.8834</v>
      </c>
      <c r="J284" s="12">
        <v>2.819647824E9</v>
      </c>
      <c r="K284" s="13">
        <v>9.9973</v>
      </c>
      <c r="L284" s="13">
        <v>1.1028</v>
      </c>
      <c r="M284" s="8" t="s">
        <v>5483</v>
      </c>
      <c r="N284" s="8" t="s">
        <v>5471</v>
      </c>
      <c r="O284" s="13">
        <v>18.5197</v>
      </c>
      <c r="P284" s="13">
        <v>-13.9673</v>
      </c>
      <c r="Q284" s="13">
        <v>102.2107</v>
      </c>
      <c r="R284" s="13">
        <v>0.3775</v>
      </c>
      <c r="S284" s="13">
        <v>4.1805</v>
      </c>
      <c r="T284" s="14">
        <f>IFERROR(__xludf.DUMMYFUNCTION("IFERROR(GOOGLEFINANCE(B284,""price""),"""")"),10.02)</f>
        <v>10.02</v>
      </c>
    </row>
    <row r="285">
      <c r="A285" s="15">
        <v>46055.62737101846</v>
      </c>
      <c r="B285" s="16" t="s">
        <v>5537</v>
      </c>
      <c r="C285" s="16" t="s">
        <v>5538</v>
      </c>
      <c r="D285" s="17">
        <v>46061.0</v>
      </c>
      <c r="E285" s="18">
        <v>3.625</v>
      </c>
      <c r="F285" s="27">
        <v>1.3281</v>
      </c>
      <c r="G285" s="20">
        <v>3.0111395E7</v>
      </c>
      <c r="H285" s="16" t="s">
        <v>112</v>
      </c>
      <c r="I285" s="19">
        <v>1.257</v>
      </c>
      <c r="J285" s="20">
        <v>7.79722851E8</v>
      </c>
      <c r="K285" s="24"/>
      <c r="L285" s="21">
        <v>-0.1295</v>
      </c>
      <c r="M285" s="16" t="s">
        <v>5539</v>
      </c>
      <c r="N285" s="16" t="s">
        <v>5540</v>
      </c>
      <c r="O285" s="21">
        <v>-10.1055</v>
      </c>
      <c r="P285" s="21">
        <v>-355.6789</v>
      </c>
      <c r="Q285" s="21">
        <v>19.0139</v>
      </c>
      <c r="R285" s="21">
        <v>0.0027</v>
      </c>
      <c r="S285" s="21">
        <v>107.4542</v>
      </c>
      <c r="T285" s="22">
        <f>IFERROR(__xludf.DUMMYFUNCTION("IFERROR(GOOGLEFINANCE(B285,""price""),"""")"),2.01)</f>
        <v>2.01</v>
      </c>
    </row>
    <row r="286">
      <c r="A286" s="7">
        <v>46055.62737101846</v>
      </c>
      <c r="B286" s="8" t="s">
        <v>5514</v>
      </c>
      <c r="C286" s="8" t="s">
        <v>5515</v>
      </c>
      <c r="D286" s="9">
        <v>46061.0</v>
      </c>
      <c r="E286" s="10">
        <v>6.089</v>
      </c>
      <c r="F286" s="26">
        <v>1.3145</v>
      </c>
      <c r="G286" s="12">
        <v>2.224217E7</v>
      </c>
      <c r="H286" s="8" t="s">
        <v>117</v>
      </c>
      <c r="I286" s="11">
        <v>-2.576</v>
      </c>
      <c r="J286" s="12">
        <v>5.997453163E9</v>
      </c>
      <c r="K286" s="23"/>
      <c r="L286" s="13">
        <v>-0.4205</v>
      </c>
      <c r="M286" s="8" t="s">
        <v>5516</v>
      </c>
      <c r="N286" s="8" t="s">
        <v>5491</v>
      </c>
      <c r="O286" s="23"/>
      <c r="P286" s="13">
        <v>-315.8428</v>
      </c>
      <c r="Q286" s="13">
        <v>1025.9547</v>
      </c>
      <c r="R286" s="23"/>
      <c r="S286" s="13">
        <v>5.7671</v>
      </c>
      <c r="T286" s="14">
        <f>IFERROR(__xludf.DUMMYFUNCTION("IFERROR(GOOGLEFINANCE(B286,""price""),"""")"),7.28)</f>
        <v>7.28</v>
      </c>
    </row>
    <row r="287">
      <c r="A287" s="15">
        <v>46055.62737101846</v>
      </c>
      <c r="B287" s="16" t="s">
        <v>5699</v>
      </c>
      <c r="C287" s="16" t="s">
        <v>5700</v>
      </c>
      <c r="D287" s="17">
        <v>46061.0</v>
      </c>
      <c r="E287" s="18">
        <v>29.635</v>
      </c>
      <c r="F287" s="27">
        <v>1.2928</v>
      </c>
      <c r="G287" s="20">
        <v>2.1517895E7</v>
      </c>
      <c r="H287" s="16" t="s">
        <v>308</v>
      </c>
      <c r="I287" s="19">
        <v>1.8035</v>
      </c>
      <c r="J287" s="20">
        <v>1.7691239819E10</v>
      </c>
      <c r="K287" s="21">
        <v>23.7517</v>
      </c>
      <c r="L287" s="21">
        <v>1.2477</v>
      </c>
      <c r="M287" s="16" t="s">
        <v>5701</v>
      </c>
      <c r="N287" s="16" t="s">
        <v>5674</v>
      </c>
      <c r="O287" s="21">
        <v>12.7871</v>
      </c>
      <c r="P287" s="21">
        <v>4.3988</v>
      </c>
      <c r="Q287" s="21">
        <v>12.2179</v>
      </c>
      <c r="R287" s="21">
        <v>0.7413</v>
      </c>
      <c r="S287" s="21">
        <v>5.3941</v>
      </c>
      <c r="T287" s="22">
        <f>IFERROR(__xludf.DUMMYFUNCTION("IFERROR(GOOGLEFINANCE(B287,""price""),"""")"),25.26)</f>
        <v>25.26</v>
      </c>
    </row>
    <row r="288">
      <c r="A288" s="7">
        <v>46055.62737101846</v>
      </c>
      <c r="B288" s="8" t="s">
        <v>5604</v>
      </c>
      <c r="C288" s="8" t="s">
        <v>5605</v>
      </c>
      <c r="D288" s="9">
        <v>46061.0</v>
      </c>
      <c r="E288" s="10">
        <v>43.7675</v>
      </c>
      <c r="F288" s="26">
        <v>1.2648</v>
      </c>
      <c r="G288" s="12">
        <v>8130968.0</v>
      </c>
      <c r="H288" s="8" t="s">
        <v>308</v>
      </c>
      <c r="I288" s="11">
        <v>0.3612</v>
      </c>
      <c r="J288" s="12">
        <v>2.988440213E9</v>
      </c>
      <c r="K288" s="23"/>
      <c r="L288" s="13">
        <v>-3.2256</v>
      </c>
      <c r="M288" s="8" t="s">
        <v>5606</v>
      </c>
      <c r="N288" s="8" t="s">
        <v>5414</v>
      </c>
      <c r="O288" s="13">
        <v>-40.4315</v>
      </c>
      <c r="P288" s="13">
        <v>-11.7552</v>
      </c>
      <c r="Q288" s="13">
        <v>101.2494</v>
      </c>
      <c r="R288" s="13">
        <v>0.4206</v>
      </c>
      <c r="S288" s="13">
        <v>2.3092</v>
      </c>
      <c r="T288" s="14">
        <f>IFERROR(__xludf.DUMMYFUNCTION("IFERROR(GOOGLEFINANCE(B288,""price""),"""")"),150.6)</f>
        <v>150.6</v>
      </c>
    </row>
    <row r="289">
      <c r="A289" s="15">
        <v>46055.62737101846</v>
      </c>
      <c r="B289" s="16" t="s">
        <v>5705</v>
      </c>
      <c r="C289" s="16" t="s">
        <v>5706</v>
      </c>
      <c r="D289" s="17">
        <v>46061.0</v>
      </c>
      <c r="E289" s="18">
        <v>26.57</v>
      </c>
      <c r="F289" s="27">
        <v>1.2402</v>
      </c>
      <c r="G289" s="20">
        <v>8655340.0</v>
      </c>
      <c r="H289" s="16" t="s">
        <v>93</v>
      </c>
      <c r="I289" s="19">
        <v>-5.9802</v>
      </c>
      <c r="J289" s="20">
        <v>1.0384236812E10</v>
      </c>
      <c r="K289" s="24"/>
      <c r="L289" s="21">
        <v>-0.9681</v>
      </c>
      <c r="M289" s="16" t="s">
        <v>5707</v>
      </c>
      <c r="N289" s="16" t="s">
        <v>5708</v>
      </c>
      <c r="O289" s="21">
        <v>-2.7732</v>
      </c>
      <c r="P289" s="21">
        <v>1.7926</v>
      </c>
      <c r="Q289" s="24"/>
      <c r="R289" s="21">
        <v>2.5715</v>
      </c>
      <c r="S289" s="21">
        <v>1.3457</v>
      </c>
      <c r="T289" s="22">
        <f>IFERROR(__xludf.DUMMYFUNCTION("IFERROR(GOOGLEFINANCE(B289,""price""),"""")"),21.66)</f>
        <v>21.66</v>
      </c>
    </row>
    <row r="290">
      <c r="A290" s="7">
        <v>46055.62737101846</v>
      </c>
      <c r="B290" s="8" t="s">
        <v>5544</v>
      </c>
      <c r="C290" s="8" t="s">
        <v>5545</v>
      </c>
      <c r="D290" s="9">
        <v>46061.0</v>
      </c>
      <c r="E290" s="10">
        <v>15.805</v>
      </c>
      <c r="F290" s="26">
        <v>1.2341</v>
      </c>
      <c r="G290" s="12">
        <v>2.2234916E7</v>
      </c>
      <c r="H290" s="8" t="s">
        <v>88</v>
      </c>
      <c r="I290" s="11">
        <v>-0.9712</v>
      </c>
      <c r="J290" s="12">
        <v>6.244430206E9</v>
      </c>
      <c r="K290" s="23"/>
      <c r="L290" s="13">
        <v>-0.1905</v>
      </c>
      <c r="M290" s="8" t="s">
        <v>5546</v>
      </c>
      <c r="N290" s="8" t="s">
        <v>5471</v>
      </c>
      <c r="O290" s="13">
        <v>-9.6935</v>
      </c>
      <c r="P290" s="13">
        <v>-72.0529</v>
      </c>
      <c r="Q290" s="13">
        <v>35.4099</v>
      </c>
      <c r="R290" s="13">
        <v>1.333</v>
      </c>
      <c r="S290" s="13">
        <v>2.4892</v>
      </c>
      <c r="T290" s="14">
        <f>IFERROR(__xludf.DUMMYFUNCTION("IFERROR(GOOGLEFINANCE(B290,""price""),"""")"),16.53)</f>
        <v>16.53</v>
      </c>
    </row>
    <row r="291">
      <c r="A291" s="15">
        <v>46055.62737101846</v>
      </c>
      <c r="B291" s="16" t="s">
        <v>5527</v>
      </c>
      <c r="C291" s="16" t="s">
        <v>5528</v>
      </c>
      <c r="D291" s="17">
        <v>46061.0</v>
      </c>
      <c r="E291" s="18">
        <v>13.67</v>
      </c>
      <c r="F291" s="27">
        <v>1.2106</v>
      </c>
      <c r="G291" s="20">
        <v>8013356.0</v>
      </c>
      <c r="H291" s="16" t="s">
        <v>88</v>
      </c>
      <c r="I291" s="19">
        <v>1.2593</v>
      </c>
      <c r="J291" s="20">
        <v>1.631803478E9</v>
      </c>
      <c r="K291" s="24"/>
      <c r="L291" s="24"/>
      <c r="M291" s="16" t="s">
        <v>5529</v>
      </c>
      <c r="N291" s="16" t="s">
        <v>5429</v>
      </c>
      <c r="O291" s="24"/>
      <c r="P291" s="24"/>
      <c r="Q291" s="24"/>
      <c r="R291" s="21">
        <v>0.0885</v>
      </c>
      <c r="S291" s="21">
        <v>10.416</v>
      </c>
      <c r="T291" s="22">
        <f>IFERROR(__xludf.DUMMYFUNCTION("IFERROR(GOOGLEFINANCE(B291,""price""),"""")"),12.37)</f>
        <v>12.37</v>
      </c>
    </row>
    <row r="292">
      <c r="A292" s="7">
        <v>46055.62737101846</v>
      </c>
      <c r="B292" s="8" t="s">
        <v>5517</v>
      </c>
      <c r="C292" s="8" t="s">
        <v>5518</v>
      </c>
      <c r="D292" s="9">
        <v>46061.0</v>
      </c>
      <c r="E292" s="10">
        <v>10.895</v>
      </c>
      <c r="F292" s="26">
        <v>1.1553</v>
      </c>
      <c r="G292" s="12">
        <v>2.6690988E7</v>
      </c>
      <c r="H292" s="8" t="s">
        <v>308</v>
      </c>
      <c r="I292" s="11">
        <v>-7.2766</v>
      </c>
      <c r="J292" s="12">
        <v>1.799317828E9</v>
      </c>
      <c r="K292" s="23"/>
      <c r="L292" s="13">
        <v>-3.1791</v>
      </c>
      <c r="M292" s="8" t="s">
        <v>5519</v>
      </c>
      <c r="N292" s="8" t="s">
        <v>5520</v>
      </c>
      <c r="O292" s="13">
        <v>-50.0822</v>
      </c>
      <c r="P292" s="13">
        <v>-46.1858</v>
      </c>
      <c r="Q292" s="13">
        <v>-0.6305</v>
      </c>
      <c r="R292" s="13">
        <v>0.3596</v>
      </c>
      <c r="S292" s="13">
        <v>1.4082</v>
      </c>
      <c r="T292" s="14">
        <f>IFERROR(__xludf.DUMMYFUNCTION("IFERROR(GOOGLEFINANCE(B292,""price""),"""")"),9.29)</f>
        <v>9.29</v>
      </c>
    </row>
    <row r="293">
      <c r="A293" s="15">
        <v>46055.62737101846</v>
      </c>
      <c r="B293" s="16" t="s">
        <v>5434</v>
      </c>
      <c r="C293" s="16" t="s">
        <v>5435</v>
      </c>
      <c r="D293" s="17">
        <v>46061.0</v>
      </c>
      <c r="E293" s="18">
        <v>10.785</v>
      </c>
      <c r="F293" s="27">
        <v>1.1426</v>
      </c>
      <c r="G293" s="20">
        <v>8.5018197E7</v>
      </c>
      <c r="H293" s="16" t="s">
        <v>308</v>
      </c>
      <c r="I293" s="19">
        <v>4.1023</v>
      </c>
      <c r="J293" s="20">
        <v>4.557487483E9</v>
      </c>
      <c r="K293" s="24"/>
      <c r="L293" s="21">
        <v>-0.4034</v>
      </c>
      <c r="M293" s="16" t="s">
        <v>5436</v>
      </c>
      <c r="N293" s="16" t="s">
        <v>5437</v>
      </c>
      <c r="O293" s="21">
        <v>-17.0422</v>
      </c>
      <c r="P293" s="21">
        <v>-176.0921</v>
      </c>
      <c r="Q293" s="21">
        <v>208.4002</v>
      </c>
      <c r="R293" s="21">
        <v>0.037</v>
      </c>
      <c r="S293" s="21">
        <v>15.2957</v>
      </c>
      <c r="T293" s="22">
        <f>IFERROR(__xludf.DUMMYFUNCTION("IFERROR(GOOGLEFINANCE(B293,""price""),"""")"),9.13)</f>
        <v>9.13</v>
      </c>
    </row>
    <row r="294">
      <c r="A294" s="7">
        <v>46055.62737101846</v>
      </c>
      <c r="B294" s="8" t="s">
        <v>5709</v>
      </c>
      <c r="C294" s="8" t="s">
        <v>5710</v>
      </c>
      <c r="D294" s="9">
        <v>46061.0</v>
      </c>
      <c r="E294" s="10">
        <v>148.03</v>
      </c>
      <c r="F294" s="26">
        <v>1.127</v>
      </c>
      <c r="G294" s="12">
        <v>4.6643261E7</v>
      </c>
      <c r="H294" s="8" t="s">
        <v>88</v>
      </c>
      <c r="I294" s="11">
        <v>0.9823</v>
      </c>
      <c r="J294" s="12">
        <v>3.52820316013E11</v>
      </c>
      <c r="K294" s="13">
        <v>346.188</v>
      </c>
      <c r="L294" s="13">
        <v>0.4276</v>
      </c>
      <c r="M294" s="8" t="s">
        <v>5711</v>
      </c>
      <c r="N294" s="8" t="s">
        <v>5429</v>
      </c>
      <c r="O294" s="13">
        <v>19.7566</v>
      </c>
      <c r="P294" s="13">
        <v>21.8077</v>
      </c>
      <c r="Q294" s="13">
        <v>47.2285</v>
      </c>
      <c r="R294" s="13">
        <v>0.0357</v>
      </c>
      <c r="S294" s="13">
        <v>6.4268</v>
      </c>
      <c r="T294" s="14">
        <f>IFERROR(__xludf.DUMMYFUNCTION("IFERROR(GOOGLEFINANCE(B294,""price""),"""")"),128.11)</f>
        <v>128.11</v>
      </c>
    </row>
    <row r="295">
      <c r="A295" s="15">
        <v>46055.62737101846</v>
      </c>
      <c r="B295" s="16" t="s">
        <v>2704</v>
      </c>
      <c r="C295" s="16" t="s">
        <v>2705</v>
      </c>
      <c r="D295" s="17">
        <v>46061.0</v>
      </c>
      <c r="E295" s="18">
        <v>34.885</v>
      </c>
      <c r="F295" s="27">
        <v>1.1254</v>
      </c>
      <c r="G295" s="20">
        <v>2.1225277E7</v>
      </c>
      <c r="H295" s="16" t="s">
        <v>88</v>
      </c>
      <c r="I295" s="19">
        <v>2.9664</v>
      </c>
      <c r="J295" s="20">
        <v>9.753351478E9</v>
      </c>
      <c r="K295" s="24"/>
      <c r="L295" s="21">
        <v>-0.5438</v>
      </c>
      <c r="M295" s="16" t="s">
        <v>2707</v>
      </c>
      <c r="N295" s="16" t="s">
        <v>5471</v>
      </c>
      <c r="O295" s="21">
        <v>-11.4029</v>
      </c>
      <c r="P295" s="21">
        <v>-26.4624</v>
      </c>
      <c r="Q295" s="21">
        <v>33.135</v>
      </c>
      <c r="R295" s="21">
        <v>1.6778</v>
      </c>
      <c r="S295" s="21">
        <v>4.8227</v>
      </c>
      <c r="T295" s="22">
        <f>IFERROR(__xludf.DUMMYFUNCTION("IFERROR(GOOGLEFINANCE(B295,""price""),"""")"),26.24)</f>
        <v>26.24</v>
      </c>
    </row>
    <row r="296">
      <c r="A296" s="7">
        <v>46055.62737101846</v>
      </c>
      <c r="B296" s="8" t="s">
        <v>5554</v>
      </c>
      <c r="C296" s="8" t="s">
        <v>5555</v>
      </c>
      <c r="D296" s="9">
        <v>46061.0</v>
      </c>
      <c r="E296" s="10">
        <v>104.9</v>
      </c>
      <c r="F296" s="26">
        <v>1.1236</v>
      </c>
      <c r="G296" s="12">
        <v>1.1535949E7</v>
      </c>
      <c r="H296" s="8" t="s">
        <v>873</v>
      </c>
      <c r="I296" s="11">
        <v>-5.674</v>
      </c>
      <c r="J296" s="12">
        <v>3.8540395559E10</v>
      </c>
      <c r="K296" s="23"/>
      <c r="L296" s="13">
        <v>-1.2452</v>
      </c>
      <c r="M296" s="8" t="s">
        <v>5556</v>
      </c>
      <c r="N296" s="8" t="s">
        <v>5557</v>
      </c>
      <c r="O296" s="13">
        <v>-39.2195</v>
      </c>
      <c r="P296" s="13">
        <v>-1479.4668</v>
      </c>
      <c r="Q296" s="13">
        <v>641.24</v>
      </c>
      <c r="R296" s="13">
        <v>0.5824</v>
      </c>
      <c r="S296" s="13">
        <v>9.5602</v>
      </c>
      <c r="T296" s="14">
        <f>IFERROR(__xludf.DUMMYFUNCTION("IFERROR(GOOGLEFINANCE(B296,""price""),"""")"),94.9)</f>
        <v>94.9</v>
      </c>
    </row>
    <row r="297">
      <c r="A297" s="15">
        <v>46055.62737101846</v>
      </c>
      <c r="B297" s="16" t="s">
        <v>5574</v>
      </c>
      <c r="C297" s="16" t="s">
        <v>5575</v>
      </c>
      <c r="D297" s="17">
        <v>46061.0</v>
      </c>
      <c r="E297" s="18">
        <v>20.895</v>
      </c>
      <c r="F297" s="27">
        <v>1.1184</v>
      </c>
      <c r="G297" s="20">
        <v>1.5288407E7</v>
      </c>
      <c r="H297" s="16" t="s">
        <v>335</v>
      </c>
      <c r="I297" s="19">
        <v>-6.885</v>
      </c>
      <c r="J297" s="20">
        <v>4.958106935E9</v>
      </c>
      <c r="K297" s="24"/>
      <c r="L297" s="21">
        <v>-0.4849</v>
      </c>
      <c r="M297" s="16" t="s">
        <v>5576</v>
      </c>
      <c r="N297" s="16" t="s">
        <v>5506</v>
      </c>
      <c r="O297" s="21">
        <v>-18.1731</v>
      </c>
      <c r="P297" s="21">
        <v>-129.5586</v>
      </c>
      <c r="Q297" s="21">
        <v>103.694</v>
      </c>
      <c r="R297" s="21">
        <v>0.0</v>
      </c>
      <c r="S297" s="21">
        <v>11.4962</v>
      </c>
      <c r="T297" s="22">
        <f>IFERROR(__xludf.DUMMYFUNCTION("IFERROR(GOOGLEFINANCE(B297,""price""),"""")"),18.4)</f>
        <v>18.4</v>
      </c>
    </row>
    <row r="298">
      <c r="A298" s="7">
        <v>46055.62737101846</v>
      </c>
      <c r="B298" s="8" t="s">
        <v>5594</v>
      </c>
      <c r="C298" s="8" t="s">
        <v>5595</v>
      </c>
      <c r="D298" s="9">
        <v>46061.0</v>
      </c>
      <c r="E298" s="10">
        <v>13.435</v>
      </c>
      <c r="F298" s="26">
        <v>1.1084</v>
      </c>
      <c r="G298" s="12">
        <v>1.9423952E7</v>
      </c>
      <c r="H298" s="8" t="s">
        <v>88</v>
      </c>
      <c r="I298" s="11">
        <v>0.4862</v>
      </c>
      <c r="J298" s="12">
        <v>5.624991073E9</v>
      </c>
      <c r="K298" s="23"/>
      <c r="L298" s="13">
        <v>-1.4167</v>
      </c>
      <c r="M298" s="8" t="s">
        <v>5596</v>
      </c>
      <c r="N298" s="8" t="s">
        <v>5471</v>
      </c>
      <c r="O298" s="13">
        <v>-181.9547</v>
      </c>
      <c r="P298" s="13">
        <v>-69.885</v>
      </c>
      <c r="Q298" s="13">
        <v>30.5825</v>
      </c>
      <c r="R298" s="13">
        <v>4.3877</v>
      </c>
      <c r="S298" s="13">
        <v>1.0329</v>
      </c>
      <c r="T298" s="14">
        <f>IFERROR(__xludf.DUMMYFUNCTION("IFERROR(GOOGLEFINANCE(B298,""price""),"""")"),18.88)</f>
        <v>18.88</v>
      </c>
    </row>
    <row r="299">
      <c r="A299" s="15">
        <v>46055.62737101846</v>
      </c>
      <c r="B299" s="16" t="s">
        <v>5510</v>
      </c>
      <c r="C299" s="16" t="s">
        <v>5511</v>
      </c>
      <c r="D299" s="17">
        <v>46061.0</v>
      </c>
      <c r="E299" s="18">
        <v>658.0138</v>
      </c>
      <c r="F299" s="27">
        <v>1.0942</v>
      </c>
      <c r="G299" s="20">
        <v>2.6298204E7</v>
      </c>
      <c r="H299" s="16" t="s">
        <v>308</v>
      </c>
      <c r="I299" s="19">
        <v>14.1889</v>
      </c>
      <c r="J299" s="20">
        <v>9.6434012821E10</v>
      </c>
      <c r="K299" s="24"/>
      <c r="L299" s="21">
        <v>-7.5894</v>
      </c>
      <c r="M299" s="16" t="s">
        <v>5512</v>
      </c>
      <c r="N299" s="16" t="s">
        <v>5513</v>
      </c>
      <c r="O299" s="21">
        <v>-9.3725</v>
      </c>
      <c r="P299" s="21">
        <v>14.2905</v>
      </c>
      <c r="Q299" s="21">
        <v>23.6019</v>
      </c>
      <c r="R299" s="21">
        <v>0.0796</v>
      </c>
      <c r="S299" s="21">
        <v>3.1137</v>
      </c>
      <c r="T299" s="22">
        <f>IFERROR(__xludf.DUMMYFUNCTION("IFERROR(GOOGLEFINANCE(B299,""price""),"""")"),851.77)</f>
        <v>851.77</v>
      </c>
    </row>
    <row r="300">
      <c r="A300" s="7">
        <v>46055.62737101846</v>
      </c>
      <c r="B300" s="8" t="s">
        <v>5558</v>
      </c>
      <c r="C300" s="8" t="s">
        <v>5559</v>
      </c>
      <c r="D300" s="9">
        <v>46061.0</v>
      </c>
      <c r="E300" s="10">
        <v>14.185</v>
      </c>
      <c r="F300" s="26">
        <v>1.0716</v>
      </c>
      <c r="G300" s="12">
        <v>1.483617E7</v>
      </c>
      <c r="H300" s="8" t="s">
        <v>102</v>
      </c>
      <c r="I300" s="11">
        <v>-3.1079</v>
      </c>
      <c r="J300" s="12">
        <v>4.597332721E9</v>
      </c>
      <c r="K300" s="23"/>
      <c r="L300" s="13">
        <v>-8.3559</v>
      </c>
      <c r="M300" s="8" t="s">
        <v>5560</v>
      </c>
      <c r="N300" s="8" t="s">
        <v>5536</v>
      </c>
      <c r="O300" s="23"/>
      <c r="P300" s="13">
        <v>-351.0117</v>
      </c>
      <c r="Q300" s="13">
        <v>324.0994</v>
      </c>
      <c r="R300" s="23"/>
      <c r="S300" s="13">
        <v>1.8261</v>
      </c>
      <c r="T300" s="14">
        <f>IFERROR(__xludf.DUMMYFUNCTION("IFERROR(GOOGLEFINANCE(B300,""price""),"""")"),5.62)</f>
        <v>5.62</v>
      </c>
    </row>
    <row r="301">
      <c r="A301" s="15">
        <v>46055.62737101846</v>
      </c>
      <c r="B301" s="16" t="s">
        <v>5122</v>
      </c>
      <c r="C301" s="16" t="s">
        <v>5123</v>
      </c>
      <c r="D301" s="17">
        <v>46061.0</v>
      </c>
      <c r="E301" s="18">
        <v>13.19</v>
      </c>
      <c r="F301" s="27">
        <v>1.0518</v>
      </c>
      <c r="G301" s="20">
        <v>9212439.0</v>
      </c>
      <c r="H301" s="16" t="s">
        <v>102</v>
      </c>
      <c r="I301" s="19">
        <v>6.0289</v>
      </c>
      <c r="J301" s="20">
        <v>1.721081804E9</v>
      </c>
      <c r="K301" s="24"/>
      <c r="L301" s="21">
        <v>-0.2601</v>
      </c>
      <c r="M301" s="16" t="s">
        <v>5124</v>
      </c>
      <c r="N301" s="16" t="s">
        <v>5536</v>
      </c>
      <c r="O301" s="21">
        <v>-39.011</v>
      </c>
      <c r="P301" s="21">
        <v>-53.1982</v>
      </c>
      <c r="Q301" s="21">
        <v>234.1419</v>
      </c>
      <c r="R301" s="21">
        <v>0.3654</v>
      </c>
      <c r="S301" s="21">
        <v>6.6466</v>
      </c>
      <c r="T301" s="22">
        <f>IFERROR(__xludf.DUMMYFUNCTION("IFERROR(GOOGLEFINANCE(B301,""price""),"""")"),17.22)</f>
        <v>17.22</v>
      </c>
    </row>
    <row r="302">
      <c r="A302" s="7">
        <v>46056.62615769713</v>
      </c>
      <c r="B302" s="8" t="s">
        <v>5567</v>
      </c>
      <c r="C302" s="8" t="s">
        <v>5568</v>
      </c>
      <c r="D302" s="9">
        <v>46061.0</v>
      </c>
      <c r="E302" s="10">
        <v>164.85</v>
      </c>
      <c r="F302" s="26">
        <v>2.0809</v>
      </c>
      <c r="G302" s="12">
        <v>1.1584763E7</v>
      </c>
      <c r="H302" s="8" t="s">
        <v>308</v>
      </c>
      <c r="I302" s="11">
        <v>5.5851</v>
      </c>
      <c r="J302" s="12">
        <v>3.8988799584E10</v>
      </c>
      <c r="K302" s="23"/>
      <c r="L302" s="13">
        <v>-0.0291</v>
      </c>
      <c r="M302" s="8" t="s">
        <v>5569</v>
      </c>
      <c r="N302" s="8" t="s">
        <v>5433</v>
      </c>
      <c r="O302" s="13">
        <v>2.8171</v>
      </c>
      <c r="P302" s="13">
        <v>7.0245</v>
      </c>
      <c r="Q302" s="13">
        <v>44.5274</v>
      </c>
      <c r="R302" s="13">
        <v>2.3214</v>
      </c>
      <c r="S302" s="13">
        <v>4.34</v>
      </c>
      <c r="T302" s="14">
        <f>IFERROR(__xludf.DUMMYFUNCTION("IFERROR(GOOGLEFINANCE(B302,""price""),"""")"),166.7)</f>
        <v>166.7</v>
      </c>
    </row>
    <row r="303">
      <c r="A303" s="15">
        <v>46056.62615769713</v>
      </c>
      <c r="B303" s="16" t="s">
        <v>5484</v>
      </c>
      <c r="C303" s="16" t="s">
        <v>5485</v>
      </c>
      <c r="D303" s="17">
        <v>46061.0</v>
      </c>
      <c r="E303" s="18">
        <v>53.87</v>
      </c>
      <c r="F303" s="27">
        <v>1.8957</v>
      </c>
      <c r="G303" s="20">
        <v>3.2435738E7</v>
      </c>
      <c r="H303" s="16" t="s">
        <v>88</v>
      </c>
      <c r="I303" s="19">
        <v>1.4883</v>
      </c>
      <c r="J303" s="20">
        <v>1.764239448E10</v>
      </c>
      <c r="K303" s="21">
        <v>27.4665</v>
      </c>
      <c r="L303" s="21">
        <v>1.9613</v>
      </c>
      <c r="M303" s="16" t="s">
        <v>5486</v>
      </c>
      <c r="N303" s="16" t="s">
        <v>5471</v>
      </c>
      <c r="O303" s="21">
        <v>30.1877</v>
      </c>
      <c r="P303" s="21">
        <v>-0.3959</v>
      </c>
      <c r="Q303" s="21">
        <v>236.1371</v>
      </c>
      <c r="R303" s="21">
        <v>0.3357</v>
      </c>
      <c r="S303" s="21">
        <v>5.5164</v>
      </c>
      <c r="T303" s="22">
        <f>IFERROR(__xludf.DUMMYFUNCTION("IFERROR(GOOGLEFINANCE(B303,""price""),"""")"),39.32)</f>
        <v>39.32</v>
      </c>
    </row>
    <row r="304">
      <c r="A304" s="7">
        <v>46056.62615769713</v>
      </c>
      <c r="B304" s="8" t="s">
        <v>5688</v>
      </c>
      <c r="C304" s="8" t="s">
        <v>5689</v>
      </c>
      <c r="D304" s="9">
        <v>46061.0</v>
      </c>
      <c r="E304" s="10">
        <v>6.125</v>
      </c>
      <c r="F304" s="26">
        <v>1.8594</v>
      </c>
      <c r="G304" s="12">
        <v>6.4513089E7</v>
      </c>
      <c r="H304" s="8" t="s">
        <v>88</v>
      </c>
      <c r="I304" s="11">
        <v>-8.033</v>
      </c>
      <c r="J304" s="12">
        <v>1.0531071576E10</v>
      </c>
      <c r="K304" s="23"/>
      <c r="L304" s="13">
        <v>-0.2948</v>
      </c>
      <c r="M304" s="8" t="s">
        <v>5690</v>
      </c>
      <c r="N304" s="8" t="s">
        <v>5429</v>
      </c>
      <c r="O304" s="13">
        <v>-22.3822</v>
      </c>
      <c r="P304" s="13">
        <v>-10.5463</v>
      </c>
      <c r="Q304" s="13">
        <v>11.7487</v>
      </c>
      <c r="R304" s="13">
        <v>1.8648</v>
      </c>
      <c r="S304" s="13">
        <v>3.6673</v>
      </c>
      <c r="T304" s="14">
        <f>IFERROR(__xludf.DUMMYFUNCTION("IFERROR(GOOGLEFINANCE(B304,""price""),"""")"),4.82)</f>
        <v>4.82</v>
      </c>
    </row>
    <row r="305">
      <c r="A305" s="15">
        <v>46056.62615769713</v>
      </c>
      <c r="B305" s="16" t="s">
        <v>5685</v>
      </c>
      <c r="C305" s="16" t="s">
        <v>5686</v>
      </c>
      <c r="D305" s="17">
        <v>46061.0</v>
      </c>
      <c r="E305" s="18">
        <v>65.13</v>
      </c>
      <c r="F305" s="27">
        <v>1.8138</v>
      </c>
      <c r="G305" s="20">
        <v>1.0809716E7</v>
      </c>
      <c r="H305" s="16" t="s">
        <v>88</v>
      </c>
      <c r="I305" s="19">
        <v>-3.4825</v>
      </c>
      <c r="J305" s="20">
        <v>4.5716380227E10</v>
      </c>
      <c r="K305" s="24"/>
      <c r="L305" s="21">
        <v>-1.4255</v>
      </c>
      <c r="M305" s="16" t="s">
        <v>5687</v>
      </c>
      <c r="N305" s="16" t="s">
        <v>5429</v>
      </c>
      <c r="O305" s="21">
        <v>-324.2417</v>
      </c>
      <c r="P305" s="21">
        <v>-25.0423</v>
      </c>
      <c r="Q305" s="21">
        <v>32.7011</v>
      </c>
      <c r="R305" s="21">
        <v>4.329</v>
      </c>
      <c r="S305" s="21">
        <v>0.7926</v>
      </c>
      <c r="T305" s="22">
        <f>IFERROR(__xludf.DUMMYFUNCTION("IFERROR(GOOGLEFINANCE(B305,""price""),"""")"),55.59)</f>
        <v>55.59</v>
      </c>
    </row>
    <row r="306">
      <c r="A306" s="7">
        <v>46056.62615769713</v>
      </c>
      <c r="B306" s="8" t="s">
        <v>5503</v>
      </c>
      <c r="C306" s="8" t="s">
        <v>5504</v>
      </c>
      <c r="D306" s="9">
        <v>46061.0</v>
      </c>
      <c r="E306" s="10">
        <v>15.0705</v>
      </c>
      <c r="F306" s="26">
        <v>1.6322</v>
      </c>
      <c r="G306" s="12">
        <v>2.1576351E7</v>
      </c>
      <c r="H306" s="8" t="s">
        <v>335</v>
      </c>
      <c r="I306" s="11">
        <v>19.7021</v>
      </c>
      <c r="J306" s="12">
        <v>1.776879947E9</v>
      </c>
      <c r="K306" s="23"/>
      <c r="L306" s="13">
        <v>-0.5583</v>
      </c>
      <c r="M306" s="8" t="s">
        <v>5505</v>
      </c>
      <c r="N306" s="8" t="s">
        <v>5445</v>
      </c>
      <c r="O306" s="13">
        <v>-128.3047</v>
      </c>
      <c r="P306" s="23"/>
      <c r="Q306" s="23"/>
      <c r="R306" s="13">
        <v>0.064</v>
      </c>
      <c r="S306" s="13">
        <v>0.1282</v>
      </c>
      <c r="T306" s="14">
        <f>IFERROR(__xludf.DUMMYFUNCTION("IFERROR(GOOGLEFINANCE(B306,""price""),"""")"),8.87)</f>
        <v>8.87</v>
      </c>
    </row>
    <row r="307">
      <c r="A307" s="15">
        <v>46056.62615769713</v>
      </c>
      <c r="B307" s="16" t="s">
        <v>5691</v>
      </c>
      <c r="C307" s="16" t="s">
        <v>5692</v>
      </c>
      <c r="D307" s="17">
        <v>46061.0</v>
      </c>
      <c r="E307" s="18">
        <v>8.545</v>
      </c>
      <c r="F307" s="27">
        <v>1.6035</v>
      </c>
      <c r="G307" s="20">
        <v>1.543757E7</v>
      </c>
      <c r="H307" s="16" t="s">
        <v>873</v>
      </c>
      <c r="I307" s="19">
        <v>-4.3113</v>
      </c>
      <c r="J307" s="20">
        <v>8.764126561E9</v>
      </c>
      <c r="K307" s="24"/>
      <c r="L307" s="21">
        <v>-1.6604</v>
      </c>
      <c r="M307" s="16" t="s">
        <v>5693</v>
      </c>
      <c r="N307" s="16" t="s">
        <v>5694</v>
      </c>
      <c r="O307" s="24"/>
      <c r="P307" s="21">
        <v>1.3396</v>
      </c>
      <c r="Q307" s="21">
        <v>-4.5578</v>
      </c>
      <c r="R307" s="24"/>
      <c r="S307" s="21">
        <v>2.1549</v>
      </c>
      <c r="T307" s="22">
        <f>IFERROR(__xludf.DUMMYFUNCTION("IFERROR(GOOGLEFINANCE(B307,""price""),"""")"),7.44)</f>
        <v>7.44</v>
      </c>
    </row>
    <row r="308">
      <c r="A308" s="7">
        <v>46056.62615769713</v>
      </c>
      <c r="B308" s="8" t="s">
        <v>5699</v>
      </c>
      <c r="C308" s="8" t="s">
        <v>5700</v>
      </c>
      <c r="D308" s="9">
        <v>46061.0</v>
      </c>
      <c r="E308" s="10">
        <v>29.42</v>
      </c>
      <c r="F308" s="26">
        <v>1.5773</v>
      </c>
      <c r="G308" s="12">
        <v>2.5354017E7</v>
      </c>
      <c r="H308" s="8" t="s">
        <v>308</v>
      </c>
      <c r="I308" s="11">
        <v>-0.9761</v>
      </c>
      <c r="J308" s="12">
        <v>1.7562890115E10</v>
      </c>
      <c r="K308" s="13">
        <v>23.5794</v>
      </c>
      <c r="L308" s="13">
        <v>1.2477</v>
      </c>
      <c r="M308" s="8" t="s">
        <v>5701</v>
      </c>
      <c r="N308" s="8" t="s">
        <v>5674</v>
      </c>
      <c r="O308" s="13">
        <v>12.7871</v>
      </c>
      <c r="P308" s="13">
        <v>4.3988</v>
      </c>
      <c r="Q308" s="13">
        <v>12.2179</v>
      </c>
      <c r="R308" s="13">
        <v>0.7413</v>
      </c>
      <c r="S308" s="13">
        <v>5.3941</v>
      </c>
      <c r="T308" s="14">
        <f>IFERROR(__xludf.DUMMYFUNCTION("IFERROR(GOOGLEFINANCE(B308,""price""),"""")"),25.26)</f>
        <v>25.26</v>
      </c>
    </row>
    <row r="309">
      <c r="A309" s="15">
        <v>46056.62615769713</v>
      </c>
      <c r="B309" s="16" t="s">
        <v>5481</v>
      </c>
      <c r="C309" s="16" t="s">
        <v>5482</v>
      </c>
      <c r="D309" s="17">
        <v>46061.0</v>
      </c>
      <c r="E309" s="18">
        <v>11.26</v>
      </c>
      <c r="F309" s="27">
        <v>1.5547</v>
      </c>
      <c r="G309" s="20">
        <v>3.0793402E7</v>
      </c>
      <c r="H309" s="16" t="s">
        <v>88</v>
      </c>
      <c r="I309" s="19">
        <v>1.9928</v>
      </c>
      <c r="J309" s="20">
        <v>2.879749113E9</v>
      </c>
      <c r="K309" s="21">
        <v>10.2104</v>
      </c>
      <c r="L309" s="21">
        <v>1.1028</v>
      </c>
      <c r="M309" s="16" t="s">
        <v>5483</v>
      </c>
      <c r="N309" s="16" t="s">
        <v>5471</v>
      </c>
      <c r="O309" s="21">
        <v>18.5197</v>
      </c>
      <c r="P309" s="21">
        <v>-13.9673</v>
      </c>
      <c r="Q309" s="21">
        <v>102.2107</v>
      </c>
      <c r="R309" s="21">
        <v>0.3775</v>
      </c>
      <c r="S309" s="21">
        <v>4.1805</v>
      </c>
      <c r="T309" s="22">
        <f>IFERROR(__xludf.DUMMYFUNCTION("IFERROR(GOOGLEFINANCE(B309,""price""),"""")"),10.02)</f>
        <v>10.02</v>
      </c>
    </row>
    <row r="310">
      <c r="A310" s="7">
        <v>46056.62615769713</v>
      </c>
      <c r="B310" s="8" t="s">
        <v>1077</v>
      </c>
      <c r="C310" s="8" t="s">
        <v>1078</v>
      </c>
      <c r="D310" s="9">
        <v>46061.0</v>
      </c>
      <c r="E310" s="10">
        <v>9.535</v>
      </c>
      <c r="F310" s="26">
        <v>1.5527</v>
      </c>
      <c r="G310" s="12">
        <v>2.2036531E7</v>
      </c>
      <c r="H310" s="8" t="s">
        <v>335</v>
      </c>
      <c r="I310" s="11">
        <v>21.3104</v>
      </c>
      <c r="J310" s="12">
        <v>1.335239602E9</v>
      </c>
      <c r="K310" s="23"/>
      <c r="L310" s="13">
        <v>-0.041</v>
      </c>
      <c r="M310" s="8" t="s">
        <v>1079</v>
      </c>
      <c r="N310" s="8" t="s">
        <v>5506</v>
      </c>
      <c r="O310" s="13">
        <v>-10.5913</v>
      </c>
      <c r="P310" s="13">
        <v>-18.9471</v>
      </c>
      <c r="Q310" s="13">
        <v>240.123</v>
      </c>
      <c r="R310" s="13">
        <v>0.0037</v>
      </c>
      <c r="S310" s="13">
        <v>5.0784</v>
      </c>
      <c r="T310" s="14">
        <f>IFERROR(__xludf.DUMMYFUNCTION("IFERROR(GOOGLEFINANCE(B310,""price""),"""")"),8.36)</f>
        <v>8.36</v>
      </c>
    </row>
    <row r="311">
      <c r="A311" s="15">
        <v>46056.62615769713</v>
      </c>
      <c r="B311" s="16" t="s">
        <v>5712</v>
      </c>
      <c r="C311" s="16" t="s">
        <v>5713</v>
      </c>
      <c r="D311" s="17">
        <v>46061.0</v>
      </c>
      <c r="E311" s="18">
        <v>7.845</v>
      </c>
      <c r="F311" s="27">
        <v>1.4805</v>
      </c>
      <c r="G311" s="20">
        <v>1.101011E7</v>
      </c>
      <c r="H311" s="16" t="s">
        <v>102</v>
      </c>
      <c r="I311" s="19">
        <v>15.0293</v>
      </c>
      <c r="J311" s="20">
        <v>3.29783495E8</v>
      </c>
      <c r="K311" s="24"/>
      <c r="L311" s="21">
        <v>-1.6935</v>
      </c>
      <c r="M311" s="16" t="s">
        <v>5714</v>
      </c>
      <c r="N311" s="16" t="s">
        <v>5632</v>
      </c>
      <c r="O311" s="21">
        <v>-110.1067</v>
      </c>
      <c r="P311" s="21">
        <v>-680.4878</v>
      </c>
      <c r="Q311" s="21">
        <v>-44.0741</v>
      </c>
      <c r="R311" s="21">
        <v>0.1966</v>
      </c>
      <c r="S311" s="21">
        <v>13.5558</v>
      </c>
      <c r="T311" s="22">
        <f>IFERROR(__xludf.DUMMYFUNCTION("IFERROR(GOOGLEFINANCE(B311,""price""),"""")"),6.48)</f>
        <v>6.48</v>
      </c>
    </row>
    <row r="312">
      <c r="A312" s="7">
        <v>46056.62615769713</v>
      </c>
      <c r="B312" s="8" t="s">
        <v>5580</v>
      </c>
      <c r="C312" s="8" t="s">
        <v>5581</v>
      </c>
      <c r="D312" s="9">
        <v>46061.0</v>
      </c>
      <c r="E312" s="10">
        <v>2.645</v>
      </c>
      <c r="F312" s="26">
        <v>1.4766</v>
      </c>
      <c r="G312" s="12">
        <v>2.2318078E7</v>
      </c>
      <c r="H312" s="8" t="s">
        <v>88</v>
      </c>
      <c r="I312" s="11">
        <v>-1.306</v>
      </c>
      <c r="J312" s="12">
        <v>1.054899044E9</v>
      </c>
      <c r="K312" s="23"/>
      <c r="L312" s="23"/>
      <c r="M312" s="8" t="s">
        <v>5582</v>
      </c>
      <c r="N312" s="8" t="s">
        <v>5429</v>
      </c>
      <c r="O312" s="23"/>
      <c r="P312" s="23"/>
      <c r="Q312" s="23"/>
      <c r="R312" s="23"/>
      <c r="S312" s="13">
        <v>0.2412</v>
      </c>
      <c r="T312" s="14">
        <f>IFERROR(__xludf.DUMMYFUNCTION("IFERROR(GOOGLEFINANCE(B312,""price""),"""")"),2.38)</f>
        <v>2.38</v>
      </c>
    </row>
    <row r="313">
      <c r="A313" s="15">
        <v>46056.62615769713</v>
      </c>
      <c r="B313" s="16" t="s">
        <v>5422</v>
      </c>
      <c r="C313" s="16" t="s">
        <v>5423</v>
      </c>
      <c r="D313" s="17">
        <v>46061.0</v>
      </c>
      <c r="E313" s="18">
        <v>25.82</v>
      </c>
      <c r="F313" s="27">
        <v>1.4092</v>
      </c>
      <c r="G313" s="20">
        <v>4.6508768E7</v>
      </c>
      <c r="H313" s="16" t="s">
        <v>102</v>
      </c>
      <c r="I313" s="19">
        <v>16.7797</v>
      </c>
      <c r="J313" s="20">
        <v>3.813095941E9</v>
      </c>
      <c r="K313" s="24"/>
      <c r="L313" s="21">
        <v>-2.5128</v>
      </c>
      <c r="M313" s="16" t="s">
        <v>5424</v>
      </c>
      <c r="N313" s="16" t="s">
        <v>5425</v>
      </c>
      <c r="O313" s="21">
        <v>-255.9098</v>
      </c>
      <c r="P313" s="24"/>
      <c r="Q313" s="24"/>
      <c r="R313" s="24"/>
      <c r="S313" s="21">
        <v>16.5111</v>
      </c>
      <c r="T313" s="22">
        <f>IFERROR(__xludf.DUMMYFUNCTION("IFERROR(GOOGLEFINANCE(B313,""price""),"""")"),16.15)</f>
        <v>16.15</v>
      </c>
    </row>
    <row r="314">
      <c r="A314" s="7">
        <v>46056.62615769713</v>
      </c>
      <c r="B314" s="8" t="s">
        <v>5544</v>
      </c>
      <c r="C314" s="8" t="s">
        <v>5545</v>
      </c>
      <c r="D314" s="9">
        <v>46061.0</v>
      </c>
      <c r="E314" s="10">
        <v>15.94</v>
      </c>
      <c r="F314" s="26">
        <v>1.2754</v>
      </c>
      <c r="G314" s="12">
        <v>3.604799E7</v>
      </c>
      <c r="H314" s="8" t="s">
        <v>88</v>
      </c>
      <c r="I314" s="11">
        <v>0.8223</v>
      </c>
      <c r="J314" s="12">
        <v>6.297767788E9</v>
      </c>
      <c r="K314" s="23"/>
      <c r="L314" s="13">
        <v>-0.1905</v>
      </c>
      <c r="M314" s="8" t="s">
        <v>5546</v>
      </c>
      <c r="N314" s="8" t="s">
        <v>5471</v>
      </c>
      <c r="O314" s="13">
        <v>-9.6935</v>
      </c>
      <c r="P314" s="13">
        <v>-72.0529</v>
      </c>
      <c r="Q314" s="13">
        <v>35.4099</v>
      </c>
      <c r="R314" s="13">
        <v>1.333</v>
      </c>
      <c r="S314" s="13">
        <v>2.4892</v>
      </c>
      <c r="T314" s="14">
        <f>IFERROR(__xludf.DUMMYFUNCTION("IFERROR(GOOGLEFINANCE(B314,""price""),"""")"),16.53)</f>
        <v>16.53</v>
      </c>
    </row>
    <row r="315">
      <c r="A315" s="15">
        <v>46056.62615769713</v>
      </c>
      <c r="B315" s="16" t="s">
        <v>5570</v>
      </c>
      <c r="C315" s="16" t="s">
        <v>5571</v>
      </c>
      <c r="D315" s="17">
        <v>46061.0</v>
      </c>
      <c r="E315" s="18">
        <v>1.905</v>
      </c>
      <c r="F315" s="27">
        <v>1.2578</v>
      </c>
      <c r="G315" s="20">
        <v>3.4169246E7</v>
      </c>
      <c r="H315" s="16" t="s">
        <v>186</v>
      </c>
      <c r="I315" s="19">
        <v>-1.8041</v>
      </c>
      <c r="J315" s="20">
        <v>6.16600579E8</v>
      </c>
      <c r="K315" s="21">
        <v>4.9098</v>
      </c>
      <c r="L315" s="21">
        <v>0.388</v>
      </c>
      <c r="M315" s="16" t="s">
        <v>5572</v>
      </c>
      <c r="N315" s="16" t="s">
        <v>5573</v>
      </c>
      <c r="O315" s="21">
        <v>22.4406</v>
      </c>
      <c r="P315" s="21">
        <v>-53.6599</v>
      </c>
      <c r="Q315" s="21">
        <v>9.523</v>
      </c>
      <c r="R315" s="21">
        <v>0.0463</v>
      </c>
      <c r="S315" s="21">
        <v>17.5059</v>
      </c>
      <c r="T315" s="22">
        <f>IFERROR(__xludf.DUMMYFUNCTION("IFERROR(GOOGLEFINANCE(B315,""price""),"""")"),1.37)</f>
        <v>1.37</v>
      </c>
    </row>
    <row r="316">
      <c r="A316" s="7">
        <v>46056.62615769713</v>
      </c>
      <c r="B316" s="8" t="s">
        <v>5594</v>
      </c>
      <c r="C316" s="8" t="s">
        <v>5595</v>
      </c>
      <c r="D316" s="9">
        <v>46061.0</v>
      </c>
      <c r="E316" s="10">
        <v>14.635</v>
      </c>
      <c r="F316" s="26">
        <v>1.2487</v>
      </c>
      <c r="G316" s="12">
        <v>5.8684165E7</v>
      </c>
      <c r="H316" s="8" t="s">
        <v>88</v>
      </c>
      <c r="I316" s="11">
        <v>8.8914</v>
      </c>
      <c r="J316" s="12">
        <v>6.127409193E9</v>
      </c>
      <c r="K316" s="23"/>
      <c r="L316" s="13">
        <v>-1.4167</v>
      </c>
      <c r="M316" s="8" t="s">
        <v>5596</v>
      </c>
      <c r="N316" s="8" t="s">
        <v>5471</v>
      </c>
      <c r="O316" s="13">
        <v>-181.9547</v>
      </c>
      <c r="P316" s="13">
        <v>-69.885</v>
      </c>
      <c r="Q316" s="13">
        <v>30.5825</v>
      </c>
      <c r="R316" s="13">
        <v>4.3877</v>
      </c>
      <c r="S316" s="13">
        <v>1.0329</v>
      </c>
      <c r="T316" s="14">
        <f>IFERROR(__xludf.DUMMYFUNCTION("IFERROR(GOOGLEFINANCE(B316,""price""),"""")"),18.88)</f>
        <v>18.88</v>
      </c>
    </row>
    <row r="317">
      <c r="A317" s="15">
        <v>46056.62615769713</v>
      </c>
      <c r="B317" s="16" t="s">
        <v>5574</v>
      </c>
      <c r="C317" s="16" t="s">
        <v>5575</v>
      </c>
      <c r="D317" s="17">
        <v>46061.0</v>
      </c>
      <c r="E317" s="18">
        <v>24.455</v>
      </c>
      <c r="F317" s="27">
        <v>1.2242</v>
      </c>
      <c r="G317" s="20">
        <v>1.8201506E7</v>
      </c>
      <c r="H317" s="16" t="s">
        <v>335</v>
      </c>
      <c r="I317" s="19">
        <v>16.397</v>
      </c>
      <c r="J317" s="20">
        <v>5.802847741E9</v>
      </c>
      <c r="K317" s="24"/>
      <c r="L317" s="21">
        <v>-0.4849</v>
      </c>
      <c r="M317" s="16" t="s">
        <v>5576</v>
      </c>
      <c r="N317" s="16" t="s">
        <v>5506</v>
      </c>
      <c r="O317" s="21">
        <v>-18.1731</v>
      </c>
      <c r="P317" s="21">
        <v>-129.5586</v>
      </c>
      <c r="Q317" s="21">
        <v>103.694</v>
      </c>
      <c r="R317" s="21">
        <v>0.0</v>
      </c>
      <c r="S317" s="21">
        <v>11.4962</v>
      </c>
      <c r="T317" s="22">
        <f>IFERROR(__xludf.DUMMYFUNCTION("IFERROR(GOOGLEFINANCE(B317,""price""),"""")"),18.4)</f>
        <v>18.4</v>
      </c>
    </row>
    <row r="318">
      <c r="A318" s="7">
        <v>46056.62615769713</v>
      </c>
      <c r="B318" s="8" t="s">
        <v>5705</v>
      </c>
      <c r="C318" s="8" t="s">
        <v>5706</v>
      </c>
      <c r="D318" s="9">
        <v>46061.0</v>
      </c>
      <c r="E318" s="10">
        <v>21.5399</v>
      </c>
      <c r="F318" s="26">
        <v>1.2106</v>
      </c>
      <c r="G318" s="12">
        <v>1.7259176E7</v>
      </c>
      <c r="H318" s="8" t="s">
        <v>93</v>
      </c>
      <c r="I318" s="11">
        <v>-18.5329</v>
      </c>
      <c r="J318" s="12">
        <v>8.418344945E9</v>
      </c>
      <c r="K318" s="23"/>
      <c r="L318" s="13">
        <v>-0.9681</v>
      </c>
      <c r="M318" s="8" t="s">
        <v>5707</v>
      </c>
      <c r="N318" s="8" t="s">
        <v>5708</v>
      </c>
      <c r="O318" s="13">
        <v>-2.7732</v>
      </c>
      <c r="P318" s="13">
        <v>1.7926</v>
      </c>
      <c r="Q318" s="23"/>
      <c r="R318" s="13">
        <v>2.5715</v>
      </c>
      <c r="S318" s="13">
        <v>1.3457</v>
      </c>
      <c r="T318" s="14">
        <f>IFERROR(__xludf.DUMMYFUNCTION("IFERROR(GOOGLEFINANCE(B318,""price""),"""")"),21.66)</f>
        <v>21.66</v>
      </c>
    </row>
    <row r="319">
      <c r="A319" s="15">
        <v>46056.62615769713</v>
      </c>
      <c r="B319" s="16" t="s">
        <v>5533</v>
      </c>
      <c r="C319" s="16" t="s">
        <v>5534</v>
      </c>
      <c r="D319" s="17">
        <v>46061.0</v>
      </c>
      <c r="E319" s="18">
        <v>8.9316</v>
      </c>
      <c r="F319" s="27">
        <v>1.2022</v>
      </c>
      <c r="G319" s="20">
        <v>1.8239716E7</v>
      </c>
      <c r="H319" s="16" t="s">
        <v>102</v>
      </c>
      <c r="I319" s="19">
        <v>3.1363</v>
      </c>
      <c r="J319" s="20">
        <v>2.416648111E9</v>
      </c>
      <c r="K319" s="24"/>
      <c r="L319" s="21">
        <v>-3.7839</v>
      </c>
      <c r="M319" s="16" t="s">
        <v>5535</v>
      </c>
      <c r="N319" s="16" t="s">
        <v>5536</v>
      </c>
      <c r="O319" s="21">
        <v>-55.984</v>
      </c>
      <c r="P319" s="21">
        <v>-31.1477</v>
      </c>
      <c r="Q319" s="24"/>
      <c r="R319" s="21">
        <v>4.5088</v>
      </c>
      <c r="S319" s="21">
        <v>1.1293</v>
      </c>
      <c r="T319" s="22">
        <f>IFERROR(__xludf.DUMMYFUNCTION("IFERROR(GOOGLEFINANCE(B319,""price""),"""")"),4.69)</f>
        <v>4.69</v>
      </c>
    </row>
    <row r="320">
      <c r="A320" s="7">
        <v>46056.62615769713</v>
      </c>
      <c r="B320" s="8" t="s">
        <v>5517</v>
      </c>
      <c r="C320" s="8" t="s">
        <v>5518</v>
      </c>
      <c r="D320" s="9">
        <v>46061.0</v>
      </c>
      <c r="E320" s="10">
        <v>11.18</v>
      </c>
      <c r="F320" s="26">
        <v>1.1885</v>
      </c>
      <c r="G320" s="12">
        <v>2.4765401E7</v>
      </c>
      <c r="H320" s="8" t="s">
        <v>308</v>
      </c>
      <c r="I320" s="11">
        <v>2.7574</v>
      </c>
      <c r="J320" s="12">
        <v>1.846385822E9</v>
      </c>
      <c r="K320" s="23"/>
      <c r="L320" s="13">
        <v>-3.1791</v>
      </c>
      <c r="M320" s="8" t="s">
        <v>5519</v>
      </c>
      <c r="N320" s="8" t="s">
        <v>5520</v>
      </c>
      <c r="O320" s="13">
        <v>-50.0822</v>
      </c>
      <c r="P320" s="13">
        <v>-46.1858</v>
      </c>
      <c r="Q320" s="13">
        <v>-0.6305</v>
      </c>
      <c r="R320" s="13">
        <v>0.3596</v>
      </c>
      <c r="S320" s="13">
        <v>1.4082</v>
      </c>
      <c r="T320" s="14">
        <f>IFERROR(__xludf.DUMMYFUNCTION("IFERROR(GOOGLEFINANCE(B320,""price""),"""")"),9.29)</f>
        <v>9.29</v>
      </c>
    </row>
    <row r="321">
      <c r="A321" s="15">
        <v>46056.62615769713</v>
      </c>
      <c r="B321" s="16" t="s">
        <v>5715</v>
      </c>
      <c r="C321" s="16" t="s">
        <v>5716</v>
      </c>
      <c r="D321" s="17">
        <v>46061.0</v>
      </c>
      <c r="E321" s="18">
        <v>38.905</v>
      </c>
      <c r="F321" s="27">
        <v>1.1848</v>
      </c>
      <c r="G321" s="20">
        <v>2.847624E7</v>
      </c>
      <c r="H321" s="16" t="s">
        <v>149</v>
      </c>
      <c r="I321" s="19">
        <v>1.0257</v>
      </c>
      <c r="J321" s="20">
        <v>5.1443221562E10</v>
      </c>
      <c r="K321" s="21">
        <v>34.2866</v>
      </c>
      <c r="L321" s="21">
        <v>1.1347</v>
      </c>
      <c r="M321" s="16" t="s">
        <v>5717</v>
      </c>
      <c r="N321" s="16" t="s">
        <v>5718</v>
      </c>
      <c r="O321" s="21">
        <v>44.9576</v>
      </c>
      <c r="P321" s="21">
        <v>16.9727</v>
      </c>
      <c r="Q321" s="21">
        <v>7.3059</v>
      </c>
      <c r="R321" s="21">
        <v>1.5457</v>
      </c>
      <c r="S321" s="21">
        <v>1.5423</v>
      </c>
      <c r="T321" s="22">
        <f>IFERROR(__xludf.DUMMYFUNCTION("IFERROR(GOOGLEFINANCE(B321,""price""),"""")"),34.09)</f>
        <v>34.09</v>
      </c>
    </row>
    <row r="322">
      <c r="A322" s="7">
        <v>46056.62615769713</v>
      </c>
      <c r="B322" s="8" t="s">
        <v>2704</v>
      </c>
      <c r="C322" s="8" t="s">
        <v>2705</v>
      </c>
      <c r="D322" s="9">
        <v>46061.0</v>
      </c>
      <c r="E322" s="10">
        <v>36.225</v>
      </c>
      <c r="F322" s="26">
        <v>1.1815</v>
      </c>
      <c r="G322" s="12">
        <v>2.3781472E7</v>
      </c>
      <c r="H322" s="8" t="s">
        <v>88</v>
      </c>
      <c r="I322" s="11">
        <v>4.0948</v>
      </c>
      <c r="J322" s="12">
        <v>1.0127995942E10</v>
      </c>
      <c r="K322" s="23"/>
      <c r="L322" s="13">
        <v>-0.5438</v>
      </c>
      <c r="M322" s="8" t="s">
        <v>2707</v>
      </c>
      <c r="N322" s="8" t="s">
        <v>5471</v>
      </c>
      <c r="O322" s="13">
        <v>-11.4029</v>
      </c>
      <c r="P322" s="13">
        <v>-26.4624</v>
      </c>
      <c r="Q322" s="13">
        <v>33.135</v>
      </c>
      <c r="R322" s="13">
        <v>1.6778</v>
      </c>
      <c r="S322" s="13">
        <v>4.8227</v>
      </c>
      <c r="T322" s="14">
        <f>IFERROR(__xludf.DUMMYFUNCTION("IFERROR(GOOGLEFINANCE(B322,""price""),"""")"),26.24)</f>
        <v>26.24</v>
      </c>
    </row>
    <row r="323">
      <c r="A323" s="15">
        <v>46056.62615769713</v>
      </c>
      <c r="B323" s="16" t="s">
        <v>5554</v>
      </c>
      <c r="C323" s="16" t="s">
        <v>5555</v>
      </c>
      <c r="D323" s="17">
        <v>46061.0</v>
      </c>
      <c r="E323" s="18">
        <v>115.79</v>
      </c>
      <c r="F323" s="27">
        <v>1.1787</v>
      </c>
      <c r="G323" s="20">
        <v>1.3097038E7</v>
      </c>
      <c r="H323" s="16" t="s">
        <v>873</v>
      </c>
      <c r="I323" s="19">
        <v>10.7508</v>
      </c>
      <c r="J323" s="20">
        <v>4.2541397224E10</v>
      </c>
      <c r="K323" s="24"/>
      <c r="L323" s="21">
        <v>-1.2452</v>
      </c>
      <c r="M323" s="16" t="s">
        <v>5556</v>
      </c>
      <c r="N323" s="16" t="s">
        <v>5557</v>
      </c>
      <c r="O323" s="21">
        <v>-39.2195</v>
      </c>
      <c r="P323" s="21">
        <v>-1479.4668</v>
      </c>
      <c r="Q323" s="21">
        <v>641.24</v>
      </c>
      <c r="R323" s="21">
        <v>0.5824</v>
      </c>
      <c r="S323" s="21">
        <v>9.5602</v>
      </c>
      <c r="T323" s="22">
        <f>IFERROR(__xludf.DUMMYFUNCTION("IFERROR(GOOGLEFINANCE(B323,""price""),"""")"),94.9)</f>
        <v>94.9</v>
      </c>
    </row>
    <row r="324">
      <c r="A324" s="7">
        <v>46056.62615769713</v>
      </c>
      <c r="B324" s="8" t="s">
        <v>5510</v>
      </c>
      <c r="C324" s="8" t="s">
        <v>5511</v>
      </c>
      <c r="D324" s="9">
        <v>46061.0</v>
      </c>
      <c r="E324" s="10">
        <v>691.555</v>
      </c>
      <c r="F324" s="26">
        <v>1.1757</v>
      </c>
      <c r="G324" s="12">
        <v>2.7539574E7</v>
      </c>
      <c r="H324" s="8" t="s">
        <v>308</v>
      </c>
      <c r="I324" s="11">
        <v>3.9557</v>
      </c>
      <c r="J324" s="12">
        <v>1.02050864952E11</v>
      </c>
      <c r="K324" s="23"/>
      <c r="L324" s="13">
        <v>-7.5894</v>
      </c>
      <c r="M324" s="8" t="s">
        <v>5512</v>
      </c>
      <c r="N324" s="8" t="s">
        <v>5513</v>
      </c>
      <c r="O324" s="13">
        <v>-9.3725</v>
      </c>
      <c r="P324" s="13">
        <v>14.2905</v>
      </c>
      <c r="Q324" s="13">
        <v>23.6019</v>
      </c>
      <c r="R324" s="13">
        <v>0.0796</v>
      </c>
      <c r="S324" s="13">
        <v>3.1137</v>
      </c>
      <c r="T324" s="14">
        <f>IFERROR(__xludf.DUMMYFUNCTION("IFERROR(GOOGLEFINANCE(B324,""price""),"""")"),851.77)</f>
        <v>851.77</v>
      </c>
    </row>
    <row r="325">
      <c r="A325" s="15">
        <v>46056.62615769713</v>
      </c>
      <c r="B325" s="16" t="s">
        <v>5434</v>
      </c>
      <c r="C325" s="16" t="s">
        <v>5435</v>
      </c>
      <c r="D325" s="17">
        <v>46061.0</v>
      </c>
      <c r="E325" s="18">
        <v>11.25</v>
      </c>
      <c r="F325" s="27">
        <v>1.1611</v>
      </c>
      <c r="G325" s="20">
        <v>9.062295E7</v>
      </c>
      <c r="H325" s="16" t="s">
        <v>308</v>
      </c>
      <c r="I325" s="19">
        <v>5.7331</v>
      </c>
      <c r="J325" s="20">
        <v>4.753985864E9</v>
      </c>
      <c r="K325" s="24"/>
      <c r="L325" s="21">
        <v>-0.4034</v>
      </c>
      <c r="M325" s="16" t="s">
        <v>5436</v>
      </c>
      <c r="N325" s="16" t="s">
        <v>5437</v>
      </c>
      <c r="O325" s="21">
        <v>-17.0422</v>
      </c>
      <c r="P325" s="21">
        <v>-176.0921</v>
      </c>
      <c r="Q325" s="21">
        <v>208.4002</v>
      </c>
      <c r="R325" s="21">
        <v>0.037</v>
      </c>
      <c r="S325" s="21">
        <v>15.2957</v>
      </c>
      <c r="T325" s="22">
        <f>IFERROR(__xludf.DUMMYFUNCTION("IFERROR(GOOGLEFINANCE(B325,""price""),"""")"),9.13)</f>
        <v>9.13</v>
      </c>
    </row>
    <row r="326">
      <c r="A326" s="7">
        <v>46056.62615769713</v>
      </c>
      <c r="B326" s="8" t="s">
        <v>5558</v>
      </c>
      <c r="C326" s="8" t="s">
        <v>5559</v>
      </c>
      <c r="D326" s="9">
        <v>46061.0</v>
      </c>
      <c r="E326" s="10">
        <v>14.3922</v>
      </c>
      <c r="F326" s="26">
        <v>1.1582</v>
      </c>
      <c r="G326" s="12">
        <v>1.5512791E7</v>
      </c>
      <c r="H326" s="8" t="s">
        <v>102</v>
      </c>
      <c r="I326" s="11">
        <v>1.9278</v>
      </c>
      <c r="J326" s="12">
        <v>4.664485718E9</v>
      </c>
      <c r="K326" s="23"/>
      <c r="L326" s="13">
        <v>-8.3559</v>
      </c>
      <c r="M326" s="8" t="s">
        <v>5560</v>
      </c>
      <c r="N326" s="8" t="s">
        <v>5536</v>
      </c>
      <c r="O326" s="23"/>
      <c r="P326" s="13">
        <v>-351.0117</v>
      </c>
      <c r="Q326" s="13">
        <v>324.0994</v>
      </c>
      <c r="R326" s="23"/>
      <c r="S326" s="13">
        <v>1.8261</v>
      </c>
      <c r="T326" s="14">
        <f>IFERROR(__xludf.DUMMYFUNCTION("IFERROR(GOOGLEFINANCE(B326,""price""),"""")"),5.62)</f>
        <v>5.62</v>
      </c>
    </row>
    <row r="327">
      <c r="A327" s="15">
        <v>46056.62615769713</v>
      </c>
      <c r="B327" s="16" t="s">
        <v>5561</v>
      </c>
      <c r="C327" s="16" t="s">
        <v>5562</v>
      </c>
      <c r="D327" s="17">
        <v>46061.0</v>
      </c>
      <c r="E327" s="18">
        <v>17.69</v>
      </c>
      <c r="F327" s="27">
        <v>1.1204</v>
      </c>
      <c r="G327" s="20">
        <v>1.948834E7</v>
      </c>
      <c r="H327" s="16" t="s">
        <v>102</v>
      </c>
      <c r="I327" s="19">
        <v>7.3422</v>
      </c>
      <c r="J327" s="20">
        <v>5.355197572E9</v>
      </c>
      <c r="K327" s="24"/>
      <c r="L327" s="21">
        <v>-2.8582</v>
      </c>
      <c r="M327" s="16" t="s">
        <v>5563</v>
      </c>
      <c r="N327" s="16" t="s">
        <v>5536</v>
      </c>
      <c r="O327" s="21">
        <v>-76.8505</v>
      </c>
      <c r="P327" s="21">
        <v>-983.9643</v>
      </c>
      <c r="Q327" s="21">
        <v>765.6686</v>
      </c>
      <c r="R327" s="21">
        <v>0.0</v>
      </c>
      <c r="S327" s="21">
        <v>1.6153</v>
      </c>
      <c r="T327" s="22">
        <f>IFERROR(__xludf.DUMMYFUNCTION("IFERROR(GOOGLEFINANCE(B327,""price""),"""")"),9.21)</f>
        <v>9.21</v>
      </c>
    </row>
    <row r="328">
      <c r="A328" s="7">
        <v>46056.62615769713</v>
      </c>
      <c r="B328" s="8" t="s">
        <v>5719</v>
      </c>
      <c r="C328" s="8" t="s">
        <v>5720</v>
      </c>
      <c r="D328" s="9">
        <v>46061.0</v>
      </c>
      <c r="E328" s="10">
        <v>109.775</v>
      </c>
      <c r="F328" s="26">
        <v>1.0906</v>
      </c>
      <c r="G328" s="12">
        <v>9195308.0</v>
      </c>
      <c r="H328" s="8" t="s">
        <v>88</v>
      </c>
      <c r="I328" s="11">
        <v>-8.4903</v>
      </c>
      <c r="J328" s="12">
        <v>1.9828846238E10</v>
      </c>
      <c r="K328" s="13">
        <v>95.8231</v>
      </c>
      <c r="L328" s="13">
        <v>1.1456</v>
      </c>
      <c r="M328" s="8" t="s">
        <v>5721</v>
      </c>
      <c r="N328" s="8" t="s">
        <v>5664</v>
      </c>
      <c r="O328" s="13">
        <v>22.8679</v>
      </c>
      <c r="P328" s="13">
        <v>25.171</v>
      </c>
      <c r="Q328" s="13">
        <v>224.1722</v>
      </c>
      <c r="R328" s="13">
        <v>0.0128</v>
      </c>
      <c r="S328" s="13">
        <v>8.8581</v>
      </c>
      <c r="T328" s="14">
        <f>IFERROR(__xludf.DUMMYFUNCTION("IFERROR(GOOGLEFINANCE(B328,""price""),"""")"),119.59)</f>
        <v>119.59</v>
      </c>
    </row>
    <row r="329">
      <c r="A329" s="15">
        <v>46056.62615769713</v>
      </c>
      <c r="B329" s="16" t="s">
        <v>5527</v>
      </c>
      <c r="C329" s="16" t="s">
        <v>5528</v>
      </c>
      <c r="D329" s="17">
        <v>46061.0</v>
      </c>
      <c r="E329" s="18">
        <v>14.29</v>
      </c>
      <c r="F329" s="27">
        <v>1.0874</v>
      </c>
      <c r="G329" s="20">
        <v>1.0850788E7</v>
      </c>
      <c r="H329" s="16" t="s">
        <v>88</v>
      </c>
      <c r="I329" s="19">
        <v>4.8423</v>
      </c>
      <c r="J329" s="20">
        <v>1.705813598E9</v>
      </c>
      <c r="K329" s="24"/>
      <c r="L329" s="24"/>
      <c r="M329" s="16" t="s">
        <v>5529</v>
      </c>
      <c r="N329" s="16" t="s">
        <v>5429</v>
      </c>
      <c r="O329" s="24"/>
      <c r="P329" s="24"/>
      <c r="Q329" s="24"/>
      <c r="R329" s="21">
        <v>0.0885</v>
      </c>
      <c r="S329" s="21">
        <v>10.416</v>
      </c>
      <c r="T329" s="22">
        <f>IFERROR(__xludf.DUMMYFUNCTION("IFERROR(GOOGLEFINANCE(B329,""price""),"""")"),12.37)</f>
        <v>12.37</v>
      </c>
    </row>
    <row r="330">
      <c r="A330" s="7">
        <v>46056.62615769713</v>
      </c>
      <c r="B330" s="8" t="s">
        <v>5675</v>
      </c>
      <c r="C330" s="8" t="s">
        <v>5676</v>
      </c>
      <c r="D330" s="9">
        <v>46061.0</v>
      </c>
      <c r="E330" s="10">
        <v>11.91</v>
      </c>
      <c r="F330" s="26">
        <v>1.0872</v>
      </c>
      <c r="G330" s="12">
        <v>6.3045883E7</v>
      </c>
      <c r="H330" s="8" t="s">
        <v>93</v>
      </c>
      <c r="I330" s="11">
        <v>-11.2519</v>
      </c>
      <c r="J330" s="12">
        <v>1.8575208817E10</v>
      </c>
      <c r="K330" s="13">
        <v>264.6667</v>
      </c>
      <c r="L330" s="13">
        <v>0.045</v>
      </c>
      <c r="M330" s="8" t="s">
        <v>5677</v>
      </c>
      <c r="N330" s="8" t="s">
        <v>5678</v>
      </c>
      <c r="O330" s="13">
        <v>2.4146</v>
      </c>
      <c r="P330" s="13">
        <v>17.8772</v>
      </c>
      <c r="Q330" s="13">
        <v>27.2389</v>
      </c>
      <c r="R330" s="13">
        <v>1.6451</v>
      </c>
      <c r="S330" s="13">
        <v>1.2468</v>
      </c>
      <c r="T330" s="14">
        <f>IFERROR(__xludf.DUMMYFUNCTION("IFERROR(GOOGLEFINANCE(B330,""price""),"""")"),8.23)</f>
        <v>8.23</v>
      </c>
    </row>
    <row r="331">
      <c r="A331" s="15">
        <v>46056.62615769713</v>
      </c>
      <c r="B331" s="16" t="s">
        <v>5668</v>
      </c>
      <c r="C331" s="16" t="s">
        <v>5669</v>
      </c>
      <c r="D331" s="17">
        <v>46061.0</v>
      </c>
      <c r="E331" s="18">
        <v>9.665</v>
      </c>
      <c r="F331" s="27">
        <v>1.0742</v>
      </c>
      <c r="G331" s="20">
        <v>1.292501E7</v>
      </c>
      <c r="H331" s="16" t="s">
        <v>88</v>
      </c>
      <c r="I331" s="19">
        <v>3.4797</v>
      </c>
      <c r="J331" s="20">
        <v>2.166151643E9</v>
      </c>
      <c r="K331" s="24"/>
      <c r="L331" s="21">
        <v>-0.6048</v>
      </c>
      <c r="M331" s="16" t="s">
        <v>5670</v>
      </c>
      <c r="N331" s="16" t="s">
        <v>5664</v>
      </c>
      <c r="O331" s="21">
        <v>-14.4858</v>
      </c>
      <c r="P331" s="21">
        <v>-6918.4982</v>
      </c>
      <c r="Q331" s="21">
        <v>41.5072</v>
      </c>
      <c r="R331" s="21">
        <v>0.0029</v>
      </c>
      <c r="S331" s="21">
        <v>154.8687</v>
      </c>
      <c r="T331" s="22">
        <f>IFERROR(__xludf.DUMMYFUNCTION("IFERROR(GOOGLEFINANCE(B331,""price""),"""")"),7.06)</f>
        <v>7.06</v>
      </c>
    </row>
    <row r="332">
      <c r="A332" s="7">
        <v>46057.45429008185</v>
      </c>
      <c r="B332" s="8" t="s">
        <v>5484</v>
      </c>
      <c r="C332" s="8" t="s">
        <v>5485</v>
      </c>
      <c r="D332" s="9">
        <v>46061.0</v>
      </c>
      <c r="E332" s="10">
        <v>45.4707</v>
      </c>
      <c r="F332" s="26">
        <v>2.5894</v>
      </c>
      <c r="G332" s="12">
        <v>2.9093154E7</v>
      </c>
      <c r="H332" s="8" t="s">
        <v>88</v>
      </c>
      <c r="I332" s="11">
        <v>-16.3988</v>
      </c>
      <c r="J332" s="12">
        <v>1.4891627809E10</v>
      </c>
      <c r="K332" s="13">
        <v>23.184</v>
      </c>
      <c r="L332" s="13">
        <v>1.9613</v>
      </c>
      <c r="M332" s="8" t="s">
        <v>5486</v>
      </c>
      <c r="N332" s="8" t="s">
        <v>5471</v>
      </c>
      <c r="O332" s="13">
        <v>30.1877</v>
      </c>
      <c r="P332" s="13">
        <v>-0.3959</v>
      </c>
      <c r="Q332" s="13">
        <v>236.1371</v>
      </c>
      <c r="R332" s="13">
        <v>0.3357</v>
      </c>
      <c r="S332" s="13">
        <v>5.5164</v>
      </c>
      <c r="T332" s="14">
        <f>IFERROR(__xludf.DUMMYFUNCTION("IFERROR(GOOGLEFINANCE(B332,""price""),"""")"),39.32)</f>
        <v>39.32</v>
      </c>
    </row>
    <row r="333">
      <c r="A333" s="15">
        <v>46057.45429008185</v>
      </c>
      <c r="B333" s="16" t="s">
        <v>5567</v>
      </c>
      <c r="C333" s="16" t="s">
        <v>5568</v>
      </c>
      <c r="D333" s="17">
        <v>46061.0</v>
      </c>
      <c r="E333" s="18">
        <v>143.19</v>
      </c>
      <c r="F333" s="27">
        <v>2.4231</v>
      </c>
      <c r="G333" s="20">
        <v>6969795.0</v>
      </c>
      <c r="H333" s="16" t="s">
        <v>308</v>
      </c>
      <c r="I333" s="19">
        <v>-15.217</v>
      </c>
      <c r="J333" s="20">
        <v>3.3865975237E10</v>
      </c>
      <c r="K333" s="24"/>
      <c r="L333" s="21">
        <v>-0.0291</v>
      </c>
      <c r="M333" s="16" t="s">
        <v>5569</v>
      </c>
      <c r="N333" s="16" t="s">
        <v>5433</v>
      </c>
      <c r="O333" s="21">
        <v>2.8171</v>
      </c>
      <c r="P333" s="21">
        <v>7.0245</v>
      </c>
      <c r="Q333" s="21">
        <v>44.5274</v>
      </c>
      <c r="R333" s="21">
        <v>2.3214</v>
      </c>
      <c r="S333" s="21">
        <v>4.34</v>
      </c>
      <c r="T333" s="22">
        <f>IFERROR(__xludf.DUMMYFUNCTION("IFERROR(GOOGLEFINANCE(B333,""price""),"""")"),166.7)</f>
        <v>166.7</v>
      </c>
    </row>
    <row r="334">
      <c r="A334" s="7">
        <v>46057.45429008185</v>
      </c>
      <c r="B334" s="8" t="s">
        <v>5688</v>
      </c>
      <c r="C334" s="8" t="s">
        <v>5689</v>
      </c>
      <c r="D334" s="9">
        <v>46061.0</v>
      </c>
      <c r="E334" s="10">
        <v>6.035</v>
      </c>
      <c r="F334" s="26">
        <v>2.2734</v>
      </c>
      <c r="G334" s="12">
        <v>2.9284779E7</v>
      </c>
      <c r="H334" s="8" t="s">
        <v>88</v>
      </c>
      <c r="I334" s="11">
        <v>-1.0656</v>
      </c>
      <c r="J334" s="12">
        <v>1.0376329376E10</v>
      </c>
      <c r="K334" s="23"/>
      <c r="L334" s="13">
        <v>-0.2948</v>
      </c>
      <c r="M334" s="8" t="s">
        <v>5690</v>
      </c>
      <c r="N334" s="8" t="s">
        <v>5429</v>
      </c>
      <c r="O334" s="13">
        <v>-22.3822</v>
      </c>
      <c r="P334" s="13">
        <v>-10.5463</v>
      </c>
      <c r="Q334" s="13">
        <v>11.7487</v>
      </c>
      <c r="R334" s="13">
        <v>1.8648</v>
      </c>
      <c r="S334" s="13">
        <v>3.6673</v>
      </c>
      <c r="T334" s="14">
        <f>IFERROR(__xludf.DUMMYFUNCTION("IFERROR(GOOGLEFINANCE(B334,""price""),"""")"),4.82)</f>
        <v>4.82</v>
      </c>
    </row>
    <row r="335">
      <c r="A335" s="15">
        <v>46057.45429008185</v>
      </c>
      <c r="B335" s="16" t="s">
        <v>5685</v>
      </c>
      <c r="C335" s="16" t="s">
        <v>5686</v>
      </c>
      <c r="D335" s="17">
        <v>46061.0</v>
      </c>
      <c r="E335" s="18">
        <v>63.8083</v>
      </c>
      <c r="F335" s="27">
        <v>2.0866</v>
      </c>
      <c r="G335" s="20">
        <v>5097743.0</v>
      </c>
      <c r="H335" s="16" t="s">
        <v>88</v>
      </c>
      <c r="I335" s="19">
        <v>-2.4338</v>
      </c>
      <c r="J335" s="20">
        <v>4.478864467E10</v>
      </c>
      <c r="K335" s="24"/>
      <c r="L335" s="21">
        <v>-1.4255</v>
      </c>
      <c r="M335" s="16" t="s">
        <v>5687</v>
      </c>
      <c r="N335" s="16" t="s">
        <v>5429</v>
      </c>
      <c r="O335" s="21">
        <v>-324.2417</v>
      </c>
      <c r="P335" s="21">
        <v>-25.0423</v>
      </c>
      <c r="Q335" s="21">
        <v>32.7011</v>
      </c>
      <c r="R335" s="21">
        <v>4.329</v>
      </c>
      <c r="S335" s="21">
        <v>0.7926</v>
      </c>
      <c r="T335" s="22">
        <f>IFERROR(__xludf.DUMMYFUNCTION("IFERROR(GOOGLEFINANCE(B335,""price""),"""")"),55.59)</f>
        <v>55.59</v>
      </c>
    </row>
    <row r="336">
      <c r="A336" s="7">
        <v>46057.45429008185</v>
      </c>
      <c r="B336" s="8" t="s">
        <v>2650</v>
      </c>
      <c r="C336" s="8" t="s">
        <v>2651</v>
      </c>
      <c r="D336" s="9">
        <v>46061.0</v>
      </c>
      <c r="E336" s="10">
        <v>212.465</v>
      </c>
      <c r="F336" s="26">
        <v>1.9427</v>
      </c>
      <c r="G336" s="12">
        <v>5423769.0</v>
      </c>
      <c r="H336" s="8" t="s">
        <v>308</v>
      </c>
      <c r="I336" s="11">
        <v>-7.2934</v>
      </c>
      <c r="J336" s="12">
        <v>3.338964073E10</v>
      </c>
      <c r="K336" s="13">
        <v>306.1897</v>
      </c>
      <c r="L336" s="13">
        <v>0.6939</v>
      </c>
      <c r="M336" s="8" t="s">
        <v>2653</v>
      </c>
      <c r="N336" s="8" t="s">
        <v>5414</v>
      </c>
      <c r="O336" s="13">
        <v>3.0782</v>
      </c>
      <c r="P336" s="13">
        <v>11.161</v>
      </c>
      <c r="Q336" s="13">
        <v>20.7993</v>
      </c>
      <c r="R336" s="13">
        <v>0.4206</v>
      </c>
      <c r="S336" s="13">
        <v>2.3283</v>
      </c>
      <c r="T336" s="14">
        <f>IFERROR(__xludf.DUMMYFUNCTION("IFERROR(GOOGLEFINANCE(B336,""price""),"""")"),307.5)</f>
        <v>307.5</v>
      </c>
    </row>
    <row r="337">
      <c r="A337" s="15">
        <v>46057.45429008185</v>
      </c>
      <c r="B337" s="16" t="s">
        <v>5503</v>
      </c>
      <c r="C337" s="16" t="s">
        <v>5504</v>
      </c>
      <c r="D337" s="17">
        <v>46061.0</v>
      </c>
      <c r="E337" s="18">
        <v>13.415</v>
      </c>
      <c r="F337" s="27">
        <v>1.8584</v>
      </c>
      <c r="G337" s="20">
        <v>8914302.0</v>
      </c>
      <c r="H337" s="16" t="s">
        <v>335</v>
      </c>
      <c r="I337" s="19">
        <v>-11.3937</v>
      </c>
      <c r="J337" s="20">
        <v>1.581689044E9</v>
      </c>
      <c r="K337" s="24"/>
      <c r="L337" s="21">
        <v>-0.5583</v>
      </c>
      <c r="M337" s="16" t="s">
        <v>5505</v>
      </c>
      <c r="N337" s="16" t="s">
        <v>5445</v>
      </c>
      <c r="O337" s="21">
        <v>-128.3047</v>
      </c>
      <c r="P337" s="24"/>
      <c r="Q337" s="24"/>
      <c r="R337" s="21">
        <v>0.064</v>
      </c>
      <c r="S337" s="21">
        <v>0.1282</v>
      </c>
      <c r="T337" s="22">
        <f>IFERROR(__xludf.DUMMYFUNCTION("IFERROR(GOOGLEFINANCE(B337,""price""),"""")"),8.87)</f>
        <v>8.87</v>
      </c>
    </row>
    <row r="338">
      <c r="A338" s="7">
        <v>46057.45429008185</v>
      </c>
      <c r="B338" s="8" t="s">
        <v>5481</v>
      </c>
      <c r="C338" s="8" t="s">
        <v>5482</v>
      </c>
      <c r="D338" s="9">
        <v>46061.0</v>
      </c>
      <c r="E338" s="10">
        <v>10.0501</v>
      </c>
      <c r="F338" s="26">
        <v>1.8398</v>
      </c>
      <c r="G338" s="12">
        <v>1.4469214E7</v>
      </c>
      <c r="H338" s="8" t="s">
        <v>88</v>
      </c>
      <c r="I338" s="11">
        <v>-11.5308</v>
      </c>
      <c r="J338" s="12">
        <v>2.570316677E9</v>
      </c>
      <c r="K338" s="13">
        <v>9.1133</v>
      </c>
      <c r="L338" s="13">
        <v>1.1028</v>
      </c>
      <c r="M338" s="8" t="s">
        <v>5483</v>
      </c>
      <c r="N338" s="8" t="s">
        <v>5471</v>
      </c>
      <c r="O338" s="13">
        <v>18.5197</v>
      </c>
      <c r="P338" s="13">
        <v>-13.9673</v>
      </c>
      <c r="Q338" s="13">
        <v>102.2107</v>
      </c>
      <c r="R338" s="13">
        <v>0.3775</v>
      </c>
      <c r="S338" s="13">
        <v>4.1805</v>
      </c>
      <c r="T338" s="14">
        <f>IFERROR(__xludf.DUMMYFUNCTION("IFERROR(GOOGLEFINANCE(B338,""price""),"""")"),10.02)</f>
        <v>10.02</v>
      </c>
    </row>
    <row r="339">
      <c r="A339" s="15">
        <v>46057.45429008185</v>
      </c>
      <c r="B339" s="16" t="s">
        <v>5607</v>
      </c>
      <c r="C339" s="16" t="s">
        <v>5608</v>
      </c>
      <c r="D339" s="17">
        <v>46061.0</v>
      </c>
      <c r="E339" s="18">
        <v>16.39</v>
      </c>
      <c r="F339" s="27">
        <v>1.8073</v>
      </c>
      <c r="G339" s="20">
        <v>5136663.0</v>
      </c>
      <c r="H339" s="16" t="s">
        <v>308</v>
      </c>
      <c r="I339" s="19">
        <v>-16.4202</v>
      </c>
      <c r="J339" s="20">
        <v>2.953790197E9</v>
      </c>
      <c r="K339" s="24"/>
      <c r="L339" s="21">
        <v>-1.8673</v>
      </c>
      <c r="M339" s="16" t="s">
        <v>5609</v>
      </c>
      <c r="N339" s="16" t="s">
        <v>5520</v>
      </c>
      <c r="O339" s="24"/>
      <c r="P339" s="21">
        <v>-30.7058</v>
      </c>
      <c r="Q339" s="21">
        <v>8.0687</v>
      </c>
      <c r="R339" s="24"/>
      <c r="S339" s="21">
        <v>6.2531</v>
      </c>
      <c r="T339" s="22">
        <f>IFERROR(__xludf.DUMMYFUNCTION("IFERROR(GOOGLEFINANCE(B339,""price""),"""")"),23.57)</f>
        <v>23.57</v>
      </c>
    </row>
    <row r="340">
      <c r="A340" s="7">
        <v>46057.45429008185</v>
      </c>
      <c r="B340" s="8" t="s">
        <v>2300</v>
      </c>
      <c r="C340" s="8" t="s">
        <v>2301</v>
      </c>
      <c r="D340" s="9">
        <v>46061.0</v>
      </c>
      <c r="E340" s="10">
        <v>23.595</v>
      </c>
      <c r="F340" s="26">
        <v>1.6592</v>
      </c>
      <c r="G340" s="12">
        <v>1.2138381E7</v>
      </c>
      <c r="H340" s="8" t="s">
        <v>88</v>
      </c>
      <c r="I340" s="11">
        <v>-0.485</v>
      </c>
      <c r="J340" s="12">
        <v>6.91660917E9</v>
      </c>
      <c r="K340" s="13">
        <v>15.4236</v>
      </c>
      <c r="L340" s="13">
        <v>1.5298</v>
      </c>
      <c r="M340" s="8" t="s">
        <v>2302</v>
      </c>
      <c r="N340" s="8" t="s">
        <v>5429</v>
      </c>
      <c r="O340" s="13">
        <v>32.9115</v>
      </c>
      <c r="P340" s="13">
        <v>3.8913</v>
      </c>
      <c r="Q340" s="13">
        <v>50.905</v>
      </c>
      <c r="R340" s="13">
        <v>0.4455</v>
      </c>
      <c r="S340" s="13">
        <v>1.9333</v>
      </c>
      <c r="T340" s="14">
        <f>IFERROR(__xludf.DUMMYFUNCTION("IFERROR(GOOGLEFINANCE(B340,""price""),"""")"),24.0)</f>
        <v>24</v>
      </c>
    </row>
    <row r="341">
      <c r="A341" s="15">
        <v>46057.45429008185</v>
      </c>
      <c r="B341" s="16" t="s">
        <v>5580</v>
      </c>
      <c r="C341" s="16" t="s">
        <v>5581</v>
      </c>
      <c r="D341" s="17">
        <v>46061.0</v>
      </c>
      <c r="E341" s="18">
        <v>2.415</v>
      </c>
      <c r="F341" s="27">
        <v>1.6094</v>
      </c>
      <c r="G341" s="20">
        <v>9887905.0</v>
      </c>
      <c r="H341" s="16" t="s">
        <v>88</v>
      </c>
      <c r="I341" s="19">
        <v>-7.1154</v>
      </c>
      <c r="J341" s="20">
        <v>9.63168634E8</v>
      </c>
      <c r="K341" s="24"/>
      <c r="L341" s="24"/>
      <c r="M341" s="16" t="s">
        <v>5582</v>
      </c>
      <c r="N341" s="16" t="s">
        <v>5429</v>
      </c>
      <c r="O341" s="24"/>
      <c r="P341" s="24"/>
      <c r="Q341" s="24"/>
      <c r="R341" s="24"/>
      <c r="S341" s="21">
        <v>0.2412</v>
      </c>
      <c r="T341" s="22">
        <f>IFERROR(__xludf.DUMMYFUNCTION("IFERROR(GOOGLEFINANCE(B341,""price""),"""")"),2.38)</f>
        <v>2.38</v>
      </c>
    </row>
    <row r="342">
      <c r="A342" s="7">
        <v>46057.45429008185</v>
      </c>
      <c r="B342" s="8" t="s">
        <v>5558</v>
      </c>
      <c r="C342" s="8" t="s">
        <v>5559</v>
      </c>
      <c r="D342" s="9">
        <v>46061.0</v>
      </c>
      <c r="E342" s="10">
        <v>12.0401</v>
      </c>
      <c r="F342" s="26">
        <v>1.5586</v>
      </c>
      <c r="G342" s="12">
        <v>1.288333E7</v>
      </c>
      <c r="H342" s="8" t="s">
        <v>102</v>
      </c>
      <c r="I342" s="11">
        <v>-16.4172</v>
      </c>
      <c r="J342" s="12">
        <v>3.902174365E9</v>
      </c>
      <c r="K342" s="23"/>
      <c r="L342" s="13">
        <v>-8.3559</v>
      </c>
      <c r="M342" s="8" t="s">
        <v>5560</v>
      </c>
      <c r="N342" s="8" t="s">
        <v>5536</v>
      </c>
      <c r="O342" s="23"/>
      <c r="P342" s="13">
        <v>-351.0117</v>
      </c>
      <c r="Q342" s="13">
        <v>324.0994</v>
      </c>
      <c r="R342" s="23"/>
      <c r="S342" s="13">
        <v>1.8261</v>
      </c>
      <c r="T342" s="14">
        <f>IFERROR(__xludf.DUMMYFUNCTION("IFERROR(GOOGLEFINANCE(B342,""price""),"""")"),5.62)</f>
        <v>5.62</v>
      </c>
    </row>
    <row r="343">
      <c r="A343" s="15">
        <v>46057.45429008185</v>
      </c>
      <c r="B343" s="16" t="s">
        <v>5544</v>
      </c>
      <c r="C343" s="16" t="s">
        <v>5545</v>
      </c>
      <c r="D343" s="17">
        <v>46061.0</v>
      </c>
      <c r="E343" s="18">
        <v>13.29</v>
      </c>
      <c r="F343" s="27">
        <v>1.526</v>
      </c>
      <c r="G343" s="20">
        <v>2.1310351E7</v>
      </c>
      <c r="H343" s="16" t="s">
        <v>88</v>
      </c>
      <c r="I343" s="19">
        <v>-18.2657</v>
      </c>
      <c r="J343" s="20">
        <v>5.250773705E9</v>
      </c>
      <c r="K343" s="24"/>
      <c r="L343" s="21">
        <v>-0.1905</v>
      </c>
      <c r="M343" s="16" t="s">
        <v>5546</v>
      </c>
      <c r="N343" s="16" t="s">
        <v>5471</v>
      </c>
      <c r="O343" s="21">
        <v>-9.6935</v>
      </c>
      <c r="P343" s="21">
        <v>-72.0529</v>
      </c>
      <c r="Q343" s="21">
        <v>35.4099</v>
      </c>
      <c r="R343" s="21">
        <v>1.333</v>
      </c>
      <c r="S343" s="21">
        <v>2.4892</v>
      </c>
      <c r="T343" s="22">
        <f>IFERROR(__xludf.DUMMYFUNCTION("IFERROR(GOOGLEFINANCE(B343,""price""),"""")"),16.53)</f>
        <v>16.53</v>
      </c>
    </row>
    <row r="344">
      <c r="A344" s="7">
        <v>46057.45429008185</v>
      </c>
      <c r="B344" s="8" t="s">
        <v>1077</v>
      </c>
      <c r="C344" s="8" t="s">
        <v>1078</v>
      </c>
      <c r="D344" s="9">
        <v>46061.0</v>
      </c>
      <c r="E344" s="10">
        <v>8.315</v>
      </c>
      <c r="F344" s="26">
        <v>1.5117</v>
      </c>
      <c r="G344" s="12">
        <v>9912471.0</v>
      </c>
      <c r="H344" s="8" t="s">
        <v>335</v>
      </c>
      <c r="I344" s="11">
        <v>-13.8342</v>
      </c>
      <c r="J344" s="12">
        <v>1.164396085E9</v>
      </c>
      <c r="K344" s="23"/>
      <c r="L344" s="13">
        <v>-0.041</v>
      </c>
      <c r="M344" s="8" t="s">
        <v>1079</v>
      </c>
      <c r="N344" s="8" t="s">
        <v>5506</v>
      </c>
      <c r="O344" s="13">
        <v>-10.5913</v>
      </c>
      <c r="P344" s="13">
        <v>-18.9471</v>
      </c>
      <c r="Q344" s="13">
        <v>240.123</v>
      </c>
      <c r="R344" s="13">
        <v>0.0037</v>
      </c>
      <c r="S344" s="13">
        <v>5.0784</v>
      </c>
      <c r="T344" s="14">
        <f>IFERROR(__xludf.DUMMYFUNCTION("IFERROR(GOOGLEFINANCE(B344,""price""),"""")"),8.36)</f>
        <v>8.36</v>
      </c>
    </row>
    <row r="345">
      <c r="A345" s="15">
        <v>46057.45429008185</v>
      </c>
      <c r="B345" s="16" t="s">
        <v>5646</v>
      </c>
      <c r="C345" s="16" t="s">
        <v>5647</v>
      </c>
      <c r="D345" s="17">
        <v>46061.0</v>
      </c>
      <c r="E345" s="18">
        <v>455.43</v>
      </c>
      <c r="F345" s="27">
        <v>1.4671</v>
      </c>
      <c r="G345" s="20">
        <v>6947707.0</v>
      </c>
      <c r="H345" s="16" t="s">
        <v>102</v>
      </c>
      <c r="I345" s="19">
        <v>4.6725</v>
      </c>
      <c r="J345" s="20">
        <v>3.2289988148E10</v>
      </c>
      <c r="K345" s="21">
        <v>139.2837</v>
      </c>
      <c r="L345" s="21">
        <v>3.2698</v>
      </c>
      <c r="M345" s="16" t="s">
        <v>5648</v>
      </c>
      <c r="N345" s="16" t="s">
        <v>5536</v>
      </c>
      <c r="O345" s="21">
        <v>29.2745</v>
      </c>
      <c r="P345" s="21">
        <v>1.1353</v>
      </c>
      <c r="Q345" s="21">
        <v>48.8931</v>
      </c>
      <c r="R345" s="21">
        <v>3.9248</v>
      </c>
      <c r="S345" s="21">
        <v>0.606</v>
      </c>
      <c r="T345" s="22">
        <f>IFERROR(__xludf.DUMMYFUNCTION("IFERROR(GOOGLEFINANCE(B345,""price""),"""")"),897.3)</f>
        <v>897.3</v>
      </c>
    </row>
    <row r="346">
      <c r="A346" s="7">
        <v>46057.45429008185</v>
      </c>
      <c r="B346" s="8" t="s">
        <v>2704</v>
      </c>
      <c r="C346" s="8" t="s">
        <v>2705</v>
      </c>
      <c r="D346" s="9">
        <v>46061.0</v>
      </c>
      <c r="E346" s="10">
        <v>31.505</v>
      </c>
      <c r="F346" s="26">
        <v>1.4661</v>
      </c>
      <c r="G346" s="12">
        <v>1.5416805E7</v>
      </c>
      <c r="H346" s="8" t="s">
        <v>88</v>
      </c>
      <c r="I346" s="11">
        <v>-14.1553</v>
      </c>
      <c r="J346" s="12">
        <v>8.808351299E9</v>
      </c>
      <c r="K346" s="23"/>
      <c r="L346" s="13">
        <v>-0.5438</v>
      </c>
      <c r="M346" s="8" t="s">
        <v>2707</v>
      </c>
      <c r="N346" s="8" t="s">
        <v>5471</v>
      </c>
      <c r="O346" s="13">
        <v>-11.4029</v>
      </c>
      <c r="P346" s="13">
        <v>-26.4624</v>
      </c>
      <c r="Q346" s="13">
        <v>33.135</v>
      </c>
      <c r="R346" s="13">
        <v>1.6778</v>
      </c>
      <c r="S346" s="13">
        <v>4.8227</v>
      </c>
      <c r="T346" s="14">
        <f>IFERROR(__xludf.DUMMYFUNCTION("IFERROR(GOOGLEFINANCE(B346,""price""),"""")"),26.24)</f>
        <v>26.24</v>
      </c>
    </row>
    <row r="347">
      <c r="A347" s="15">
        <v>46057.45429008185</v>
      </c>
      <c r="B347" s="16" t="s">
        <v>5574</v>
      </c>
      <c r="C347" s="16" t="s">
        <v>5575</v>
      </c>
      <c r="D347" s="17">
        <v>46061.0</v>
      </c>
      <c r="E347" s="18">
        <v>20.69</v>
      </c>
      <c r="F347" s="27">
        <v>1.4514</v>
      </c>
      <c r="G347" s="20">
        <v>8380374.0</v>
      </c>
      <c r="H347" s="16" t="s">
        <v>335</v>
      </c>
      <c r="I347" s="19">
        <v>-15.6543</v>
      </c>
      <c r="J347" s="20">
        <v>4.909463169E9</v>
      </c>
      <c r="K347" s="24"/>
      <c r="L347" s="21">
        <v>-0.4849</v>
      </c>
      <c r="M347" s="16" t="s">
        <v>5576</v>
      </c>
      <c r="N347" s="16" t="s">
        <v>5506</v>
      </c>
      <c r="O347" s="21">
        <v>-18.1731</v>
      </c>
      <c r="P347" s="21">
        <v>-129.5586</v>
      </c>
      <c r="Q347" s="21">
        <v>103.694</v>
      </c>
      <c r="R347" s="21">
        <v>0.0</v>
      </c>
      <c r="S347" s="21">
        <v>11.4962</v>
      </c>
      <c r="T347" s="22">
        <f>IFERROR(__xludf.DUMMYFUNCTION("IFERROR(GOOGLEFINANCE(B347,""price""),"""")"),18.4)</f>
        <v>18.4</v>
      </c>
    </row>
    <row r="348">
      <c r="A348" s="7">
        <v>46057.45429008185</v>
      </c>
      <c r="B348" s="8" t="s">
        <v>5527</v>
      </c>
      <c r="C348" s="8" t="s">
        <v>5528</v>
      </c>
      <c r="D348" s="9">
        <v>46061.0</v>
      </c>
      <c r="E348" s="10">
        <v>12.29</v>
      </c>
      <c r="F348" s="26">
        <v>1.4111</v>
      </c>
      <c r="G348" s="12">
        <v>5944284.0</v>
      </c>
      <c r="H348" s="8" t="s">
        <v>88</v>
      </c>
      <c r="I348" s="11">
        <v>-13.7544</v>
      </c>
      <c r="J348" s="12">
        <v>1.467071305E9</v>
      </c>
      <c r="K348" s="23"/>
      <c r="L348" s="23"/>
      <c r="M348" s="8" t="s">
        <v>5529</v>
      </c>
      <c r="N348" s="8" t="s">
        <v>5429</v>
      </c>
      <c r="O348" s="23"/>
      <c r="P348" s="23"/>
      <c r="Q348" s="23"/>
      <c r="R348" s="13">
        <v>0.0885</v>
      </c>
      <c r="S348" s="13">
        <v>10.416</v>
      </c>
      <c r="T348" s="14">
        <f>IFERROR(__xludf.DUMMYFUNCTION("IFERROR(GOOGLEFINANCE(B348,""price""),"""")"),12.37)</f>
        <v>12.37</v>
      </c>
    </row>
    <row r="349">
      <c r="A349" s="15">
        <v>46057.45429008185</v>
      </c>
      <c r="B349" s="16" t="s">
        <v>5691</v>
      </c>
      <c r="C349" s="16" t="s">
        <v>5692</v>
      </c>
      <c r="D349" s="17">
        <v>46061.0</v>
      </c>
      <c r="E349" s="18">
        <v>6.775</v>
      </c>
      <c r="F349" s="27">
        <v>1.3828</v>
      </c>
      <c r="G349" s="20">
        <v>1.777833E7</v>
      </c>
      <c r="H349" s="16" t="s">
        <v>873</v>
      </c>
      <c r="I349" s="19">
        <v>-19.9173</v>
      </c>
      <c r="J349" s="20">
        <v>6.948736768E9</v>
      </c>
      <c r="K349" s="24"/>
      <c r="L349" s="21">
        <v>-1.7483</v>
      </c>
      <c r="M349" s="16" t="s">
        <v>5693</v>
      </c>
      <c r="N349" s="16" t="s">
        <v>5694</v>
      </c>
      <c r="O349" s="24"/>
      <c r="P349" s="21">
        <v>-1.4836</v>
      </c>
      <c r="Q349" s="21">
        <v>-5.386</v>
      </c>
      <c r="R349" s="24"/>
      <c r="S349" s="21">
        <v>1.8016</v>
      </c>
      <c r="T349" s="22">
        <f>IFERROR(__xludf.DUMMYFUNCTION("IFERROR(GOOGLEFINANCE(B349,""price""),"""")"),7.44)</f>
        <v>7.44</v>
      </c>
    </row>
    <row r="350">
      <c r="A350" s="7">
        <v>46057.45429008185</v>
      </c>
      <c r="B350" s="8" t="s">
        <v>5594</v>
      </c>
      <c r="C350" s="8" t="s">
        <v>5595</v>
      </c>
      <c r="D350" s="9">
        <v>46061.0</v>
      </c>
      <c r="E350" s="10">
        <v>12.52</v>
      </c>
      <c r="F350" s="26">
        <v>1.3763</v>
      </c>
      <c r="G350" s="12">
        <v>2.1421674E7</v>
      </c>
      <c r="H350" s="8" t="s">
        <v>88</v>
      </c>
      <c r="I350" s="11">
        <v>-15.4054</v>
      </c>
      <c r="J350" s="12">
        <v>5.241897264E9</v>
      </c>
      <c r="K350" s="23"/>
      <c r="L350" s="13">
        <v>-1.4167</v>
      </c>
      <c r="M350" s="8" t="s">
        <v>5596</v>
      </c>
      <c r="N350" s="8" t="s">
        <v>5471</v>
      </c>
      <c r="O350" s="13">
        <v>-181.9547</v>
      </c>
      <c r="P350" s="13">
        <v>-69.885</v>
      </c>
      <c r="Q350" s="13">
        <v>30.5825</v>
      </c>
      <c r="R350" s="13">
        <v>4.3877</v>
      </c>
      <c r="S350" s="13">
        <v>1.0329</v>
      </c>
      <c r="T350" s="14">
        <f>IFERROR(__xludf.DUMMYFUNCTION("IFERROR(GOOGLEFINANCE(B350,""price""),"""")"),18.88)</f>
        <v>18.88</v>
      </c>
    </row>
    <row r="351">
      <c r="A351" s="15">
        <v>46057.45429008185</v>
      </c>
      <c r="B351" s="16" t="s">
        <v>5422</v>
      </c>
      <c r="C351" s="16" t="s">
        <v>5423</v>
      </c>
      <c r="D351" s="17">
        <v>46061.0</v>
      </c>
      <c r="E351" s="18">
        <v>22.8401</v>
      </c>
      <c r="F351" s="27">
        <v>1.3674</v>
      </c>
      <c r="G351" s="20">
        <v>2.0754004E7</v>
      </c>
      <c r="H351" s="16" t="s">
        <v>102</v>
      </c>
      <c r="I351" s="19">
        <v>-12.052</v>
      </c>
      <c r="J351" s="20">
        <v>4.977564998E9</v>
      </c>
      <c r="K351" s="24"/>
      <c r="L351" s="21">
        <v>-2.5128</v>
      </c>
      <c r="M351" s="16" t="s">
        <v>5424</v>
      </c>
      <c r="N351" s="16" t="s">
        <v>5425</v>
      </c>
      <c r="O351" s="21">
        <v>-255.9098</v>
      </c>
      <c r="P351" s="24"/>
      <c r="Q351" s="24"/>
      <c r="R351" s="24"/>
      <c r="S351" s="21">
        <v>16.5111</v>
      </c>
      <c r="T351" s="22">
        <f>IFERROR(__xludf.DUMMYFUNCTION("IFERROR(GOOGLEFINANCE(B351,""price""),"""")"),16.15)</f>
        <v>16.15</v>
      </c>
    </row>
    <row r="352">
      <c r="A352" s="7">
        <v>46057.45429008185</v>
      </c>
      <c r="B352" s="8" t="s">
        <v>5561</v>
      </c>
      <c r="C352" s="8" t="s">
        <v>5562</v>
      </c>
      <c r="D352" s="9">
        <v>46061.0</v>
      </c>
      <c r="E352" s="10">
        <v>15.8314</v>
      </c>
      <c r="F352" s="26">
        <v>1.3288</v>
      </c>
      <c r="G352" s="12">
        <v>1.148775E7</v>
      </c>
      <c r="H352" s="8" t="s">
        <v>102</v>
      </c>
      <c r="I352" s="11">
        <v>-11.4575</v>
      </c>
      <c r="J352" s="12">
        <v>4.792553601E9</v>
      </c>
      <c r="K352" s="23"/>
      <c r="L352" s="13">
        <v>-2.8582</v>
      </c>
      <c r="M352" s="8" t="s">
        <v>5563</v>
      </c>
      <c r="N352" s="8" t="s">
        <v>5536</v>
      </c>
      <c r="O352" s="13">
        <v>-76.8505</v>
      </c>
      <c r="P352" s="13">
        <v>-983.9643</v>
      </c>
      <c r="Q352" s="13">
        <v>765.6686</v>
      </c>
      <c r="R352" s="13">
        <v>0.0</v>
      </c>
      <c r="S352" s="13">
        <v>1.6153</v>
      </c>
      <c r="T352" s="14">
        <f>IFERROR(__xludf.DUMMYFUNCTION("IFERROR(GOOGLEFINANCE(B352,""price""),"""")"),9.21)</f>
        <v>9.21</v>
      </c>
    </row>
    <row r="353">
      <c r="A353" s="15">
        <v>46057.45429008185</v>
      </c>
      <c r="B353" s="16" t="s">
        <v>5554</v>
      </c>
      <c r="C353" s="16" t="s">
        <v>5555</v>
      </c>
      <c r="D353" s="17">
        <v>46061.0</v>
      </c>
      <c r="E353" s="18">
        <v>100.115</v>
      </c>
      <c r="F353" s="27">
        <v>1.3245</v>
      </c>
      <c r="G353" s="20">
        <v>7927628.0</v>
      </c>
      <c r="H353" s="16" t="s">
        <v>873</v>
      </c>
      <c r="I353" s="19">
        <v>-13.515</v>
      </c>
      <c r="J353" s="20">
        <v>3.6782381357E10</v>
      </c>
      <c r="K353" s="24"/>
      <c r="L353" s="21">
        <v>-1.2452</v>
      </c>
      <c r="M353" s="16" t="s">
        <v>5556</v>
      </c>
      <c r="N353" s="16" t="s">
        <v>5557</v>
      </c>
      <c r="O353" s="21">
        <v>-39.2195</v>
      </c>
      <c r="P353" s="21">
        <v>-1479.4668</v>
      </c>
      <c r="Q353" s="21">
        <v>641.24</v>
      </c>
      <c r="R353" s="21">
        <v>0.5824</v>
      </c>
      <c r="S353" s="21">
        <v>9.5602</v>
      </c>
      <c r="T353" s="22">
        <f>IFERROR(__xludf.DUMMYFUNCTION("IFERROR(GOOGLEFINANCE(B353,""price""),"""")"),94.9)</f>
        <v>94.9</v>
      </c>
    </row>
    <row r="354">
      <c r="A354" s="7">
        <v>46057.45429008185</v>
      </c>
      <c r="B354" s="8" t="s">
        <v>4884</v>
      </c>
      <c r="C354" s="8" t="s">
        <v>4885</v>
      </c>
      <c r="D354" s="9">
        <v>46061.0</v>
      </c>
      <c r="E354" s="10">
        <v>16.27</v>
      </c>
      <c r="F354" s="26">
        <v>1.32</v>
      </c>
      <c r="G354" s="12">
        <v>5470907.0</v>
      </c>
      <c r="H354" s="8" t="s">
        <v>88</v>
      </c>
      <c r="I354" s="11">
        <v>-8.2864</v>
      </c>
      <c r="J354" s="12">
        <v>5.044697445E9</v>
      </c>
      <c r="K354" s="13">
        <v>116.7983</v>
      </c>
      <c r="L354" s="13">
        <v>0.1393</v>
      </c>
      <c r="M354" s="8" t="s">
        <v>4886</v>
      </c>
      <c r="N354" s="8" t="s">
        <v>5471</v>
      </c>
      <c r="O354" s="23"/>
      <c r="P354" s="13">
        <v>-56.2854</v>
      </c>
      <c r="Q354" s="13">
        <v>-40.0761</v>
      </c>
      <c r="R354" s="23"/>
      <c r="S354" s="13">
        <v>1.584</v>
      </c>
      <c r="T354" s="14">
        <f>IFERROR(__xludf.DUMMYFUNCTION("IFERROR(GOOGLEFINANCE(B354,""price""),"""")"),18.32)</f>
        <v>18.32</v>
      </c>
    </row>
    <row r="355">
      <c r="A355" s="15">
        <v>46057.45429008185</v>
      </c>
      <c r="B355" s="16" t="s">
        <v>5591</v>
      </c>
      <c r="C355" s="16" t="s">
        <v>5592</v>
      </c>
      <c r="D355" s="17">
        <v>46061.0</v>
      </c>
      <c r="E355" s="18">
        <v>8.045</v>
      </c>
      <c r="F355" s="27">
        <v>1.3164</v>
      </c>
      <c r="G355" s="20">
        <v>9516908.0</v>
      </c>
      <c r="H355" s="16" t="s">
        <v>308</v>
      </c>
      <c r="I355" s="19">
        <v>-11.105</v>
      </c>
      <c r="J355" s="20">
        <v>1.85434185E9</v>
      </c>
      <c r="K355" s="24"/>
      <c r="L355" s="21">
        <v>-0.6396</v>
      </c>
      <c r="M355" s="16" t="s">
        <v>5593</v>
      </c>
      <c r="N355" s="16" t="s">
        <v>5414</v>
      </c>
      <c r="O355" s="21">
        <v>-33.2524</v>
      </c>
      <c r="P355" s="21">
        <v>-181.4004</v>
      </c>
      <c r="Q355" s="21">
        <v>-38.0644</v>
      </c>
      <c r="R355" s="21">
        <v>0.0241</v>
      </c>
      <c r="S355" s="21">
        <v>7.9353</v>
      </c>
      <c r="T355" s="22">
        <f>IFERROR(__xludf.DUMMYFUNCTION("IFERROR(GOOGLEFINANCE(B355,""price""),"""")"),9.54)</f>
        <v>9.54</v>
      </c>
    </row>
    <row r="356">
      <c r="A356" s="7">
        <v>46057.45429008185</v>
      </c>
      <c r="B356" s="8" t="s">
        <v>5434</v>
      </c>
      <c r="C356" s="8" t="s">
        <v>5435</v>
      </c>
      <c r="D356" s="9">
        <v>46061.0</v>
      </c>
      <c r="E356" s="10">
        <v>9.655</v>
      </c>
      <c r="F356" s="26">
        <v>1.3154</v>
      </c>
      <c r="G356" s="12">
        <v>5.5656444E7</v>
      </c>
      <c r="H356" s="8" t="s">
        <v>308</v>
      </c>
      <c r="I356" s="11">
        <v>-15.1582</v>
      </c>
      <c r="J356" s="12">
        <v>4.079976221E9</v>
      </c>
      <c r="K356" s="23"/>
      <c r="L356" s="13">
        <v>-0.4034</v>
      </c>
      <c r="M356" s="8" t="s">
        <v>5436</v>
      </c>
      <c r="N356" s="8" t="s">
        <v>5437</v>
      </c>
      <c r="O356" s="13">
        <v>-17.0422</v>
      </c>
      <c r="P356" s="13">
        <v>-176.0921</v>
      </c>
      <c r="Q356" s="13">
        <v>208.4002</v>
      </c>
      <c r="R356" s="13">
        <v>0.037</v>
      </c>
      <c r="S356" s="13">
        <v>15.2957</v>
      </c>
      <c r="T356" s="14">
        <f>IFERROR(__xludf.DUMMYFUNCTION("IFERROR(GOOGLEFINANCE(B356,""price""),"""")"),9.13)</f>
        <v>9.13</v>
      </c>
    </row>
    <row r="357">
      <c r="A357" s="15">
        <v>46057.45429008185</v>
      </c>
      <c r="B357" s="16" t="s">
        <v>5514</v>
      </c>
      <c r="C357" s="16" t="s">
        <v>5515</v>
      </c>
      <c r="D357" s="17">
        <v>46061.0</v>
      </c>
      <c r="E357" s="18">
        <v>6.05</v>
      </c>
      <c r="F357" s="27">
        <v>1.3066</v>
      </c>
      <c r="G357" s="20">
        <v>9039241.0</v>
      </c>
      <c r="H357" s="16" t="s">
        <v>117</v>
      </c>
      <c r="I357" s="19">
        <v>-4.4234</v>
      </c>
      <c r="J357" s="20">
        <v>5.959039449E9</v>
      </c>
      <c r="K357" s="24"/>
      <c r="L357" s="21">
        <v>-0.4205</v>
      </c>
      <c r="M357" s="16" t="s">
        <v>5516</v>
      </c>
      <c r="N357" s="16" t="s">
        <v>5491</v>
      </c>
      <c r="O357" s="24"/>
      <c r="P357" s="21">
        <v>-315.8428</v>
      </c>
      <c r="Q357" s="21">
        <v>1025.9547</v>
      </c>
      <c r="R357" s="24"/>
      <c r="S357" s="21">
        <v>5.7671</v>
      </c>
      <c r="T357" s="22">
        <f>IFERROR(__xludf.DUMMYFUNCTION("IFERROR(GOOGLEFINANCE(B357,""price""),"""")"),7.28)</f>
        <v>7.28</v>
      </c>
    </row>
    <row r="358">
      <c r="A358" s="7">
        <v>46057.45429008185</v>
      </c>
      <c r="B358" s="8" t="s">
        <v>5537</v>
      </c>
      <c r="C358" s="8" t="s">
        <v>5538</v>
      </c>
      <c r="D358" s="9">
        <v>46061.0</v>
      </c>
      <c r="E358" s="10">
        <v>3.4219</v>
      </c>
      <c r="F358" s="26">
        <v>1.3047</v>
      </c>
      <c r="G358" s="12">
        <v>1.173992E7</v>
      </c>
      <c r="H358" s="8" t="s">
        <v>112</v>
      </c>
      <c r="I358" s="11">
        <v>-7.5162</v>
      </c>
      <c r="J358" s="12">
        <v>7.36036887E8</v>
      </c>
      <c r="K358" s="23"/>
      <c r="L358" s="13">
        <v>-0.1295</v>
      </c>
      <c r="M358" s="8" t="s">
        <v>5539</v>
      </c>
      <c r="N358" s="8" t="s">
        <v>5540</v>
      </c>
      <c r="O358" s="13">
        <v>-10.1055</v>
      </c>
      <c r="P358" s="13">
        <v>-355.6789</v>
      </c>
      <c r="Q358" s="13">
        <v>19.0139</v>
      </c>
      <c r="R358" s="13">
        <v>0.0027</v>
      </c>
      <c r="S358" s="13">
        <v>107.4542</v>
      </c>
      <c r="T358" s="14">
        <f>IFERROR(__xludf.DUMMYFUNCTION("IFERROR(GOOGLEFINANCE(B358,""price""),"""")"),2.01)</f>
        <v>2.01</v>
      </c>
    </row>
    <row r="359">
      <c r="A359" s="15">
        <v>46057.45429008185</v>
      </c>
      <c r="B359" s="16" t="s">
        <v>5722</v>
      </c>
      <c r="C359" s="16" t="s">
        <v>5723</v>
      </c>
      <c r="D359" s="17">
        <v>46061.0</v>
      </c>
      <c r="E359" s="18">
        <v>66.67</v>
      </c>
      <c r="F359" s="27">
        <v>1.2977</v>
      </c>
      <c r="G359" s="20">
        <v>6771900.0</v>
      </c>
      <c r="H359" s="16" t="s">
        <v>102</v>
      </c>
      <c r="I359" s="19">
        <v>-14.5256</v>
      </c>
      <c r="J359" s="20">
        <v>1.0416993195E10</v>
      </c>
      <c r="K359" s="24"/>
      <c r="L359" s="21">
        <v>-0.5196</v>
      </c>
      <c r="M359" s="16" t="s">
        <v>5724</v>
      </c>
      <c r="N359" s="16" t="s">
        <v>5632</v>
      </c>
      <c r="O359" s="21">
        <v>-10.1447</v>
      </c>
      <c r="P359" s="24"/>
      <c r="Q359" s="24"/>
      <c r="R359" s="21">
        <v>0.0016</v>
      </c>
      <c r="S359" s="21">
        <v>67.5055</v>
      </c>
      <c r="T359" s="22">
        <f>IFERROR(__xludf.DUMMYFUNCTION("IFERROR(GOOGLEFINANCE(B359,""price""),"""")"),50.25)</f>
        <v>50.25</v>
      </c>
    </row>
    <row r="360">
      <c r="A360" s="7">
        <v>46057.45429008185</v>
      </c>
      <c r="B360" s="8" t="s">
        <v>5533</v>
      </c>
      <c r="C360" s="8" t="s">
        <v>5534</v>
      </c>
      <c r="D360" s="9">
        <v>46061.0</v>
      </c>
      <c r="E360" s="10">
        <v>7.6018</v>
      </c>
      <c r="F360" s="26">
        <v>1.293</v>
      </c>
      <c r="G360" s="12">
        <v>1.3798266E7</v>
      </c>
      <c r="H360" s="8" t="s">
        <v>102</v>
      </c>
      <c r="I360" s="11">
        <v>-16.3718</v>
      </c>
      <c r="J360" s="12">
        <v>2.056840459E9</v>
      </c>
      <c r="K360" s="23"/>
      <c r="L360" s="13">
        <v>-3.7839</v>
      </c>
      <c r="M360" s="8" t="s">
        <v>5535</v>
      </c>
      <c r="N360" s="8" t="s">
        <v>5536</v>
      </c>
      <c r="O360" s="13">
        <v>-55.984</v>
      </c>
      <c r="P360" s="13">
        <v>-31.1477</v>
      </c>
      <c r="Q360" s="23"/>
      <c r="R360" s="13">
        <v>4.5088</v>
      </c>
      <c r="S360" s="13">
        <v>1.1293</v>
      </c>
      <c r="T360" s="14">
        <f>IFERROR(__xludf.DUMMYFUNCTION("IFERROR(GOOGLEFINANCE(B360,""price""),"""")"),4.69)</f>
        <v>4.69</v>
      </c>
    </row>
    <row r="361">
      <c r="A361" s="15">
        <v>46057.45429008185</v>
      </c>
      <c r="B361" s="16" t="s">
        <v>5637</v>
      </c>
      <c r="C361" s="16" t="s">
        <v>5638</v>
      </c>
      <c r="D361" s="17">
        <v>46061.0</v>
      </c>
      <c r="E361" s="18">
        <v>24.29</v>
      </c>
      <c r="F361" s="27">
        <v>1.2734</v>
      </c>
      <c r="G361" s="20">
        <v>1.6194202E7</v>
      </c>
      <c r="H361" s="16" t="s">
        <v>88</v>
      </c>
      <c r="I361" s="19">
        <v>-6.1075</v>
      </c>
      <c r="J361" s="20">
        <v>1.0394003264E10</v>
      </c>
      <c r="K361" s="24"/>
      <c r="L361" s="21">
        <v>-1.0498</v>
      </c>
      <c r="M361" s="16" t="s">
        <v>5639</v>
      </c>
      <c r="N361" s="16" t="s">
        <v>5429</v>
      </c>
      <c r="O361" s="21">
        <v>-13.6376</v>
      </c>
      <c r="P361" s="21">
        <v>-25.3215</v>
      </c>
      <c r="Q361" s="21">
        <v>-8.2306</v>
      </c>
      <c r="R361" s="21">
        <v>0.7272</v>
      </c>
      <c r="S361" s="21">
        <v>2.7772</v>
      </c>
      <c r="T361" s="22">
        <f>IFERROR(__xludf.DUMMYFUNCTION("IFERROR(GOOGLEFINANCE(B361,""price""),"""")"),21.62)</f>
        <v>21.62</v>
      </c>
    </row>
    <row r="362">
      <c r="A362" s="7">
        <v>46057.626627233214</v>
      </c>
      <c r="B362" s="8" t="s">
        <v>5567</v>
      </c>
      <c r="C362" s="8" t="s">
        <v>5568</v>
      </c>
      <c r="D362" s="9">
        <v>46061.0</v>
      </c>
      <c r="E362" s="10">
        <v>147.15</v>
      </c>
      <c r="F362" s="26">
        <v>2.4616</v>
      </c>
      <c r="G362" s="12">
        <v>1.5754601E7</v>
      </c>
      <c r="H362" s="8" t="s">
        <v>308</v>
      </c>
      <c r="I362" s="11">
        <v>-12.8723</v>
      </c>
      <c r="J362" s="12">
        <v>3.4802557833E10</v>
      </c>
      <c r="K362" s="23"/>
      <c r="L362" s="13">
        <v>-0.0291</v>
      </c>
      <c r="M362" s="8" t="s">
        <v>5569</v>
      </c>
      <c r="N362" s="8" t="s">
        <v>5433</v>
      </c>
      <c r="O362" s="13">
        <v>2.8171</v>
      </c>
      <c r="P362" s="13">
        <v>7.0245</v>
      </c>
      <c r="Q362" s="13">
        <v>44.5274</v>
      </c>
      <c r="R362" s="13">
        <v>2.3214</v>
      </c>
      <c r="S362" s="13">
        <v>4.34</v>
      </c>
      <c r="T362" s="14">
        <f>IFERROR(__xludf.DUMMYFUNCTION("IFERROR(GOOGLEFINANCE(B362,""price""),"""")"),166.7)</f>
        <v>166.7</v>
      </c>
    </row>
    <row r="363">
      <c r="A363" s="15">
        <v>46057.626627233214</v>
      </c>
      <c r="B363" s="16" t="s">
        <v>5484</v>
      </c>
      <c r="C363" s="16" t="s">
        <v>5485</v>
      </c>
      <c r="D363" s="17">
        <v>46061.0</v>
      </c>
      <c r="E363" s="18">
        <v>45.28</v>
      </c>
      <c r="F363" s="27">
        <v>2.4469</v>
      </c>
      <c r="G363" s="20">
        <v>5.7197153E7</v>
      </c>
      <c r="H363" s="16" t="s">
        <v>88</v>
      </c>
      <c r="I363" s="19">
        <v>-16.7494</v>
      </c>
      <c r="J363" s="20">
        <v>1.482917367E10</v>
      </c>
      <c r="K363" s="21">
        <v>23.0867</v>
      </c>
      <c r="L363" s="21">
        <v>1.9613</v>
      </c>
      <c r="M363" s="16" t="s">
        <v>5486</v>
      </c>
      <c r="N363" s="16" t="s">
        <v>5471</v>
      </c>
      <c r="O363" s="21">
        <v>30.1877</v>
      </c>
      <c r="P363" s="21">
        <v>-0.3959</v>
      </c>
      <c r="Q363" s="21">
        <v>236.1371</v>
      </c>
      <c r="R363" s="21">
        <v>0.3357</v>
      </c>
      <c r="S363" s="21">
        <v>5.5164</v>
      </c>
      <c r="T363" s="22">
        <f>IFERROR(__xludf.DUMMYFUNCTION("IFERROR(GOOGLEFINANCE(B363,""price""),"""")"),39.32)</f>
        <v>39.32</v>
      </c>
    </row>
    <row r="364">
      <c r="A364" s="7">
        <v>46057.626627233214</v>
      </c>
      <c r="B364" s="8" t="s">
        <v>5688</v>
      </c>
      <c r="C364" s="8" t="s">
        <v>5689</v>
      </c>
      <c r="D364" s="9">
        <v>46061.0</v>
      </c>
      <c r="E364" s="10">
        <v>5.975</v>
      </c>
      <c r="F364" s="26">
        <v>2.2852</v>
      </c>
      <c r="G364" s="12">
        <v>6.7728557E7</v>
      </c>
      <c r="H364" s="8" t="s">
        <v>88</v>
      </c>
      <c r="I364" s="11">
        <v>-2.0492</v>
      </c>
      <c r="J364" s="12">
        <v>1.0273167857E10</v>
      </c>
      <c r="K364" s="23"/>
      <c r="L364" s="13">
        <v>-0.2948</v>
      </c>
      <c r="M364" s="8" t="s">
        <v>5690</v>
      </c>
      <c r="N364" s="8" t="s">
        <v>5429</v>
      </c>
      <c r="O364" s="13">
        <v>-22.3822</v>
      </c>
      <c r="P364" s="13">
        <v>-10.5463</v>
      </c>
      <c r="Q364" s="13">
        <v>11.7487</v>
      </c>
      <c r="R364" s="13">
        <v>1.8648</v>
      </c>
      <c r="S364" s="13">
        <v>3.6673</v>
      </c>
      <c r="T364" s="14">
        <f>IFERROR(__xludf.DUMMYFUNCTION("IFERROR(GOOGLEFINANCE(B364,""price""),"""")"),4.82)</f>
        <v>4.82</v>
      </c>
    </row>
    <row r="365">
      <c r="A365" s="15">
        <v>46057.626627233214</v>
      </c>
      <c r="B365" s="16" t="s">
        <v>5685</v>
      </c>
      <c r="C365" s="16" t="s">
        <v>5686</v>
      </c>
      <c r="D365" s="17">
        <v>46061.0</v>
      </c>
      <c r="E365" s="18">
        <v>63.95</v>
      </c>
      <c r="F365" s="27">
        <v>2.0907</v>
      </c>
      <c r="G365" s="20">
        <v>1.120775E7</v>
      </c>
      <c r="H365" s="16" t="s">
        <v>88</v>
      </c>
      <c r="I365" s="19">
        <v>-2.2171</v>
      </c>
      <c r="J365" s="20">
        <v>4.4888107451E10</v>
      </c>
      <c r="K365" s="24"/>
      <c r="L365" s="21">
        <v>-1.4255</v>
      </c>
      <c r="M365" s="16" t="s">
        <v>5687</v>
      </c>
      <c r="N365" s="16" t="s">
        <v>5429</v>
      </c>
      <c r="O365" s="21">
        <v>-324.2417</v>
      </c>
      <c r="P365" s="21">
        <v>-25.0423</v>
      </c>
      <c r="Q365" s="21">
        <v>32.7011</v>
      </c>
      <c r="R365" s="21">
        <v>4.329</v>
      </c>
      <c r="S365" s="21">
        <v>0.7926</v>
      </c>
      <c r="T365" s="22">
        <f>IFERROR(__xludf.DUMMYFUNCTION("IFERROR(GOOGLEFINANCE(B365,""price""),"""")"),55.59)</f>
        <v>55.59</v>
      </c>
    </row>
    <row r="366">
      <c r="A366" s="7">
        <v>46057.626627233214</v>
      </c>
      <c r="B366" s="8" t="s">
        <v>2650</v>
      </c>
      <c r="C366" s="8" t="s">
        <v>2651</v>
      </c>
      <c r="D366" s="9">
        <v>46061.0</v>
      </c>
      <c r="E366" s="10">
        <v>211.03</v>
      </c>
      <c r="F366" s="26">
        <v>1.9746</v>
      </c>
      <c r="G366" s="12">
        <v>1.0690696E7</v>
      </c>
      <c r="H366" s="8" t="s">
        <v>308</v>
      </c>
      <c r="I366" s="11">
        <v>-7.9195</v>
      </c>
      <c r="J366" s="12">
        <v>3.3164125307E10</v>
      </c>
      <c r="K366" s="13">
        <v>304.1216</v>
      </c>
      <c r="L366" s="13">
        <v>0.6939</v>
      </c>
      <c r="M366" s="8" t="s">
        <v>2653</v>
      </c>
      <c r="N366" s="8" t="s">
        <v>5414</v>
      </c>
      <c r="O366" s="13">
        <v>3.0782</v>
      </c>
      <c r="P366" s="13">
        <v>11.161</v>
      </c>
      <c r="Q366" s="13">
        <v>20.7993</v>
      </c>
      <c r="R366" s="13">
        <v>0.4206</v>
      </c>
      <c r="S366" s="13">
        <v>2.3283</v>
      </c>
      <c r="T366" s="14">
        <f>IFERROR(__xludf.DUMMYFUNCTION("IFERROR(GOOGLEFINANCE(B366,""price""),"""")"),307.5)</f>
        <v>307.5</v>
      </c>
    </row>
    <row r="367">
      <c r="A367" s="15">
        <v>46057.626627233214</v>
      </c>
      <c r="B367" s="16" t="s">
        <v>5695</v>
      </c>
      <c r="C367" s="16" t="s">
        <v>5696</v>
      </c>
      <c r="D367" s="17">
        <v>46061.0</v>
      </c>
      <c r="E367" s="18">
        <v>5.955</v>
      </c>
      <c r="F367" s="27">
        <v>1.957</v>
      </c>
      <c r="G367" s="20">
        <v>1.3130526E7</v>
      </c>
      <c r="H367" s="16" t="s">
        <v>149</v>
      </c>
      <c r="I367" s="19">
        <v>4.1084</v>
      </c>
      <c r="J367" s="20">
        <v>2.488037503E9</v>
      </c>
      <c r="K367" s="24"/>
      <c r="L367" s="21">
        <v>-0.2742</v>
      </c>
      <c r="M367" s="16" t="s">
        <v>5697</v>
      </c>
      <c r="N367" s="16" t="s">
        <v>5698</v>
      </c>
      <c r="O367" s="24"/>
      <c r="P367" s="21">
        <v>3.8769</v>
      </c>
      <c r="Q367" s="21">
        <v>-8.7443</v>
      </c>
      <c r="R367" s="24"/>
      <c r="S367" s="21">
        <v>1.902</v>
      </c>
      <c r="T367" s="22">
        <f>IFERROR(__xludf.DUMMYFUNCTION("IFERROR(GOOGLEFINANCE(B367,""price""),"""")"),4.62)</f>
        <v>4.62</v>
      </c>
    </row>
    <row r="368">
      <c r="A368" s="7">
        <v>46057.626627233214</v>
      </c>
      <c r="B368" s="8" t="s">
        <v>5481</v>
      </c>
      <c r="C368" s="8" t="s">
        <v>5482</v>
      </c>
      <c r="D368" s="9">
        <v>46061.0</v>
      </c>
      <c r="E368" s="10">
        <v>10.1801</v>
      </c>
      <c r="F368" s="26">
        <v>1.8047</v>
      </c>
      <c r="G368" s="12">
        <v>2.8864617E7</v>
      </c>
      <c r="H368" s="8" t="s">
        <v>88</v>
      </c>
      <c r="I368" s="11">
        <v>-10.3864</v>
      </c>
      <c r="J368" s="12">
        <v>2.603564224E9</v>
      </c>
      <c r="K368" s="13">
        <v>9.2311</v>
      </c>
      <c r="L368" s="13">
        <v>1.1028</v>
      </c>
      <c r="M368" s="8" t="s">
        <v>5483</v>
      </c>
      <c r="N368" s="8" t="s">
        <v>5471</v>
      </c>
      <c r="O368" s="13">
        <v>18.5197</v>
      </c>
      <c r="P368" s="13">
        <v>-13.9673</v>
      </c>
      <c r="Q368" s="13">
        <v>102.2107</v>
      </c>
      <c r="R368" s="13">
        <v>0.3775</v>
      </c>
      <c r="S368" s="13">
        <v>4.1805</v>
      </c>
      <c r="T368" s="14">
        <f>IFERROR(__xludf.DUMMYFUNCTION("IFERROR(GOOGLEFINANCE(B368,""price""),"""")"),10.02)</f>
        <v>10.02</v>
      </c>
    </row>
    <row r="369">
      <c r="A369" s="15">
        <v>46057.626627233214</v>
      </c>
      <c r="B369" s="16" t="s">
        <v>5503</v>
      </c>
      <c r="C369" s="16" t="s">
        <v>5504</v>
      </c>
      <c r="D369" s="17">
        <v>46061.0</v>
      </c>
      <c r="E369" s="18">
        <v>12.898</v>
      </c>
      <c r="F369" s="27">
        <v>1.7096</v>
      </c>
      <c r="G369" s="20">
        <v>1.6942088E7</v>
      </c>
      <c r="H369" s="16" t="s">
        <v>335</v>
      </c>
      <c r="I369" s="19">
        <v>-14.8085</v>
      </c>
      <c r="J369" s="20">
        <v>1.520732411E9</v>
      </c>
      <c r="K369" s="24"/>
      <c r="L369" s="21">
        <v>-0.5583</v>
      </c>
      <c r="M369" s="16" t="s">
        <v>5505</v>
      </c>
      <c r="N369" s="16" t="s">
        <v>5445</v>
      </c>
      <c r="O369" s="21">
        <v>-128.3047</v>
      </c>
      <c r="P369" s="24"/>
      <c r="Q369" s="24"/>
      <c r="R369" s="21">
        <v>0.064</v>
      </c>
      <c r="S369" s="21">
        <v>0.1282</v>
      </c>
      <c r="T369" s="22">
        <f>IFERROR(__xludf.DUMMYFUNCTION("IFERROR(GOOGLEFINANCE(B369,""price""),"""")"),8.87)</f>
        <v>8.87</v>
      </c>
    </row>
    <row r="370">
      <c r="A370" s="7">
        <v>46057.626627233214</v>
      </c>
      <c r="B370" s="8" t="s">
        <v>5533</v>
      </c>
      <c r="C370" s="8" t="s">
        <v>5534</v>
      </c>
      <c r="D370" s="9">
        <v>46061.0</v>
      </c>
      <c r="E370" s="10">
        <v>7.765</v>
      </c>
      <c r="F370" s="26">
        <v>1.5684</v>
      </c>
      <c r="G370" s="12">
        <v>2.9174625E7</v>
      </c>
      <c r="H370" s="8" t="s">
        <v>102</v>
      </c>
      <c r="I370" s="11">
        <v>-14.5765</v>
      </c>
      <c r="J370" s="12">
        <v>2.100997943E9</v>
      </c>
      <c r="K370" s="23"/>
      <c r="L370" s="13">
        <v>-3.7839</v>
      </c>
      <c r="M370" s="8" t="s">
        <v>5535</v>
      </c>
      <c r="N370" s="8" t="s">
        <v>5536</v>
      </c>
      <c r="O370" s="13">
        <v>-55.984</v>
      </c>
      <c r="P370" s="13">
        <v>-31.1477</v>
      </c>
      <c r="Q370" s="23"/>
      <c r="R370" s="13">
        <v>4.5088</v>
      </c>
      <c r="S370" s="13">
        <v>1.1293</v>
      </c>
      <c r="T370" s="14">
        <f>IFERROR(__xludf.DUMMYFUNCTION("IFERROR(GOOGLEFINANCE(B370,""price""),"""")"),4.69)</f>
        <v>4.69</v>
      </c>
    </row>
    <row r="371">
      <c r="A371" s="15">
        <v>46057.626627233214</v>
      </c>
      <c r="B371" s="16" t="s">
        <v>1077</v>
      </c>
      <c r="C371" s="16" t="s">
        <v>1078</v>
      </c>
      <c r="D371" s="17">
        <v>46061.0</v>
      </c>
      <c r="E371" s="18">
        <v>8.065</v>
      </c>
      <c r="F371" s="27">
        <v>1.5371</v>
      </c>
      <c r="G371" s="20">
        <v>1.8267178E7</v>
      </c>
      <c r="H371" s="16" t="s">
        <v>335</v>
      </c>
      <c r="I371" s="19">
        <v>-16.4249</v>
      </c>
      <c r="J371" s="20">
        <v>1.129387183E9</v>
      </c>
      <c r="K371" s="24"/>
      <c r="L371" s="21">
        <v>-0.041</v>
      </c>
      <c r="M371" s="16" t="s">
        <v>1079</v>
      </c>
      <c r="N371" s="16" t="s">
        <v>5506</v>
      </c>
      <c r="O371" s="21">
        <v>-10.5913</v>
      </c>
      <c r="P371" s="21">
        <v>-18.9471</v>
      </c>
      <c r="Q371" s="21">
        <v>240.123</v>
      </c>
      <c r="R371" s="21">
        <v>0.0037</v>
      </c>
      <c r="S371" s="21">
        <v>5.0784</v>
      </c>
      <c r="T371" s="22">
        <f>IFERROR(__xludf.DUMMYFUNCTION("IFERROR(GOOGLEFINANCE(B371,""price""),"""")"),8.36)</f>
        <v>8.36</v>
      </c>
    </row>
    <row r="372">
      <c r="A372" s="7">
        <v>46057.626627233214</v>
      </c>
      <c r="B372" s="8" t="s">
        <v>5544</v>
      </c>
      <c r="C372" s="8" t="s">
        <v>5545</v>
      </c>
      <c r="D372" s="9">
        <v>46061.0</v>
      </c>
      <c r="E372" s="10">
        <v>14.2</v>
      </c>
      <c r="F372" s="26">
        <v>1.5283</v>
      </c>
      <c r="G372" s="12">
        <v>4.8737481E7</v>
      </c>
      <c r="H372" s="8" t="s">
        <v>88</v>
      </c>
      <c r="I372" s="11">
        <v>-12.6691</v>
      </c>
      <c r="J372" s="12">
        <v>5.610307495E9</v>
      </c>
      <c r="K372" s="23"/>
      <c r="L372" s="13">
        <v>-0.1905</v>
      </c>
      <c r="M372" s="8" t="s">
        <v>5546</v>
      </c>
      <c r="N372" s="8" t="s">
        <v>5471</v>
      </c>
      <c r="O372" s="13">
        <v>-9.6935</v>
      </c>
      <c r="P372" s="13">
        <v>-72.0529</v>
      </c>
      <c r="Q372" s="13">
        <v>35.4099</v>
      </c>
      <c r="R372" s="13">
        <v>1.333</v>
      </c>
      <c r="S372" s="13">
        <v>2.4892</v>
      </c>
      <c r="T372" s="14">
        <f>IFERROR(__xludf.DUMMYFUNCTION("IFERROR(GOOGLEFINANCE(B372,""price""),"""")"),16.53)</f>
        <v>16.53</v>
      </c>
    </row>
    <row r="373">
      <c r="A373" s="15">
        <v>46057.626627233214</v>
      </c>
      <c r="B373" s="16" t="s">
        <v>5607</v>
      </c>
      <c r="C373" s="16" t="s">
        <v>5608</v>
      </c>
      <c r="D373" s="17">
        <v>46061.0</v>
      </c>
      <c r="E373" s="18">
        <v>16.62</v>
      </c>
      <c r="F373" s="27">
        <v>1.4258</v>
      </c>
      <c r="G373" s="20">
        <v>1.0742837E7</v>
      </c>
      <c r="H373" s="16" t="s">
        <v>308</v>
      </c>
      <c r="I373" s="19">
        <v>-15.2473</v>
      </c>
      <c r="J373" s="20">
        <v>2.995240578E9</v>
      </c>
      <c r="K373" s="24"/>
      <c r="L373" s="21">
        <v>-1.8673</v>
      </c>
      <c r="M373" s="16" t="s">
        <v>5609</v>
      </c>
      <c r="N373" s="16" t="s">
        <v>5520</v>
      </c>
      <c r="O373" s="24"/>
      <c r="P373" s="21">
        <v>-30.7058</v>
      </c>
      <c r="Q373" s="21">
        <v>8.0687</v>
      </c>
      <c r="R373" s="24"/>
      <c r="S373" s="21">
        <v>6.2531</v>
      </c>
      <c r="T373" s="22">
        <f>IFERROR(__xludf.DUMMYFUNCTION("IFERROR(GOOGLEFINANCE(B373,""price""),"""")"),23.57)</f>
        <v>23.57</v>
      </c>
    </row>
    <row r="374">
      <c r="A374" s="7">
        <v>46057.626627233214</v>
      </c>
      <c r="B374" s="8" t="s">
        <v>5517</v>
      </c>
      <c r="C374" s="8" t="s">
        <v>5518</v>
      </c>
      <c r="D374" s="9">
        <v>46061.0</v>
      </c>
      <c r="E374" s="10">
        <v>10.0301</v>
      </c>
      <c r="F374" s="26">
        <v>1.335</v>
      </c>
      <c r="G374" s="12">
        <v>2.73774E7</v>
      </c>
      <c r="H374" s="8" t="s">
        <v>308</v>
      </c>
      <c r="I374" s="11">
        <v>-10.9227</v>
      </c>
      <c r="J374" s="12">
        <v>1.656478946E9</v>
      </c>
      <c r="K374" s="23"/>
      <c r="L374" s="13">
        <v>-3.1791</v>
      </c>
      <c r="M374" s="8" t="s">
        <v>5519</v>
      </c>
      <c r="N374" s="8" t="s">
        <v>5520</v>
      </c>
      <c r="O374" s="13">
        <v>-50.0822</v>
      </c>
      <c r="P374" s="13">
        <v>-46.1858</v>
      </c>
      <c r="Q374" s="13">
        <v>-0.6305</v>
      </c>
      <c r="R374" s="13">
        <v>0.3596</v>
      </c>
      <c r="S374" s="13">
        <v>1.4082</v>
      </c>
      <c r="T374" s="14">
        <f>IFERROR(__xludf.DUMMYFUNCTION("IFERROR(GOOGLEFINANCE(B374,""price""),"""")"),9.29)</f>
        <v>9.29</v>
      </c>
    </row>
    <row r="375">
      <c r="A375" s="15">
        <v>46057.626627233214</v>
      </c>
      <c r="B375" s="16" t="s">
        <v>5554</v>
      </c>
      <c r="C375" s="16" t="s">
        <v>5555</v>
      </c>
      <c r="D375" s="17">
        <v>46061.0</v>
      </c>
      <c r="E375" s="18">
        <v>103.5</v>
      </c>
      <c r="F375" s="27">
        <v>1.3159</v>
      </c>
      <c r="G375" s="20">
        <v>1.8155167E7</v>
      </c>
      <c r="H375" s="16" t="s">
        <v>873</v>
      </c>
      <c r="I375" s="19">
        <v>-10.5909</v>
      </c>
      <c r="J375" s="20">
        <v>3.8026034765E10</v>
      </c>
      <c r="K375" s="24"/>
      <c r="L375" s="21">
        <v>-1.2452</v>
      </c>
      <c r="M375" s="16" t="s">
        <v>5556</v>
      </c>
      <c r="N375" s="16" t="s">
        <v>5557</v>
      </c>
      <c r="O375" s="21">
        <v>-39.2195</v>
      </c>
      <c r="P375" s="21">
        <v>-1479.4668</v>
      </c>
      <c r="Q375" s="21">
        <v>641.24</v>
      </c>
      <c r="R375" s="21">
        <v>0.5824</v>
      </c>
      <c r="S375" s="21">
        <v>9.5602</v>
      </c>
      <c r="T375" s="22">
        <f>IFERROR(__xludf.DUMMYFUNCTION("IFERROR(GOOGLEFINANCE(B375,""price""),"""")"),94.9)</f>
        <v>94.9</v>
      </c>
    </row>
    <row r="376">
      <c r="A376" s="7">
        <v>46057.626627233214</v>
      </c>
      <c r="B376" s="8" t="s">
        <v>5637</v>
      </c>
      <c r="C376" s="8" t="s">
        <v>5638</v>
      </c>
      <c r="D376" s="9">
        <v>46061.0</v>
      </c>
      <c r="E376" s="10">
        <v>25.1688</v>
      </c>
      <c r="F376" s="26">
        <v>1.3076</v>
      </c>
      <c r="G376" s="12">
        <v>2.6824646E7</v>
      </c>
      <c r="H376" s="8" t="s">
        <v>88</v>
      </c>
      <c r="I376" s="11">
        <v>-2.7105</v>
      </c>
      <c r="J376" s="12">
        <v>1.0770053082E10</v>
      </c>
      <c r="K376" s="23"/>
      <c r="L376" s="13">
        <v>-1.0498</v>
      </c>
      <c r="M376" s="8" t="s">
        <v>5639</v>
      </c>
      <c r="N376" s="8" t="s">
        <v>5429</v>
      </c>
      <c r="O376" s="13">
        <v>-13.6376</v>
      </c>
      <c r="P376" s="13">
        <v>-25.3215</v>
      </c>
      <c r="Q376" s="13">
        <v>-8.2306</v>
      </c>
      <c r="R376" s="13">
        <v>0.7272</v>
      </c>
      <c r="S376" s="13">
        <v>2.7772</v>
      </c>
      <c r="T376" s="14">
        <f>IFERROR(__xludf.DUMMYFUNCTION("IFERROR(GOOGLEFINANCE(B376,""price""),"""")"),21.62)</f>
        <v>21.62</v>
      </c>
    </row>
    <row r="377">
      <c r="A377" s="15">
        <v>46057.626627233214</v>
      </c>
      <c r="B377" s="16" t="s">
        <v>5527</v>
      </c>
      <c r="C377" s="16" t="s">
        <v>5528</v>
      </c>
      <c r="D377" s="17">
        <v>46061.0</v>
      </c>
      <c r="E377" s="18">
        <v>12.4902</v>
      </c>
      <c r="F377" s="27">
        <v>1.2982</v>
      </c>
      <c r="G377" s="20">
        <v>1.1649512E7</v>
      </c>
      <c r="H377" s="16" t="s">
        <v>88</v>
      </c>
      <c r="I377" s="19">
        <v>-12.3495</v>
      </c>
      <c r="J377" s="20">
        <v>1.490969407E9</v>
      </c>
      <c r="K377" s="24"/>
      <c r="L377" s="24"/>
      <c r="M377" s="16" t="s">
        <v>5529</v>
      </c>
      <c r="N377" s="16" t="s">
        <v>5429</v>
      </c>
      <c r="O377" s="24"/>
      <c r="P377" s="24"/>
      <c r="Q377" s="24"/>
      <c r="R377" s="21">
        <v>0.0885</v>
      </c>
      <c r="S377" s="21">
        <v>10.416</v>
      </c>
      <c r="T377" s="22">
        <f>IFERROR(__xludf.DUMMYFUNCTION("IFERROR(GOOGLEFINANCE(B377,""price""),"""")"),12.37)</f>
        <v>12.37</v>
      </c>
    </row>
    <row r="378">
      <c r="A378" s="7">
        <v>46057.626627233214</v>
      </c>
      <c r="B378" s="8" t="s">
        <v>5594</v>
      </c>
      <c r="C378" s="8" t="s">
        <v>5595</v>
      </c>
      <c r="D378" s="9">
        <v>46061.0</v>
      </c>
      <c r="E378" s="10">
        <v>13.71</v>
      </c>
      <c r="F378" s="26">
        <v>1.2917</v>
      </c>
      <c r="G378" s="12">
        <v>4.5967824E7</v>
      </c>
      <c r="H378" s="8" t="s">
        <v>88</v>
      </c>
      <c r="I378" s="11">
        <v>-7.3649</v>
      </c>
      <c r="J378" s="12">
        <v>5.740128714E9</v>
      </c>
      <c r="K378" s="23"/>
      <c r="L378" s="13">
        <v>-1.4167</v>
      </c>
      <c r="M378" s="8" t="s">
        <v>5596</v>
      </c>
      <c r="N378" s="8" t="s">
        <v>5471</v>
      </c>
      <c r="O378" s="13">
        <v>-181.9547</v>
      </c>
      <c r="P378" s="13">
        <v>-69.885</v>
      </c>
      <c r="Q378" s="13">
        <v>30.5825</v>
      </c>
      <c r="R378" s="13">
        <v>4.3877</v>
      </c>
      <c r="S378" s="13">
        <v>1.0329</v>
      </c>
      <c r="T378" s="14">
        <f>IFERROR(__xludf.DUMMYFUNCTION("IFERROR(GOOGLEFINANCE(B378,""price""),"""")"),18.88)</f>
        <v>18.88</v>
      </c>
    </row>
    <row r="379">
      <c r="A379" s="15">
        <v>46057.626627233214</v>
      </c>
      <c r="B379" s="16" t="s">
        <v>5537</v>
      </c>
      <c r="C379" s="16" t="s">
        <v>5538</v>
      </c>
      <c r="D379" s="17">
        <v>46061.0</v>
      </c>
      <c r="E379" s="18">
        <v>3.445</v>
      </c>
      <c r="F379" s="27">
        <v>1.2813</v>
      </c>
      <c r="G379" s="20">
        <v>2.4477653E7</v>
      </c>
      <c r="H379" s="16" t="s">
        <v>112</v>
      </c>
      <c r="I379" s="19">
        <v>-6.8919</v>
      </c>
      <c r="J379" s="20">
        <v>7.41005604E8</v>
      </c>
      <c r="K379" s="24"/>
      <c r="L379" s="21">
        <v>-0.1295</v>
      </c>
      <c r="M379" s="16" t="s">
        <v>5539</v>
      </c>
      <c r="N379" s="16" t="s">
        <v>5540</v>
      </c>
      <c r="O379" s="21">
        <v>-10.1055</v>
      </c>
      <c r="P379" s="21">
        <v>-355.6789</v>
      </c>
      <c r="Q379" s="21">
        <v>19.0139</v>
      </c>
      <c r="R379" s="21">
        <v>0.0027</v>
      </c>
      <c r="S379" s="21">
        <v>107.4542</v>
      </c>
      <c r="T379" s="22">
        <f>IFERROR(__xludf.DUMMYFUNCTION("IFERROR(GOOGLEFINANCE(B379,""price""),"""")"),2.01)</f>
        <v>2.01</v>
      </c>
    </row>
    <row r="380">
      <c r="A380" s="7">
        <v>46057.626627233214</v>
      </c>
      <c r="B380" s="8" t="s">
        <v>5558</v>
      </c>
      <c r="C380" s="8" t="s">
        <v>5559</v>
      </c>
      <c r="D380" s="9">
        <v>46061.0</v>
      </c>
      <c r="E380" s="10">
        <v>12.355</v>
      </c>
      <c r="F380" s="26">
        <v>1.2604</v>
      </c>
      <c r="G380" s="12">
        <v>2.9480662E7</v>
      </c>
      <c r="H380" s="8" t="s">
        <v>102</v>
      </c>
      <c r="I380" s="11">
        <v>-14.2312</v>
      </c>
      <c r="J380" s="12">
        <v>4.004232878E9</v>
      </c>
      <c r="K380" s="23"/>
      <c r="L380" s="13">
        <v>-8.3559</v>
      </c>
      <c r="M380" s="8" t="s">
        <v>5560</v>
      </c>
      <c r="N380" s="8" t="s">
        <v>5536</v>
      </c>
      <c r="O380" s="23"/>
      <c r="P380" s="13">
        <v>-351.0117</v>
      </c>
      <c r="Q380" s="13">
        <v>324.0994</v>
      </c>
      <c r="R380" s="23"/>
      <c r="S380" s="13">
        <v>1.8261</v>
      </c>
      <c r="T380" s="14">
        <f>IFERROR(__xludf.DUMMYFUNCTION("IFERROR(GOOGLEFINANCE(B380,""price""),"""")"),5.62)</f>
        <v>5.62</v>
      </c>
    </row>
    <row r="381">
      <c r="A381" s="15">
        <v>46057.626627233214</v>
      </c>
      <c r="B381" s="16" t="s">
        <v>5422</v>
      </c>
      <c r="C381" s="16" t="s">
        <v>5423</v>
      </c>
      <c r="D381" s="17">
        <v>46061.0</v>
      </c>
      <c r="E381" s="18">
        <v>23.755</v>
      </c>
      <c r="F381" s="27">
        <v>1.2604</v>
      </c>
      <c r="G381" s="20">
        <v>3.2662448E7</v>
      </c>
      <c r="H381" s="16" t="s">
        <v>102</v>
      </c>
      <c r="I381" s="19">
        <v>-8.5291</v>
      </c>
      <c r="J381" s="20">
        <v>5.176950037E9</v>
      </c>
      <c r="K381" s="24"/>
      <c r="L381" s="21">
        <v>-2.5128</v>
      </c>
      <c r="M381" s="16" t="s">
        <v>5424</v>
      </c>
      <c r="N381" s="16" t="s">
        <v>5425</v>
      </c>
      <c r="O381" s="21">
        <v>-255.9098</v>
      </c>
      <c r="P381" s="24"/>
      <c r="Q381" s="24"/>
      <c r="R381" s="24"/>
      <c r="S381" s="21">
        <v>16.5111</v>
      </c>
      <c r="T381" s="22">
        <f>IFERROR(__xludf.DUMMYFUNCTION("IFERROR(GOOGLEFINANCE(B381,""price""),"""")"),16.15)</f>
        <v>16.15</v>
      </c>
    </row>
    <row r="382">
      <c r="A382" s="7">
        <v>46057.626627233214</v>
      </c>
      <c r="B382" s="8" t="s">
        <v>5434</v>
      </c>
      <c r="C382" s="8" t="s">
        <v>5435</v>
      </c>
      <c r="D382" s="9">
        <v>46061.0</v>
      </c>
      <c r="E382" s="10">
        <v>9.575</v>
      </c>
      <c r="F382" s="26">
        <v>1.2568</v>
      </c>
      <c r="G382" s="12">
        <v>1.15562619E8</v>
      </c>
      <c r="H382" s="8" t="s">
        <v>308</v>
      </c>
      <c r="I382" s="11">
        <v>-15.8612</v>
      </c>
      <c r="J382" s="12">
        <v>4.0461701E9</v>
      </c>
      <c r="K382" s="23"/>
      <c r="L382" s="13">
        <v>-0.4034</v>
      </c>
      <c r="M382" s="8" t="s">
        <v>5436</v>
      </c>
      <c r="N382" s="8" t="s">
        <v>5437</v>
      </c>
      <c r="O382" s="13">
        <v>-17.0422</v>
      </c>
      <c r="P382" s="13">
        <v>-176.0921</v>
      </c>
      <c r="Q382" s="13">
        <v>208.4002</v>
      </c>
      <c r="R382" s="13">
        <v>0.037</v>
      </c>
      <c r="S382" s="13">
        <v>15.2957</v>
      </c>
      <c r="T382" s="14">
        <f>IFERROR(__xludf.DUMMYFUNCTION("IFERROR(GOOGLEFINANCE(B382,""price""),"""")"),9.13)</f>
        <v>9.13</v>
      </c>
    </row>
    <row r="383">
      <c r="A383" s="15">
        <v>46057.626627233214</v>
      </c>
      <c r="B383" s="16" t="s">
        <v>2704</v>
      </c>
      <c r="C383" s="16" t="s">
        <v>2705</v>
      </c>
      <c r="D383" s="17">
        <v>46061.0</v>
      </c>
      <c r="E383" s="18">
        <v>31.855</v>
      </c>
      <c r="F383" s="27">
        <v>1.2547</v>
      </c>
      <c r="G383" s="20">
        <v>3.4483587E7</v>
      </c>
      <c r="H383" s="16" t="s">
        <v>88</v>
      </c>
      <c r="I383" s="19">
        <v>-13.2016</v>
      </c>
      <c r="J383" s="20">
        <v>8.906206336E9</v>
      </c>
      <c r="K383" s="24"/>
      <c r="L383" s="21">
        <v>-0.5438</v>
      </c>
      <c r="M383" s="16" t="s">
        <v>2707</v>
      </c>
      <c r="N383" s="16" t="s">
        <v>5471</v>
      </c>
      <c r="O383" s="21">
        <v>-11.4029</v>
      </c>
      <c r="P383" s="21">
        <v>-26.4624</v>
      </c>
      <c r="Q383" s="21">
        <v>33.135</v>
      </c>
      <c r="R383" s="21">
        <v>1.6778</v>
      </c>
      <c r="S383" s="21">
        <v>4.8227</v>
      </c>
      <c r="T383" s="22">
        <f>IFERROR(__xludf.DUMMYFUNCTION("IFERROR(GOOGLEFINANCE(B383,""price""),"""")"),26.24)</f>
        <v>26.24</v>
      </c>
    </row>
    <row r="384">
      <c r="A384" s="7">
        <v>46057.626627233214</v>
      </c>
      <c r="B384" s="8" t="s">
        <v>5574</v>
      </c>
      <c r="C384" s="8" t="s">
        <v>5575</v>
      </c>
      <c r="D384" s="9">
        <v>46061.0</v>
      </c>
      <c r="E384" s="10">
        <v>21.47</v>
      </c>
      <c r="F384" s="26">
        <v>1.2518</v>
      </c>
      <c r="G384" s="12">
        <v>1.6544552E7</v>
      </c>
      <c r="H384" s="8" t="s">
        <v>335</v>
      </c>
      <c r="I384" s="11">
        <v>-12.4745</v>
      </c>
      <c r="J384" s="12">
        <v>5.094546846E9</v>
      </c>
      <c r="K384" s="23"/>
      <c r="L384" s="13">
        <v>-0.4849</v>
      </c>
      <c r="M384" s="8" t="s">
        <v>5576</v>
      </c>
      <c r="N384" s="8" t="s">
        <v>5506</v>
      </c>
      <c r="O384" s="13">
        <v>-18.1731</v>
      </c>
      <c r="P384" s="13">
        <v>-129.5586</v>
      </c>
      <c r="Q384" s="13">
        <v>103.694</v>
      </c>
      <c r="R384" s="13">
        <v>0.0</v>
      </c>
      <c r="S384" s="13">
        <v>11.4962</v>
      </c>
      <c r="T384" s="14">
        <f>IFERROR(__xludf.DUMMYFUNCTION("IFERROR(GOOGLEFINANCE(B384,""price""),"""")"),18.4)</f>
        <v>18.4</v>
      </c>
    </row>
    <row r="385">
      <c r="A385" s="15">
        <v>46057.626627233214</v>
      </c>
      <c r="B385" s="16" t="s">
        <v>5514</v>
      </c>
      <c r="C385" s="16" t="s">
        <v>5515</v>
      </c>
      <c r="D385" s="17">
        <v>46061.0</v>
      </c>
      <c r="E385" s="18">
        <v>5.945</v>
      </c>
      <c r="F385" s="27">
        <v>1.2461</v>
      </c>
      <c r="G385" s="20">
        <v>1.945616E7</v>
      </c>
      <c r="H385" s="16" t="s">
        <v>117</v>
      </c>
      <c r="I385" s="19">
        <v>-6.0821</v>
      </c>
      <c r="J385" s="20">
        <v>5.855618103E9</v>
      </c>
      <c r="K385" s="24"/>
      <c r="L385" s="21">
        <v>-0.4205</v>
      </c>
      <c r="M385" s="16" t="s">
        <v>5516</v>
      </c>
      <c r="N385" s="16" t="s">
        <v>5491</v>
      </c>
      <c r="O385" s="24"/>
      <c r="P385" s="21">
        <v>-315.8428</v>
      </c>
      <c r="Q385" s="21">
        <v>1025.9547</v>
      </c>
      <c r="R385" s="24"/>
      <c r="S385" s="21">
        <v>5.7671</v>
      </c>
      <c r="T385" s="22">
        <f>IFERROR(__xludf.DUMMYFUNCTION("IFERROR(GOOGLEFINANCE(B385,""price""),"""")"),7.28)</f>
        <v>7.28</v>
      </c>
    </row>
    <row r="386">
      <c r="A386" s="7">
        <v>46057.626627233214</v>
      </c>
      <c r="B386" s="8" t="s">
        <v>5510</v>
      </c>
      <c r="C386" s="8" t="s">
        <v>5511</v>
      </c>
      <c r="D386" s="9">
        <v>46061.0</v>
      </c>
      <c r="E386" s="10">
        <v>586.965</v>
      </c>
      <c r="F386" s="26">
        <v>1.2224</v>
      </c>
      <c r="G386" s="12">
        <v>2.5971526E7</v>
      </c>
      <c r="H386" s="8" t="s">
        <v>308</v>
      </c>
      <c r="I386" s="11">
        <v>-15.6065</v>
      </c>
      <c r="J386" s="12">
        <v>8.6616809461E10</v>
      </c>
      <c r="K386" s="23"/>
      <c r="L386" s="13">
        <v>-7.5894</v>
      </c>
      <c r="M386" s="8" t="s">
        <v>5512</v>
      </c>
      <c r="N386" s="8" t="s">
        <v>5513</v>
      </c>
      <c r="O386" s="13">
        <v>-9.3725</v>
      </c>
      <c r="P386" s="13">
        <v>14.2905</v>
      </c>
      <c r="Q386" s="13">
        <v>23.6019</v>
      </c>
      <c r="R386" s="13">
        <v>0.0796</v>
      </c>
      <c r="S386" s="13">
        <v>3.1137</v>
      </c>
      <c r="T386" s="14">
        <f>IFERROR(__xludf.DUMMYFUNCTION("IFERROR(GOOGLEFINANCE(B386,""price""),"""")"),851.77)</f>
        <v>851.77</v>
      </c>
    </row>
    <row r="387">
      <c r="A387" s="15">
        <v>46057.626627233214</v>
      </c>
      <c r="B387" s="16" t="s">
        <v>5646</v>
      </c>
      <c r="C387" s="16" t="s">
        <v>5647</v>
      </c>
      <c r="D387" s="17">
        <v>46061.0</v>
      </c>
      <c r="E387" s="18">
        <v>461.595</v>
      </c>
      <c r="F387" s="27">
        <v>1.2027</v>
      </c>
      <c r="G387" s="20">
        <v>1.0741954E7</v>
      </c>
      <c r="H387" s="16" t="s">
        <v>102</v>
      </c>
      <c r="I387" s="19">
        <v>6.0894</v>
      </c>
      <c r="J387" s="20">
        <v>3.2727086664E10</v>
      </c>
      <c r="K387" s="21">
        <v>141.1692</v>
      </c>
      <c r="L387" s="21">
        <v>3.2698</v>
      </c>
      <c r="M387" s="16" t="s">
        <v>5648</v>
      </c>
      <c r="N387" s="16" t="s">
        <v>5536</v>
      </c>
      <c r="O387" s="21">
        <v>29.2745</v>
      </c>
      <c r="P387" s="21">
        <v>1.1353</v>
      </c>
      <c r="Q387" s="21">
        <v>48.8931</v>
      </c>
      <c r="R387" s="21">
        <v>3.9248</v>
      </c>
      <c r="S387" s="21">
        <v>0.606</v>
      </c>
      <c r="T387" s="22">
        <f>IFERROR(__xludf.DUMMYFUNCTION("IFERROR(GOOGLEFINANCE(B387,""price""),"""")"),897.3)</f>
        <v>897.3</v>
      </c>
    </row>
    <row r="388">
      <c r="A388" s="7">
        <v>46057.626627233214</v>
      </c>
      <c r="B388" s="8" t="s">
        <v>5691</v>
      </c>
      <c r="C388" s="8" t="s">
        <v>5692</v>
      </c>
      <c r="D388" s="9">
        <v>46061.0</v>
      </c>
      <c r="E388" s="10">
        <v>6.6755</v>
      </c>
      <c r="F388" s="26">
        <v>1.1836</v>
      </c>
      <c r="G388" s="12">
        <v>3.4068245E7</v>
      </c>
      <c r="H388" s="8" t="s">
        <v>873</v>
      </c>
      <c r="I388" s="11">
        <v>-21.0934</v>
      </c>
      <c r="J388" s="12">
        <v>6.84668521E9</v>
      </c>
      <c r="K388" s="23"/>
      <c r="L388" s="13">
        <v>-1.7483</v>
      </c>
      <c r="M388" s="8" t="s">
        <v>5693</v>
      </c>
      <c r="N388" s="8" t="s">
        <v>5694</v>
      </c>
      <c r="O388" s="23"/>
      <c r="P388" s="13">
        <v>-1.4836</v>
      </c>
      <c r="Q388" s="13">
        <v>-5.386</v>
      </c>
      <c r="R388" s="23"/>
      <c r="S388" s="13">
        <v>1.8016</v>
      </c>
      <c r="T388" s="14">
        <f>IFERROR(__xludf.DUMMYFUNCTION("IFERROR(GOOGLEFINANCE(B388,""price""),"""")"),7.44)</f>
        <v>7.44</v>
      </c>
    </row>
    <row r="389">
      <c r="A389" s="15">
        <v>46057.626627233214</v>
      </c>
      <c r="B389" s="16" t="s">
        <v>5719</v>
      </c>
      <c r="C389" s="16" t="s">
        <v>5720</v>
      </c>
      <c r="D389" s="17">
        <v>46061.0</v>
      </c>
      <c r="E389" s="18">
        <v>97.44</v>
      </c>
      <c r="F389" s="27">
        <v>1.1788</v>
      </c>
      <c r="G389" s="20">
        <v>1.1905752E7</v>
      </c>
      <c r="H389" s="16" t="s">
        <v>88</v>
      </c>
      <c r="I389" s="19">
        <v>-12.4607</v>
      </c>
      <c r="J389" s="20">
        <v>1.7600753814E10</v>
      </c>
      <c r="K389" s="21">
        <v>85.0559</v>
      </c>
      <c r="L389" s="21">
        <v>1.1456</v>
      </c>
      <c r="M389" s="16" t="s">
        <v>5721</v>
      </c>
      <c r="N389" s="16" t="s">
        <v>5664</v>
      </c>
      <c r="O389" s="21">
        <v>22.8679</v>
      </c>
      <c r="P389" s="21">
        <v>25.171</v>
      </c>
      <c r="Q389" s="21">
        <v>224.1722</v>
      </c>
      <c r="R389" s="21">
        <v>0.0128</v>
      </c>
      <c r="S389" s="21">
        <v>8.8581</v>
      </c>
      <c r="T389" s="22">
        <f>IFERROR(__xludf.DUMMYFUNCTION("IFERROR(GOOGLEFINANCE(B389,""price""),"""")"),119.59)</f>
        <v>119.59</v>
      </c>
    </row>
    <row r="390">
      <c r="A390" s="7">
        <v>46057.626627233214</v>
      </c>
      <c r="B390" s="8" t="s">
        <v>5675</v>
      </c>
      <c r="C390" s="8" t="s">
        <v>5676</v>
      </c>
      <c r="D390" s="9">
        <v>46061.0</v>
      </c>
      <c r="E390" s="10">
        <v>12.055</v>
      </c>
      <c r="F390" s="26">
        <v>1.165</v>
      </c>
      <c r="G390" s="12">
        <v>4.2368409E7</v>
      </c>
      <c r="H390" s="8" t="s">
        <v>93</v>
      </c>
      <c r="I390" s="11">
        <v>-0.4542</v>
      </c>
      <c r="J390" s="12">
        <v>1.8801354715E10</v>
      </c>
      <c r="K390" s="13">
        <v>267.8889</v>
      </c>
      <c r="L390" s="13">
        <v>0.045</v>
      </c>
      <c r="M390" s="8" t="s">
        <v>5677</v>
      </c>
      <c r="N390" s="8" t="s">
        <v>5678</v>
      </c>
      <c r="O390" s="13">
        <v>2.4146</v>
      </c>
      <c r="P390" s="13">
        <v>17.8772</v>
      </c>
      <c r="Q390" s="13">
        <v>27.2389</v>
      </c>
      <c r="R390" s="13">
        <v>1.6451</v>
      </c>
      <c r="S390" s="13">
        <v>1.2468</v>
      </c>
      <c r="T390" s="14">
        <f>IFERROR(__xludf.DUMMYFUNCTION("IFERROR(GOOGLEFINANCE(B390,""price""),"""")"),8.23)</f>
        <v>8.23</v>
      </c>
    </row>
    <row r="391">
      <c r="A391" s="15">
        <v>46057.626627233214</v>
      </c>
      <c r="B391" s="16" t="s">
        <v>5725</v>
      </c>
      <c r="C391" s="16" t="s">
        <v>5726</v>
      </c>
      <c r="D391" s="17">
        <v>46061.0</v>
      </c>
      <c r="E391" s="18">
        <v>22.445</v>
      </c>
      <c r="F391" s="27">
        <v>1.1592</v>
      </c>
      <c r="G391" s="20">
        <v>2.2031386E7</v>
      </c>
      <c r="H391" s="16" t="s">
        <v>88</v>
      </c>
      <c r="I391" s="19">
        <v>4.9322</v>
      </c>
      <c r="J391" s="20">
        <v>1.1123555429E10</v>
      </c>
      <c r="K391" s="24"/>
      <c r="L391" s="21">
        <v>-2.0067</v>
      </c>
      <c r="M391" s="16" t="s">
        <v>5727</v>
      </c>
      <c r="N391" s="16" t="s">
        <v>5429</v>
      </c>
      <c r="O391" s="24"/>
      <c r="P391" s="21">
        <v>-107.671</v>
      </c>
      <c r="Q391" s="21">
        <v>43.2284</v>
      </c>
      <c r="R391" s="21">
        <v>0.0441</v>
      </c>
      <c r="S391" s="21">
        <v>2.9292</v>
      </c>
      <c r="T391" s="22">
        <f>IFERROR(__xludf.DUMMYFUNCTION("IFERROR(GOOGLEFINANCE(B391,""price""),"""")"),18.16)</f>
        <v>18.16</v>
      </c>
    </row>
    <row r="392">
      <c r="A392" s="7">
        <v>46058.444071523496</v>
      </c>
      <c r="B392" s="8" t="s">
        <v>5567</v>
      </c>
      <c r="C392" s="8" t="s">
        <v>5568</v>
      </c>
      <c r="D392" s="9">
        <v>46061.0</v>
      </c>
      <c r="E392" s="10">
        <v>139.5</v>
      </c>
      <c r="F392" s="26">
        <v>3.6</v>
      </c>
      <c r="G392" s="12">
        <v>6080152.0</v>
      </c>
      <c r="H392" s="8" t="s">
        <v>308</v>
      </c>
      <c r="I392" s="11">
        <v>-5.3275</v>
      </c>
      <c r="J392" s="12">
        <v>3.299325203E10</v>
      </c>
      <c r="K392" s="23"/>
      <c r="L392" s="13">
        <v>-0.0291</v>
      </c>
      <c r="M392" s="8" t="s">
        <v>5569</v>
      </c>
      <c r="N392" s="8" t="s">
        <v>5433</v>
      </c>
      <c r="O392" s="13">
        <v>2.8171</v>
      </c>
      <c r="P392" s="13">
        <v>7.0245</v>
      </c>
      <c r="Q392" s="13">
        <v>44.5274</v>
      </c>
      <c r="R392" s="13">
        <v>2.3214</v>
      </c>
      <c r="S392" s="13">
        <v>4.34</v>
      </c>
      <c r="T392" s="14">
        <f>IFERROR(__xludf.DUMMYFUNCTION("IFERROR(GOOGLEFINANCE(B392,""price""),"""")"),166.7)</f>
        <v>166.7</v>
      </c>
    </row>
    <row r="393">
      <c r="A393" s="15">
        <v>46058.444071523496</v>
      </c>
      <c r="B393" s="16" t="s">
        <v>5484</v>
      </c>
      <c r="C393" s="16" t="s">
        <v>5485</v>
      </c>
      <c r="D393" s="17">
        <v>46061.0</v>
      </c>
      <c r="E393" s="18">
        <v>42.285</v>
      </c>
      <c r="F393" s="27">
        <v>2.8587</v>
      </c>
      <c r="G393" s="20">
        <v>2.6712357E7</v>
      </c>
      <c r="H393" s="16" t="s">
        <v>88</v>
      </c>
      <c r="I393" s="19">
        <v>-5.9079</v>
      </c>
      <c r="J393" s="20">
        <v>1.3848312643E10</v>
      </c>
      <c r="K393" s="21">
        <v>21.5597</v>
      </c>
      <c r="L393" s="21">
        <v>1.9613</v>
      </c>
      <c r="M393" s="16" t="s">
        <v>5486</v>
      </c>
      <c r="N393" s="16" t="s">
        <v>5471</v>
      </c>
      <c r="O393" s="21">
        <v>30.1877</v>
      </c>
      <c r="P393" s="21">
        <v>-0.3959</v>
      </c>
      <c r="Q393" s="21">
        <v>236.1371</v>
      </c>
      <c r="R393" s="21">
        <v>0.3357</v>
      </c>
      <c r="S393" s="21">
        <v>5.5164</v>
      </c>
      <c r="T393" s="22">
        <f>IFERROR(__xludf.DUMMYFUNCTION("IFERROR(GOOGLEFINANCE(B393,""price""),"""")"),39.32)</f>
        <v>39.32</v>
      </c>
    </row>
    <row r="394">
      <c r="A394" s="7">
        <v>46058.444071523496</v>
      </c>
      <c r="B394" s="8" t="s">
        <v>5685</v>
      </c>
      <c r="C394" s="8" t="s">
        <v>5686</v>
      </c>
      <c r="D394" s="9">
        <v>46061.0</v>
      </c>
      <c r="E394" s="10">
        <v>62.825</v>
      </c>
      <c r="F394" s="26">
        <v>2.5147</v>
      </c>
      <c r="G394" s="12">
        <v>7190113.0</v>
      </c>
      <c r="H394" s="8" t="s">
        <v>88</v>
      </c>
      <c r="I394" s="11">
        <v>-0.3885</v>
      </c>
      <c r="J394" s="12">
        <v>4.4098440519E10</v>
      </c>
      <c r="K394" s="23"/>
      <c r="L394" s="13">
        <v>-1.4255</v>
      </c>
      <c r="M394" s="8" t="s">
        <v>5687</v>
      </c>
      <c r="N394" s="8" t="s">
        <v>5429</v>
      </c>
      <c r="O394" s="13">
        <v>-324.2417</v>
      </c>
      <c r="P394" s="13">
        <v>-25.0423</v>
      </c>
      <c r="Q394" s="13">
        <v>32.7011</v>
      </c>
      <c r="R394" s="13">
        <v>4.329</v>
      </c>
      <c r="S394" s="13">
        <v>0.7926</v>
      </c>
      <c r="T394" s="14">
        <f>IFERROR(__xludf.DUMMYFUNCTION("IFERROR(GOOGLEFINANCE(B394,""price""),"""")"),55.59)</f>
        <v>55.59</v>
      </c>
    </row>
    <row r="395">
      <c r="A395" s="15">
        <v>46058.444071523496</v>
      </c>
      <c r="B395" s="16" t="s">
        <v>5728</v>
      </c>
      <c r="C395" s="16" t="s">
        <v>5729</v>
      </c>
      <c r="D395" s="17">
        <v>46061.0</v>
      </c>
      <c r="E395" s="18">
        <v>9.31</v>
      </c>
      <c r="F395" s="27">
        <v>2.0293</v>
      </c>
      <c r="G395" s="20">
        <v>4513443.0</v>
      </c>
      <c r="H395" s="16" t="s">
        <v>117</v>
      </c>
      <c r="I395" s="19">
        <v>8.8889</v>
      </c>
      <c r="J395" s="20">
        <v>1.983471991E9</v>
      </c>
      <c r="K395" s="24"/>
      <c r="L395" s="21">
        <v>-1.4365</v>
      </c>
      <c r="M395" s="16" t="s">
        <v>5730</v>
      </c>
      <c r="N395" s="16" t="s">
        <v>5491</v>
      </c>
      <c r="O395" s="21">
        <v>-81.8265</v>
      </c>
      <c r="P395" s="21">
        <v>-449.6567</v>
      </c>
      <c r="Q395" s="21">
        <v>-9.2103</v>
      </c>
      <c r="R395" s="21">
        <v>0.2982</v>
      </c>
      <c r="S395" s="21">
        <v>7.8504</v>
      </c>
      <c r="T395" s="22">
        <f>IFERROR(__xludf.DUMMYFUNCTION("IFERROR(GOOGLEFINANCE(B395,""price""),"""")"),8.79)</f>
        <v>8.79</v>
      </c>
    </row>
    <row r="396">
      <c r="A396" s="7">
        <v>46058.444071523496</v>
      </c>
      <c r="B396" s="8" t="s">
        <v>2300</v>
      </c>
      <c r="C396" s="8" t="s">
        <v>2301</v>
      </c>
      <c r="D396" s="9">
        <v>46061.0</v>
      </c>
      <c r="E396" s="10">
        <v>23.5386</v>
      </c>
      <c r="F396" s="26">
        <v>1.9287</v>
      </c>
      <c r="G396" s="12">
        <v>5341478.0</v>
      </c>
      <c r="H396" s="8" t="s">
        <v>88</v>
      </c>
      <c r="I396" s="11">
        <v>0.335</v>
      </c>
      <c r="J396" s="12">
        <v>6.900076141E9</v>
      </c>
      <c r="K396" s="13">
        <v>15.3867</v>
      </c>
      <c r="L396" s="13">
        <v>1.5298</v>
      </c>
      <c r="M396" s="8" t="s">
        <v>2302</v>
      </c>
      <c r="N396" s="8" t="s">
        <v>5429</v>
      </c>
      <c r="O396" s="13">
        <v>32.9115</v>
      </c>
      <c r="P396" s="13">
        <v>3.8913</v>
      </c>
      <c r="Q396" s="13">
        <v>50.905</v>
      </c>
      <c r="R396" s="13">
        <v>0.4455</v>
      </c>
      <c r="S396" s="13">
        <v>1.9333</v>
      </c>
      <c r="T396" s="14">
        <f>IFERROR(__xludf.DUMMYFUNCTION("IFERROR(GOOGLEFINANCE(B396,""price""),"""")"),24.0)</f>
        <v>24</v>
      </c>
    </row>
    <row r="397">
      <c r="A397" s="15">
        <v>46058.444071523496</v>
      </c>
      <c r="B397" s="16" t="s">
        <v>5481</v>
      </c>
      <c r="C397" s="16" t="s">
        <v>5482</v>
      </c>
      <c r="D397" s="17">
        <v>46061.0</v>
      </c>
      <c r="E397" s="18">
        <v>9.172</v>
      </c>
      <c r="F397" s="27">
        <v>1.8926</v>
      </c>
      <c r="G397" s="20">
        <v>1.6084067E7</v>
      </c>
      <c r="H397" s="16" t="s">
        <v>88</v>
      </c>
      <c r="I397" s="19">
        <v>-10.2544</v>
      </c>
      <c r="J397" s="20">
        <v>2.34574242E9</v>
      </c>
      <c r="K397" s="21">
        <v>8.317</v>
      </c>
      <c r="L397" s="21">
        <v>1.1028</v>
      </c>
      <c r="M397" s="16" t="s">
        <v>5483</v>
      </c>
      <c r="N397" s="16" t="s">
        <v>5471</v>
      </c>
      <c r="O397" s="21">
        <v>18.5197</v>
      </c>
      <c r="P397" s="21">
        <v>-13.9673</v>
      </c>
      <c r="Q397" s="21">
        <v>102.2107</v>
      </c>
      <c r="R397" s="21">
        <v>0.3775</v>
      </c>
      <c r="S397" s="21">
        <v>4.1805</v>
      </c>
      <c r="T397" s="22">
        <f>IFERROR(__xludf.DUMMYFUNCTION("IFERROR(GOOGLEFINANCE(B397,""price""),"""")"),10.02)</f>
        <v>10.02</v>
      </c>
    </row>
    <row r="398">
      <c r="A398" s="7">
        <v>46058.444071523496</v>
      </c>
      <c r="B398" s="8" t="s">
        <v>5731</v>
      </c>
      <c r="C398" s="8" t="s">
        <v>5732</v>
      </c>
      <c r="D398" s="9">
        <v>46061.0</v>
      </c>
      <c r="E398" s="10">
        <v>113.295</v>
      </c>
      <c r="F398" s="26">
        <v>1.8142</v>
      </c>
      <c r="G398" s="12">
        <v>2.0650154E7</v>
      </c>
      <c r="H398" s="8" t="s">
        <v>88</v>
      </c>
      <c r="I398" s="11">
        <v>-12.2356</v>
      </c>
      <c r="J398" s="12">
        <v>3.255571397E10</v>
      </c>
      <c r="K398" s="13">
        <v>5.2684</v>
      </c>
      <c r="L398" s="13">
        <v>21.5045</v>
      </c>
      <c r="M398" s="8" t="s">
        <v>5733</v>
      </c>
      <c r="N398" s="8" t="s">
        <v>5495</v>
      </c>
      <c r="O398" s="13">
        <v>25.586</v>
      </c>
      <c r="P398" s="13">
        <v>-8.696</v>
      </c>
      <c r="Q398" s="13">
        <v>1.6478</v>
      </c>
      <c r="R398" s="13">
        <v>0.1415</v>
      </c>
      <c r="S398" s="13">
        <v>0.6602</v>
      </c>
      <c r="T398" s="14">
        <f>IFERROR(__xludf.DUMMYFUNCTION("IFERROR(GOOGLEFINANCE(B398,""price""),"""")"),128.64)</f>
        <v>128.64</v>
      </c>
    </row>
    <row r="399">
      <c r="A399" s="15">
        <v>46058.444071523496</v>
      </c>
      <c r="B399" s="16" t="s">
        <v>5640</v>
      </c>
      <c r="C399" s="16" t="s">
        <v>5641</v>
      </c>
      <c r="D399" s="17">
        <v>46061.0</v>
      </c>
      <c r="E399" s="18">
        <v>20.345</v>
      </c>
      <c r="F399" s="27">
        <v>1.8115</v>
      </c>
      <c r="G399" s="20">
        <v>3961422.0</v>
      </c>
      <c r="H399" s="16" t="s">
        <v>308</v>
      </c>
      <c r="I399" s="19">
        <v>8.5067</v>
      </c>
      <c r="J399" s="20">
        <v>1.124552754E9</v>
      </c>
      <c r="K399" s="24"/>
      <c r="L399" s="21">
        <v>-0.5272</v>
      </c>
      <c r="M399" s="16" t="s">
        <v>5642</v>
      </c>
      <c r="N399" s="16" t="s">
        <v>5433</v>
      </c>
      <c r="O399" s="21">
        <v>-12.0038</v>
      </c>
      <c r="P399" s="21">
        <v>-26.8924</v>
      </c>
      <c r="Q399" s="21">
        <v>-4.5361</v>
      </c>
      <c r="R399" s="21">
        <v>0.3555</v>
      </c>
      <c r="S399" s="21">
        <v>1.764</v>
      </c>
      <c r="T399" s="22">
        <f>IFERROR(__xludf.DUMMYFUNCTION("IFERROR(GOOGLEFINANCE(B399,""price""),"""")"),64.18)</f>
        <v>64.18</v>
      </c>
    </row>
    <row r="400">
      <c r="A400" s="7">
        <v>46058.444071523496</v>
      </c>
      <c r="B400" s="8" t="s">
        <v>5533</v>
      </c>
      <c r="C400" s="8" t="s">
        <v>5534</v>
      </c>
      <c r="D400" s="9">
        <v>46061.0</v>
      </c>
      <c r="E400" s="10">
        <v>7.5</v>
      </c>
      <c r="F400" s="26">
        <v>1.6758</v>
      </c>
      <c r="G400" s="12">
        <v>1.0576161E7</v>
      </c>
      <c r="H400" s="8" t="s">
        <v>102</v>
      </c>
      <c r="I400" s="11">
        <v>-2.9754</v>
      </c>
      <c r="J400" s="12">
        <v>2.029296117E9</v>
      </c>
      <c r="K400" s="23"/>
      <c r="L400" s="13">
        <v>-3.7839</v>
      </c>
      <c r="M400" s="8" t="s">
        <v>5535</v>
      </c>
      <c r="N400" s="8" t="s">
        <v>5536</v>
      </c>
      <c r="O400" s="13">
        <v>-55.984</v>
      </c>
      <c r="P400" s="13">
        <v>-31.1477</v>
      </c>
      <c r="Q400" s="23"/>
      <c r="R400" s="13">
        <v>4.5088</v>
      </c>
      <c r="S400" s="13">
        <v>1.1293</v>
      </c>
      <c r="T400" s="14">
        <f>IFERROR(__xludf.DUMMYFUNCTION("IFERROR(GOOGLEFINANCE(B400,""price""),"""")"),4.69)</f>
        <v>4.69</v>
      </c>
    </row>
    <row r="401">
      <c r="A401" s="15">
        <v>46058.444071523496</v>
      </c>
      <c r="B401" s="16" t="s">
        <v>5503</v>
      </c>
      <c r="C401" s="16" t="s">
        <v>5504</v>
      </c>
      <c r="D401" s="17">
        <v>46061.0</v>
      </c>
      <c r="E401" s="18">
        <v>11.85</v>
      </c>
      <c r="F401" s="27">
        <v>1.6416</v>
      </c>
      <c r="G401" s="20">
        <v>8402006.0</v>
      </c>
      <c r="H401" s="16" t="s">
        <v>335</v>
      </c>
      <c r="I401" s="19">
        <v>-9.056</v>
      </c>
      <c r="J401" s="20">
        <v>1.39716842E9</v>
      </c>
      <c r="K401" s="24"/>
      <c r="L401" s="21">
        <v>-0.5583</v>
      </c>
      <c r="M401" s="16" t="s">
        <v>5505</v>
      </c>
      <c r="N401" s="16" t="s">
        <v>5445</v>
      </c>
      <c r="O401" s="21">
        <v>-128.3047</v>
      </c>
      <c r="P401" s="24"/>
      <c r="Q401" s="24"/>
      <c r="R401" s="21">
        <v>0.064</v>
      </c>
      <c r="S401" s="21">
        <v>0.1282</v>
      </c>
      <c r="T401" s="22">
        <f>IFERROR(__xludf.DUMMYFUNCTION("IFERROR(GOOGLEFINANCE(B401,""price""),"""")"),8.87)</f>
        <v>8.87</v>
      </c>
    </row>
    <row r="402">
      <c r="A402" s="7">
        <v>46058.444071523496</v>
      </c>
      <c r="B402" s="8" t="s">
        <v>5643</v>
      </c>
      <c r="C402" s="8" t="s">
        <v>5644</v>
      </c>
      <c r="D402" s="9">
        <v>46061.0</v>
      </c>
      <c r="E402" s="10">
        <v>21.08</v>
      </c>
      <c r="F402" s="26">
        <v>1.6182</v>
      </c>
      <c r="G402" s="12">
        <v>9899270.0</v>
      </c>
      <c r="H402" s="8" t="s">
        <v>102</v>
      </c>
      <c r="I402" s="11">
        <v>-27.2853</v>
      </c>
      <c r="J402" s="12">
        <v>3.87399654E9</v>
      </c>
      <c r="K402" s="23"/>
      <c r="L402" s="13">
        <v>-0.428</v>
      </c>
      <c r="M402" s="8" t="s">
        <v>5645</v>
      </c>
      <c r="N402" s="8" t="s">
        <v>5536</v>
      </c>
      <c r="O402" s="13">
        <v>-10.7162</v>
      </c>
      <c r="P402" s="13">
        <v>-1.5429</v>
      </c>
      <c r="Q402" s="13">
        <v>-16.1468</v>
      </c>
      <c r="R402" s="13">
        <v>0.9454</v>
      </c>
      <c r="S402" s="13">
        <v>1.5064</v>
      </c>
      <c r="T402" s="14">
        <f>IFERROR(__xludf.DUMMYFUNCTION("IFERROR(GOOGLEFINANCE(B402,""price""),"""")"),13.78)</f>
        <v>13.78</v>
      </c>
    </row>
    <row r="403">
      <c r="A403" s="15">
        <v>46058.444071523496</v>
      </c>
      <c r="B403" s="16" t="s">
        <v>5527</v>
      </c>
      <c r="C403" s="16" t="s">
        <v>5528</v>
      </c>
      <c r="D403" s="17">
        <v>46061.0</v>
      </c>
      <c r="E403" s="18">
        <v>11.36</v>
      </c>
      <c r="F403" s="27">
        <v>1.5951</v>
      </c>
      <c r="G403" s="20">
        <v>5625424.0</v>
      </c>
      <c r="H403" s="16" t="s">
        <v>88</v>
      </c>
      <c r="I403" s="19">
        <v>-10.0554</v>
      </c>
      <c r="J403" s="20">
        <v>1.356056157E9</v>
      </c>
      <c r="K403" s="24"/>
      <c r="L403" s="24"/>
      <c r="M403" s="16" t="s">
        <v>5529</v>
      </c>
      <c r="N403" s="16" t="s">
        <v>5429</v>
      </c>
      <c r="O403" s="24"/>
      <c r="P403" s="24"/>
      <c r="Q403" s="24"/>
      <c r="R403" s="21">
        <v>0.0885</v>
      </c>
      <c r="S403" s="21">
        <v>10.416</v>
      </c>
      <c r="T403" s="22">
        <f>IFERROR(__xludf.DUMMYFUNCTION("IFERROR(GOOGLEFINANCE(B403,""price""),"""")"),12.37)</f>
        <v>12.37</v>
      </c>
    </row>
    <row r="404">
      <c r="A404" s="7">
        <v>46058.444071523496</v>
      </c>
      <c r="B404" s="8" t="s">
        <v>5734</v>
      </c>
      <c r="C404" s="8" t="s">
        <v>5735</v>
      </c>
      <c r="D404" s="9">
        <v>46061.0</v>
      </c>
      <c r="E404" s="10">
        <v>32.01</v>
      </c>
      <c r="F404" s="26">
        <v>1.5142</v>
      </c>
      <c r="G404" s="12">
        <v>1.313339E7</v>
      </c>
      <c r="H404" s="8" t="s">
        <v>308</v>
      </c>
      <c r="I404" s="11">
        <v>-9.4228</v>
      </c>
      <c r="J404" s="12">
        <v>1.1340490111E10</v>
      </c>
      <c r="K404" s="23"/>
      <c r="L404" s="13">
        <v>-5.3543</v>
      </c>
      <c r="M404" s="8" t="s">
        <v>5736</v>
      </c>
      <c r="N404" s="8" t="s">
        <v>5674</v>
      </c>
      <c r="O404" s="13">
        <v>-108.2332</v>
      </c>
      <c r="P404" s="13">
        <v>-564.3908</v>
      </c>
      <c r="Q404" s="13">
        <v>113.0721</v>
      </c>
      <c r="R404" s="13">
        <v>0.0125</v>
      </c>
      <c r="S404" s="13">
        <v>8.7256</v>
      </c>
      <c r="T404" s="14">
        <f>IFERROR(__xludf.DUMMYFUNCTION("IFERROR(GOOGLEFINANCE(B404,""price""),"""")"),28.79)</f>
        <v>28.79</v>
      </c>
    </row>
    <row r="405">
      <c r="A405" s="15">
        <v>46058.444071523496</v>
      </c>
      <c r="B405" s="16" t="s">
        <v>5544</v>
      </c>
      <c r="C405" s="16" t="s">
        <v>5545</v>
      </c>
      <c r="D405" s="17">
        <v>46061.0</v>
      </c>
      <c r="E405" s="18">
        <v>13.5765</v>
      </c>
      <c r="F405" s="27">
        <v>1.498</v>
      </c>
      <c r="G405" s="20">
        <v>1.8550235E7</v>
      </c>
      <c r="H405" s="16" t="s">
        <v>88</v>
      </c>
      <c r="I405" s="19">
        <v>-4.7263</v>
      </c>
      <c r="J405" s="20">
        <v>5.363967509E9</v>
      </c>
      <c r="K405" s="24"/>
      <c r="L405" s="21">
        <v>-0.1905</v>
      </c>
      <c r="M405" s="16" t="s">
        <v>5546</v>
      </c>
      <c r="N405" s="16" t="s">
        <v>5471</v>
      </c>
      <c r="O405" s="21">
        <v>-9.6935</v>
      </c>
      <c r="P405" s="21">
        <v>-72.0529</v>
      </c>
      <c r="Q405" s="21">
        <v>35.4099</v>
      </c>
      <c r="R405" s="21">
        <v>1.333</v>
      </c>
      <c r="S405" s="21">
        <v>2.4892</v>
      </c>
      <c r="T405" s="22">
        <f>IFERROR(__xludf.DUMMYFUNCTION("IFERROR(GOOGLEFINANCE(B405,""price""),"""")"),16.53)</f>
        <v>16.53</v>
      </c>
    </row>
    <row r="406">
      <c r="A406" s="7">
        <v>46058.444071523496</v>
      </c>
      <c r="B406" s="8" t="s">
        <v>5737</v>
      </c>
      <c r="C406" s="8" t="s">
        <v>5738</v>
      </c>
      <c r="D406" s="9">
        <v>46061.0</v>
      </c>
      <c r="E406" s="10">
        <v>48.03</v>
      </c>
      <c r="F406" s="26">
        <v>1.4811</v>
      </c>
      <c r="G406" s="12">
        <v>5428522.0</v>
      </c>
      <c r="H406" s="8" t="s">
        <v>88</v>
      </c>
      <c r="I406" s="11">
        <v>-11.3347</v>
      </c>
      <c r="J406" s="12">
        <v>5.188999537E9</v>
      </c>
      <c r="K406" s="13">
        <v>26.7941</v>
      </c>
      <c r="L406" s="13">
        <v>1.7926</v>
      </c>
      <c r="M406" s="8" t="s">
        <v>5739</v>
      </c>
      <c r="N406" s="8" t="s">
        <v>5471</v>
      </c>
      <c r="O406" s="13">
        <v>18.7518</v>
      </c>
      <c r="P406" s="13">
        <v>-44.6776</v>
      </c>
      <c r="Q406" s="13">
        <v>4.3969</v>
      </c>
      <c r="R406" s="13">
        <v>0.2709</v>
      </c>
      <c r="S406" s="13">
        <v>0.7207</v>
      </c>
      <c r="T406" s="14">
        <f>IFERROR(__xludf.DUMMYFUNCTION("IFERROR(GOOGLEFINANCE(B406,""price""),"""")"),66.08)</f>
        <v>66.08</v>
      </c>
    </row>
    <row r="407">
      <c r="A407" s="15">
        <v>46058.444071523496</v>
      </c>
      <c r="B407" s="16" t="s">
        <v>2704</v>
      </c>
      <c r="C407" s="16" t="s">
        <v>2705</v>
      </c>
      <c r="D407" s="17">
        <v>46061.0</v>
      </c>
      <c r="E407" s="18">
        <v>29.46</v>
      </c>
      <c r="F407" s="27">
        <v>1.4548</v>
      </c>
      <c r="G407" s="20">
        <v>1.2900104E7</v>
      </c>
      <c r="H407" s="16" t="s">
        <v>88</v>
      </c>
      <c r="I407" s="19">
        <v>-6.5948</v>
      </c>
      <c r="J407" s="20">
        <v>8.236598362E9</v>
      </c>
      <c r="K407" s="24"/>
      <c r="L407" s="21">
        <v>-0.5438</v>
      </c>
      <c r="M407" s="16" t="s">
        <v>2707</v>
      </c>
      <c r="N407" s="16" t="s">
        <v>5471</v>
      </c>
      <c r="O407" s="21">
        <v>-11.4029</v>
      </c>
      <c r="P407" s="21">
        <v>-26.4624</v>
      </c>
      <c r="Q407" s="21">
        <v>33.135</v>
      </c>
      <c r="R407" s="21">
        <v>1.6778</v>
      </c>
      <c r="S407" s="21">
        <v>4.8227</v>
      </c>
      <c r="T407" s="22">
        <f>IFERROR(__xludf.DUMMYFUNCTION("IFERROR(GOOGLEFINANCE(B407,""price""),"""")"),26.24)</f>
        <v>26.24</v>
      </c>
    </row>
    <row r="408">
      <c r="A408" s="7">
        <v>46058.444071523496</v>
      </c>
      <c r="B408" s="8" t="s">
        <v>1077</v>
      </c>
      <c r="C408" s="8" t="s">
        <v>1078</v>
      </c>
      <c r="D408" s="9">
        <v>46061.0</v>
      </c>
      <c r="E408" s="10">
        <v>7.5544</v>
      </c>
      <c r="F408" s="26">
        <v>1.4512</v>
      </c>
      <c r="G408" s="12">
        <v>4355120.0</v>
      </c>
      <c r="H408" s="8" t="s">
        <v>335</v>
      </c>
      <c r="I408" s="11">
        <v>-6.3891</v>
      </c>
      <c r="J408" s="12">
        <v>1.057885002E9</v>
      </c>
      <c r="K408" s="23"/>
      <c r="L408" s="13">
        <v>-0.041</v>
      </c>
      <c r="M408" s="8" t="s">
        <v>1079</v>
      </c>
      <c r="N408" s="8" t="s">
        <v>5506</v>
      </c>
      <c r="O408" s="13">
        <v>-10.5913</v>
      </c>
      <c r="P408" s="13">
        <v>-18.9471</v>
      </c>
      <c r="Q408" s="13">
        <v>240.123</v>
      </c>
      <c r="R408" s="13">
        <v>0.0037</v>
      </c>
      <c r="S408" s="13">
        <v>5.0784</v>
      </c>
      <c r="T408" s="14">
        <f>IFERROR(__xludf.DUMMYFUNCTION("IFERROR(GOOGLEFINANCE(B408,""price""),"""")"),8.36)</f>
        <v>8.36</v>
      </c>
    </row>
    <row r="409">
      <c r="A409" s="15">
        <v>46058.444071523496</v>
      </c>
      <c r="B409" s="16" t="s">
        <v>5740</v>
      </c>
      <c r="C409" s="16" t="s">
        <v>5741</v>
      </c>
      <c r="D409" s="17">
        <v>46061.0</v>
      </c>
      <c r="E409" s="18">
        <v>223.8</v>
      </c>
      <c r="F409" s="27">
        <v>1.4412</v>
      </c>
      <c r="G409" s="20">
        <v>3.1043605E7</v>
      </c>
      <c r="H409" s="16" t="s">
        <v>137</v>
      </c>
      <c r="I409" s="19">
        <v>-3.9444</v>
      </c>
      <c r="J409" s="20">
        <v>2.392470356993E12</v>
      </c>
      <c r="K409" s="21">
        <v>31.6164</v>
      </c>
      <c r="L409" s="21">
        <v>7.0786</v>
      </c>
      <c r="M409" s="16" t="s">
        <v>5742</v>
      </c>
      <c r="N409" s="16" t="s">
        <v>5743</v>
      </c>
      <c r="O409" s="21">
        <v>24.327</v>
      </c>
      <c r="P409" s="21">
        <v>11.537</v>
      </c>
      <c r="Q409" s="21">
        <v>11.4818</v>
      </c>
      <c r="R409" s="21">
        <v>0.4132</v>
      </c>
      <c r="S409" s="21">
        <v>1.0086</v>
      </c>
      <c r="T409" s="22">
        <f>IFERROR(__xludf.DUMMYFUNCTION("IFERROR(GOOGLEFINANCE(B409,""price""),"""")"),238.38)</f>
        <v>238.38</v>
      </c>
    </row>
    <row r="410">
      <c r="A410" s="7">
        <v>46058.444071523496</v>
      </c>
      <c r="B410" s="8" t="s">
        <v>5637</v>
      </c>
      <c r="C410" s="8" t="s">
        <v>5638</v>
      </c>
      <c r="D410" s="9">
        <v>46061.0</v>
      </c>
      <c r="E410" s="10">
        <v>24.005</v>
      </c>
      <c r="F410" s="26">
        <v>1.4014</v>
      </c>
      <c r="G410" s="12">
        <v>7491011.0</v>
      </c>
      <c r="H410" s="8" t="s">
        <v>88</v>
      </c>
      <c r="I410" s="11">
        <v>-3.749</v>
      </c>
      <c r="J410" s="12">
        <v>1.0272047987E10</v>
      </c>
      <c r="K410" s="23"/>
      <c r="L410" s="13">
        <v>-1.0498</v>
      </c>
      <c r="M410" s="8" t="s">
        <v>5639</v>
      </c>
      <c r="N410" s="8" t="s">
        <v>5429</v>
      </c>
      <c r="O410" s="13">
        <v>-13.6376</v>
      </c>
      <c r="P410" s="13">
        <v>-25.3215</v>
      </c>
      <c r="Q410" s="13">
        <v>-8.2306</v>
      </c>
      <c r="R410" s="13">
        <v>0.7272</v>
      </c>
      <c r="S410" s="13">
        <v>2.7772</v>
      </c>
      <c r="T410" s="14">
        <f>IFERROR(__xludf.DUMMYFUNCTION("IFERROR(GOOGLEFINANCE(B410,""price""),"""")"),21.62)</f>
        <v>21.62</v>
      </c>
    </row>
    <row r="411">
      <c r="A411" s="15">
        <v>46058.444071523496</v>
      </c>
      <c r="B411" s="16" t="s">
        <v>5594</v>
      </c>
      <c r="C411" s="16" t="s">
        <v>5595</v>
      </c>
      <c r="D411" s="17">
        <v>46061.0</v>
      </c>
      <c r="E411" s="18">
        <v>12.725</v>
      </c>
      <c r="F411" s="27">
        <v>1.3822</v>
      </c>
      <c r="G411" s="20">
        <v>1.4086238E7</v>
      </c>
      <c r="H411" s="16" t="s">
        <v>88</v>
      </c>
      <c r="I411" s="19">
        <v>-8.3213</v>
      </c>
      <c r="J411" s="20">
        <v>5.327727027E9</v>
      </c>
      <c r="K411" s="24"/>
      <c r="L411" s="21">
        <v>-1.4167</v>
      </c>
      <c r="M411" s="16" t="s">
        <v>5596</v>
      </c>
      <c r="N411" s="16" t="s">
        <v>5471</v>
      </c>
      <c r="O411" s="21">
        <v>-181.9547</v>
      </c>
      <c r="P411" s="21">
        <v>-69.885</v>
      </c>
      <c r="Q411" s="21">
        <v>30.5825</v>
      </c>
      <c r="R411" s="21">
        <v>4.3877</v>
      </c>
      <c r="S411" s="21">
        <v>1.0329</v>
      </c>
      <c r="T411" s="22">
        <f>IFERROR(__xludf.DUMMYFUNCTION("IFERROR(GOOGLEFINANCE(B411,""price""),"""")"),18.88)</f>
        <v>18.88</v>
      </c>
    </row>
    <row r="412">
      <c r="A412" s="7">
        <v>46058.444071523496</v>
      </c>
      <c r="B412" s="8" t="s">
        <v>5607</v>
      </c>
      <c r="C412" s="8" t="s">
        <v>5608</v>
      </c>
      <c r="D412" s="9">
        <v>46061.0</v>
      </c>
      <c r="E412" s="10">
        <v>15.175</v>
      </c>
      <c r="F412" s="26">
        <v>1.3717</v>
      </c>
      <c r="G412" s="12">
        <v>5940725.0</v>
      </c>
      <c r="H412" s="8" t="s">
        <v>308</v>
      </c>
      <c r="I412" s="11">
        <v>-8.6394</v>
      </c>
      <c r="J412" s="12">
        <v>2.73482407E9</v>
      </c>
      <c r="K412" s="23"/>
      <c r="L412" s="13">
        <v>-1.8673</v>
      </c>
      <c r="M412" s="8" t="s">
        <v>5609</v>
      </c>
      <c r="N412" s="8" t="s">
        <v>5520</v>
      </c>
      <c r="O412" s="23"/>
      <c r="P412" s="13">
        <v>-30.7058</v>
      </c>
      <c r="Q412" s="13">
        <v>8.0687</v>
      </c>
      <c r="R412" s="23"/>
      <c r="S412" s="13">
        <v>6.2531</v>
      </c>
      <c r="T412" s="14">
        <f>IFERROR(__xludf.DUMMYFUNCTION("IFERROR(GOOGLEFINANCE(B412,""price""),"""")"),23.57)</f>
        <v>23.57</v>
      </c>
    </row>
    <row r="413">
      <c r="A413" s="15">
        <v>46058.444071523496</v>
      </c>
      <c r="B413" s="16" t="s">
        <v>4884</v>
      </c>
      <c r="C413" s="16" t="s">
        <v>4885</v>
      </c>
      <c r="D413" s="17">
        <v>46061.0</v>
      </c>
      <c r="E413" s="18">
        <v>15.775</v>
      </c>
      <c r="F413" s="27">
        <v>1.3503</v>
      </c>
      <c r="G413" s="20">
        <v>4957953.0</v>
      </c>
      <c r="H413" s="16" t="s">
        <v>88</v>
      </c>
      <c r="I413" s="19">
        <v>-2.322</v>
      </c>
      <c r="J413" s="20">
        <v>4.891217047E9</v>
      </c>
      <c r="K413" s="21">
        <v>113.2448</v>
      </c>
      <c r="L413" s="21">
        <v>0.1393</v>
      </c>
      <c r="M413" s="16" t="s">
        <v>4886</v>
      </c>
      <c r="N413" s="16" t="s">
        <v>5471</v>
      </c>
      <c r="O413" s="24"/>
      <c r="P413" s="21">
        <v>-56.2854</v>
      </c>
      <c r="Q413" s="21">
        <v>-40.0761</v>
      </c>
      <c r="R413" s="24"/>
      <c r="S413" s="21">
        <v>1.584</v>
      </c>
      <c r="T413" s="22">
        <f>IFERROR(__xludf.DUMMYFUNCTION("IFERROR(GOOGLEFINANCE(B413,""price""),"""")"),18.32)</f>
        <v>18.32</v>
      </c>
    </row>
    <row r="414">
      <c r="A414" s="7">
        <v>46058.444071523496</v>
      </c>
      <c r="B414" s="8" t="s">
        <v>5554</v>
      </c>
      <c r="C414" s="8" t="s">
        <v>5555</v>
      </c>
      <c r="D414" s="9">
        <v>46061.0</v>
      </c>
      <c r="E414" s="10">
        <v>96.9</v>
      </c>
      <c r="F414" s="26">
        <v>1.346</v>
      </c>
      <c r="G414" s="12">
        <v>8159737.0</v>
      </c>
      <c r="H414" s="8" t="s">
        <v>873</v>
      </c>
      <c r="I414" s="11">
        <v>-6.3768</v>
      </c>
      <c r="J414" s="12">
        <v>3.5601185514E10</v>
      </c>
      <c r="K414" s="23"/>
      <c r="L414" s="13">
        <v>-1.2452</v>
      </c>
      <c r="M414" s="8" t="s">
        <v>5556</v>
      </c>
      <c r="N414" s="8" t="s">
        <v>5557</v>
      </c>
      <c r="O414" s="13">
        <v>-39.2195</v>
      </c>
      <c r="P414" s="13">
        <v>-1479.4668</v>
      </c>
      <c r="Q414" s="13">
        <v>641.24</v>
      </c>
      <c r="R414" s="13">
        <v>0.5824</v>
      </c>
      <c r="S414" s="13">
        <v>9.5602</v>
      </c>
      <c r="T414" s="14">
        <f>IFERROR(__xludf.DUMMYFUNCTION("IFERROR(GOOGLEFINANCE(B414,""price""),"""")"),94.9)</f>
        <v>94.9</v>
      </c>
    </row>
    <row r="415">
      <c r="A415" s="15">
        <v>46058.444071523496</v>
      </c>
      <c r="B415" s="16" t="s">
        <v>5514</v>
      </c>
      <c r="C415" s="16" t="s">
        <v>5515</v>
      </c>
      <c r="D415" s="17">
        <v>46061.0</v>
      </c>
      <c r="E415" s="18">
        <v>5.8514</v>
      </c>
      <c r="F415" s="27">
        <v>1.3359</v>
      </c>
      <c r="G415" s="20">
        <v>8374353.0</v>
      </c>
      <c r="H415" s="16" t="s">
        <v>117</v>
      </c>
      <c r="I415" s="19">
        <v>-0.4864</v>
      </c>
      <c r="J415" s="20">
        <v>5.763425541E9</v>
      </c>
      <c r="K415" s="24"/>
      <c r="L415" s="21">
        <v>-0.4205</v>
      </c>
      <c r="M415" s="16" t="s">
        <v>5516</v>
      </c>
      <c r="N415" s="16" t="s">
        <v>5491</v>
      </c>
      <c r="O415" s="24"/>
      <c r="P415" s="21">
        <v>-315.8428</v>
      </c>
      <c r="Q415" s="21">
        <v>1025.9547</v>
      </c>
      <c r="R415" s="24"/>
      <c r="S415" s="21">
        <v>5.7671</v>
      </c>
      <c r="T415" s="22">
        <f>IFERROR(__xludf.DUMMYFUNCTION("IFERROR(GOOGLEFINANCE(B415,""price""),"""")"),7.28)</f>
        <v>7.28</v>
      </c>
    </row>
    <row r="416">
      <c r="A416" s="7">
        <v>46058.444071523496</v>
      </c>
      <c r="B416" s="8" t="s">
        <v>5422</v>
      </c>
      <c r="C416" s="8" t="s">
        <v>5423</v>
      </c>
      <c r="D416" s="9">
        <v>46061.0</v>
      </c>
      <c r="E416" s="10">
        <v>21.87</v>
      </c>
      <c r="F416" s="26">
        <v>1.3191</v>
      </c>
      <c r="G416" s="12">
        <v>9719341.0</v>
      </c>
      <c r="H416" s="8" t="s">
        <v>102</v>
      </c>
      <c r="I416" s="11">
        <v>-7.0548</v>
      </c>
      <c r="J416" s="12">
        <v>4.766150436E9</v>
      </c>
      <c r="K416" s="23"/>
      <c r="L416" s="13">
        <v>-2.5128</v>
      </c>
      <c r="M416" s="8" t="s">
        <v>5424</v>
      </c>
      <c r="N416" s="8" t="s">
        <v>5425</v>
      </c>
      <c r="O416" s="13">
        <v>-255.9098</v>
      </c>
      <c r="P416" s="23"/>
      <c r="Q416" s="23"/>
      <c r="R416" s="23"/>
      <c r="S416" s="13">
        <v>16.5111</v>
      </c>
      <c r="T416" s="14">
        <f>IFERROR(__xludf.DUMMYFUNCTION("IFERROR(GOOGLEFINANCE(B416,""price""),"""")"),16.15)</f>
        <v>16.15</v>
      </c>
    </row>
    <row r="417">
      <c r="A417" s="15">
        <v>46058.444071523496</v>
      </c>
      <c r="B417" s="16" t="s">
        <v>5574</v>
      </c>
      <c r="C417" s="16" t="s">
        <v>5575</v>
      </c>
      <c r="D417" s="17">
        <v>46061.0</v>
      </c>
      <c r="E417" s="18">
        <v>20.43</v>
      </c>
      <c r="F417" s="27">
        <v>1.3176</v>
      </c>
      <c r="G417" s="20">
        <v>7385159.0</v>
      </c>
      <c r="H417" s="16" t="s">
        <v>335</v>
      </c>
      <c r="I417" s="19">
        <v>-4.6218</v>
      </c>
      <c r="J417" s="20">
        <v>4.847768492E9</v>
      </c>
      <c r="K417" s="24"/>
      <c r="L417" s="21">
        <v>-0.4849</v>
      </c>
      <c r="M417" s="16" t="s">
        <v>5576</v>
      </c>
      <c r="N417" s="16" t="s">
        <v>5506</v>
      </c>
      <c r="O417" s="21">
        <v>-18.1731</v>
      </c>
      <c r="P417" s="21">
        <v>-129.5586</v>
      </c>
      <c r="Q417" s="21">
        <v>103.694</v>
      </c>
      <c r="R417" s="21">
        <v>0.0</v>
      </c>
      <c r="S417" s="21">
        <v>11.4962</v>
      </c>
      <c r="T417" s="22">
        <f>IFERROR(__xludf.DUMMYFUNCTION("IFERROR(GOOGLEFINANCE(B417,""price""),"""")"),18.4)</f>
        <v>18.4</v>
      </c>
    </row>
    <row r="418">
      <c r="A418" s="7">
        <v>46058.444071523496</v>
      </c>
      <c r="B418" s="8" t="s">
        <v>5561</v>
      </c>
      <c r="C418" s="8" t="s">
        <v>5562</v>
      </c>
      <c r="D418" s="9">
        <v>46061.0</v>
      </c>
      <c r="E418" s="10">
        <v>15.045</v>
      </c>
      <c r="F418" s="26">
        <v>1.3119</v>
      </c>
      <c r="G418" s="12">
        <v>1.0778116E7</v>
      </c>
      <c r="H418" s="8" t="s">
        <v>102</v>
      </c>
      <c r="I418" s="11">
        <v>-7.1296</v>
      </c>
      <c r="J418" s="12">
        <v>4.554491435E9</v>
      </c>
      <c r="K418" s="23"/>
      <c r="L418" s="13">
        <v>-2.8582</v>
      </c>
      <c r="M418" s="8" t="s">
        <v>5563</v>
      </c>
      <c r="N418" s="8" t="s">
        <v>5536</v>
      </c>
      <c r="O418" s="13">
        <v>-76.8505</v>
      </c>
      <c r="P418" s="13">
        <v>-983.9643</v>
      </c>
      <c r="Q418" s="13">
        <v>765.6686</v>
      </c>
      <c r="R418" s="13">
        <v>0.0</v>
      </c>
      <c r="S418" s="13">
        <v>1.6153</v>
      </c>
      <c r="T418" s="14">
        <f>IFERROR(__xludf.DUMMYFUNCTION("IFERROR(GOOGLEFINANCE(B418,""price""),"""")"),9.21)</f>
        <v>9.21</v>
      </c>
    </row>
    <row r="419">
      <c r="A419" s="15">
        <v>46058.444071523496</v>
      </c>
      <c r="B419" s="16" t="s">
        <v>5744</v>
      </c>
      <c r="C419" s="16" t="s">
        <v>5745</v>
      </c>
      <c r="D419" s="17">
        <v>46061.0</v>
      </c>
      <c r="E419" s="18">
        <v>24.975</v>
      </c>
      <c r="F419" s="27">
        <v>1.3109</v>
      </c>
      <c r="G419" s="20">
        <v>3.8438972E7</v>
      </c>
      <c r="H419" s="16" t="s">
        <v>190</v>
      </c>
      <c r="I419" s="19">
        <v>2.3566</v>
      </c>
      <c r="J419" s="20">
        <v>5.685521506E9</v>
      </c>
      <c r="K419" s="21">
        <v>46.173</v>
      </c>
      <c r="L419" s="21">
        <v>0.5409</v>
      </c>
      <c r="M419" s="16" t="s">
        <v>5746</v>
      </c>
      <c r="N419" s="16" t="s">
        <v>5747</v>
      </c>
      <c r="O419" s="21">
        <v>26.2066</v>
      </c>
      <c r="P419" s="21">
        <v>5.9617</v>
      </c>
      <c r="Q419" s="21">
        <v>78.0168</v>
      </c>
      <c r="R419" s="21">
        <v>1.9244</v>
      </c>
      <c r="S419" s="21">
        <v>1.8751</v>
      </c>
      <c r="T419" s="22">
        <f>IFERROR(__xludf.DUMMYFUNCTION("IFERROR(GOOGLEFINANCE(B419,""price""),"""")"),19.43)</f>
        <v>19.43</v>
      </c>
    </row>
    <row r="420">
      <c r="A420" s="7">
        <v>46058.444071523496</v>
      </c>
      <c r="B420" s="8" t="s">
        <v>5517</v>
      </c>
      <c r="C420" s="8" t="s">
        <v>5518</v>
      </c>
      <c r="D420" s="9">
        <v>46061.0</v>
      </c>
      <c r="E420" s="10">
        <v>9.4399</v>
      </c>
      <c r="F420" s="26">
        <v>1.3105</v>
      </c>
      <c r="G420" s="12">
        <v>1.271353E7</v>
      </c>
      <c r="H420" s="8" t="s">
        <v>308</v>
      </c>
      <c r="I420" s="11">
        <v>-5.8833</v>
      </c>
      <c r="J420" s="12">
        <v>1.559006876E9</v>
      </c>
      <c r="K420" s="23"/>
      <c r="L420" s="13">
        <v>-3.1791</v>
      </c>
      <c r="M420" s="8" t="s">
        <v>5519</v>
      </c>
      <c r="N420" s="8" t="s">
        <v>5520</v>
      </c>
      <c r="O420" s="13">
        <v>-50.0822</v>
      </c>
      <c r="P420" s="13">
        <v>-46.1858</v>
      </c>
      <c r="Q420" s="13">
        <v>-0.6305</v>
      </c>
      <c r="R420" s="13">
        <v>0.3596</v>
      </c>
      <c r="S420" s="13">
        <v>1.4082</v>
      </c>
      <c r="T420" s="14">
        <f>IFERROR(__xludf.DUMMYFUNCTION("IFERROR(GOOGLEFINANCE(B420,""price""),"""")"),9.29)</f>
        <v>9.29</v>
      </c>
    </row>
    <row r="421">
      <c r="A421" s="15">
        <v>46058.444071523496</v>
      </c>
      <c r="B421" s="16" t="s">
        <v>5434</v>
      </c>
      <c r="C421" s="16" t="s">
        <v>5435</v>
      </c>
      <c r="D421" s="17">
        <v>46061.0</v>
      </c>
      <c r="E421" s="18">
        <v>8.895</v>
      </c>
      <c r="F421" s="27">
        <v>1.3086</v>
      </c>
      <c r="G421" s="20">
        <v>4.966626E7</v>
      </c>
      <c r="H421" s="16" t="s">
        <v>308</v>
      </c>
      <c r="I421" s="19">
        <v>-8.1095</v>
      </c>
      <c r="J421" s="20">
        <v>3.758818153E9</v>
      </c>
      <c r="K421" s="24"/>
      <c r="L421" s="21">
        <v>-0.4034</v>
      </c>
      <c r="M421" s="16" t="s">
        <v>5436</v>
      </c>
      <c r="N421" s="16" t="s">
        <v>5437</v>
      </c>
      <c r="O421" s="21">
        <v>-17.0422</v>
      </c>
      <c r="P421" s="21">
        <v>-176.0921</v>
      </c>
      <c r="Q421" s="21">
        <v>208.4002</v>
      </c>
      <c r="R421" s="21">
        <v>0.037</v>
      </c>
      <c r="S421" s="21">
        <v>15.2957</v>
      </c>
      <c r="T421" s="22">
        <f>IFERROR(__xludf.DUMMYFUNCTION("IFERROR(GOOGLEFINANCE(B421,""price""),"""")"),9.13)</f>
        <v>9.13</v>
      </c>
    </row>
    <row r="422">
      <c r="A422" s="7">
        <v>46058.62820576693</v>
      </c>
      <c r="B422" s="8" t="s">
        <v>5567</v>
      </c>
      <c r="C422" s="8" t="s">
        <v>5568</v>
      </c>
      <c r="D422" s="9">
        <v>46061.0</v>
      </c>
      <c r="E422" s="10">
        <v>135.48</v>
      </c>
      <c r="F422" s="26">
        <v>2.8967</v>
      </c>
      <c r="G422" s="12">
        <v>1.0839101E7</v>
      </c>
      <c r="H422" s="8" t="s">
        <v>308</v>
      </c>
      <c r="I422" s="11">
        <v>-8.0556</v>
      </c>
      <c r="J422" s="12">
        <v>3.2042478746E10</v>
      </c>
      <c r="K422" s="23"/>
      <c r="L422" s="13">
        <v>-0.0291</v>
      </c>
      <c r="M422" s="8" t="s">
        <v>5569</v>
      </c>
      <c r="N422" s="8" t="s">
        <v>5433</v>
      </c>
      <c r="O422" s="13">
        <v>2.8171</v>
      </c>
      <c r="P422" s="13">
        <v>7.0245</v>
      </c>
      <c r="Q422" s="13">
        <v>44.5274</v>
      </c>
      <c r="R422" s="13">
        <v>2.3214</v>
      </c>
      <c r="S422" s="13">
        <v>4.34</v>
      </c>
      <c r="T422" s="14">
        <f>IFERROR(__xludf.DUMMYFUNCTION("IFERROR(GOOGLEFINANCE(B422,""price""),"""")"),166.7)</f>
        <v>166.7</v>
      </c>
    </row>
    <row r="423">
      <c r="A423" s="15">
        <v>46058.62820576693</v>
      </c>
      <c r="B423" s="16" t="s">
        <v>5484</v>
      </c>
      <c r="C423" s="16" t="s">
        <v>5485</v>
      </c>
      <c r="D423" s="17">
        <v>46061.0</v>
      </c>
      <c r="E423" s="18">
        <v>39.3703</v>
      </c>
      <c r="F423" s="27">
        <v>2.6346</v>
      </c>
      <c r="G423" s="20">
        <v>4.8623194E7</v>
      </c>
      <c r="H423" s="16" t="s">
        <v>88</v>
      </c>
      <c r="I423" s="19">
        <v>-12.3936</v>
      </c>
      <c r="J423" s="20">
        <v>1.2893750106E10</v>
      </c>
      <c r="K423" s="21">
        <v>20.0736</v>
      </c>
      <c r="L423" s="21">
        <v>1.9613</v>
      </c>
      <c r="M423" s="16" t="s">
        <v>5486</v>
      </c>
      <c r="N423" s="16" t="s">
        <v>5471</v>
      </c>
      <c r="O423" s="21">
        <v>30.1877</v>
      </c>
      <c r="P423" s="21">
        <v>-0.3959</v>
      </c>
      <c r="Q423" s="21">
        <v>236.1371</v>
      </c>
      <c r="R423" s="21">
        <v>0.3357</v>
      </c>
      <c r="S423" s="21">
        <v>5.5164</v>
      </c>
      <c r="T423" s="22">
        <f>IFERROR(__xludf.DUMMYFUNCTION("IFERROR(GOOGLEFINANCE(B423,""price""),"""")"),39.32)</f>
        <v>39.32</v>
      </c>
    </row>
    <row r="424">
      <c r="A424" s="7">
        <v>46058.62820576693</v>
      </c>
      <c r="B424" s="8" t="s">
        <v>5685</v>
      </c>
      <c r="C424" s="8" t="s">
        <v>5686</v>
      </c>
      <c r="D424" s="9">
        <v>46061.0</v>
      </c>
      <c r="E424" s="10">
        <v>60.34</v>
      </c>
      <c r="F424" s="26">
        <v>2.6205</v>
      </c>
      <c r="G424" s="12">
        <v>1.467683E7</v>
      </c>
      <c r="H424" s="8" t="s">
        <v>88</v>
      </c>
      <c r="I424" s="11">
        <v>-4.3285</v>
      </c>
      <c r="J424" s="12">
        <v>4.2354156799E10</v>
      </c>
      <c r="K424" s="23"/>
      <c r="L424" s="13">
        <v>-1.4255</v>
      </c>
      <c r="M424" s="8" t="s">
        <v>5687</v>
      </c>
      <c r="N424" s="8" t="s">
        <v>5429</v>
      </c>
      <c r="O424" s="13">
        <v>-324.2417</v>
      </c>
      <c r="P424" s="13">
        <v>-25.0423</v>
      </c>
      <c r="Q424" s="13">
        <v>32.7011</v>
      </c>
      <c r="R424" s="13">
        <v>4.329</v>
      </c>
      <c r="S424" s="13">
        <v>0.7926</v>
      </c>
      <c r="T424" s="14">
        <f>IFERROR(__xludf.DUMMYFUNCTION("IFERROR(GOOGLEFINANCE(B424,""price""),"""")"),55.59)</f>
        <v>55.59</v>
      </c>
    </row>
    <row r="425">
      <c r="A425" s="15">
        <v>46058.62820576693</v>
      </c>
      <c r="B425" s="16" t="s">
        <v>5748</v>
      </c>
      <c r="C425" s="16" t="s">
        <v>5749</v>
      </c>
      <c r="D425" s="17">
        <v>46061.0</v>
      </c>
      <c r="E425" s="18">
        <v>59.215</v>
      </c>
      <c r="F425" s="27">
        <v>2.233</v>
      </c>
      <c r="G425" s="20">
        <v>9475299.0</v>
      </c>
      <c r="H425" s="16" t="s">
        <v>93</v>
      </c>
      <c r="I425" s="19">
        <v>-4.7378</v>
      </c>
      <c r="J425" s="20">
        <v>1.9545311727E10</v>
      </c>
      <c r="K425" s="21">
        <v>87.7519</v>
      </c>
      <c r="L425" s="21">
        <v>0.6748</v>
      </c>
      <c r="M425" s="16" t="s">
        <v>5750</v>
      </c>
      <c r="N425" s="16" t="s">
        <v>5590</v>
      </c>
      <c r="O425" s="21">
        <v>7.5998</v>
      </c>
      <c r="P425" s="21">
        <v>16.9055</v>
      </c>
      <c r="Q425" s="21">
        <v>37.6113</v>
      </c>
      <c r="R425" s="21">
        <v>2.3537</v>
      </c>
      <c r="S425" s="21">
        <v>17.4432</v>
      </c>
      <c r="T425" s="22">
        <f>IFERROR(__xludf.DUMMYFUNCTION("IFERROR(GOOGLEFINANCE(B425,""price""),"""")"),48.53)</f>
        <v>48.53</v>
      </c>
    </row>
    <row r="426">
      <c r="A426" s="7">
        <v>46058.62820576693</v>
      </c>
      <c r="B426" s="8" t="s">
        <v>2300</v>
      </c>
      <c r="C426" s="8" t="s">
        <v>2301</v>
      </c>
      <c r="D426" s="9">
        <v>46061.0</v>
      </c>
      <c r="E426" s="10">
        <v>23.545</v>
      </c>
      <c r="F426" s="26">
        <v>2.0234</v>
      </c>
      <c r="G426" s="12">
        <v>1.2869866E7</v>
      </c>
      <c r="H426" s="8" t="s">
        <v>88</v>
      </c>
      <c r="I426" s="11">
        <v>0.3623</v>
      </c>
      <c r="J426" s="12">
        <v>6.901952229E9</v>
      </c>
      <c r="K426" s="13">
        <v>15.3909</v>
      </c>
      <c r="L426" s="13">
        <v>1.5298</v>
      </c>
      <c r="M426" s="8" t="s">
        <v>2302</v>
      </c>
      <c r="N426" s="8" t="s">
        <v>5429</v>
      </c>
      <c r="O426" s="13">
        <v>32.9115</v>
      </c>
      <c r="P426" s="13">
        <v>3.8913</v>
      </c>
      <c r="Q426" s="13">
        <v>50.905</v>
      </c>
      <c r="R426" s="13">
        <v>0.4455</v>
      </c>
      <c r="S426" s="13">
        <v>1.9333</v>
      </c>
      <c r="T426" s="14">
        <f>IFERROR(__xludf.DUMMYFUNCTION("IFERROR(GOOGLEFINANCE(B426,""price""),"""")"),24.0)</f>
        <v>24</v>
      </c>
    </row>
    <row r="427">
      <c r="A427" s="15">
        <v>46058.62820576693</v>
      </c>
      <c r="B427" s="16" t="s">
        <v>5731</v>
      </c>
      <c r="C427" s="16" t="s">
        <v>5732</v>
      </c>
      <c r="D427" s="17">
        <v>46061.0</v>
      </c>
      <c r="E427" s="18">
        <v>105.96</v>
      </c>
      <c r="F427" s="27">
        <v>2.0214</v>
      </c>
      <c r="G427" s="20">
        <v>4.6450252E7</v>
      </c>
      <c r="H427" s="16" t="s">
        <v>88</v>
      </c>
      <c r="I427" s="19">
        <v>-17.9177</v>
      </c>
      <c r="J427" s="20">
        <v>3.04479761E10</v>
      </c>
      <c r="K427" s="21">
        <v>4.9273</v>
      </c>
      <c r="L427" s="21">
        <v>21.5045</v>
      </c>
      <c r="M427" s="16" t="s">
        <v>5733</v>
      </c>
      <c r="N427" s="16" t="s">
        <v>5495</v>
      </c>
      <c r="O427" s="21">
        <v>25.586</v>
      </c>
      <c r="P427" s="21">
        <v>-8.696</v>
      </c>
      <c r="Q427" s="21">
        <v>1.6478</v>
      </c>
      <c r="R427" s="21">
        <v>0.1415</v>
      </c>
      <c r="S427" s="21">
        <v>0.6602</v>
      </c>
      <c r="T427" s="22">
        <f>IFERROR(__xludf.DUMMYFUNCTION("IFERROR(GOOGLEFINANCE(B427,""price""),"""")"),128.64)</f>
        <v>128.64</v>
      </c>
    </row>
    <row r="428">
      <c r="A428" s="7">
        <v>46058.62820576693</v>
      </c>
      <c r="B428" s="8" t="s">
        <v>5481</v>
      </c>
      <c r="C428" s="8" t="s">
        <v>5482</v>
      </c>
      <c r="D428" s="9">
        <v>46061.0</v>
      </c>
      <c r="E428" s="10">
        <v>8.415</v>
      </c>
      <c r="F428" s="26">
        <v>1.8242</v>
      </c>
      <c r="G428" s="12">
        <v>3.4361876E7</v>
      </c>
      <c r="H428" s="8" t="s">
        <v>88</v>
      </c>
      <c r="I428" s="11">
        <v>-17.6614</v>
      </c>
      <c r="J428" s="12">
        <v>2.152139388E9</v>
      </c>
      <c r="K428" s="13">
        <v>7.6306</v>
      </c>
      <c r="L428" s="13">
        <v>1.1028</v>
      </c>
      <c r="M428" s="8" t="s">
        <v>5483</v>
      </c>
      <c r="N428" s="8" t="s">
        <v>5471</v>
      </c>
      <c r="O428" s="13">
        <v>18.5197</v>
      </c>
      <c r="P428" s="13">
        <v>-13.9673</v>
      </c>
      <c r="Q428" s="13">
        <v>102.2107</v>
      </c>
      <c r="R428" s="13">
        <v>0.3775</v>
      </c>
      <c r="S428" s="13">
        <v>4.1805</v>
      </c>
      <c r="T428" s="14">
        <f>IFERROR(__xludf.DUMMYFUNCTION("IFERROR(GOOGLEFINANCE(B428,""price""),"""")"),10.02)</f>
        <v>10.02</v>
      </c>
    </row>
    <row r="429">
      <c r="A429" s="15">
        <v>46058.62820576693</v>
      </c>
      <c r="B429" s="16" t="s">
        <v>5705</v>
      </c>
      <c r="C429" s="16" t="s">
        <v>5706</v>
      </c>
      <c r="D429" s="17">
        <v>46061.0</v>
      </c>
      <c r="E429" s="18">
        <v>16.865</v>
      </c>
      <c r="F429" s="27">
        <v>1.5996</v>
      </c>
      <c r="G429" s="20">
        <v>1.316928E7</v>
      </c>
      <c r="H429" s="16" t="s">
        <v>93</v>
      </c>
      <c r="I429" s="19">
        <v>-16.3442</v>
      </c>
      <c r="J429" s="20">
        <v>6.591274033E9</v>
      </c>
      <c r="K429" s="24"/>
      <c r="L429" s="21">
        <v>-2.279</v>
      </c>
      <c r="M429" s="16" t="s">
        <v>5707</v>
      </c>
      <c r="N429" s="16" t="s">
        <v>5708</v>
      </c>
      <c r="O429" s="21">
        <v>-18.1742</v>
      </c>
      <c r="P429" s="21">
        <v>1.1308</v>
      </c>
      <c r="Q429" s="24"/>
      <c r="R429" s="21">
        <v>2.7695</v>
      </c>
      <c r="S429" s="21">
        <v>1.6033</v>
      </c>
      <c r="T429" s="22">
        <f>IFERROR(__xludf.DUMMYFUNCTION("IFERROR(GOOGLEFINANCE(B429,""price""),"""")"),21.66)</f>
        <v>21.66</v>
      </c>
    </row>
    <row r="430">
      <c r="A430" s="7">
        <v>46058.62820576693</v>
      </c>
      <c r="B430" s="8" t="s">
        <v>5607</v>
      </c>
      <c r="C430" s="8" t="s">
        <v>5608</v>
      </c>
      <c r="D430" s="9">
        <v>46061.0</v>
      </c>
      <c r="E430" s="10">
        <v>14.7001</v>
      </c>
      <c r="F430" s="26">
        <v>1.5729</v>
      </c>
      <c r="G430" s="12">
        <v>9568986.0</v>
      </c>
      <c r="H430" s="8" t="s">
        <v>308</v>
      </c>
      <c r="I430" s="11">
        <v>-11.4985</v>
      </c>
      <c r="J430" s="12">
        <v>2.649238043E9</v>
      </c>
      <c r="K430" s="23"/>
      <c r="L430" s="13">
        <v>-1.8673</v>
      </c>
      <c r="M430" s="8" t="s">
        <v>5609</v>
      </c>
      <c r="N430" s="8" t="s">
        <v>5520</v>
      </c>
      <c r="O430" s="23"/>
      <c r="P430" s="13">
        <v>-30.7058</v>
      </c>
      <c r="Q430" s="13">
        <v>8.0687</v>
      </c>
      <c r="R430" s="23"/>
      <c r="S430" s="13">
        <v>6.2531</v>
      </c>
      <c r="T430" s="14">
        <f>IFERROR(__xludf.DUMMYFUNCTION("IFERROR(GOOGLEFINANCE(B430,""price""),"""")"),23.57)</f>
        <v>23.57</v>
      </c>
    </row>
    <row r="431">
      <c r="A431" s="15">
        <v>46058.62820576693</v>
      </c>
      <c r="B431" s="16" t="s">
        <v>5496</v>
      </c>
      <c r="C431" s="16" t="s">
        <v>5497</v>
      </c>
      <c r="D431" s="17">
        <v>46061.0</v>
      </c>
      <c r="E431" s="18">
        <v>6.715</v>
      </c>
      <c r="F431" s="27">
        <v>1.5332</v>
      </c>
      <c r="G431" s="20">
        <v>6.9336826E7</v>
      </c>
      <c r="H431" s="16" t="s">
        <v>88</v>
      </c>
      <c r="I431" s="19">
        <v>-18.901</v>
      </c>
      <c r="J431" s="20">
        <v>2.539507873E9</v>
      </c>
      <c r="K431" s="21">
        <v>3.7186</v>
      </c>
      <c r="L431" s="21">
        <v>1.8058</v>
      </c>
      <c r="M431" s="16" t="s">
        <v>5498</v>
      </c>
      <c r="N431" s="16" t="s">
        <v>5471</v>
      </c>
      <c r="O431" s="21">
        <v>23.127</v>
      </c>
      <c r="P431" s="21">
        <v>-67.8835</v>
      </c>
      <c r="Q431" s="21">
        <v>53.5148</v>
      </c>
      <c r="R431" s="21">
        <v>0.7061</v>
      </c>
      <c r="S431" s="21">
        <v>2.094</v>
      </c>
      <c r="T431" s="22">
        <f>IFERROR(__xludf.DUMMYFUNCTION("IFERROR(GOOGLEFINANCE(B431,""price""),"""")"),9.54)</f>
        <v>9.54</v>
      </c>
    </row>
    <row r="432">
      <c r="A432" s="7">
        <v>46058.62820576693</v>
      </c>
      <c r="B432" s="8" t="s">
        <v>5737</v>
      </c>
      <c r="C432" s="8" t="s">
        <v>5738</v>
      </c>
      <c r="D432" s="9">
        <v>46061.0</v>
      </c>
      <c r="E432" s="10">
        <v>44.205</v>
      </c>
      <c r="F432" s="26">
        <v>1.4942</v>
      </c>
      <c r="G432" s="12">
        <v>1.0036478E7</v>
      </c>
      <c r="H432" s="8" t="s">
        <v>88</v>
      </c>
      <c r="I432" s="11">
        <v>-18.3958</v>
      </c>
      <c r="J432" s="12">
        <v>4.775759411E9</v>
      </c>
      <c r="K432" s="13">
        <v>24.6603</v>
      </c>
      <c r="L432" s="13">
        <v>1.7926</v>
      </c>
      <c r="M432" s="8" t="s">
        <v>5739</v>
      </c>
      <c r="N432" s="8" t="s">
        <v>5471</v>
      </c>
      <c r="O432" s="13">
        <v>18.7518</v>
      </c>
      <c r="P432" s="13">
        <v>-44.6776</v>
      </c>
      <c r="Q432" s="13">
        <v>4.3969</v>
      </c>
      <c r="R432" s="13">
        <v>0.2709</v>
      </c>
      <c r="S432" s="13">
        <v>0.7207</v>
      </c>
      <c r="T432" s="14">
        <f>IFERROR(__xludf.DUMMYFUNCTION("IFERROR(GOOGLEFINANCE(B432,""price""),"""")"),66.08)</f>
        <v>66.08</v>
      </c>
    </row>
    <row r="433">
      <c r="A433" s="15">
        <v>46058.62820576693</v>
      </c>
      <c r="B433" s="16" t="s">
        <v>5740</v>
      </c>
      <c r="C433" s="16" t="s">
        <v>5741</v>
      </c>
      <c r="D433" s="17">
        <v>46061.0</v>
      </c>
      <c r="E433" s="18">
        <v>222.17</v>
      </c>
      <c r="F433" s="27">
        <v>1.4657</v>
      </c>
      <c r="G433" s="20">
        <v>6.340882E7</v>
      </c>
      <c r="H433" s="16" t="s">
        <v>137</v>
      </c>
      <c r="I433" s="19">
        <v>-4.644</v>
      </c>
      <c r="J433" s="20">
        <v>2.375045304795E12</v>
      </c>
      <c r="K433" s="21">
        <v>31.3861</v>
      </c>
      <c r="L433" s="21">
        <v>7.0786</v>
      </c>
      <c r="M433" s="16" t="s">
        <v>5742</v>
      </c>
      <c r="N433" s="16" t="s">
        <v>5743</v>
      </c>
      <c r="O433" s="21">
        <v>24.327</v>
      </c>
      <c r="P433" s="21">
        <v>11.537</v>
      </c>
      <c r="Q433" s="21">
        <v>11.4818</v>
      </c>
      <c r="R433" s="21">
        <v>0.4132</v>
      </c>
      <c r="S433" s="21">
        <v>1.0086</v>
      </c>
      <c r="T433" s="22">
        <f>IFERROR(__xludf.DUMMYFUNCTION("IFERROR(GOOGLEFINANCE(B433,""price""),"""")"),238.38)</f>
        <v>238.38</v>
      </c>
    </row>
    <row r="434">
      <c r="A434" s="7">
        <v>46058.62820576693</v>
      </c>
      <c r="B434" s="8" t="s">
        <v>5544</v>
      </c>
      <c r="C434" s="8" t="s">
        <v>5545</v>
      </c>
      <c r="D434" s="9">
        <v>46061.0</v>
      </c>
      <c r="E434" s="10">
        <v>12.73</v>
      </c>
      <c r="F434" s="26">
        <v>1.4385</v>
      </c>
      <c r="G434" s="12">
        <v>3.7337673E7</v>
      </c>
      <c r="H434" s="8" t="s">
        <v>88</v>
      </c>
      <c r="I434" s="11">
        <v>-10.6667</v>
      </c>
      <c r="J434" s="12">
        <v>5.02952207E9</v>
      </c>
      <c r="K434" s="23"/>
      <c r="L434" s="13">
        <v>-0.1905</v>
      </c>
      <c r="M434" s="8" t="s">
        <v>5546</v>
      </c>
      <c r="N434" s="8" t="s">
        <v>5471</v>
      </c>
      <c r="O434" s="13">
        <v>-9.6935</v>
      </c>
      <c r="P434" s="13">
        <v>-72.0529</v>
      </c>
      <c r="Q434" s="13">
        <v>35.4099</v>
      </c>
      <c r="R434" s="13">
        <v>1.333</v>
      </c>
      <c r="S434" s="13">
        <v>2.4892</v>
      </c>
      <c r="T434" s="14">
        <f>IFERROR(__xludf.DUMMYFUNCTION("IFERROR(GOOGLEFINANCE(B434,""price""),"""")"),16.53)</f>
        <v>16.53</v>
      </c>
    </row>
    <row r="435">
      <c r="A435" s="15">
        <v>46058.62820576693</v>
      </c>
      <c r="B435" s="16" t="s">
        <v>4884</v>
      </c>
      <c r="C435" s="16" t="s">
        <v>4885</v>
      </c>
      <c r="D435" s="17">
        <v>46061.0</v>
      </c>
      <c r="E435" s="18">
        <v>14.875</v>
      </c>
      <c r="F435" s="27">
        <v>1.4362</v>
      </c>
      <c r="G435" s="20">
        <v>1.4150232E7</v>
      </c>
      <c r="H435" s="16" t="s">
        <v>88</v>
      </c>
      <c r="I435" s="19">
        <v>-7.8947</v>
      </c>
      <c r="J435" s="20">
        <v>4.612161874E9</v>
      </c>
      <c r="K435" s="21">
        <v>106.7839</v>
      </c>
      <c r="L435" s="21">
        <v>0.1393</v>
      </c>
      <c r="M435" s="16" t="s">
        <v>4886</v>
      </c>
      <c r="N435" s="16" t="s">
        <v>5471</v>
      </c>
      <c r="O435" s="24"/>
      <c r="P435" s="21">
        <v>-56.2854</v>
      </c>
      <c r="Q435" s="21">
        <v>-40.0761</v>
      </c>
      <c r="R435" s="24"/>
      <c r="S435" s="21">
        <v>1.584</v>
      </c>
      <c r="T435" s="22">
        <f>IFERROR(__xludf.DUMMYFUNCTION("IFERROR(GOOGLEFINANCE(B435,""price""),"""")"),18.32)</f>
        <v>18.32</v>
      </c>
    </row>
    <row r="436">
      <c r="A436" s="7">
        <v>46058.62820576693</v>
      </c>
      <c r="B436" s="8" t="s">
        <v>2704</v>
      </c>
      <c r="C436" s="8" t="s">
        <v>2705</v>
      </c>
      <c r="D436" s="9">
        <v>46061.0</v>
      </c>
      <c r="E436" s="10">
        <v>27.82</v>
      </c>
      <c r="F436" s="26">
        <v>1.4105</v>
      </c>
      <c r="G436" s="12">
        <v>2.5182593E7</v>
      </c>
      <c r="H436" s="8" t="s">
        <v>88</v>
      </c>
      <c r="I436" s="11">
        <v>-11.7945</v>
      </c>
      <c r="J436" s="12">
        <v>7.778077611E9</v>
      </c>
      <c r="K436" s="23"/>
      <c r="L436" s="13">
        <v>-0.5438</v>
      </c>
      <c r="M436" s="8" t="s">
        <v>2707</v>
      </c>
      <c r="N436" s="8" t="s">
        <v>5471</v>
      </c>
      <c r="O436" s="13">
        <v>-11.4029</v>
      </c>
      <c r="P436" s="13">
        <v>-26.4624</v>
      </c>
      <c r="Q436" s="13">
        <v>33.135</v>
      </c>
      <c r="R436" s="13">
        <v>1.6778</v>
      </c>
      <c r="S436" s="13">
        <v>4.8227</v>
      </c>
      <c r="T436" s="14">
        <f>IFERROR(__xludf.DUMMYFUNCTION("IFERROR(GOOGLEFINANCE(B436,""price""),"""")"),26.24)</f>
        <v>26.24</v>
      </c>
    </row>
    <row r="437">
      <c r="A437" s="15">
        <v>46058.62820576693</v>
      </c>
      <c r="B437" s="16" t="s">
        <v>5643</v>
      </c>
      <c r="C437" s="16" t="s">
        <v>5644</v>
      </c>
      <c r="D437" s="17">
        <v>46061.0</v>
      </c>
      <c r="E437" s="18">
        <v>18.73</v>
      </c>
      <c r="F437" s="27">
        <v>1.4092</v>
      </c>
      <c r="G437" s="20">
        <v>1.7696476E7</v>
      </c>
      <c r="H437" s="16" t="s">
        <v>102</v>
      </c>
      <c r="I437" s="19">
        <v>-35.3915</v>
      </c>
      <c r="J437" s="20">
        <v>3.442123112E9</v>
      </c>
      <c r="K437" s="24"/>
      <c r="L437" s="21">
        <v>-0.4504</v>
      </c>
      <c r="M437" s="16" t="s">
        <v>5645</v>
      </c>
      <c r="N437" s="16" t="s">
        <v>5536</v>
      </c>
      <c r="O437" s="21">
        <v>-13.0214</v>
      </c>
      <c r="P437" s="21">
        <v>-1.6208</v>
      </c>
      <c r="Q437" s="21">
        <v>1.1851</v>
      </c>
      <c r="R437" s="21">
        <v>1.0416</v>
      </c>
      <c r="S437" s="21">
        <v>1.4832</v>
      </c>
      <c r="T437" s="22">
        <f>IFERROR(__xludf.DUMMYFUNCTION("IFERROR(GOOGLEFINANCE(B437,""price""),"""")"),13.78)</f>
        <v>13.78</v>
      </c>
    </row>
    <row r="438">
      <c r="A438" s="7">
        <v>46058.62820576693</v>
      </c>
      <c r="B438" s="8" t="s">
        <v>5527</v>
      </c>
      <c r="C438" s="8" t="s">
        <v>5528</v>
      </c>
      <c r="D438" s="9">
        <v>46061.0</v>
      </c>
      <c r="E438" s="10">
        <v>11.2335</v>
      </c>
      <c r="F438" s="26">
        <v>1.3867</v>
      </c>
      <c r="G438" s="12">
        <v>9950138.0</v>
      </c>
      <c r="H438" s="8" t="s">
        <v>88</v>
      </c>
      <c r="I438" s="11">
        <v>-11.057</v>
      </c>
      <c r="J438" s="12">
        <v>1.340955708E9</v>
      </c>
      <c r="K438" s="23"/>
      <c r="L438" s="23"/>
      <c r="M438" s="8" t="s">
        <v>5529</v>
      </c>
      <c r="N438" s="8" t="s">
        <v>5429</v>
      </c>
      <c r="O438" s="23"/>
      <c r="P438" s="23"/>
      <c r="Q438" s="23"/>
      <c r="R438" s="13">
        <v>0.0885</v>
      </c>
      <c r="S438" s="13">
        <v>10.416</v>
      </c>
      <c r="T438" s="14">
        <f>IFERROR(__xludf.DUMMYFUNCTION("IFERROR(GOOGLEFINANCE(B438,""price""),"""")"),12.37)</f>
        <v>12.37</v>
      </c>
    </row>
    <row r="439">
      <c r="A439" s="15">
        <v>46058.62820576693</v>
      </c>
      <c r="B439" s="16" t="s">
        <v>5695</v>
      </c>
      <c r="C439" s="16" t="s">
        <v>5696</v>
      </c>
      <c r="D439" s="17">
        <v>46061.0</v>
      </c>
      <c r="E439" s="18">
        <v>4.135</v>
      </c>
      <c r="F439" s="27">
        <v>1.3828</v>
      </c>
      <c r="G439" s="20">
        <v>8.0835067E7</v>
      </c>
      <c r="H439" s="16" t="s">
        <v>149</v>
      </c>
      <c r="I439" s="19">
        <v>-30.0338</v>
      </c>
      <c r="J439" s="20">
        <v>1.727629754E9</v>
      </c>
      <c r="K439" s="24"/>
      <c r="L439" s="21">
        <v>-0.2742</v>
      </c>
      <c r="M439" s="16" t="s">
        <v>5697</v>
      </c>
      <c r="N439" s="16" t="s">
        <v>5698</v>
      </c>
      <c r="O439" s="24"/>
      <c r="P439" s="21">
        <v>3.8769</v>
      </c>
      <c r="Q439" s="21">
        <v>-8.7443</v>
      </c>
      <c r="R439" s="24"/>
      <c r="S439" s="21">
        <v>1.902</v>
      </c>
      <c r="T439" s="22">
        <f>IFERROR(__xludf.DUMMYFUNCTION("IFERROR(GOOGLEFINANCE(B439,""price""),"""")"),4.62)</f>
        <v>4.62</v>
      </c>
    </row>
    <row r="440">
      <c r="A440" s="7">
        <v>46058.62820576693</v>
      </c>
      <c r="B440" s="8" t="s">
        <v>5594</v>
      </c>
      <c r="C440" s="8" t="s">
        <v>5595</v>
      </c>
      <c r="D440" s="9">
        <v>46061.0</v>
      </c>
      <c r="E440" s="10">
        <v>11.8</v>
      </c>
      <c r="F440" s="26">
        <v>1.3796</v>
      </c>
      <c r="G440" s="12">
        <v>3.8449102E7</v>
      </c>
      <c r="H440" s="8" t="s">
        <v>88</v>
      </c>
      <c r="I440" s="11">
        <v>-14.9856</v>
      </c>
      <c r="J440" s="12">
        <v>4.940446281E9</v>
      </c>
      <c r="K440" s="23"/>
      <c r="L440" s="13">
        <v>-1.4167</v>
      </c>
      <c r="M440" s="8" t="s">
        <v>5596</v>
      </c>
      <c r="N440" s="8" t="s">
        <v>5471</v>
      </c>
      <c r="O440" s="13">
        <v>-181.9547</v>
      </c>
      <c r="P440" s="13">
        <v>-69.885</v>
      </c>
      <c r="Q440" s="13">
        <v>30.5825</v>
      </c>
      <c r="R440" s="13">
        <v>4.3877</v>
      </c>
      <c r="S440" s="13">
        <v>1.0329</v>
      </c>
      <c r="T440" s="14">
        <f>IFERROR(__xludf.DUMMYFUNCTION("IFERROR(GOOGLEFINANCE(B440,""price""),"""")"),18.88)</f>
        <v>18.88</v>
      </c>
    </row>
    <row r="441">
      <c r="A441" s="15">
        <v>46058.62820576693</v>
      </c>
      <c r="B441" s="16" t="s">
        <v>5517</v>
      </c>
      <c r="C441" s="16" t="s">
        <v>5518</v>
      </c>
      <c r="D441" s="17">
        <v>46061.0</v>
      </c>
      <c r="E441" s="18">
        <v>8.805</v>
      </c>
      <c r="F441" s="27">
        <v>1.3203</v>
      </c>
      <c r="G441" s="20">
        <v>2.5008787E7</v>
      </c>
      <c r="H441" s="16" t="s">
        <v>308</v>
      </c>
      <c r="I441" s="19">
        <v>-12.2134</v>
      </c>
      <c r="J441" s="20">
        <v>1.454152644E9</v>
      </c>
      <c r="K441" s="24"/>
      <c r="L441" s="21">
        <v>-3.1791</v>
      </c>
      <c r="M441" s="16" t="s">
        <v>5519</v>
      </c>
      <c r="N441" s="16" t="s">
        <v>5520</v>
      </c>
      <c r="O441" s="21">
        <v>-50.0822</v>
      </c>
      <c r="P441" s="21">
        <v>-46.1858</v>
      </c>
      <c r="Q441" s="21">
        <v>-0.6305</v>
      </c>
      <c r="R441" s="21">
        <v>0.3596</v>
      </c>
      <c r="S441" s="21">
        <v>1.4082</v>
      </c>
      <c r="T441" s="22">
        <f>IFERROR(__xludf.DUMMYFUNCTION("IFERROR(GOOGLEFINANCE(B441,""price""),"""")"),9.29)</f>
        <v>9.29</v>
      </c>
    </row>
    <row r="442">
      <c r="A442" s="7">
        <v>46058.62820576693</v>
      </c>
      <c r="B442" s="8" t="s">
        <v>5751</v>
      </c>
      <c r="C442" s="8" t="s">
        <v>5752</v>
      </c>
      <c r="D442" s="9">
        <v>46061.0</v>
      </c>
      <c r="E442" s="10">
        <v>12.015</v>
      </c>
      <c r="F442" s="26">
        <v>1.3008</v>
      </c>
      <c r="G442" s="12">
        <v>2.7969087E7</v>
      </c>
      <c r="H442" s="8" t="s">
        <v>88</v>
      </c>
      <c r="I442" s="11">
        <v>-15.0283</v>
      </c>
      <c r="J442" s="12">
        <v>4.467263495E9</v>
      </c>
      <c r="K442" s="13">
        <v>35.674</v>
      </c>
      <c r="L442" s="13">
        <v>0.3368</v>
      </c>
      <c r="M442" s="8" t="s">
        <v>5753</v>
      </c>
      <c r="N442" s="8" t="s">
        <v>5664</v>
      </c>
      <c r="O442" s="13">
        <v>5.2449</v>
      </c>
      <c r="P442" s="13">
        <v>-58.5046</v>
      </c>
      <c r="Q442" s="13">
        <v>103.6234</v>
      </c>
      <c r="R442" s="13">
        <v>0.2488</v>
      </c>
      <c r="S442" s="13">
        <v>1.4743</v>
      </c>
      <c r="T442" s="14">
        <f>IFERROR(__xludf.DUMMYFUNCTION("IFERROR(GOOGLEFINANCE(B442,""price""),"""")"),16.6)</f>
        <v>16.6</v>
      </c>
    </row>
    <row r="443">
      <c r="A443" s="15">
        <v>46058.62820576693</v>
      </c>
      <c r="B443" s="16" t="s">
        <v>5725</v>
      </c>
      <c r="C443" s="16" t="s">
        <v>5726</v>
      </c>
      <c r="D443" s="17">
        <v>46061.0</v>
      </c>
      <c r="E443" s="18">
        <v>21.85</v>
      </c>
      <c r="F443" s="27">
        <v>1.3008</v>
      </c>
      <c r="G443" s="20">
        <v>1.6676118E7</v>
      </c>
      <c r="H443" s="16" t="s">
        <v>88</v>
      </c>
      <c r="I443" s="19">
        <v>-2.932</v>
      </c>
      <c r="J443" s="20">
        <v>1.0828678794E10</v>
      </c>
      <c r="K443" s="24"/>
      <c r="L443" s="21">
        <v>-2.0067</v>
      </c>
      <c r="M443" s="16" t="s">
        <v>5727</v>
      </c>
      <c r="N443" s="16" t="s">
        <v>5429</v>
      </c>
      <c r="O443" s="24"/>
      <c r="P443" s="21">
        <v>-107.671</v>
      </c>
      <c r="Q443" s="21">
        <v>43.2284</v>
      </c>
      <c r="R443" s="21">
        <v>0.0441</v>
      </c>
      <c r="S443" s="21">
        <v>2.9292</v>
      </c>
      <c r="T443" s="22">
        <f>IFERROR(__xludf.DUMMYFUNCTION("IFERROR(GOOGLEFINANCE(B443,""price""),"""")"),18.16)</f>
        <v>18.16</v>
      </c>
    </row>
    <row r="444">
      <c r="A444" s="7">
        <v>46058.62820576693</v>
      </c>
      <c r="B444" s="8" t="s">
        <v>5503</v>
      </c>
      <c r="C444" s="8" t="s">
        <v>5504</v>
      </c>
      <c r="D444" s="9">
        <v>46061.0</v>
      </c>
      <c r="E444" s="10">
        <v>10.58</v>
      </c>
      <c r="F444" s="26">
        <v>1.2412</v>
      </c>
      <c r="G444" s="12">
        <v>1.6876697E7</v>
      </c>
      <c r="H444" s="8" t="s">
        <v>335</v>
      </c>
      <c r="I444" s="11">
        <v>-18.8028</v>
      </c>
      <c r="J444" s="12">
        <v>1.247429695E9</v>
      </c>
      <c r="K444" s="23"/>
      <c r="L444" s="13">
        <v>-0.5583</v>
      </c>
      <c r="M444" s="8" t="s">
        <v>5505</v>
      </c>
      <c r="N444" s="8" t="s">
        <v>5445</v>
      </c>
      <c r="O444" s="13">
        <v>-128.3047</v>
      </c>
      <c r="P444" s="23"/>
      <c r="Q444" s="23"/>
      <c r="R444" s="13">
        <v>0.064</v>
      </c>
      <c r="S444" s="13">
        <v>0.1282</v>
      </c>
      <c r="T444" s="14">
        <f>IFERROR(__xludf.DUMMYFUNCTION("IFERROR(GOOGLEFINANCE(B444,""price""),"""")"),8.87)</f>
        <v>8.87</v>
      </c>
    </row>
    <row r="445">
      <c r="A445" s="15">
        <v>46058.62820576693</v>
      </c>
      <c r="B445" s="16" t="s">
        <v>5754</v>
      </c>
      <c r="C445" s="16" t="s">
        <v>5755</v>
      </c>
      <c r="D445" s="17">
        <v>46061.0</v>
      </c>
      <c r="E445" s="18">
        <v>4.775</v>
      </c>
      <c r="F445" s="27">
        <v>1.2344</v>
      </c>
      <c r="G445" s="20">
        <v>5.3423403E7</v>
      </c>
      <c r="H445" s="16" t="s">
        <v>93</v>
      </c>
      <c r="I445" s="19">
        <v>-4.5</v>
      </c>
      <c r="J445" s="20">
        <v>4.554338402E9</v>
      </c>
      <c r="K445" s="24"/>
      <c r="L445" s="21">
        <v>-0.4363</v>
      </c>
      <c r="M445" s="16" t="s">
        <v>5756</v>
      </c>
      <c r="N445" s="16" t="s">
        <v>5757</v>
      </c>
      <c r="O445" s="21">
        <v>-39.33</v>
      </c>
      <c r="P445" s="21">
        <v>-4.1534</v>
      </c>
      <c r="Q445" s="21">
        <v>-4.4543</v>
      </c>
      <c r="R445" s="21">
        <v>2.2035</v>
      </c>
      <c r="S445" s="21">
        <v>2.8304</v>
      </c>
      <c r="T445" s="22">
        <f>IFERROR(__xludf.DUMMYFUNCTION("IFERROR(GOOGLEFINANCE(B445,""price""),"""")"),4.32)</f>
        <v>4.32</v>
      </c>
    </row>
    <row r="446">
      <c r="A446" s="7">
        <v>46058.62820576693</v>
      </c>
      <c r="B446" s="8" t="s">
        <v>5530</v>
      </c>
      <c r="C446" s="8" t="s">
        <v>5531</v>
      </c>
      <c r="D446" s="9">
        <v>46061.0</v>
      </c>
      <c r="E446" s="10">
        <v>5.685</v>
      </c>
      <c r="F446" s="26">
        <v>1.2148</v>
      </c>
      <c r="G446" s="12">
        <v>1.0549962E7</v>
      </c>
      <c r="H446" s="8" t="s">
        <v>335</v>
      </c>
      <c r="I446" s="11">
        <v>-12.9403</v>
      </c>
      <c r="J446" s="12">
        <v>2.350702294E9</v>
      </c>
      <c r="K446" s="23"/>
      <c r="L446" s="13">
        <v>-0.7653</v>
      </c>
      <c r="M446" s="8" t="s">
        <v>5532</v>
      </c>
      <c r="N446" s="8" t="s">
        <v>5506</v>
      </c>
      <c r="O446" s="23"/>
      <c r="P446" s="23"/>
      <c r="Q446" s="23"/>
      <c r="R446" s="23"/>
      <c r="S446" s="13">
        <v>2.5028</v>
      </c>
      <c r="T446" s="14">
        <f>IFERROR(__xludf.DUMMYFUNCTION("IFERROR(GOOGLEFINANCE(B446,""price""),"""")"),4.34)</f>
        <v>4.34</v>
      </c>
    </row>
    <row r="447">
      <c r="A447" s="15">
        <v>46058.62820576693</v>
      </c>
      <c r="B447" s="16" t="s">
        <v>5758</v>
      </c>
      <c r="C447" s="16" t="s">
        <v>5759</v>
      </c>
      <c r="D447" s="17">
        <v>46061.0</v>
      </c>
      <c r="E447" s="18">
        <v>3.165</v>
      </c>
      <c r="F447" s="27">
        <v>1.1992</v>
      </c>
      <c r="G447" s="20">
        <v>1.3008408E7</v>
      </c>
      <c r="H447" s="16" t="s">
        <v>286</v>
      </c>
      <c r="I447" s="19">
        <v>-7.7259</v>
      </c>
      <c r="J447" s="20">
        <v>2.768164997E9</v>
      </c>
      <c r="K447" s="24"/>
      <c r="L447" s="21">
        <v>-0.4546</v>
      </c>
      <c r="M447" s="16" t="s">
        <v>5760</v>
      </c>
      <c r="N447" s="16" t="s">
        <v>5452</v>
      </c>
      <c r="O447" s="21">
        <v>-9.9602</v>
      </c>
      <c r="P447" s="21">
        <v>8.1916</v>
      </c>
      <c r="Q447" s="21">
        <v>-5.6847</v>
      </c>
      <c r="R447" s="21">
        <v>1.2186</v>
      </c>
      <c r="S447" s="21">
        <v>0.8535</v>
      </c>
      <c r="T447" s="22">
        <f>IFERROR(__xludf.DUMMYFUNCTION("IFERROR(GOOGLEFINANCE(B447,""price""),"""")"),2.17)</f>
        <v>2.17</v>
      </c>
    </row>
    <row r="448">
      <c r="A448" s="7">
        <v>46058.62820576693</v>
      </c>
      <c r="B448" s="8" t="s">
        <v>5761</v>
      </c>
      <c r="C448" s="8" t="s">
        <v>5762</v>
      </c>
      <c r="D448" s="9">
        <v>46061.0</v>
      </c>
      <c r="E448" s="10">
        <v>17.2925</v>
      </c>
      <c r="F448" s="26">
        <v>1.1992</v>
      </c>
      <c r="G448" s="12">
        <v>5.9958909E7</v>
      </c>
      <c r="H448" s="8" t="s">
        <v>93</v>
      </c>
      <c r="I448" s="11">
        <v>-14.8153</v>
      </c>
      <c r="J448" s="12">
        <v>7.865708219E9</v>
      </c>
      <c r="K448" s="23"/>
      <c r="L448" s="13">
        <v>-0.8722</v>
      </c>
      <c r="M448" s="8" t="s">
        <v>5763</v>
      </c>
      <c r="N448" s="8" t="s">
        <v>5600</v>
      </c>
      <c r="O448" s="13">
        <v>-86.5722</v>
      </c>
      <c r="P448" s="13">
        <v>-3289.1082</v>
      </c>
      <c r="Q448" s="13">
        <v>79.685</v>
      </c>
      <c r="R448" s="13">
        <v>0.0</v>
      </c>
      <c r="S448" s="13">
        <v>6.4832</v>
      </c>
      <c r="T448" s="14">
        <f>IFERROR(__xludf.DUMMYFUNCTION("IFERROR(GOOGLEFINANCE(B448,""price""),"""")"),21.28)</f>
        <v>21.28</v>
      </c>
    </row>
    <row r="449">
      <c r="A449" s="15">
        <v>46058.62820576693</v>
      </c>
      <c r="B449" s="16" t="s">
        <v>5554</v>
      </c>
      <c r="C449" s="16" t="s">
        <v>5555</v>
      </c>
      <c r="D449" s="17">
        <v>46061.0</v>
      </c>
      <c r="E449" s="18">
        <v>93.395</v>
      </c>
      <c r="F449" s="27">
        <v>1.1844</v>
      </c>
      <c r="G449" s="20">
        <v>1.4500701E7</v>
      </c>
      <c r="H449" s="16" t="s">
        <v>873</v>
      </c>
      <c r="I449" s="19">
        <v>-9.7633</v>
      </c>
      <c r="J449" s="20">
        <v>3.4313443974E10</v>
      </c>
      <c r="K449" s="24"/>
      <c r="L449" s="21">
        <v>-1.2452</v>
      </c>
      <c r="M449" s="16" t="s">
        <v>5556</v>
      </c>
      <c r="N449" s="16" t="s">
        <v>5557</v>
      </c>
      <c r="O449" s="21">
        <v>-39.2195</v>
      </c>
      <c r="P449" s="21">
        <v>-1479.4668</v>
      </c>
      <c r="Q449" s="21">
        <v>641.24</v>
      </c>
      <c r="R449" s="21">
        <v>0.5824</v>
      </c>
      <c r="S449" s="21">
        <v>9.5602</v>
      </c>
      <c r="T449" s="22">
        <f>IFERROR(__xludf.DUMMYFUNCTION("IFERROR(GOOGLEFINANCE(B449,""price""),"""")"),94.9)</f>
        <v>94.9</v>
      </c>
    </row>
    <row r="450">
      <c r="A450" s="7">
        <v>46058.62820576693</v>
      </c>
      <c r="B450" s="8" t="s">
        <v>5679</v>
      </c>
      <c r="C450" s="8" t="s">
        <v>5680</v>
      </c>
      <c r="D450" s="9">
        <v>46061.0</v>
      </c>
      <c r="E450" s="10">
        <v>17.035</v>
      </c>
      <c r="F450" s="26">
        <v>1.1781</v>
      </c>
      <c r="G450" s="12">
        <v>3.1223759E7</v>
      </c>
      <c r="H450" s="8" t="s">
        <v>308</v>
      </c>
      <c r="I450" s="11">
        <v>-15.2909</v>
      </c>
      <c r="J450" s="12">
        <v>6.358013865E9</v>
      </c>
      <c r="K450" s="23"/>
      <c r="L450" s="13">
        <v>-1.351</v>
      </c>
      <c r="M450" s="8" t="s">
        <v>5681</v>
      </c>
      <c r="N450" s="8" t="s">
        <v>5674</v>
      </c>
      <c r="O450" s="13">
        <v>-122.0285</v>
      </c>
      <c r="P450" s="13">
        <v>-355.2063</v>
      </c>
      <c r="Q450" s="13">
        <v>156.1969</v>
      </c>
      <c r="R450" s="13">
        <v>0.0593</v>
      </c>
      <c r="S450" s="13">
        <v>54.6763</v>
      </c>
      <c r="T450" s="14">
        <f>IFERROR(__xludf.DUMMYFUNCTION("IFERROR(GOOGLEFINANCE(B450,""price""),"""")"),14.25)</f>
        <v>14.25</v>
      </c>
    </row>
    <row r="451">
      <c r="A451" s="15">
        <v>46058.62820576693</v>
      </c>
      <c r="B451" s="16" t="s">
        <v>5422</v>
      </c>
      <c r="C451" s="16" t="s">
        <v>5423</v>
      </c>
      <c r="D451" s="17">
        <v>46061.0</v>
      </c>
      <c r="E451" s="18">
        <v>20.61</v>
      </c>
      <c r="F451" s="27">
        <v>1.1716</v>
      </c>
      <c r="G451" s="20">
        <v>1.8732872E7</v>
      </c>
      <c r="H451" s="16" t="s">
        <v>102</v>
      </c>
      <c r="I451" s="19">
        <v>-12.4097</v>
      </c>
      <c r="J451" s="20">
        <v>4.491557407E9</v>
      </c>
      <c r="K451" s="24"/>
      <c r="L451" s="21">
        <v>-2.5128</v>
      </c>
      <c r="M451" s="16" t="s">
        <v>5424</v>
      </c>
      <c r="N451" s="16" t="s">
        <v>5425</v>
      </c>
      <c r="O451" s="21">
        <v>-255.9098</v>
      </c>
      <c r="P451" s="24"/>
      <c r="Q451" s="24"/>
      <c r="R451" s="24"/>
      <c r="S451" s="21">
        <v>16.5111</v>
      </c>
      <c r="T451" s="22">
        <f>IFERROR(__xludf.DUMMYFUNCTION("IFERROR(GOOGLEFINANCE(B451,""price""),"""")"),16.15)</f>
        <v>16.15</v>
      </c>
    </row>
    <row r="452">
      <c r="A452" s="7">
        <v>46059.62529941699</v>
      </c>
      <c r="B452" s="8" t="s">
        <v>2300</v>
      </c>
      <c r="C452" s="8" t="s">
        <v>2301</v>
      </c>
      <c r="D452" s="9">
        <v>46061.0</v>
      </c>
      <c r="E452" s="10">
        <v>23.8</v>
      </c>
      <c r="F452" s="26">
        <v>1.8724</v>
      </c>
      <c r="G452" s="12">
        <v>8355992.0</v>
      </c>
      <c r="H452" s="8" t="s">
        <v>88</v>
      </c>
      <c r="I452" s="11">
        <v>1.3629</v>
      </c>
      <c r="J452" s="12">
        <v>6.976702751E9</v>
      </c>
      <c r="K452" s="13">
        <v>15.5576</v>
      </c>
      <c r="L452" s="13">
        <v>1.5298</v>
      </c>
      <c r="M452" s="8" t="s">
        <v>2302</v>
      </c>
      <c r="N452" s="8" t="s">
        <v>5429</v>
      </c>
      <c r="O452" s="13">
        <v>32.9115</v>
      </c>
      <c r="P452" s="13">
        <v>3.8913</v>
      </c>
      <c r="Q452" s="13">
        <v>50.905</v>
      </c>
      <c r="R452" s="13">
        <v>0.4455</v>
      </c>
      <c r="S452" s="13">
        <v>1.9333</v>
      </c>
      <c r="T452" s="14">
        <f>IFERROR(__xludf.DUMMYFUNCTION("IFERROR(GOOGLEFINANCE(B452,""price""),"""")"),24.0)</f>
        <v>24</v>
      </c>
    </row>
    <row r="453">
      <c r="A453" s="15">
        <v>46059.62529941699</v>
      </c>
      <c r="B453" s="16" t="s">
        <v>5764</v>
      </c>
      <c r="C453" s="16" t="s">
        <v>5765</v>
      </c>
      <c r="D453" s="17">
        <v>46061.0</v>
      </c>
      <c r="E453" s="18">
        <v>1.6101</v>
      </c>
      <c r="F453" s="27">
        <v>1.7813</v>
      </c>
      <c r="G453" s="20">
        <v>1.4774448E7</v>
      </c>
      <c r="H453" s="16" t="s">
        <v>88</v>
      </c>
      <c r="I453" s="19">
        <v>-0.6111</v>
      </c>
      <c r="J453" s="20">
        <v>2.094137011E9</v>
      </c>
      <c r="K453" s="21">
        <v>4.49</v>
      </c>
      <c r="L453" s="21">
        <v>0.3586</v>
      </c>
      <c r="M453" s="16" t="s">
        <v>5766</v>
      </c>
      <c r="N453" s="16" t="s">
        <v>5495</v>
      </c>
      <c r="O453" s="24"/>
      <c r="P453" s="21">
        <v>-5.3292</v>
      </c>
      <c r="Q453" s="21">
        <v>1.7001</v>
      </c>
      <c r="R453" s="21">
        <v>2.3206</v>
      </c>
      <c r="S453" s="21">
        <v>0.8446</v>
      </c>
      <c r="T453" s="22">
        <f>IFERROR(__xludf.DUMMYFUNCTION("IFERROR(GOOGLEFINANCE(B453,""price""),"""")"),11.7)</f>
        <v>11.7</v>
      </c>
    </row>
    <row r="454">
      <c r="A454" s="7">
        <v>46059.62529941699</v>
      </c>
      <c r="B454" s="8" t="s">
        <v>5767</v>
      </c>
      <c r="C454" s="8" t="s">
        <v>5768</v>
      </c>
      <c r="D454" s="9">
        <v>46061.0</v>
      </c>
      <c r="E454" s="10">
        <v>48.695</v>
      </c>
      <c r="F454" s="26">
        <v>1.449</v>
      </c>
      <c r="G454" s="12">
        <v>2.0497608E7</v>
      </c>
      <c r="H454" s="8" t="s">
        <v>88</v>
      </c>
      <c r="I454" s="11">
        <v>36.477</v>
      </c>
      <c r="J454" s="12">
        <v>4.877129441E9</v>
      </c>
      <c r="K454" s="23"/>
      <c r="L454" s="13">
        <v>-0.2367</v>
      </c>
      <c r="M454" s="8" t="s">
        <v>5769</v>
      </c>
      <c r="N454" s="8" t="s">
        <v>5429</v>
      </c>
      <c r="O454" s="13">
        <v>-0.6358</v>
      </c>
      <c r="P454" s="13">
        <v>-5.2005</v>
      </c>
      <c r="Q454" s="13">
        <v>11.8384</v>
      </c>
      <c r="R454" s="13">
        <v>0.4957</v>
      </c>
      <c r="S454" s="13">
        <v>1.6535</v>
      </c>
      <c r="T454" s="14">
        <f>IFERROR(__xludf.DUMMYFUNCTION("IFERROR(GOOGLEFINANCE(B454,""price""),"""")"),34.71)</f>
        <v>34.71</v>
      </c>
    </row>
    <row r="455">
      <c r="A455" s="15">
        <v>46059.62529941699</v>
      </c>
      <c r="B455" s="16" t="s">
        <v>5643</v>
      </c>
      <c r="C455" s="16" t="s">
        <v>5644</v>
      </c>
      <c r="D455" s="17">
        <v>46061.0</v>
      </c>
      <c r="E455" s="18">
        <v>19.905</v>
      </c>
      <c r="F455" s="27">
        <v>1.1873</v>
      </c>
      <c r="G455" s="20">
        <v>1.0210404E7</v>
      </c>
      <c r="H455" s="16" t="s">
        <v>102</v>
      </c>
      <c r="I455" s="19">
        <v>5.0396</v>
      </c>
      <c r="J455" s="20">
        <v>3.661231815E9</v>
      </c>
      <c r="K455" s="24"/>
      <c r="L455" s="21">
        <v>-0.4504</v>
      </c>
      <c r="M455" s="16" t="s">
        <v>5645</v>
      </c>
      <c r="N455" s="16" t="s">
        <v>5536</v>
      </c>
      <c r="O455" s="21">
        <v>-13.0214</v>
      </c>
      <c r="P455" s="21">
        <v>-1.6208</v>
      </c>
      <c r="Q455" s="21">
        <v>1.1851</v>
      </c>
      <c r="R455" s="21">
        <v>1.0416</v>
      </c>
      <c r="S455" s="21">
        <v>1.4832</v>
      </c>
      <c r="T455" s="22">
        <f>IFERROR(__xludf.DUMMYFUNCTION("IFERROR(GOOGLEFINANCE(B455,""price""),"""")"),13.78)</f>
        <v>13.78</v>
      </c>
    </row>
    <row r="456">
      <c r="A456" s="7">
        <v>46059.62529941699</v>
      </c>
      <c r="B456" s="8" t="s">
        <v>5458</v>
      </c>
      <c r="C456" s="8" t="s">
        <v>5459</v>
      </c>
      <c r="D456" s="9">
        <v>46061.0</v>
      </c>
      <c r="E456" s="10">
        <v>4.7782</v>
      </c>
      <c r="F456" s="26">
        <v>1.1094</v>
      </c>
      <c r="G456" s="12">
        <v>5.1639175E7</v>
      </c>
      <c r="H456" s="8" t="s">
        <v>88</v>
      </c>
      <c r="I456" s="11">
        <v>17.1127</v>
      </c>
      <c r="J456" s="12">
        <v>2.085928945E9</v>
      </c>
      <c r="K456" s="23"/>
      <c r="L456" s="13">
        <v>-1.4208</v>
      </c>
      <c r="M456" s="8" t="s">
        <v>5460</v>
      </c>
      <c r="N456" s="8" t="s">
        <v>5429</v>
      </c>
      <c r="O456" s="13">
        <v>-111.8268</v>
      </c>
      <c r="P456" s="13">
        <v>-46.2208</v>
      </c>
      <c r="Q456" s="13">
        <v>-6.9516</v>
      </c>
      <c r="R456" s="13">
        <v>0.1851</v>
      </c>
      <c r="S456" s="13">
        <v>3.1313</v>
      </c>
      <c r="T456" s="14">
        <f>IFERROR(__xludf.DUMMYFUNCTION("IFERROR(GOOGLEFINANCE(B456,""price""),"""")"),3.32)</f>
        <v>3.32</v>
      </c>
    </row>
    <row r="457">
      <c r="A457" s="15">
        <v>46059.62529941699</v>
      </c>
      <c r="B457" s="16" t="s">
        <v>5770</v>
      </c>
      <c r="C457" s="16" t="s">
        <v>5771</v>
      </c>
      <c r="D457" s="17">
        <v>46061.0</v>
      </c>
      <c r="E457" s="18">
        <v>21.615</v>
      </c>
      <c r="F457" s="27">
        <v>1.0988</v>
      </c>
      <c r="G457" s="20">
        <v>1.0744357E7</v>
      </c>
      <c r="H457" s="16" t="s">
        <v>117</v>
      </c>
      <c r="I457" s="19">
        <v>-0.712</v>
      </c>
      <c r="J457" s="20">
        <v>1.111131605E10</v>
      </c>
      <c r="K457" s="24"/>
      <c r="L457" s="21">
        <v>-0.5214</v>
      </c>
      <c r="M457" s="16" t="s">
        <v>5772</v>
      </c>
      <c r="N457" s="16" t="s">
        <v>5418</v>
      </c>
      <c r="O457" s="21">
        <v>-4.6979</v>
      </c>
      <c r="P457" s="21">
        <v>6.7677</v>
      </c>
      <c r="Q457" s="21">
        <v>-21.1967</v>
      </c>
      <c r="R457" s="21">
        <v>1.3413</v>
      </c>
      <c r="S457" s="21">
        <v>1.8366</v>
      </c>
      <c r="T457" s="22">
        <f>IFERROR(__xludf.DUMMYFUNCTION("IFERROR(GOOGLEFINANCE(B457,""price""),"""")"),17.15)</f>
        <v>17.15</v>
      </c>
    </row>
    <row r="458">
      <c r="A458" s="7">
        <v>46059.62529941699</v>
      </c>
      <c r="B458" s="8" t="s">
        <v>5514</v>
      </c>
      <c r="C458" s="8" t="s">
        <v>5515</v>
      </c>
      <c r="D458" s="9">
        <v>46061.0</v>
      </c>
      <c r="E458" s="10">
        <v>5.9601</v>
      </c>
      <c r="F458" s="26">
        <v>1.0527</v>
      </c>
      <c r="G458" s="12">
        <v>1.4527889E7</v>
      </c>
      <c r="H458" s="8" t="s">
        <v>117</v>
      </c>
      <c r="I458" s="11">
        <v>5.6755</v>
      </c>
      <c r="J458" s="12">
        <v>5.870491009E9</v>
      </c>
      <c r="K458" s="23"/>
      <c r="L458" s="13">
        <v>-0.4205</v>
      </c>
      <c r="M458" s="8" t="s">
        <v>5516</v>
      </c>
      <c r="N458" s="8" t="s">
        <v>5491</v>
      </c>
      <c r="O458" s="23"/>
      <c r="P458" s="13">
        <v>-315.8428</v>
      </c>
      <c r="Q458" s="13">
        <v>1025.9547</v>
      </c>
      <c r="R458" s="23"/>
      <c r="S458" s="13">
        <v>5.7671</v>
      </c>
      <c r="T458" s="14">
        <f>IFERROR(__xludf.DUMMYFUNCTION("IFERROR(GOOGLEFINANCE(B458,""price""),"""")"),7.28)</f>
        <v>7.28</v>
      </c>
    </row>
    <row r="459">
      <c r="A459" s="15">
        <v>46059.62529941699</v>
      </c>
      <c r="B459" s="16" t="s">
        <v>5705</v>
      </c>
      <c r="C459" s="16" t="s">
        <v>5706</v>
      </c>
      <c r="D459" s="17">
        <v>46061.0</v>
      </c>
      <c r="E459" s="18">
        <v>19.7365</v>
      </c>
      <c r="F459" s="27">
        <v>1.0404</v>
      </c>
      <c r="G459" s="20">
        <v>1.0996042E7</v>
      </c>
      <c r="H459" s="16" t="s">
        <v>93</v>
      </c>
      <c r="I459" s="19">
        <v>17.2001</v>
      </c>
      <c r="J459" s="20">
        <v>7.713529922E9</v>
      </c>
      <c r="K459" s="24"/>
      <c r="L459" s="21">
        <v>-2.279</v>
      </c>
      <c r="M459" s="16" t="s">
        <v>5707</v>
      </c>
      <c r="N459" s="16" t="s">
        <v>5708</v>
      </c>
      <c r="O459" s="21">
        <v>-18.1742</v>
      </c>
      <c r="P459" s="21">
        <v>1.1308</v>
      </c>
      <c r="Q459" s="24"/>
      <c r="R459" s="21">
        <v>2.7695</v>
      </c>
      <c r="S459" s="21">
        <v>1.6033</v>
      </c>
      <c r="T459" s="22">
        <f>IFERROR(__xludf.DUMMYFUNCTION("IFERROR(GOOGLEFINANCE(B459,""price""),"""")"),21.66)</f>
        <v>21.66</v>
      </c>
    </row>
    <row r="460">
      <c r="A460" s="7">
        <v>46059.62529941699</v>
      </c>
      <c r="B460" s="8" t="s">
        <v>5773</v>
      </c>
      <c r="C460" s="8" t="s">
        <v>5774</v>
      </c>
      <c r="D460" s="9">
        <v>46061.0</v>
      </c>
      <c r="E460" s="10">
        <v>1.465</v>
      </c>
      <c r="F460" s="26">
        <v>1.0391</v>
      </c>
      <c r="G460" s="12">
        <v>1.0078308E7</v>
      </c>
      <c r="H460" s="8" t="s">
        <v>245</v>
      </c>
      <c r="I460" s="11">
        <v>12.6923</v>
      </c>
      <c r="J460" s="12">
        <v>7.00748978E8</v>
      </c>
      <c r="K460" s="23"/>
      <c r="L460" s="13">
        <v>-0.6899</v>
      </c>
      <c r="M460" s="8" t="s">
        <v>5775</v>
      </c>
      <c r="N460" s="8" t="s">
        <v>5776</v>
      </c>
      <c r="O460" s="13">
        <v>-31.4192</v>
      </c>
      <c r="P460" s="13">
        <v>-7.2374</v>
      </c>
      <c r="Q460" s="13">
        <v>-22.1104</v>
      </c>
      <c r="R460" s="13">
        <v>3.3139</v>
      </c>
      <c r="S460" s="13">
        <v>0.5183</v>
      </c>
      <c r="T460" s="14">
        <f>IFERROR(__xludf.DUMMYFUNCTION("IFERROR(GOOGLEFINANCE(B460,""price""),"""")"),2.57)</f>
        <v>2.57</v>
      </c>
    </row>
    <row r="461">
      <c r="A461" s="15">
        <v>46059.62529941699</v>
      </c>
      <c r="B461" s="16" t="s">
        <v>5527</v>
      </c>
      <c r="C461" s="16" t="s">
        <v>5528</v>
      </c>
      <c r="D461" s="17">
        <v>46061.0</v>
      </c>
      <c r="E461" s="18">
        <v>12.64</v>
      </c>
      <c r="F461" s="27">
        <v>1.0352</v>
      </c>
      <c r="G461" s="20">
        <v>8821367.0</v>
      </c>
      <c r="H461" s="16" t="s">
        <v>88</v>
      </c>
      <c r="I461" s="19">
        <v>11.7595</v>
      </c>
      <c r="J461" s="20">
        <v>1.508851259E9</v>
      </c>
      <c r="K461" s="24"/>
      <c r="L461" s="24"/>
      <c r="M461" s="16" t="s">
        <v>5529</v>
      </c>
      <c r="N461" s="16" t="s">
        <v>5429</v>
      </c>
      <c r="O461" s="24"/>
      <c r="P461" s="24"/>
      <c r="Q461" s="24"/>
      <c r="R461" s="21">
        <v>0.0885</v>
      </c>
      <c r="S461" s="21">
        <v>10.416</v>
      </c>
      <c r="T461" s="22">
        <f>IFERROR(__xludf.DUMMYFUNCTION("IFERROR(GOOGLEFINANCE(B461,""price""),"""")"),12.37)</f>
        <v>12.37</v>
      </c>
    </row>
    <row r="462">
      <c r="A462" s="7">
        <v>46059.62529941699</v>
      </c>
      <c r="B462" s="8" t="s">
        <v>5725</v>
      </c>
      <c r="C462" s="8" t="s">
        <v>5726</v>
      </c>
      <c r="D462" s="9">
        <v>46061.0</v>
      </c>
      <c r="E462" s="10">
        <v>21.83</v>
      </c>
      <c r="F462" s="26">
        <v>1.0273</v>
      </c>
      <c r="G462" s="12">
        <v>9239818.0</v>
      </c>
      <c r="H462" s="8" t="s">
        <v>88</v>
      </c>
      <c r="I462" s="11">
        <v>-1.6667</v>
      </c>
      <c r="J462" s="12">
        <v>1.0818767222E10</v>
      </c>
      <c r="K462" s="23"/>
      <c r="L462" s="13">
        <v>-2.0067</v>
      </c>
      <c r="M462" s="8" t="s">
        <v>5727</v>
      </c>
      <c r="N462" s="8" t="s">
        <v>5429</v>
      </c>
      <c r="O462" s="23"/>
      <c r="P462" s="13">
        <v>-107.671</v>
      </c>
      <c r="Q462" s="13">
        <v>43.2284</v>
      </c>
      <c r="R462" s="13">
        <v>0.0441</v>
      </c>
      <c r="S462" s="13">
        <v>2.9292</v>
      </c>
      <c r="T462" s="14">
        <f>IFERROR(__xludf.DUMMYFUNCTION("IFERROR(GOOGLEFINANCE(B462,""price""),"""")"),18.16)</f>
        <v>18.16</v>
      </c>
    </row>
    <row r="463">
      <c r="A463" s="15">
        <v>46059.62529941699</v>
      </c>
      <c r="B463" s="16" t="s">
        <v>4884</v>
      </c>
      <c r="C463" s="16" t="s">
        <v>4885</v>
      </c>
      <c r="D463" s="17">
        <v>46061.0</v>
      </c>
      <c r="E463" s="18">
        <v>16.785</v>
      </c>
      <c r="F463" s="27">
        <v>0.9932</v>
      </c>
      <c r="G463" s="20">
        <v>1.5845559E7</v>
      </c>
      <c r="H463" s="16" t="s">
        <v>88</v>
      </c>
      <c r="I463" s="19">
        <v>13.2973</v>
      </c>
      <c r="J463" s="20">
        <v>5.204378938E9</v>
      </c>
      <c r="K463" s="21">
        <v>120.4953</v>
      </c>
      <c r="L463" s="21">
        <v>0.1393</v>
      </c>
      <c r="M463" s="16" t="s">
        <v>4886</v>
      </c>
      <c r="N463" s="16" t="s">
        <v>5471</v>
      </c>
      <c r="O463" s="24"/>
      <c r="P463" s="21">
        <v>-56.2854</v>
      </c>
      <c r="Q463" s="21">
        <v>-40.0761</v>
      </c>
      <c r="R463" s="24"/>
      <c r="S463" s="21">
        <v>1.584</v>
      </c>
      <c r="T463" s="22">
        <f>IFERROR(__xludf.DUMMYFUNCTION("IFERROR(GOOGLEFINANCE(B463,""price""),"""")"),18.32)</f>
        <v>18.32</v>
      </c>
    </row>
    <row r="464">
      <c r="A464" s="7">
        <v>46059.62529941699</v>
      </c>
      <c r="B464" s="8" t="s">
        <v>2344</v>
      </c>
      <c r="C464" s="8" t="s">
        <v>2345</v>
      </c>
      <c r="D464" s="9">
        <v>46061.0</v>
      </c>
      <c r="E464" s="10">
        <v>66.77</v>
      </c>
      <c r="F464" s="26">
        <v>0.9782</v>
      </c>
      <c r="G464" s="12">
        <v>1.0261212E7</v>
      </c>
      <c r="H464" s="8" t="s">
        <v>270</v>
      </c>
      <c r="I464" s="11">
        <v>-0.9641</v>
      </c>
      <c r="J464" s="12">
        <v>8.1540781874E10</v>
      </c>
      <c r="K464" s="13">
        <v>34.5457</v>
      </c>
      <c r="L464" s="13">
        <v>1.9328</v>
      </c>
      <c r="M464" s="8" t="s">
        <v>2346</v>
      </c>
      <c r="N464" s="8" t="s">
        <v>5777</v>
      </c>
      <c r="O464" s="13">
        <v>18.9995</v>
      </c>
      <c r="P464" s="13">
        <v>34.3112</v>
      </c>
      <c r="Q464" s="13">
        <v>11.4798</v>
      </c>
      <c r="R464" s="13">
        <v>2.2354</v>
      </c>
      <c r="S464" s="13">
        <v>0.4224</v>
      </c>
      <c r="T464" s="14">
        <f>IFERROR(__xludf.DUMMYFUNCTION("IFERROR(GOOGLEFINANCE(B464,""price""),"""")"),72.74)</f>
        <v>72.74</v>
      </c>
    </row>
    <row r="465">
      <c r="A465" s="15">
        <v>46059.62529941699</v>
      </c>
      <c r="B465" s="16" t="s">
        <v>5537</v>
      </c>
      <c r="C465" s="16" t="s">
        <v>5538</v>
      </c>
      <c r="D465" s="17">
        <v>46061.0</v>
      </c>
      <c r="E465" s="18">
        <v>3.425</v>
      </c>
      <c r="F465" s="27">
        <v>0.9375</v>
      </c>
      <c r="G465" s="20">
        <v>1.6817147E7</v>
      </c>
      <c r="H465" s="16" t="s">
        <v>112</v>
      </c>
      <c r="I465" s="19">
        <v>12.6645</v>
      </c>
      <c r="J465" s="20">
        <v>7.36703666E8</v>
      </c>
      <c r="K465" s="24"/>
      <c r="L465" s="21">
        <v>-0.1295</v>
      </c>
      <c r="M465" s="16" t="s">
        <v>5539</v>
      </c>
      <c r="N465" s="16" t="s">
        <v>5540</v>
      </c>
      <c r="O465" s="21">
        <v>-10.1055</v>
      </c>
      <c r="P465" s="21">
        <v>-355.6789</v>
      </c>
      <c r="Q465" s="21">
        <v>19.0139</v>
      </c>
      <c r="R465" s="21">
        <v>0.0027</v>
      </c>
      <c r="S465" s="21">
        <v>107.4542</v>
      </c>
      <c r="T465" s="22">
        <f>IFERROR(__xludf.DUMMYFUNCTION("IFERROR(GOOGLEFINANCE(B465,""price""),"""")"),2.01)</f>
        <v>2.01</v>
      </c>
    </row>
    <row r="466">
      <c r="A466" s="7">
        <v>46059.62529941699</v>
      </c>
      <c r="B466" s="8" t="s">
        <v>5778</v>
      </c>
      <c r="C466" s="8" t="s">
        <v>5779</v>
      </c>
      <c r="D466" s="9">
        <v>46061.0</v>
      </c>
      <c r="E466" s="10">
        <v>1.56</v>
      </c>
      <c r="F466" s="26">
        <v>0.9141</v>
      </c>
      <c r="G466" s="12">
        <v>1.427366E7</v>
      </c>
      <c r="H466" s="8" t="s">
        <v>117</v>
      </c>
      <c r="I466" s="11">
        <v>6.8493</v>
      </c>
      <c r="J466" s="12">
        <v>9.95834176E8</v>
      </c>
      <c r="K466" s="23"/>
      <c r="L466" s="13">
        <v>-0.1202</v>
      </c>
      <c r="M466" s="8" t="s">
        <v>5780</v>
      </c>
      <c r="N466" s="8" t="s">
        <v>5502</v>
      </c>
      <c r="O466" s="13">
        <v>-29.5717</v>
      </c>
      <c r="P466" s="13">
        <v>-34.4016</v>
      </c>
      <c r="Q466" s="13">
        <v>522.1303</v>
      </c>
      <c r="R466" s="13">
        <v>1.0102</v>
      </c>
      <c r="S466" s="13">
        <v>5.9552</v>
      </c>
      <c r="T466" s="14">
        <f>IFERROR(__xludf.DUMMYFUNCTION("IFERROR(GOOGLEFINANCE(B466,""price""),"""")"),1.67)</f>
        <v>1.67</v>
      </c>
    </row>
    <row r="467">
      <c r="A467" s="15">
        <v>46059.62529941699</v>
      </c>
      <c r="B467" s="16" t="s">
        <v>3523</v>
      </c>
      <c r="C467" s="16" t="s">
        <v>3524</v>
      </c>
      <c r="D467" s="17">
        <v>46061.0</v>
      </c>
      <c r="E467" s="18">
        <v>40.59</v>
      </c>
      <c r="F467" s="27">
        <v>0.9082</v>
      </c>
      <c r="G467" s="20">
        <v>9790433.0</v>
      </c>
      <c r="H467" s="16" t="s">
        <v>162</v>
      </c>
      <c r="I467" s="19">
        <v>1.8059</v>
      </c>
      <c r="J467" s="20">
        <v>7.5584137298E10</v>
      </c>
      <c r="K467" s="21">
        <v>26.3059</v>
      </c>
      <c r="L467" s="21">
        <v>1.543</v>
      </c>
      <c r="M467" s="16" t="s">
        <v>3526</v>
      </c>
      <c r="N467" s="16" t="s">
        <v>5781</v>
      </c>
      <c r="O467" s="21">
        <v>22.5158</v>
      </c>
      <c r="P467" s="21">
        <v>33.2458</v>
      </c>
      <c r="Q467" s="21">
        <v>-3.0812</v>
      </c>
      <c r="R467" s="21">
        <v>1.4341</v>
      </c>
      <c r="S467" s="21">
        <v>0.8139</v>
      </c>
      <c r="T467" s="22">
        <f>IFERROR(__xludf.DUMMYFUNCTION("IFERROR(GOOGLEFINANCE(B467,""price""),"""")"),42.24)</f>
        <v>42.24</v>
      </c>
    </row>
    <row r="468">
      <c r="A468" s="7">
        <v>46059.62529941699</v>
      </c>
      <c r="B468" s="8" t="s">
        <v>4939</v>
      </c>
      <c r="C468" s="8" t="s">
        <v>4940</v>
      </c>
      <c r="D468" s="9">
        <v>46061.0</v>
      </c>
      <c r="E468" s="10">
        <v>38.14</v>
      </c>
      <c r="F468" s="26">
        <v>0.9001</v>
      </c>
      <c r="G468" s="12">
        <v>1.2591128E7</v>
      </c>
      <c r="H468" s="8" t="s">
        <v>190</v>
      </c>
      <c r="I468" s="11">
        <v>-4.4589</v>
      </c>
      <c r="J468" s="12">
        <v>1.8746495865E10</v>
      </c>
      <c r="K468" s="23"/>
      <c r="L468" s="13">
        <v>-10.8185</v>
      </c>
      <c r="M468" s="8" t="s">
        <v>4942</v>
      </c>
      <c r="N468" s="8" t="s">
        <v>5782</v>
      </c>
      <c r="O468" s="13">
        <v>-21.9252</v>
      </c>
      <c r="P468" s="13">
        <v>0.5983</v>
      </c>
      <c r="Q468" s="13">
        <v>14.9209</v>
      </c>
      <c r="R468" s="13">
        <v>0.8394</v>
      </c>
      <c r="S468" s="13">
        <v>1.0845</v>
      </c>
      <c r="T468" s="14">
        <f>IFERROR(__xludf.DUMMYFUNCTION("IFERROR(GOOGLEFINANCE(B468,""price""),"""")"),37.3)</f>
        <v>37.3</v>
      </c>
    </row>
    <row r="469">
      <c r="A469" s="15">
        <v>46059.62529941699</v>
      </c>
      <c r="B469" s="16" t="s">
        <v>5533</v>
      </c>
      <c r="C469" s="16" t="s">
        <v>5534</v>
      </c>
      <c r="D469" s="17">
        <v>46061.0</v>
      </c>
      <c r="E469" s="18">
        <v>8.175</v>
      </c>
      <c r="F469" s="27">
        <v>0.8984</v>
      </c>
      <c r="G469" s="20">
        <v>1.7457238E7</v>
      </c>
      <c r="H469" s="16" t="s">
        <v>102</v>
      </c>
      <c r="I469" s="19">
        <v>12.4484</v>
      </c>
      <c r="J469" s="20">
        <v>2.211932756E9</v>
      </c>
      <c r="K469" s="24"/>
      <c r="L469" s="21">
        <v>-3.7839</v>
      </c>
      <c r="M469" s="16" t="s">
        <v>5535</v>
      </c>
      <c r="N469" s="16" t="s">
        <v>5536</v>
      </c>
      <c r="O469" s="21">
        <v>-55.984</v>
      </c>
      <c r="P469" s="21">
        <v>-31.1477</v>
      </c>
      <c r="Q469" s="24"/>
      <c r="R469" s="21">
        <v>4.5088</v>
      </c>
      <c r="S469" s="21">
        <v>1.1293</v>
      </c>
      <c r="T469" s="22">
        <f>IFERROR(__xludf.DUMMYFUNCTION("IFERROR(GOOGLEFINANCE(B469,""price""),"""")"),4.69)</f>
        <v>4.69</v>
      </c>
    </row>
    <row r="470">
      <c r="A470" s="7">
        <v>46059.62529941699</v>
      </c>
      <c r="B470" s="8" t="s">
        <v>5783</v>
      </c>
      <c r="C470" s="8" t="s">
        <v>5784</v>
      </c>
      <c r="D470" s="9">
        <v>46061.0</v>
      </c>
      <c r="E470" s="10">
        <v>93.735</v>
      </c>
      <c r="F470" s="26">
        <v>0.8765</v>
      </c>
      <c r="G470" s="12">
        <v>1.1722447E7</v>
      </c>
      <c r="H470" s="8" t="s">
        <v>88</v>
      </c>
      <c r="I470" s="11">
        <v>-4.7505</v>
      </c>
      <c r="J470" s="12">
        <v>2.4662718952E10</v>
      </c>
      <c r="K470" s="23"/>
      <c r="L470" s="13">
        <v>-0.7194</v>
      </c>
      <c r="M470" s="8" t="s">
        <v>5785</v>
      </c>
      <c r="N470" s="8" t="s">
        <v>5429</v>
      </c>
      <c r="O470" s="13">
        <v>-13.466</v>
      </c>
      <c r="P470" s="13">
        <v>-1.9697</v>
      </c>
      <c r="Q470" s="13">
        <v>20.1246</v>
      </c>
      <c r="R470" s="13">
        <v>0.7638</v>
      </c>
      <c r="S470" s="13">
        <v>0.8905</v>
      </c>
      <c r="T470" s="14">
        <f>IFERROR(__xludf.DUMMYFUNCTION("IFERROR(GOOGLEFINANCE(B470,""price""),"""")"),57.15)</f>
        <v>57.15</v>
      </c>
    </row>
    <row r="471">
      <c r="A471" s="15">
        <v>46059.62529941699</v>
      </c>
      <c r="B471" s="16" t="s">
        <v>5503</v>
      </c>
      <c r="C471" s="16" t="s">
        <v>5504</v>
      </c>
      <c r="D471" s="17">
        <v>46061.0</v>
      </c>
      <c r="E471" s="18">
        <v>11.02</v>
      </c>
      <c r="F471" s="27">
        <v>0.8724</v>
      </c>
      <c r="G471" s="20">
        <v>1.5278888E7</v>
      </c>
      <c r="H471" s="16" t="s">
        <v>335</v>
      </c>
      <c r="I471" s="19">
        <v>3.3771</v>
      </c>
      <c r="J471" s="20">
        <v>1.299307687E9</v>
      </c>
      <c r="K471" s="24"/>
      <c r="L471" s="21">
        <v>-0.5583</v>
      </c>
      <c r="M471" s="16" t="s">
        <v>5505</v>
      </c>
      <c r="N471" s="16" t="s">
        <v>5445</v>
      </c>
      <c r="O471" s="21">
        <v>-128.3047</v>
      </c>
      <c r="P471" s="24"/>
      <c r="Q471" s="24"/>
      <c r="R471" s="21">
        <v>0.064</v>
      </c>
      <c r="S471" s="21">
        <v>0.1282</v>
      </c>
      <c r="T471" s="22">
        <f>IFERROR(__xludf.DUMMYFUNCTION("IFERROR(GOOGLEFINANCE(B471,""price""),"""")"),8.87)</f>
        <v>8.87</v>
      </c>
    </row>
    <row r="472">
      <c r="A472" s="7">
        <v>46059.62529941699</v>
      </c>
      <c r="B472" s="8" t="s">
        <v>5786</v>
      </c>
      <c r="C472" s="8" t="s">
        <v>5787</v>
      </c>
      <c r="D472" s="9">
        <v>46061.0</v>
      </c>
      <c r="E472" s="10">
        <v>76.015</v>
      </c>
      <c r="F472" s="26">
        <v>0.8379</v>
      </c>
      <c r="G472" s="12">
        <v>2.4831161E7</v>
      </c>
      <c r="H472" s="8" t="s">
        <v>117</v>
      </c>
      <c r="I472" s="11">
        <v>-2.093</v>
      </c>
      <c r="J472" s="12">
        <v>1.1273174734E11</v>
      </c>
      <c r="K472" s="13">
        <v>39.1992</v>
      </c>
      <c r="L472" s="13">
        <v>1.9392</v>
      </c>
      <c r="M472" s="8" t="s">
        <v>5788</v>
      </c>
      <c r="N472" s="8" t="s">
        <v>5418</v>
      </c>
      <c r="O472" s="23"/>
      <c r="P472" s="13">
        <v>19.4271</v>
      </c>
      <c r="Q472" s="13">
        <v>19.8794</v>
      </c>
      <c r="R472" s="23"/>
      <c r="S472" s="23"/>
      <c r="T472" s="14">
        <f>IFERROR(__xludf.DUMMYFUNCTION("IFERROR(GOOGLEFINANCE(B472,""price""),"""")"),61.79)</f>
        <v>61.79</v>
      </c>
    </row>
    <row r="473">
      <c r="A473" s="15">
        <v>46059.62529941699</v>
      </c>
      <c r="B473" s="16" t="s">
        <v>5789</v>
      </c>
      <c r="C473" s="16" t="s">
        <v>5790</v>
      </c>
      <c r="D473" s="17">
        <v>46061.0</v>
      </c>
      <c r="E473" s="18">
        <v>17.525</v>
      </c>
      <c r="F473" s="27">
        <v>0.8258</v>
      </c>
      <c r="G473" s="20">
        <v>3.4504827E7</v>
      </c>
      <c r="H473" s="16" t="s">
        <v>137</v>
      </c>
      <c r="I473" s="19">
        <v>4.3776</v>
      </c>
      <c r="J473" s="20">
        <v>3.2011998699E10</v>
      </c>
      <c r="K473" s="21">
        <v>82.9389</v>
      </c>
      <c r="L473" s="21">
        <v>0.2113</v>
      </c>
      <c r="M473" s="16" t="s">
        <v>5791</v>
      </c>
      <c r="N473" s="16" t="s">
        <v>5743</v>
      </c>
      <c r="O473" s="21">
        <v>8.7346</v>
      </c>
      <c r="P473" s="21">
        <v>1.9873</v>
      </c>
      <c r="Q473" s="21">
        <v>16.6297</v>
      </c>
      <c r="R473" s="21">
        <v>1.0439</v>
      </c>
      <c r="S473" s="21">
        <v>1.0601</v>
      </c>
      <c r="T473" s="22">
        <f>IFERROR(__xludf.DUMMYFUNCTION("IFERROR(GOOGLEFINANCE(B473,""price""),"""")"),19.76)</f>
        <v>19.76</v>
      </c>
    </row>
    <row r="474">
      <c r="A474" s="7">
        <v>46059.62529941699</v>
      </c>
      <c r="B474" s="8" t="s">
        <v>1077</v>
      </c>
      <c r="C474" s="8" t="s">
        <v>1078</v>
      </c>
      <c r="D474" s="9">
        <v>46061.0</v>
      </c>
      <c r="E474" s="10">
        <v>8.605</v>
      </c>
      <c r="F474" s="26">
        <v>0.8203</v>
      </c>
      <c r="G474" s="12">
        <v>1.0577751E7</v>
      </c>
      <c r="H474" s="8" t="s">
        <v>335</v>
      </c>
      <c r="I474" s="11">
        <v>15.1941</v>
      </c>
      <c r="J474" s="12">
        <v>1.205006424E9</v>
      </c>
      <c r="K474" s="23"/>
      <c r="L474" s="13">
        <v>-0.041</v>
      </c>
      <c r="M474" s="8" t="s">
        <v>1079</v>
      </c>
      <c r="N474" s="8" t="s">
        <v>5506</v>
      </c>
      <c r="O474" s="13">
        <v>-10.5913</v>
      </c>
      <c r="P474" s="13">
        <v>-18.9471</v>
      </c>
      <c r="Q474" s="13">
        <v>240.123</v>
      </c>
      <c r="R474" s="13">
        <v>0.0037</v>
      </c>
      <c r="S474" s="13">
        <v>5.0784</v>
      </c>
      <c r="T474" s="14">
        <f>IFERROR(__xludf.DUMMYFUNCTION("IFERROR(GOOGLEFINANCE(B474,""price""),"""")"),8.36)</f>
        <v>8.36</v>
      </c>
    </row>
    <row r="475">
      <c r="A475" s="15">
        <v>46059.62529941699</v>
      </c>
      <c r="B475" s="16" t="s">
        <v>5792</v>
      </c>
      <c r="C475" s="16" t="s">
        <v>5793</v>
      </c>
      <c r="D475" s="17">
        <v>46061.0</v>
      </c>
      <c r="E475" s="18">
        <v>12.315</v>
      </c>
      <c r="F475" s="27">
        <v>0.8086</v>
      </c>
      <c r="G475" s="20">
        <v>1.1185421E7</v>
      </c>
      <c r="H475" s="16" t="s">
        <v>88</v>
      </c>
      <c r="I475" s="19">
        <v>2.2841</v>
      </c>
      <c r="J475" s="20">
        <v>8.919699408E9</v>
      </c>
      <c r="K475" s="24"/>
      <c r="L475" s="21">
        <v>-0.1129</v>
      </c>
      <c r="M475" s="16" t="s">
        <v>5794</v>
      </c>
      <c r="N475" s="16" t="s">
        <v>5429</v>
      </c>
      <c r="O475" s="21">
        <v>-9.3898</v>
      </c>
      <c r="P475" s="21">
        <v>-0.4502</v>
      </c>
      <c r="Q475" s="21">
        <v>24.2671</v>
      </c>
      <c r="R475" s="21">
        <v>0.622</v>
      </c>
      <c r="S475" s="21">
        <v>0.8013</v>
      </c>
      <c r="T475" s="22">
        <f>IFERROR(__xludf.DUMMYFUNCTION("IFERROR(GOOGLEFINANCE(B475,""price""),"""")"),7.14)</f>
        <v>7.14</v>
      </c>
    </row>
    <row r="476">
      <c r="A476" s="7">
        <v>46059.62529941699</v>
      </c>
      <c r="B476" s="8" t="s">
        <v>5795</v>
      </c>
      <c r="C476" s="8" t="s">
        <v>5796</v>
      </c>
      <c r="D476" s="9">
        <v>46061.0</v>
      </c>
      <c r="E476" s="10">
        <v>27.625</v>
      </c>
      <c r="F476" s="26">
        <v>0.8034</v>
      </c>
      <c r="G476" s="12">
        <v>9124798.0</v>
      </c>
      <c r="H476" s="8" t="s">
        <v>88</v>
      </c>
      <c r="I476" s="11">
        <v>2.1257</v>
      </c>
      <c r="J476" s="12">
        <v>1.6243499541E10</v>
      </c>
      <c r="K476" s="13">
        <v>63.3601</v>
      </c>
      <c r="L476" s="13">
        <v>0.436</v>
      </c>
      <c r="M476" s="8" t="s">
        <v>5797</v>
      </c>
      <c r="N476" s="8" t="s">
        <v>5429</v>
      </c>
      <c r="O476" s="13">
        <v>15.9581</v>
      </c>
      <c r="P476" s="13">
        <v>4.2677</v>
      </c>
      <c r="Q476" s="13">
        <v>25.7621</v>
      </c>
      <c r="R476" s="13">
        <v>0.0089</v>
      </c>
      <c r="S476" s="13">
        <v>2.6411</v>
      </c>
      <c r="T476" s="14">
        <f>IFERROR(__xludf.DUMMYFUNCTION("IFERROR(GOOGLEFINANCE(B476,""price""),"""")"),25.4)</f>
        <v>25.4</v>
      </c>
    </row>
    <row r="477">
      <c r="A477" s="15">
        <v>46059.62529941699</v>
      </c>
      <c r="B477" s="16" t="s">
        <v>1941</v>
      </c>
      <c r="C477" s="16" t="s">
        <v>1942</v>
      </c>
      <c r="D477" s="17">
        <v>46061.0</v>
      </c>
      <c r="E477" s="18">
        <v>27.285</v>
      </c>
      <c r="F477" s="27">
        <v>0.793</v>
      </c>
      <c r="G477" s="20">
        <v>2.8461252E7</v>
      </c>
      <c r="H477" s="16" t="s">
        <v>149</v>
      </c>
      <c r="I477" s="19">
        <v>1.9619</v>
      </c>
      <c r="J477" s="20">
        <v>6.7623108607E10</v>
      </c>
      <c r="K477" s="21">
        <v>145.4424</v>
      </c>
      <c r="L477" s="21">
        <v>0.1876</v>
      </c>
      <c r="M477" s="16" t="s">
        <v>1943</v>
      </c>
      <c r="N477" s="16" t="s">
        <v>5480</v>
      </c>
      <c r="O477" s="21">
        <v>1.3639</v>
      </c>
      <c r="P477" s="21">
        <v>4.3523</v>
      </c>
      <c r="Q477" s="21">
        <v>-4.2943</v>
      </c>
      <c r="R477" s="21">
        <v>0.9369</v>
      </c>
      <c r="S477" s="21">
        <v>1.0739</v>
      </c>
      <c r="T477" s="22">
        <f>IFERROR(__xludf.DUMMYFUNCTION("IFERROR(GOOGLEFINANCE(B477,""price""),"""")"),27.44)</f>
        <v>27.44</v>
      </c>
    </row>
    <row r="478">
      <c r="A478" s="7">
        <v>46059.62529941699</v>
      </c>
      <c r="B478" s="8" t="s">
        <v>5668</v>
      </c>
      <c r="C478" s="8" t="s">
        <v>5669</v>
      </c>
      <c r="D478" s="9">
        <v>46061.0</v>
      </c>
      <c r="E478" s="10">
        <v>9.6112</v>
      </c>
      <c r="F478" s="26">
        <v>0.7852</v>
      </c>
      <c r="G478" s="12">
        <v>1.7238049E7</v>
      </c>
      <c r="H478" s="8" t="s">
        <v>88</v>
      </c>
      <c r="I478" s="11">
        <v>23.0627</v>
      </c>
      <c r="J478" s="12">
        <v>2.154093759E9</v>
      </c>
      <c r="K478" s="23"/>
      <c r="L478" s="13">
        <v>-0.6048</v>
      </c>
      <c r="M478" s="8" t="s">
        <v>5670</v>
      </c>
      <c r="N478" s="8" t="s">
        <v>5664</v>
      </c>
      <c r="O478" s="13">
        <v>-14.4858</v>
      </c>
      <c r="P478" s="13">
        <v>-6918.4982</v>
      </c>
      <c r="Q478" s="13">
        <v>41.5072</v>
      </c>
      <c r="R478" s="13">
        <v>0.0029</v>
      </c>
      <c r="S478" s="13">
        <v>154.8687</v>
      </c>
      <c r="T478" s="14">
        <f>IFERROR(__xludf.DUMMYFUNCTION("IFERROR(GOOGLEFINANCE(B478,""price""),"""")"),7.06)</f>
        <v>7.06</v>
      </c>
    </row>
    <row r="479">
      <c r="A479" s="15">
        <v>46059.62529941699</v>
      </c>
      <c r="B479" s="16" t="s">
        <v>5798</v>
      </c>
      <c r="C479" s="16" t="s">
        <v>5799</v>
      </c>
      <c r="D479" s="17">
        <v>46061.0</v>
      </c>
      <c r="E479" s="18">
        <v>7.055</v>
      </c>
      <c r="F479" s="27">
        <v>0.7813</v>
      </c>
      <c r="G479" s="20">
        <v>8309883.0</v>
      </c>
      <c r="H479" s="16" t="s">
        <v>186</v>
      </c>
      <c r="I479" s="19">
        <v>16.2273</v>
      </c>
      <c r="J479" s="20">
        <v>1.387670505E9</v>
      </c>
      <c r="K479" s="24"/>
      <c r="L479" s="21">
        <v>-8.0691</v>
      </c>
      <c r="M479" s="16" t="s">
        <v>5800</v>
      </c>
      <c r="N479" s="16" t="s">
        <v>5801</v>
      </c>
      <c r="O479" s="21">
        <v>-0.0683</v>
      </c>
      <c r="P479" s="21">
        <v>-169.9078</v>
      </c>
      <c r="Q479" s="21">
        <v>79.8296</v>
      </c>
      <c r="R479" s="21">
        <v>0.0</v>
      </c>
      <c r="S479" s="21">
        <v>8.7492</v>
      </c>
      <c r="T479" s="22">
        <f>IFERROR(__xludf.DUMMYFUNCTION("IFERROR(GOOGLEFINANCE(B479,""price""),"""")"),6.52)</f>
        <v>6.52</v>
      </c>
    </row>
    <row r="480">
      <c r="A480" s="7">
        <v>46059.62529941699</v>
      </c>
      <c r="B480" s="8" t="s">
        <v>5748</v>
      </c>
      <c r="C480" s="8" t="s">
        <v>5749</v>
      </c>
      <c r="D480" s="9">
        <v>46061.0</v>
      </c>
      <c r="E480" s="10">
        <v>56.415</v>
      </c>
      <c r="F480" s="26">
        <v>0.7787</v>
      </c>
      <c r="G480" s="12">
        <v>1.5645566E7</v>
      </c>
      <c r="H480" s="8" t="s">
        <v>93</v>
      </c>
      <c r="I480" s="11">
        <v>-5.0572</v>
      </c>
      <c r="J480" s="12">
        <v>1.8621104953E10</v>
      </c>
      <c r="K480" s="13">
        <v>69.3997</v>
      </c>
      <c r="L480" s="13">
        <v>0.8129</v>
      </c>
      <c r="M480" s="8" t="s">
        <v>5750</v>
      </c>
      <c r="N480" s="8" t="s">
        <v>5590</v>
      </c>
      <c r="O480" s="13">
        <v>8.9169</v>
      </c>
      <c r="P480" s="13">
        <v>19.3588</v>
      </c>
      <c r="Q480" s="13">
        <v>32.7718</v>
      </c>
      <c r="R480" s="13">
        <v>2.552</v>
      </c>
      <c r="S480" s="13">
        <v>15.94</v>
      </c>
      <c r="T480" s="14">
        <f>IFERROR(__xludf.DUMMYFUNCTION("IFERROR(GOOGLEFINANCE(B480,""price""),"""")"),48.53)</f>
        <v>48.53</v>
      </c>
    </row>
    <row r="481">
      <c r="A481" s="15">
        <v>46059.62529941699</v>
      </c>
      <c r="B481" s="16" t="s">
        <v>5802</v>
      </c>
      <c r="C481" s="16" t="s">
        <v>5803</v>
      </c>
      <c r="D481" s="17">
        <v>46061.0</v>
      </c>
      <c r="E481" s="18">
        <v>19.34</v>
      </c>
      <c r="F481" s="27">
        <v>0.7783</v>
      </c>
      <c r="G481" s="20">
        <v>1.0178268E7</v>
      </c>
      <c r="H481" s="16" t="s">
        <v>88</v>
      </c>
      <c r="I481" s="19">
        <v>0.1035</v>
      </c>
      <c r="J481" s="20">
        <v>1.3065288218E10</v>
      </c>
      <c r="K481" s="21">
        <v>6.7011</v>
      </c>
      <c r="L481" s="21">
        <v>2.8861</v>
      </c>
      <c r="M481" s="16" t="s">
        <v>5804</v>
      </c>
      <c r="N481" s="16" t="s">
        <v>5495</v>
      </c>
      <c r="O481" s="21">
        <v>51.4911</v>
      </c>
      <c r="P481" s="21">
        <v>6.9098</v>
      </c>
      <c r="Q481" s="21">
        <v>16.7925</v>
      </c>
      <c r="R481" s="21">
        <v>0.0425</v>
      </c>
      <c r="S481" s="21">
        <v>8.363</v>
      </c>
      <c r="T481" s="22">
        <f>IFERROR(__xludf.DUMMYFUNCTION("IFERROR(GOOGLEFINANCE(B481,""price""),"""")"),17.62)</f>
        <v>17.62</v>
      </c>
    </row>
    <row r="482">
      <c r="A482" s="7">
        <v>46062.62671825561</v>
      </c>
      <c r="B482" s="8" t="s">
        <v>5637</v>
      </c>
      <c r="C482" s="8" t="s">
        <v>5638</v>
      </c>
      <c r="D482" s="9">
        <v>46068.0</v>
      </c>
      <c r="E482" s="10">
        <v>27.66</v>
      </c>
      <c r="F482" s="26">
        <v>1.6636</v>
      </c>
      <c r="G482" s="12">
        <v>1.6988816E7</v>
      </c>
      <c r="H482" s="8" t="s">
        <v>88</v>
      </c>
      <c r="I482" s="11">
        <v>10.1553</v>
      </c>
      <c r="J482" s="12">
        <v>1.1836069492E10</v>
      </c>
      <c r="K482" s="23"/>
      <c r="L482" s="13">
        <v>-1.0498</v>
      </c>
      <c r="M482" s="8" t="s">
        <v>5639</v>
      </c>
      <c r="N482" s="8" t="s">
        <v>5429</v>
      </c>
      <c r="O482" s="13">
        <v>-13.6376</v>
      </c>
      <c r="P482" s="13">
        <v>-25.3215</v>
      </c>
      <c r="Q482" s="13">
        <v>-8.2306</v>
      </c>
      <c r="R482" s="13">
        <v>0.7272</v>
      </c>
      <c r="S482" s="13">
        <v>2.7772</v>
      </c>
      <c r="T482" s="14">
        <f>IFERROR(__xludf.DUMMYFUNCTION("IFERROR(GOOGLEFINANCE(B482,""price""),"""")"),21.62)</f>
        <v>21.62</v>
      </c>
    </row>
    <row r="483">
      <c r="A483" s="15">
        <v>46062.62671825561</v>
      </c>
      <c r="B483" s="16" t="s">
        <v>5805</v>
      </c>
      <c r="C483" s="16" t="s">
        <v>5806</v>
      </c>
      <c r="D483" s="17">
        <v>46068.0</v>
      </c>
      <c r="E483" s="18">
        <v>459.08</v>
      </c>
      <c r="F483" s="27">
        <v>1.6216</v>
      </c>
      <c r="G483" s="20">
        <v>8851679.0</v>
      </c>
      <c r="H483" s="16" t="s">
        <v>88</v>
      </c>
      <c r="I483" s="19">
        <v>12.8737</v>
      </c>
      <c r="J483" s="20">
        <v>1.55148374917E11</v>
      </c>
      <c r="K483" s="21">
        <v>57.8594</v>
      </c>
      <c r="L483" s="21">
        <v>7.9344</v>
      </c>
      <c r="M483" s="16" t="s">
        <v>5807</v>
      </c>
      <c r="N483" s="16" t="s">
        <v>5429</v>
      </c>
      <c r="O483" s="21">
        <v>230.7072</v>
      </c>
      <c r="P483" s="21">
        <v>64.128</v>
      </c>
      <c r="Q483" s="21">
        <v>28.6934</v>
      </c>
      <c r="R483" s="21">
        <v>2.3827</v>
      </c>
      <c r="S483" s="21">
        <v>3.2499</v>
      </c>
      <c r="T483" s="22">
        <f>IFERROR(__xludf.DUMMYFUNCTION("IFERROR(GOOGLEFINANCE(B483,""price""),"""")"),391.38)</f>
        <v>391.38</v>
      </c>
    </row>
    <row r="484">
      <c r="A484" s="7">
        <v>46062.62671825561</v>
      </c>
      <c r="B484" s="8" t="s">
        <v>5808</v>
      </c>
      <c r="C484" s="8" t="s">
        <v>5809</v>
      </c>
      <c r="D484" s="9">
        <v>46068.0</v>
      </c>
      <c r="E484" s="10">
        <v>12.705</v>
      </c>
      <c r="F484" s="26">
        <v>1.5273</v>
      </c>
      <c r="G484" s="12">
        <v>1.0878527E7</v>
      </c>
      <c r="H484" s="8" t="s">
        <v>190</v>
      </c>
      <c r="I484" s="11">
        <v>3.799</v>
      </c>
      <c r="J484" s="12">
        <v>2.909571925E9</v>
      </c>
      <c r="K484" s="23"/>
      <c r="L484" s="13">
        <v>-1.1247</v>
      </c>
      <c r="M484" s="8" t="s">
        <v>5810</v>
      </c>
      <c r="N484" s="8" t="s">
        <v>5782</v>
      </c>
      <c r="O484" s="13">
        <v>-22.3232</v>
      </c>
      <c r="P484" s="13">
        <v>-1.8633</v>
      </c>
      <c r="Q484" s="13">
        <v>37.385</v>
      </c>
      <c r="R484" s="13">
        <v>0.6702</v>
      </c>
      <c r="S484" s="13">
        <v>0.9439</v>
      </c>
      <c r="T484" s="14">
        <f>IFERROR(__xludf.DUMMYFUNCTION("IFERROR(GOOGLEFINANCE(B484,""price""),"""")"),14.45)</f>
        <v>14.45</v>
      </c>
    </row>
    <row r="485">
      <c r="A485" s="15">
        <v>46062.62671825561</v>
      </c>
      <c r="B485" s="16" t="s">
        <v>5811</v>
      </c>
      <c r="C485" s="16" t="s">
        <v>5812</v>
      </c>
      <c r="D485" s="17">
        <v>46068.0</v>
      </c>
      <c r="E485" s="18">
        <v>16.72</v>
      </c>
      <c r="F485" s="27">
        <v>1.5101</v>
      </c>
      <c r="G485" s="20">
        <v>1.2079358E7</v>
      </c>
      <c r="H485" s="16" t="s">
        <v>162</v>
      </c>
      <c r="I485" s="19">
        <v>1.5796</v>
      </c>
      <c r="J485" s="20">
        <v>6.677188369E9</v>
      </c>
      <c r="K485" s="21">
        <v>46.3543</v>
      </c>
      <c r="L485" s="21">
        <v>0.3607</v>
      </c>
      <c r="M485" s="16" t="s">
        <v>5813</v>
      </c>
      <c r="N485" s="16" t="s">
        <v>5814</v>
      </c>
      <c r="O485" s="21">
        <v>24.5254</v>
      </c>
      <c r="P485" s="21">
        <v>0.5795</v>
      </c>
      <c r="Q485" s="21">
        <v>14.8984</v>
      </c>
      <c r="R485" s="21">
        <v>2.3015</v>
      </c>
      <c r="S485" s="21">
        <v>0.7243</v>
      </c>
      <c r="T485" s="22">
        <f>IFERROR(__xludf.DUMMYFUNCTION("IFERROR(GOOGLEFINANCE(B485,""price""),"""")"),13.23)</f>
        <v>13.23</v>
      </c>
    </row>
    <row r="486">
      <c r="A486" s="7">
        <v>46062.62671825561</v>
      </c>
      <c r="B486" s="8" t="s">
        <v>5815</v>
      </c>
      <c r="C486" s="8" t="s">
        <v>5816</v>
      </c>
      <c r="D486" s="9">
        <v>46068.0</v>
      </c>
      <c r="E486" s="10">
        <v>113.49</v>
      </c>
      <c r="F486" s="26">
        <v>1.4867</v>
      </c>
      <c r="G486" s="12">
        <v>7546880.0</v>
      </c>
      <c r="H486" s="8" t="s">
        <v>88</v>
      </c>
      <c r="I486" s="11">
        <v>1.6116</v>
      </c>
      <c r="J486" s="12">
        <v>3.9797626091E10</v>
      </c>
      <c r="K486" s="13">
        <v>384.4512</v>
      </c>
      <c r="L486" s="13">
        <v>0.2952</v>
      </c>
      <c r="M486" s="8" t="s">
        <v>5817</v>
      </c>
      <c r="N486" s="8" t="s">
        <v>5429</v>
      </c>
      <c r="O486" s="13">
        <v>3.5189</v>
      </c>
      <c r="P486" s="13">
        <v>-1.3805</v>
      </c>
      <c r="Q486" s="13">
        <v>26.6341</v>
      </c>
      <c r="R486" s="13">
        <v>0.372</v>
      </c>
      <c r="S486" s="13">
        <v>3.6124</v>
      </c>
      <c r="T486" s="14">
        <f>IFERROR(__xludf.DUMMYFUNCTION("IFERROR(GOOGLEFINANCE(B486,""price""),"""")"),105.37)</f>
        <v>105.37</v>
      </c>
    </row>
    <row r="487">
      <c r="A487" s="15">
        <v>46062.62671825561</v>
      </c>
      <c r="B487" s="16" t="s">
        <v>5503</v>
      </c>
      <c r="C487" s="16" t="s">
        <v>5504</v>
      </c>
      <c r="D487" s="17">
        <v>46068.0</v>
      </c>
      <c r="E487" s="18">
        <v>11.975</v>
      </c>
      <c r="F487" s="27">
        <v>1.4479</v>
      </c>
      <c r="G487" s="20">
        <v>1.2270926E7</v>
      </c>
      <c r="H487" s="16" t="s">
        <v>335</v>
      </c>
      <c r="I487" s="19">
        <v>8.6168</v>
      </c>
      <c r="J487" s="20">
        <v>1.411906464E9</v>
      </c>
      <c r="K487" s="24"/>
      <c r="L487" s="21">
        <v>-0.5583</v>
      </c>
      <c r="M487" s="16" t="s">
        <v>5505</v>
      </c>
      <c r="N487" s="16" t="s">
        <v>5445</v>
      </c>
      <c r="O487" s="21">
        <v>-128.3047</v>
      </c>
      <c r="P487" s="24"/>
      <c r="Q487" s="24"/>
      <c r="R487" s="21">
        <v>0.064</v>
      </c>
      <c r="S487" s="21">
        <v>0.1282</v>
      </c>
      <c r="T487" s="22">
        <f>IFERROR(__xludf.DUMMYFUNCTION("IFERROR(GOOGLEFINANCE(B487,""price""),"""")"),8.87)</f>
        <v>8.87</v>
      </c>
    </row>
    <row r="488">
      <c r="A488" s="7">
        <v>46062.62671825561</v>
      </c>
      <c r="B488" s="8" t="s">
        <v>5802</v>
      </c>
      <c r="C488" s="8" t="s">
        <v>5803</v>
      </c>
      <c r="D488" s="9">
        <v>46068.0</v>
      </c>
      <c r="E488" s="10">
        <v>20.035</v>
      </c>
      <c r="F488" s="26">
        <v>1.4316</v>
      </c>
      <c r="G488" s="12">
        <v>1.1024229E7</v>
      </c>
      <c r="H488" s="8" t="s">
        <v>88</v>
      </c>
      <c r="I488" s="11">
        <v>2.2194</v>
      </c>
      <c r="J488" s="12">
        <v>1.353480138E10</v>
      </c>
      <c r="K488" s="13">
        <v>6.9419</v>
      </c>
      <c r="L488" s="13">
        <v>2.8861</v>
      </c>
      <c r="M488" s="8" t="s">
        <v>5804</v>
      </c>
      <c r="N488" s="8" t="s">
        <v>5495</v>
      </c>
      <c r="O488" s="13">
        <v>51.4911</v>
      </c>
      <c r="P488" s="13">
        <v>6.9098</v>
      </c>
      <c r="Q488" s="13">
        <v>16.7925</v>
      </c>
      <c r="R488" s="13">
        <v>0.0425</v>
      </c>
      <c r="S488" s="13">
        <v>8.363</v>
      </c>
      <c r="T488" s="14">
        <f>IFERROR(__xludf.DUMMYFUNCTION("IFERROR(GOOGLEFINANCE(B488,""price""),"""")"),17.62)</f>
        <v>17.62</v>
      </c>
    </row>
    <row r="489">
      <c r="A489" s="15">
        <v>46062.62671825561</v>
      </c>
      <c r="B489" s="16" t="s">
        <v>5818</v>
      </c>
      <c r="C489" s="16" t="s">
        <v>5819</v>
      </c>
      <c r="D489" s="17">
        <v>46068.0</v>
      </c>
      <c r="E489" s="18">
        <v>9.135</v>
      </c>
      <c r="F489" s="27">
        <v>1.4229</v>
      </c>
      <c r="G489" s="20">
        <v>2.4217489E7</v>
      </c>
      <c r="H489" s="16" t="s">
        <v>102</v>
      </c>
      <c r="I489" s="19">
        <v>7.8512</v>
      </c>
      <c r="J489" s="20">
        <v>5.49296832E9</v>
      </c>
      <c r="K489" s="24"/>
      <c r="L489" s="21">
        <v>-0.8108</v>
      </c>
      <c r="M489" s="16" t="s">
        <v>5820</v>
      </c>
      <c r="N489" s="16" t="s">
        <v>5536</v>
      </c>
      <c r="O489" s="21">
        <v>-38.653</v>
      </c>
      <c r="P489" s="24"/>
      <c r="Q489" s="24"/>
      <c r="R489" s="21">
        <v>0.06</v>
      </c>
      <c r="S489" s="21">
        <v>21.1384</v>
      </c>
      <c r="T489" s="22">
        <f>IFERROR(__xludf.DUMMYFUNCTION("IFERROR(GOOGLEFINANCE(B489,""price""),"""")"),6.36)</f>
        <v>6.36</v>
      </c>
    </row>
    <row r="490">
      <c r="A490" s="7">
        <v>46062.62671825561</v>
      </c>
      <c r="B490" s="8" t="s">
        <v>1077</v>
      </c>
      <c r="C490" s="8" t="s">
        <v>1078</v>
      </c>
      <c r="D490" s="9">
        <v>46068.0</v>
      </c>
      <c r="E490" s="10">
        <v>8.185</v>
      </c>
      <c r="F490" s="26">
        <v>1.4023</v>
      </c>
      <c r="G490" s="12">
        <v>1.0218851E7</v>
      </c>
      <c r="H490" s="8" t="s">
        <v>335</v>
      </c>
      <c r="I490" s="11">
        <v>-4.9361</v>
      </c>
      <c r="J490" s="12">
        <v>1.146191455E9</v>
      </c>
      <c r="K490" s="23"/>
      <c r="L490" s="13">
        <v>-0.041</v>
      </c>
      <c r="M490" s="8" t="s">
        <v>1079</v>
      </c>
      <c r="N490" s="8" t="s">
        <v>5506</v>
      </c>
      <c r="O490" s="13">
        <v>-10.5913</v>
      </c>
      <c r="P490" s="13">
        <v>-18.9471</v>
      </c>
      <c r="Q490" s="13">
        <v>240.123</v>
      </c>
      <c r="R490" s="13">
        <v>0.0037</v>
      </c>
      <c r="S490" s="13">
        <v>5.0784</v>
      </c>
      <c r="T490" s="14">
        <f>IFERROR(__xludf.DUMMYFUNCTION("IFERROR(GOOGLEFINANCE(B490,""price""),"""")"),8.36)</f>
        <v>8.36</v>
      </c>
    </row>
    <row r="491">
      <c r="A491" s="15">
        <v>46062.62671825561</v>
      </c>
      <c r="B491" s="16" t="s">
        <v>5821</v>
      </c>
      <c r="C491" s="16" t="s">
        <v>5822</v>
      </c>
      <c r="D491" s="17">
        <v>46068.0</v>
      </c>
      <c r="E491" s="18">
        <v>7.515</v>
      </c>
      <c r="F491" s="27">
        <v>1.3652</v>
      </c>
      <c r="G491" s="20">
        <v>1.244326E7</v>
      </c>
      <c r="H491" s="16" t="s">
        <v>88</v>
      </c>
      <c r="I491" s="19">
        <v>2.8044</v>
      </c>
      <c r="J491" s="20">
        <v>2.341617839E9</v>
      </c>
      <c r="K491" s="21">
        <v>23.7216</v>
      </c>
      <c r="L491" s="21">
        <v>0.3168</v>
      </c>
      <c r="M491" s="16" t="s">
        <v>5823</v>
      </c>
      <c r="N491" s="16" t="s">
        <v>5429</v>
      </c>
      <c r="O491" s="21">
        <v>6.5085</v>
      </c>
      <c r="P491" s="21">
        <v>20.3469</v>
      </c>
      <c r="Q491" s="21">
        <v>1.4653</v>
      </c>
      <c r="R491" s="21">
        <v>1.0207</v>
      </c>
      <c r="S491" s="21">
        <v>0.6685</v>
      </c>
      <c r="T491" s="22">
        <f>IFERROR(__xludf.DUMMYFUNCTION("IFERROR(GOOGLEFINANCE(B491,""price""),"""")"),5.23)</f>
        <v>5.23</v>
      </c>
    </row>
    <row r="492">
      <c r="A492" s="7">
        <v>46062.62671825561</v>
      </c>
      <c r="B492" s="8" t="s">
        <v>5824</v>
      </c>
      <c r="C492" s="8" t="s">
        <v>5825</v>
      </c>
      <c r="D492" s="9">
        <v>46068.0</v>
      </c>
      <c r="E492" s="10">
        <v>14.815</v>
      </c>
      <c r="F492" s="26">
        <v>1.347</v>
      </c>
      <c r="G492" s="12">
        <v>2.4803957E7</v>
      </c>
      <c r="H492" s="8" t="s">
        <v>112</v>
      </c>
      <c r="I492" s="11">
        <v>0.1014</v>
      </c>
      <c r="J492" s="12">
        <v>1.8163199276E10</v>
      </c>
      <c r="K492" s="23"/>
      <c r="L492" s="13">
        <v>-3.1111</v>
      </c>
      <c r="M492" s="8" t="s">
        <v>5826</v>
      </c>
      <c r="N492" s="8" t="s">
        <v>5453</v>
      </c>
      <c r="O492" s="13">
        <v>-65.2804</v>
      </c>
      <c r="P492" s="13">
        <v>-58.4919</v>
      </c>
      <c r="Q492" s="13">
        <v>28.2136</v>
      </c>
      <c r="R492" s="13">
        <v>0.9805</v>
      </c>
      <c r="S492" s="13">
        <v>2.708</v>
      </c>
      <c r="T492" s="14">
        <f>IFERROR(__xludf.DUMMYFUNCTION("IFERROR(GOOGLEFINANCE(B492,""price""),"""")"),15.43)</f>
        <v>15.43</v>
      </c>
    </row>
    <row r="493">
      <c r="A493" s="15">
        <v>46062.62671825561</v>
      </c>
      <c r="B493" s="16" t="s">
        <v>5827</v>
      </c>
      <c r="C493" s="16" t="s">
        <v>5828</v>
      </c>
      <c r="D493" s="17">
        <v>46068.0</v>
      </c>
      <c r="E493" s="18">
        <v>118.46</v>
      </c>
      <c r="F493" s="27">
        <v>1.3428</v>
      </c>
      <c r="G493" s="20">
        <v>1.1727021E7</v>
      </c>
      <c r="H493" s="16" t="s">
        <v>186</v>
      </c>
      <c r="I493" s="19">
        <v>5.7207</v>
      </c>
      <c r="J493" s="20">
        <v>1.54600622247E11</v>
      </c>
      <c r="K493" s="21">
        <v>87.941</v>
      </c>
      <c r="L493" s="21">
        <v>1.347</v>
      </c>
      <c r="M493" s="16" t="s">
        <v>5829</v>
      </c>
      <c r="N493" s="16" t="s">
        <v>5573</v>
      </c>
      <c r="O493" s="21">
        <v>15.7485</v>
      </c>
      <c r="P493" s="21">
        <v>15.7966</v>
      </c>
      <c r="Q493" s="21">
        <v>29.9011</v>
      </c>
      <c r="R493" s="21">
        <v>0.0891</v>
      </c>
      <c r="S493" s="21">
        <v>3.9336</v>
      </c>
      <c r="T493" s="22">
        <f>IFERROR(__xludf.DUMMYFUNCTION("IFERROR(GOOGLEFINANCE(B493,""price""),"""")"),110.78)</f>
        <v>110.78</v>
      </c>
    </row>
    <row r="494">
      <c r="A494" s="7">
        <v>46062.62671825561</v>
      </c>
      <c r="B494" s="8" t="s">
        <v>5537</v>
      </c>
      <c r="C494" s="8" t="s">
        <v>5538</v>
      </c>
      <c r="D494" s="9">
        <v>46068.0</v>
      </c>
      <c r="E494" s="10">
        <v>3.485</v>
      </c>
      <c r="F494" s="26">
        <v>1.3203</v>
      </c>
      <c r="G494" s="12">
        <v>1.3417214E7</v>
      </c>
      <c r="H494" s="8" t="s">
        <v>112</v>
      </c>
      <c r="I494" s="11">
        <v>2.5</v>
      </c>
      <c r="J494" s="12">
        <v>7.49609454E8</v>
      </c>
      <c r="K494" s="23"/>
      <c r="L494" s="13">
        <v>-0.1295</v>
      </c>
      <c r="M494" s="8" t="s">
        <v>5539</v>
      </c>
      <c r="N494" s="8" t="s">
        <v>5540</v>
      </c>
      <c r="O494" s="13">
        <v>-10.1055</v>
      </c>
      <c r="P494" s="13">
        <v>-355.6789</v>
      </c>
      <c r="Q494" s="13">
        <v>19.0139</v>
      </c>
      <c r="R494" s="13">
        <v>0.0027</v>
      </c>
      <c r="S494" s="13">
        <v>107.4542</v>
      </c>
      <c r="T494" s="14">
        <f>IFERROR(__xludf.DUMMYFUNCTION("IFERROR(GOOGLEFINANCE(B494,""price""),"""")"),2.01)</f>
        <v>2.01</v>
      </c>
    </row>
    <row r="495">
      <c r="A495" s="15">
        <v>46062.62671825561</v>
      </c>
      <c r="B495" s="16" t="s">
        <v>5623</v>
      </c>
      <c r="C495" s="16" t="s">
        <v>5624</v>
      </c>
      <c r="D495" s="17">
        <v>46068.0</v>
      </c>
      <c r="E495" s="18">
        <v>4.38</v>
      </c>
      <c r="F495" s="27">
        <v>1.3125</v>
      </c>
      <c r="G495" s="20">
        <v>1.0197844E7</v>
      </c>
      <c r="H495" s="16" t="s">
        <v>88</v>
      </c>
      <c r="I495" s="19">
        <v>2.3364</v>
      </c>
      <c r="J495" s="20">
        <v>8.476925204E9</v>
      </c>
      <c r="K495" s="24"/>
      <c r="L495" s="21">
        <v>-0.4502</v>
      </c>
      <c r="M495" s="16" t="s">
        <v>5625</v>
      </c>
      <c r="N495" s="16" t="s">
        <v>5429</v>
      </c>
      <c r="O495" s="21">
        <v>-37.2708</v>
      </c>
      <c r="P495" s="21">
        <v>-43100.0</v>
      </c>
      <c r="Q495" s="24"/>
      <c r="R495" s="21">
        <v>0.0467</v>
      </c>
      <c r="S495" s="21">
        <v>15.2857</v>
      </c>
      <c r="T495" s="22">
        <f>IFERROR(__xludf.DUMMYFUNCTION("IFERROR(GOOGLEFINANCE(B495,""price""),"""")"),4.15)</f>
        <v>4.15</v>
      </c>
    </row>
    <row r="496">
      <c r="A496" s="7">
        <v>46062.62671825561</v>
      </c>
      <c r="B496" s="8" t="s">
        <v>5830</v>
      </c>
      <c r="C496" s="8" t="s">
        <v>5831</v>
      </c>
      <c r="D496" s="9">
        <v>46068.0</v>
      </c>
      <c r="E496" s="10">
        <v>93.245</v>
      </c>
      <c r="F496" s="26">
        <v>1.2756</v>
      </c>
      <c r="G496" s="12">
        <v>1.1587766E7</v>
      </c>
      <c r="H496" s="8" t="s">
        <v>88</v>
      </c>
      <c r="I496" s="11">
        <v>8.2985</v>
      </c>
      <c r="J496" s="12">
        <v>2.3479764566E10</v>
      </c>
      <c r="K496" s="23"/>
      <c r="L496" s="23"/>
      <c r="M496" s="8" t="s">
        <v>5832</v>
      </c>
      <c r="N496" s="8" t="s">
        <v>5429</v>
      </c>
      <c r="O496" s="13">
        <v>3.4537</v>
      </c>
      <c r="P496" s="13">
        <v>-151.597</v>
      </c>
      <c r="Q496" s="13">
        <v>-87.5369</v>
      </c>
      <c r="R496" s="13">
        <v>0.9379</v>
      </c>
      <c r="S496" s="13">
        <v>6.5656</v>
      </c>
      <c r="T496" s="14">
        <f>IFERROR(__xludf.DUMMYFUNCTION("IFERROR(GOOGLEFINANCE(B496,""price""),"""")"),144.97)</f>
        <v>144.97</v>
      </c>
    </row>
    <row r="497">
      <c r="A497" s="15">
        <v>46062.62671825561</v>
      </c>
      <c r="B497" s="16" t="s">
        <v>5533</v>
      </c>
      <c r="C497" s="16" t="s">
        <v>5534</v>
      </c>
      <c r="D497" s="17">
        <v>46068.0</v>
      </c>
      <c r="E497" s="18">
        <v>7.785</v>
      </c>
      <c r="F497" s="27">
        <v>1.2646</v>
      </c>
      <c r="G497" s="20">
        <v>1.483965E7</v>
      </c>
      <c r="H497" s="16" t="s">
        <v>102</v>
      </c>
      <c r="I497" s="19">
        <v>-5.8646</v>
      </c>
      <c r="J497" s="20">
        <v>2.106409481E9</v>
      </c>
      <c r="K497" s="24"/>
      <c r="L497" s="21">
        <v>-3.7839</v>
      </c>
      <c r="M497" s="16" t="s">
        <v>5535</v>
      </c>
      <c r="N497" s="16" t="s">
        <v>5536</v>
      </c>
      <c r="O497" s="21">
        <v>-55.984</v>
      </c>
      <c r="P497" s="21">
        <v>-31.1477</v>
      </c>
      <c r="Q497" s="24"/>
      <c r="R497" s="21">
        <v>4.5088</v>
      </c>
      <c r="S497" s="21">
        <v>1.1293</v>
      </c>
      <c r="T497" s="22">
        <f>IFERROR(__xludf.DUMMYFUNCTION("IFERROR(GOOGLEFINANCE(B497,""price""),"""")"),4.69)</f>
        <v>4.69</v>
      </c>
    </row>
    <row r="498">
      <c r="A498" s="7">
        <v>46062.62671825561</v>
      </c>
      <c r="B498" s="8" t="s">
        <v>5527</v>
      </c>
      <c r="C498" s="8" t="s">
        <v>5528</v>
      </c>
      <c r="D498" s="9">
        <v>46068.0</v>
      </c>
      <c r="E498" s="10">
        <v>13.89</v>
      </c>
      <c r="F498" s="26">
        <v>1.2437</v>
      </c>
      <c r="G498" s="12">
        <v>9151142.0</v>
      </c>
      <c r="H498" s="8" t="s">
        <v>88</v>
      </c>
      <c r="I498" s="11">
        <v>9.9762</v>
      </c>
      <c r="J498" s="12">
        <v>1.658065143E9</v>
      </c>
      <c r="K498" s="23"/>
      <c r="L498" s="23"/>
      <c r="M498" s="8" t="s">
        <v>5529</v>
      </c>
      <c r="N498" s="8" t="s">
        <v>5429</v>
      </c>
      <c r="O498" s="23"/>
      <c r="P498" s="23"/>
      <c r="Q498" s="23"/>
      <c r="R498" s="13">
        <v>0.0885</v>
      </c>
      <c r="S498" s="13">
        <v>10.416</v>
      </c>
      <c r="T498" s="14">
        <f>IFERROR(__xludf.DUMMYFUNCTION("IFERROR(GOOGLEFINANCE(B498,""price""),"""")"),12.37)</f>
        <v>12.37</v>
      </c>
    </row>
    <row r="499">
      <c r="A499" s="15">
        <v>46062.62671825561</v>
      </c>
      <c r="B499" s="16" t="s">
        <v>5607</v>
      </c>
      <c r="C499" s="16" t="s">
        <v>5608</v>
      </c>
      <c r="D499" s="17">
        <v>46068.0</v>
      </c>
      <c r="E499" s="18">
        <v>19.505</v>
      </c>
      <c r="F499" s="27">
        <v>1.2427</v>
      </c>
      <c r="G499" s="20">
        <v>1.1538932E7</v>
      </c>
      <c r="H499" s="16" t="s">
        <v>308</v>
      </c>
      <c r="I499" s="19">
        <v>11.3299</v>
      </c>
      <c r="J499" s="20">
        <v>3.515172515E9</v>
      </c>
      <c r="K499" s="24"/>
      <c r="L499" s="21">
        <v>-1.8673</v>
      </c>
      <c r="M499" s="16" t="s">
        <v>5609</v>
      </c>
      <c r="N499" s="16" t="s">
        <v>5520</v>
      </c>
      <c r="O499" s="24"/>
      <c r="P499" s="21">
        <v>-30.7058</v>
      </c>
      <c r="Q499" s="21">
        <v>8.0687</v>
      </c>
      <c r="R499" s="24"/>
      <c r="S499" s="21">
        <v>6.2531</v>
      </c>
      <c r="T499" s="22">
        <f>IFERROR(__xludf.DUMMYFUNCTION("IFERROR(GOOGLEFINANCE(B499,""price""),"""")"),23.57)</f>
        <v>23.57</v>
      </c>
    </row>
    <row r="500">
      <c r="A500" s="7">
        <v>46062.62671825561</v>
      </c>
      <c r="B500" s="8" t="s">
        <v>5544</v>
      </c>
      <c r="C500" s="8" t="s">
        <v>5545</v>
      </c>
      <c r="D500" s="9">
        <v>46068.0</v>
      </c>
      <c r="E500" s="10">
        <v>16.755</v>
      </c>
      <c r="F500" s="26">
        <v>1.2288</v>
      </c>
      <c r="G500" s="12">
        <v>3.3475748E7</v>
      </c>
      <c r="H500" s="8" t="s">
        <v>88</v>
      </c>
      <c r="I500" s="11">
        <v>13.7475</v>
      </c>
      <c r="J500" s="12">
        <v>6.619767453E9</v>
      </c>
      <c r="K500" s="23"/>
      <c r="L500" s="13">
        <v>-0.1905</v>
      </c>
      <c r="M500" s="8" t="s">
        <v>5546</v>
      </c>
      <c r="N500" s="8" t="s">
        <v>5471</v>
      </c>
      <c r="O500" s="13">
        <v>-9.6935</v>
      </c>
      <c r="P500" s="13">
        <v>-72.0529</v>
      </c>
      <c r="Q500" s="13">
        <v>35.4099</v>
      </c>
      <c r="R500" s="13">
        <v>1.333</v>
      </c>
      <c r="S500" s="13">
        <v>2.4892</v>
      </c>
      <c r="T500" s="14">
        <f>IFERROR(__xludf.DUMMYFUNCTION("IFERROR(GOOGLEFINANCE(B500,""price""),"""")"),16.53)</f>
        <v>16.53</v>
      </c>
    </row>
    <row r="501">
      <c r="A501" s="15">
        <v>46062.62671825561</v>
      </c>
      <c r="B501" s="16" t="s">
        <v>5517</v>
      </c>
      <c r="C501" s="16" t="s">
        <v>5518</v>
      </c>
      <c r="D501" s="17">
        <v>46068.0</v>
      </c>
      <c r="E501" s="18">
        <v>10.055</v>
      </c>
      <c r="F501" s="27">
        <v>1.2266</v>
      </c>
      <c r="G501" s="20">
        <v>2.0423367E7</v>
      </c>
      <c r="H501" s="16" t="s">
        <v>308</v>
      </c>
      <c r="I501" s="19">
        <v>0.1494</v>
      </c>
      <c r="J501" s="20">
        <v>1.660591161E9</v>
      </c>
      <c r="K501" s="24"/>
      <c r="L501" s="21">
        <v>-3.1791</v>
      </c>
      <c r="M501" s="16" t="s">
        <v>5519</v>
      </c>
      <c r="N501" s="16" t="s">
        <v>5520</v>
      </c>
      <c r="O501" s="21">
        <v>-50.0822</v>
      </c>
      <c r="P501" s="21">
        <v>-46.1858</v>
      </c>
      <c r="Q501" s="21">
        <v>-0.6305</v>
      </c>
      <c r="R501" s="21">
        <v>0.3596</v>
      </c>
      <c r="S501" s="21">
        <v>1.4082</v>
      </c>
      <c r="T501" s="22">
        <f>IFERROR(__xludf.DUMMYFUNCTION("IFERROR(GOOGLEFINANCE(B501,""price""),"""")"),9.29)</f>
        <v>9.29</v>
      </c>
    </row>
    <row r="502">
      <c r="A502" s="7">
        <v>46062.62671825561</v>
      </c>
      <c r="B502" s="8" t="s">
        <v>5484</v>
      </c>
      <c r="C502" s="8" t="s">
        <v>5485</v>
      </c>
      <c r="D502" s="9">
        <v>46068.0</v>
      </c>
      <c r="E502" s="10">
        <v>46.3499</v>
      </c>
      <c r="F502" s="26">
        <v>1.2068</v>
      </c>
      <c r="G502" s="12">
        <v>4.0914342E7</v>
      </c>
      <c r="H502" s="8" t="s">
        <v>88</v>
      </c>
      <c r="I502" s="11">
        <v>10.8054</v>
      </c>
      <c r="J502" s="12">
        <v>1.5362122622E10</v>
      </c>
      <c r="K502" s="13">
        <v>30.2229</v>
      </c>
      <c r="L502" s="13">
        <v>1.5336</v>
      </c>
      <c r="M502" s="8" t="s">
        <v>5486</v>
      </c>
      <c r="N502" s="8" t="s">
        <v>5471</v>
      </c>
      <c r="O502" s="13">
        <v>39.152</v>
      </c>
      <c r="P502" s="13">
        <v>-10.6682</v>
      </c>
      <c r="Q502" s="13">
        <v>190.5839</v>
      </c>
      <c r="R502" s="13">
        <v>1.5302</v>
      </c>
      <c r="S502" s="13">
        <v>4.9601</v>
      </c>
      <c r="T502" s="14">
        <f>IFERROR(__xludf.DUMMYFUNCTION("IFERROR(GOOGLEFINANCE(B502,""price""),"""")"),39.32)</f>
        <v>39.32</v>
      </c>
    </row>
    <row r="503">
      <c r="A503" s="15">
        <v>46062.62671825561</v>
      </c>
      <c r="B503" s="16" t="s">
        <v>5422</v>
      </c>
      <c r="C503" s="16" t="s">
        <v>5423</v>
      </c>
      <c r="D503" s="17">
        <v>46068.0</v>
      </c>
      <c r="E503" s="18">
        <v>23.48</v>
      </c>
      <c r="F503" s="27">
        <v>1.1898</v>
      </c>
      <c r="G503" s="20">
        <v>1.1484606E7</v>
      </c>
      <c r="H503" s="16" t="s">
        <v>102</v>
      </c>
      <c r="I503" s="19">
        <v>7.5092</v>
      </c>
      <c r="J503" s="20">
        <v>5.117019193E9</v>
      </c>
      <c r="K503" s="24"/>
      <c r="L503" s="21">
        <v>-2.5128</v>
      </c>
      <c r="M503" s="16" t="s">
        <v>5424</v>
      </c>
      <c r="N503" s="16" t="s">
        <v>5425</v>
      </c>
      <c r="O503" s="21">
        <v>-255.9098</v>
      </c>
      <c r="P503" s="24"/>
      <c r="Q503" s="24"/>
      <c r="R503" s="24"/>
      <c r="S503" s="21">
        <v>16.5111</v>
      </c>
      <c r="T503" s="22">
        <f>IFERROR(__xludf.DUMMYFUNCTION("IFERROR(GOOGLEFINANCE(B503,""price""),"""")"),16.15)</f>
        <v>16.15</v>
      </c>
    </row>
    <row r="504">
      <c r="A504" s="7">
        <v>46062.62671825561</v>
      </c>
      <c r="B504" s="8" t="s">
        <v>5554</v>
      </c>
      <c r="C504" s="8" t="s">
        <v>5555</v>
      </c>
      <c r="D504" s="9">
        <v>46068.0</v>
      </c>
      <c r="E504" s="10">
        <v>102.5701</v>
      </c>
      <c r="F504" s="26">
        <v>1.1872</v>
      </c>
      <c r="G504" s="12">
        <v>1.0346832E7</v>
      </c>
      <c r="H504" s="8" t="s">
        <v>873</v>
      </c>
      <c r="I504" s="11">
        <v>0.7664</v>
      </c>
      <c r="J504" s="12">
        <v>3.7684387937E10</v>
      </c>
      <c r="K504" s="23"/>
      <c r="L504" s="13">
        <v>-1.2452</v>
      </c>
      <c r="M504" s="8" t="s">
        <v>5556</v>
      </c>
      <c r="N504" s="8" t="s">
        <v>5557</v>
      </c>
      <c r="O504" s="13">
        <v>-39.2195</v>
      </c>
      <c r="P504" s="13">
        <v>-1479.4668</v>
      </c>
      <c r="Q504" s="13">
        <v>641.24</v>
      </c>
      <c r="R504" s="13">
        <v>0.5824</v>
      </c>
      <c r="S504" s="13">
        <v>9.5602</v>
      </c>
      <c r="T504" s="14">
        <f>IFERROR(__xludf.DUMMYFUNCTION("IFERROR(GOOGLEFINANCE(B504,""price""),"""")"),94.9)</f>
        <v>94.9</v>
      </c>
    </row>
    <row r="505">
      <c r="A505" s="15">
        <v>46062.62671825561</v>
      </c>
      <c r="B505" s="16" t="s">
        <v>5795</v>
      </c>
      <c r="C505" s="16" t="s">
        <v>5796</v>
      </c>
      <c r="D505" s="17">
        <v>46068.0</v>
      </c>
      <c r="E505" s="18">
        <v>28.41</v>
      </c>
      <c r="F505" s="27">
        <v>1.1869</v>
      </c>
      <c r="G505" s="20">
        <v>1.2498571E7</v>
      </c>
      <c r="H505" s="16" t="s">
        <v>88</v>
      </c>
      <c r="I505" s="19">
        <v>2.4522</v>
      </c>
      <c r="J505" s="20">
        <v>1.6705079724E10</v>
      </c>
      <c r="K505" s="21">
        <v>65.1606</v>
      </c>
      <c r="L505" s="21">
        <v>0.436</v>
      </c>
      <c r="M505" s="16" t="s">
        <v>5797</v>
      </c>
      <c r="N505" s="16" t="s">
        <v>5429</v>
      </c>
      <c r="O505" s="21">
        <v>15.9581</v>
      </c>
      <c r="P505" s="21">
        <v>4.2677</v>
      </c>
      <c r="Q505" s="21">
        <v>25.7621</v>
      </c>
      <c r="R505" s="21">
        <v>0.0089</v>
      </c>
      <c r="S505" s="21">
        <v>2.6411</v>
      </c>
      <c r="T505" s="22">
        <f>IFERROR(__xludf.DUMMYFUNCTION("IFERROR(GOOGLEFINANCE(B505,""price""),"""")"),25.4)</f>
        <v>25.4</v>
      </c>
    </row>
    <row r="506">
      <c r="A506" s="7">
        <v>46062.62671825561</v>
      </c>
      <c r="B506" s="8" t="s">
        <v>5744</v>
      </c>
      <c r="C506" s="8" t="s">
        <v>5745</v>
      </c>
      <c r="D506" s="9">
        <v>46068.0</v>
      </c>
      <c r="E506" s="10">
        <v>19.475</v>
      </c>
      <c r="F506" s="26">
        <v>1.1804</v>
      </c>
      <c r="G506" s="12">
        <v>1.32424893E8</v>
      </c>
      <c r="H506" s="8" t="s">
        <v>190</v>
      </c>
      <c r="I506" s="11">
        <v>-15.3997</v>
      </c>
      <c r="J506" s="12">
        <v>4.433454865E9</v>
      </c>
      <c r="K506" s="13">
        <v>36.0048</v>
      </c>
      <c r="L506" s="13">
        <v>0.5409</v>
      </c>
      <c r="M506" s="8" t="s">
        <v>5746</v>
      </c>
      <c r="N506" s="8" t="s">
        <v>5747</v>
      </c>
      <c r="O506" s="13">
        <v>26.2066</v>
      </c>
      <c r="P506" s="13">
        <v>5.9617</v>
      </c>
      <c r="Q506" s="13">
        <v>78.0168</v>
      </c>
      <c r="R506" s="13">
        <v>1.9244</v>
      </c>
      <c r="S506" s="13">
        <v>1.8751</v>
      </c>
      <c r="T506" s="14">
        <f>IFERROR(__xludf.DUMMYFUNCTION("IFERROR(GOOGLEFINANCE(B506,""price""),"""")"),19.43)</f>
        <v>19.43</v>
      </c>
    </row>
    <row r="507">
      <c r="A507" s="15">
        <v>46062.62671825561</v>
      </c>
      <c r="B507" s="16" t="s">
        <v>5594</v>
      </c>
      <c r="C507" s="16" t="s">
        <v>5595</v>
      </c>
      <c r="D507" s="17">
        <v>46068.0</v>
      </c>
      <c r="E507" s="18">
        <v>16.5732</v>
      </c>
      <c r="F507" s="27">
        <v>1.1768</v>
      </c>
      <c r="G507" s="20">
        <v>5.9780725E7</v>
      </c>
      <c r="H507" s="16" t="s">
        <v>88</v>
      </c>
      <c r="I507" s="19">
        <v>15.9777</v>
      </c>
      <c r="J507" s="20">
        <v>6.938902362E9</v>
      </c>
      <c r="K507" s="24"/>
      <c r="L507" s="21">
        <v>-1.4167</v>
      </c>
      <c r="M507" s="16" t="s">
        <v>5596</v>
      </c>
      <c r="N507" s="16" t="s">
        <v>5471</v>
      </c>
      <c r="O507" s="21">
        <v>-181.9547</v>
      </c>
      <c r="P507" s="21">
        <v>-69.885</v>
      </c>
      <c r="Q507" s="21">
        <v>30.5825</v>
      </c>
      <c r="R507" s="21">
        <v>4.3877</v>
      </c>
      <c r="S507" s="21">
        <v>1.0329</v>
      </c>
      <c r="T507" s="22">
        <f>IFERROR(__xludf.DUMMYFUNCTION("IFERROR(GOOGLEFINANCE(B507,""price""),"""")"),18.88)</f>
        <v>18.88</v>
      </c>
    </row>
    <row r="508">
      <c r="A508" s="7">
        <v>46062.62671825561</v>
      </c>
      <c r="B508" s="8" t="s">
        <v>5558</v>
      </c>
      <c r="C508" s="8" t="s">
        <v>5559</v>
      </c>
      <c r="D508" s="9">
        <v>46068.0</v>
      </c>
      <c r="E508" s="10">
        <v>13.285</v>
      </c>
      <c r="F508" s="26">
        <v>1.1743</v>
      </c>
      <c r="G508" s="12">
        <v>1.7792109E7</v>
      </c>
      <c r="H508" s="8" t="s">
        <v>102</v>
      </c>
      <c r="I508" s="11">
        <v>7.9204</v>
      </c>
      <c r="J508" s="12">
        <v>4.305644402E9</v>
      </c>
      <c r="K508" s="23"/>
      <c r="L508" s="13">
        <v>-8.3559</v>
      </c>
      <c r="M508" s="8" t="s">
        <v>5560</v>
      </c>
      <c r="N508" s="8" t="s">
        <v>5536</v>
      </c>
      <c r="O508" s="23"/>
      <c r="P508" s="13">
        <v>-351.0117</v>
      </c>
      <c r="Q508" s="13">
        <v>324.0994</v>
      </c>
      <c r="R508" s="23"/>
      <c r="S508" s="13">
        <v>1.8261</v>
      </c>
      <c r="T508" s="14">
        <f>IFERROR(__xludf.DUMMYFUNCTION("IFERROR(GOOGLEFINANCE(B508,""price""),"""")"),5.62)</f>
        <v>5.62</v>
      </c>
    </row>
    <row r="509">
      <c r="A509" s="15">
        <v>46062.62671825561</v>
      </c>
      <c r="B509" s="16" t="s">
        <v>5833</v>
      </c>
      <c r="C509" s="16" t="s">
        <v>5834</v>
      </c>
      <c r="D509" s="17">
        <v>46068.0</v>
      </c>
      <c r="E509" s="18">
        <v>27.11</v>
      </c>
      <c r="F509" s="27">
        <v>1.1644</v>
      </c>
      <c r="G509" s="20">
        <v>9695563.0</v>
      </c>
      <c r="H509" s="16" t="s">
        <v>149</v>
      </c>
      <c r="I509" s="19">
        <v>1.8407</v>
      </c>
      <c r="J509" s="20">
        <v>1.3494612668E10</v>
      </c>
      <c r="K509" s="24"/>
      <c r="L509" s="21">
        <v>-0.5656</v>
      </c>
      <c r="M509" s="16" t="s">
        <v>5835</v>
      </c>
      <c r="N509" s="16" t="s">
        <v>5457</v>
      </c>
      <c r="O509" s="21">
        <v>-29.5915</v>
      </c>
      <c r="P509" s="21">
        <v>-4.8374</v>
      </c>
      <c r="Q509" s="21">
        <v>18.5054</v>
      </c>
      <c r="R509" s="21">
        <v>2.6036</v>
      </c>
      <c r="S509" s="21">
        <v>1.095</v>
      </c>
      <c r="T509" s="22">
        <f>IFERROR(__xludf.DUMMYFUNCTION("IFERROR(GOOGLEFINANCE(B509,""price""),"""")"),22.23)</f>
        <v>22.23</v>
      </c>
    </row>
    <row r="510">
      <c r="A510" s="7">
        <v>46062.62671825561</v>
      </c>
      <c r="B510" s="8" t="s">
        <v>5567</v>
      </c>
      <c r="C510" s="8" t="s">
        <v>5568</v>
      </c>
      <c r="D510" s="9">
        <v>46068.0</v>
      </c>
      <c r="E510" s="10">
        <v>153.54</v>
      </c>
      <c r="F510" s="26">
        <v>1.1597</v>
      </c>
      <c r="G510" s="12">
        <v>9685058.0</v>
      </c>
      <c r="H510" s="8" t="s">
        <v>308</v>
      </c>
      <c r="I510" s="11">
        <v>7.3481</v>
      </c>
      <c r="J510" s="12">
        <v>3.6313861389E10</v>
      </c>
      <c r="K510" s="23"/>
      <c r="L510" s="13">
        <v>-0.3809</v>
      </c>
      <c r="M510" s="8" t="s">
        <v>5569</v>
      </c>
      <c r="N510" s="8" t="s">
        <v>5433</v>
      </c>
      <c r="O510" s="13">
        <v>-13.2874</v>
      </c>
      <c r="P510" s="13">
        <v>5.4633</v>
      </c>
      <c r="Q510" s="13">
        <v>37.3263</v>
      </c>
      <c r="R510" s="13">
        <v>3.8961</v>
      </c>
      <c r="S510" s="13">
        <v>5.9309</v>
      </c>
      <c r="T510" s="14">
        <f>IFERROR(__xludf.DUMMYFUNCTION("IFERROR(GOOGLEFINANCE(B510,""price""),"""")"),166.7)</f>
        <v>166.7</v>
      </c>
    </row>
    <row r="511">
      <c r="A511" s="15">
        <v>46062.62671825561</v>
      </c>
      <c r="B511" s="16" t="s">
        <v>2704</v>
      </c>
      <c r="C511" s="16" t="s">
        <v>2705</v>
      </c>
      <c r="D511" s="17">
        <v>46068.0</v>
      </c>
      <c r="E511" s="18">
        <v>38.23</v>
      </c>
      <c r="F511" s="27">
        <v>1.155</v>
      </c>
      <c r="G511" s="20">
        <v>3.3509687E7</v>
      </c>
      <c r="H511" s="16" t="s">
        <v>88</v>
      </c>
      <c r="I511" s="19">
        <v>9.3848</v>
      </c>
      <c r="J511" s="20">
        <v>1.0688565958E10</v>
      </c>
      <c r="K511" s="24"/>
      <c r="L511" s="21">
        <v>-0.5438</v>
      </c>
      <c r="M511" s="16" t="s">
        <v>2707</v>
      </c>
      <c r="N511" s="16" t="s">
        <v>5471</v>
      </c>
      <c r="O511" s="21">
        <v>-11.4029</v>
      </c>
      <c r="P511" s="21">
        <v>-26.4624</v>
      </c>
      <c r="Q511" s="21">
        <v>33.135</v>
      </c>
      <c r="R511" s="21">
        <v>1.6778</v>
      </c>
      <c r="S511" s="21">
        <v>4.8227</v>
      </c>
      <c r="T511" s="22">
        <f>IFERROR(__xludf.DUMMYFUNCTION("IFERROR(GOOGLEFINANCE(B511,""price""),"""")"),26.24)</f>
        <v>26.24</v>
      </c>
    </row>
    <row r="512">
      <c r="A512" s="7">
        <v>46063.62752700636</v>
      </c>
      <c r="B512" s="8" t="s">
        <v>5637</v>
      </c>
      <c r="C512" s="8" t="s">
        <v>5638</v>
      </c>
      <c r="D512" s="9">
        <v>46068.0</v>
      </c>
      <c r="E512" s="10">
        <v>29.02</v>
      </c>
      <c r="F512" s="26">
        <v>1.8297</v>
      </c>
      <c r="G512" s="12">
        <v>1.8984534E7</v>
      </c>
      <c r="H512" s="8" t="s">
        <v>88</v>
      </c>
      <c r="I512" s="11">
        <v>5.4123</v>
      </c>
      <c r="J512" s="12">
        <v>1.2418030978E10</v>
      </c>
      <c r="K512" s="23"/>
      <c r="L512" s="13">
        <v>-1.0498</v>
      </c>
      <c r="M512" s="8" t="s">
        <v>5639</v>
      </c>
      <c r="N512" s="8" t="s">
        <v>5429</v>
      </c>
      <c r="O512" s="13">
        <v>-13.6376</v>
      </c>
      <c r="P512" s="13">
        <v>-25.3215</v>
      </c>
      <c r="Q512" s="13">
        <v>-8.2306</v>
      </c>
      <c r="R512" s="13">
        <v>0.7272</v>
      </c>
      <c r="S512" s="13">
        <v>2.7772</v>
      </c>
      <c r="T512" s="14">
        <f>IFERROR(__xludf.DUMMYFUNCTION("IFERROR(GOOGLEFINANCE(B512,""price""),"""")"),21.62)</f>
        <v>21.62</v>
      </c>
    </row>
    <row r="513">
      <c r="A513" s="15">
        <v>46063.62752700636</v>
      </c>
      <c r="B513" s="16" t="s">
        <v>5811</v>
      </c>
      <c r="C513" s="16" t="s">
        <v>5812</v>
      </c>
      <c r="D513" s="17">
        <v>46068.0</v>
      </c>
      <c r="E513" s="18">
        <v>16.845</v>
      </c>
      <c r="F513" s="27">
        <v>1.6276</v>
      </c>
      <c r="G513" s="20">
        <v>1.5430447E7</v>
      </c>
      <c r="H513" s="16" t="s">
        <v>162</v>
      </c>
      <c r="I513" s="19">
        <v>1.4148</v>
      </c>
      <c r="J513" s="20">
        <v>6.727108162E9</v>
      </c>
      <c r="K513" s="21">
        <v>46.7009</v>
      </c>
      <c r="L513" s="21">
        <v>0.3607</v>
      </c>
      <c r="M513" s="16" t="s">
        <v>5813</v>
      </c>
      <c r="N513" s="16" t="s">
        <v>5814</v>
      </c>
      <c r="O513" s="21">
        <v>24.5254</v>
      </c>
      <c r="P513" s="21">
        <v>0.5795</v>
      </c>
      <c r="Q513" s="21">
        <v>14.8984</v>
      </c>
      <c r="R513" s="21">
        <v>2.3015</v>
      </c>
      <c r="S513" s="21">
        <v>0.7243</v>
      </c>
      <c r="T513" s="22">
        <f>IFERROR(__xludf.DUMMYFUNCTION("IFERROR(GOOGLEFINANCE(B513,""price""),"""")"),13.23)</f>
        <v>13.23</v>
      </c>
    </row>
    <row r="514">
      <c r="A514" s="7">
        <v>46063.62752700636</v>
      </c>
      <c r="B514" s="8" t="s">
        <v>5802</v>
      </c>
      <c r="C514" s="8" t="s">
        <v>5803</v>
      </c>
      <c r="D514" s="9">
        <v>46068.0</v>
      </c>
      <c r="E514" s="10">
        <v>20.31</v>
      </c>
      <c r="F514" s="26">
        <v>1.6182</v>
      </c>
      <c r="G514" s="12">
        <v>1.0704346E7</v>
      </c>
      <c r="H514" s="8" t="s">
        <v>88</v>
      </c>
      <c r="I514" s="11">
        <v>0.8441</v>
      </c>
      <c r="J514" s="12">
        <v>1.3720579104E10</v>
      </c>
      <c r="K514" s="13">
        <v>7.0372</v>
      </c>
      <c r="L514" s="13">
        <v>2.8861</v>
      </c>
      <c r="M514" s="8" t="s">
        <v>5804</v>
      </c>
      <c r="N514" s="8" t="s">
        <v>5495</v>
      </c>
      <c r="O514" s="13">
        <v>51.4911</v>
      </c>
      <c r="P514" s="13">
        <v>6.9098</v>
      </c>
      <c r="Q514" s="13">
        <v>16.7925</v>
      </c>
      <c r="R514" s="13">
        <v>0.0425</v>
      </c>
      <c r="S514" s="13">
        <v>8.363</v>
      </c>
      <c r="T514" s="14">
        <f>IFERROR(__xludf.DUMMYFUNCTION("IFERROR(GOOGLEFINANCE(B514,""price""),"""")"),17.62)</f>
        <v>17.62</v>
      </c>
    </row>
    <row r="515">
      <c r="A515" s="15">
        <v>46063.62752700636</v>
      </c>
      <c r="B515" s="16" t="s">
        <v>5836</v>
      </c>
      <c r="C515" s="16" t="s">
        <v>5837</v>
      </c>
      <c r="D515" s="17">
        <v>46068.0</v>
      </c>
      <c r="E515" s="18">
        <v>9.4297</v>
      </c>
      <c r="F515" s="27">
        <v>1.5791</v>
      </c>
      <c r="G515" s="20">
        <v>7523199.0</v>
      </c>
      <c r="H515" s="16" t="s">
        <v>93</v>
      </c>
      <c r="I515" s="19">
        <v>8.5121</v>
      </c>
      <c r="J515" s="20">
        <v>5.790074947E9</v>
      </c>
      <c r="K515" s="24"/>
      <c r="L515" s="24"/>
      <c r="M515" s="16" t="s">
        <v>5838</v>
      </c>
      <c r="N515" s="16" t="s">
        <v>5839</v>
      </c>
      <c r="O515" s="24"/>
      <c r="P515" s="24"/>
      <c r="Q515" s="24"/>
      <c r="R515" s="21">
        <v>0.4147</v>
      </c>
      <c r="S515" s="21">
        <v>2.8104</v>
      </c>
      <c r="T515" s="22">
        <f>IFERROR(__xludf.DUMMYFUNCTION("IFERROR(GOOGLEFINANCE(B515,""price""),"""")"),4.87)</f>
        <v>4.87</v>
      </c>
    </row>
    <row r="516">
      <c r="A516" s="7">
        <v>46063.62752700636</v>
      </c>
      <c r="B516" s="8" t="s">
        <v>5840</v>
      </c>
      <c r="C516" s="8" t="s">
        <v>5841</v>
      </c>
      <c r="D516" s="9">
        <v>46068.0</v>
      </c>
      <c r="E516" s="10">
        <v>181.635</v>
      </c>
      <c r="F516" s="26">
        <v>1.5218</v>
      </c>
      <c r="G516" s="12">
        <v>7317865.0</v>
      </c>
      <c r="H516" s="8" t="s">
        <v>88</v>
      </c>
      <c r="I516" s="11">
        <v>4.5381</v>
      </c>
      <c r="J516" s="12">
        <v>6.3623319336E10</v>
      </c>
      <c r="K516" s="23"/>
      <c r="L516" s="13">
        <v>-0.2974</v>
      </c>
      <c r="M516" s="8" t="s">
        <v>5842</v>
      </c>
      <c r="N516" s="8" t="s">
        <v>5664</v>
      </c>
      <c r="O516" s="13">
        <v>-8.8822</v>
      </c>
      <c r="P516" s="13">
        <v>-9.3513</v>
      </c>
      <c r="Q516" s="13">
        <v>28.0649</v>
      </c>
      <c r="R516" s="13">
        <v>2.5996</v>
      </c>
      <c r="S516" s="13">
        <v>2.0407</v>
      </c>
      <c r="T516" s="14">
        <f>IFERROR(__xludf.DUMMYFUNCTION("IFERROR(GOOGLEFINANCE(B516,""price""),"""")"),166.99)</f>
        <v>166.99</v>
      </c>
    </row>
    <row r="517">
      <c r="A517" s="15">
        <v>46063.62752700636</v>
      </c>
      <c r="B517" s="16" t="s">
        <v>5818</v>
      </c>
      <c r="C517" s="16" t="s">
        <v>5819</v>
      </c>
      <c r="D517" s="17">
        <v>46068.0</v>
      </c>
      <c r="E517" s="18">
        <v>9.105</v>
      </c>
      <c r="F517" s="27">
        <v>1.5</v>
      </c>
      <c r="G517" s="20">
        <v>1.2637143E7</v>
      </c>
      <c r="H517" s="16" t="s">
        <v>102</v>
      </c>
      <c r="I517" s="19">
        <v>-0.7088</v>
      </c>
      <c r="J517" s="20">
        <v>5.474928888E9</v>
      </c>
      <c r="K517" s="24"/>
      <c r="L517" s="21">
        <v>-0.8108</v>
      </c>
      <c r="M517" s="16" t="s">
        <v>5820</v>
      </c>
      <c r="N517" s="16" t="s">
        <v>5536</v>
      </c>
      <c r="O517" s="21">
        <v>-38.653</v>
      </c>
      <c r="P517" s="24"/>
      <c r="Q517" s="24"/>
      <c r="R517" s="21">
        <v>0.06</v>
      </c>
      <c r="S517" s="21">
        <v>21.1384</v>
      </c>
      <c r="T517" s="22">
        <f>IFERROR(__xludf.DUMMYFUNCTION("IFERROR(GOOGLEFINANCE(B517,""price""),"""")"),6.36)</f>
        <v>6.36</v>
      </c>
    </row>
    <row r="518">
      <c r="A518" s="7">
        <v>46063.62752700636</v>
      </c>
      <c r="B518" s="8" t="s">
        <v>5824</v>
      </c>
      <c r="C518" s="8" t="s">
        <v>5825</v>
      </c>
      <c r="D518" s="9">
        <v>46068.0</v>
      </c>
      <c r="E518" s="10">
        <v>15.105</v>
      </c>
      <c r="F518" s="26">
        <v>1.4694</v>
      </c>
      <c r="G518" s="12">
        <v>2.6424003E7</v>
      </c>
      <c r="H518" s="8" t="s">
        <v>112</v>
      </c>
      <c r="I518" s="11">
        <v>2.8251</v>
      </c>
      <c r="J518" s="12">
        <v>1.8518738691E10</v>
      </c>
      <c r="K518" s="23"/>
      <c r="L518" s="13">
        <v>-3.1111</v>
      </c>
      <c r="M518" s="8" t="s">
        <v>5826</v>
      </c>
      <c r="N518" s="8" t="s">
        <v>5453</v>
      </c>
      <c r="O518" s="13">
        <v>-65.2804</v>
      </c>
      <c r="P518" s="13">
        <v>-58.4919</v>
      </c>
      <c r="Q518" s="13">
        <v>28.2136</v>
      </c>
      <c r="R518" s="13">
        <v>0.9805</v>
      </c>
      <c r="S518" s="13">
        <v>2.708</v>
      </c>
      <c r="T518" s="14">
        <f>IFERROR(__xludf.DUMMYFUNCTION("IFERROR(GOOGLEFINANCE(B518,""price""),"""")"),15.43)</f>
        <v>15.43</v>
      </c>
    </row>
    <row r="519">
      <c r="A519" s="15">
        <v>46063.62752700636</v>
      </c>
      <c r="B519" s="16" t="s">
        <v>5827</v>
      </c>
      <c r="C519" s="16" t="s">
        <v>5828</v>
      </c>
      <c r="D519" s="17">
        <v>46068.0</v>
      </c>
      <c r="E519" s="18">
        <v>127.81</v>
      </c>
      <c r="F519" s="27">
        <v>1.4107</v>
      </c>
      <c r="G519" s="20">
        <v>2.1206011E7</v>
      </c>
      <c r="H519" s="16" t="s">
        <v>186</v>
      </c>
      <c r="I519" s="19">
        <v>7.9476</v>
      </c>
      <c r="J519" s="20">
        <v>1.66803189005E11</v>
      </c>
      <c r="K519" s="21">
        <v>94.8821</v>
      </c>
      <c r="L519" s="21">
        <v>1.347</v>
      </c>
      <c r="M519" s="16" t="s">
        <v>5829</v>
      </c>
      <c r="N519" s="16" t="s">
        <v>5573</v>
      </c>
      <c r="O519" s="21">
        <v>15.7485</v>
      </c>
      <c r="P519" s="21">
        <v>15.7966</v>
      </c>
      <c r="Q519" s="21">
        <v>29.9011</v>
      </c>
      <c r="R519" s="21">
        <v>0.0891</v>
      </c>
      <c r="S519" s="21">
        <v>3.9336</v>
      </c>
      <c r="T519" s="22">
        <f>IFERROR(__xludf.DUMMYFUNCTION("IFERROR(GOOGLEFINANCE(B519,""price""),"""")"),110.78)</f>
        <v>110.78</v>
      </c>
    </row>
    <row r="520">
      <c r="A520" s="7">
        <v>46063.62752700636</v>
      </c>
      <c r="B520" s="8" t="s">
        <v>5623</v>
      </c>
      <c r="C520" s="8" t="s">
        <v>5624</v>
      </c>
      <c r="D520" s="9">
        <v>46068.0</v>
      </c>
      <c r="E520" s="10">
        <v>4.435</v>
      </c>
      <c r="F520" s="26">
        <v>1.3984</v>
      </c>
      <c r="G520" s="12">
        <v>7762882.0</v>
      </c>
      <c r="H520" s="8" t="s">
        <v>88</v>
      </c>
      <c r="I520" s="11">
        <v>0.7955</v>
      </c>
      <c r="J520" s="12">
        <v>8.583370377E9</v>
      </c>
      <c r="K520" s="23"/>
      <c r="L520" s="13">
        <v>-0.4502</v>
      </c>
      <c r="M520" s="8" t="s">
        <v>5625</v>
      </c>
      <c r="N520" s="8" t="s">
        <v>5429</v>
      </c>
      <c r="O520" s="13">
        <v>-37.2708</v>
      </c>
      <c r="P520" s="13">
        <v>-43100.0</v>
      </c>
      <c r="Q520" s="23"/>
      <c r="R520" s="13">
        <v>0.0467</v>
      </c>
      <c r="S520" s="13">
        <v>15.2857</v>
      </c>
      <c r="T520" s="14">
        <f>IFERROR(__xludf.DUMMYFUNCTION("IFERROR(GOOGLEFINANCE(B520,""price""),"""")"),4.15)</f>
        <v>4.15</v>
      </c>
    </row>
    <row r="521">
      <c r="A521" s="15">
        <v>46063.62752700636</v>
      </c>
      <c r="B521" s="16" t="s">
        <v>5503</v>
      </c>
      <c r="C521" s="16" t="s">
        <v>5504</v>
      </c>
      <c r="D521" s="17">
        <v>46068.0</v>
      </c>
      <c r="E521" s="18">
        <v>11.175</v>
      </c>
      <c r="F521" s="27">
        <v>1.3711</v>
      </c>
      <c r="G521" s="20">
        <v>7600067.0</v>
      </c>
      <c r="H521" s="16" t="s">
        <v>335</v>
      </c>
      <c r="I521" s="19">
        <v>-6.6416</v>
      </c>
      <c r="J521" s="20">
        <v>1.317582934E9</v>
      </c>
      <c r="K521" s="24"/>
      <c r="L521" s="21">
        <v>-0.5583</v>
      </c>
      <c r="M521" s="16" t="s">
        <v>5505</v>
      </c>
      <c r="N521" s="16" t="s">
        <v>5445</v>
      </c>
      <c r="O521" s="21">
        <v>-128.3047</v>
      </c>
      <c r="P521" s="24"/>
      <c r="Q521" s="24"/>
      <c r="R521" s="21">
        <v>0.064</v>
      </c>
      <c r="S521" s="21">
        <v>0.1282</v>
      </c>
      <c r="T521" s="22">
        <f>IFERROR(__xludf.DUMMYFUNCTION("IFERROR(GOOGLEFINANCE(B521,""price""),"""")"),8.87)</f>
        <v>8.87</v>
      </c>
    </row>
    <row r="522">
      <c r="A522" s="7">
        <v>46063.62752700636</v>
      </c>
      <c r="B522" s="8" t="s">
        <v>5830</v>
      </c>
      <c r="C522" s="8" t="s">
        <v>5831</v>
      </c>
      <c r="D522" s="9">
        <v>46068.0</v>
      </c>
      <c r="E522" s="10">
        <v>92.315</v>
      </c>
      <c r="F522" s="26">
        <v>1.3517</v>
      </c>
      <c r="G522" s="12">
        <v>9430533.0</v>
      </c>
      <c r="H522" s="8" t="s">
        <v>88</v>
      </c>
      <c r="I522" s="11">
        <v>-0.6083</v>
      </c>
      <c r="J522" s="12">
        <v>2.3245583572E10</v>
      </c>
      <c r="K522" s="23"/>
      <c r="L522" s="23"/>
      <c r="M522" s="8" t="s">
        <v>5832</v>
      </c>
      <c r="N522" s="8" t="s">
        <v>5429</v>
      </c>
      <c r="O522" s="13">
        <v>3.4537</v>
      </c>
      <c r="P522" s="13">
        <v>-151.597</v>
      </c>
      <c r="Q522" s="13">
        <v>-87.5369</v>
      </c>
      <c r="R522" s="13">
        <v>0.9379</v>
      </c>
      <c r="S522" s="13">
        <v>6.5656</v>
      </c>
      <c r="T522" s="14">
        <f>IFERROR(__xludf.DUMMYFUNCTION("IFERROR(GOOGLEFINANCE(B522,""price""),"""")"),144.97)</f>
        <v>144.97</v>
      </c>
    </row>
    <row r="523">
      <c r="A523" s="15">
        <v>46063.62752700636</v>
      </c>
      <c r="B523" s="16" t="s">
        <v>1077</v>
      </c>
      <c r="C523" s="16" t="s">
        <v>1078</v>
      </c>
      <c r="D523" s="17">
        <v>46068.0</v>
      </c>
      <c r="E523" s="18">
        <v>8.145</v>
      </c>
      <c r="F523" s="27">
        <v>1.3125</v>
      </c>
      <c r="G523" s="20">
        <v>1.5245156E7</v>
      </c>
      <c r="H523" s="16" t="s">
        <v>335</v>
      </c>
      <c r="I523" s="19">
        <v>-1.0328</v>
      </c>
      <c r="J523" s="20">
        <v>1.140590012E9</v>
      </c>
      <c r="K523" s="24"/>
      <c r="L523" s="21">
        <v>-0.041</v>
      </c>
      <c r="M523" s="16" t="s">
        <v>1079</v>
      </c>
      <c r="N523" s="16" t="s">
        <v>5506</v>
      </c>
      <c r="O523" s="21">
        <v>-10.5913</v>
      </c>
      <c r="P523" s="21">
        <v>-18.9471</v>
      </c>
      <c r="Q523" s="21">
        <v>240.123</v>
      </c>
      <c r="R523" s="21">
        <v>0.0037</v>
      </c>
      <c r="S523" s="21">
        <v>5.0784</v>
      </c>
      <c r="T523" s="22">
        <f>IFERROR(__xludf.DUMMYFUNCTION("IFERROR(GOOGLEFINANCE(B523,""price""),"""")"),8.36)</f>
        <v>8.36</v>
      </c>
    </row>
    <row r="524">
      <c r="A524" s="7">
        <v>46063.62752700636</v>
      </c>
      <c r="B524" s="8" t="s">
        <v>5833</v>
      </c>
      <c r="C524" s="8" t="s">
        <v>5834</v>
      </c>
      <c r="D524" s="9">
        <v>46068.0</v>
      </c>
      <c r="E524" s="10">
        <v>27.19</v>
      </c>
      <c r="F524" s="26">
        <v>1.2875</v>
      </c>
      <c r="G524" s="12">
        <v>1.6439857E7</v>
      </c>
      <c r="H524" s="8" t="s">
        <v>149</v>
      </c>
      <c r="I524" s="11">
        <v>-0.1102</v>
      </c>
      <c r="J524" s="12">
        <v>1.3534433702E10</v>
      </c>
      <c r="K524" s="23"/>
      <c r="L524" s="13">
        <v>-0.5656</v>
      </c>
      <c r="M524" s="8" t="s">
        <v>5835</v>
      </c>
      <c r="N524" s="8" t="s">
        <v>5457</v>
      </c>
      <c r="O524" s="13">
        <v>-29.5915</v>
      </c>
      <c r="P524" s="13">
        <v>-4.8374</v>
      </c>
      <c r="Q524" s="13">
        <v>18.5054</v>
      </c>
      <c r="R524" s="13">
        <v>2.6036</v>
      </c>
      <c r="S524" s="13">
        <v>1.095</v>
      </c>
      <c r="T524" s="14">
        <f>IFERROR(__xludf.DUMMYFUNCTION("IFERROR(GOOGLEFINANCE(B524,""price""),"""")"),22.23)</f>
        <v>22.23</v>
      </c>
    </row>
    <row r="525">
      <c r="A525" s="15">
        <v>46063.62752700636</v>
      </c>
      <c r="B525" s="16" t="s">
        <v>5843</v>
      </c>
      <c r="C525" s="16" t="s">
        <v>5844</v>
      </c>
      <c r="D525" s="17">
        <v>46068.0</v>
      </c>
      <c r="E525" s="18">
        <v>11.175</v>
      </c>
      <c r="F525" s="27">
        <v>1.2549</v>
      </c>
      <c r="G525" s="20">
        <v>2.392474E7</v>
      </c>
      <c r="H525" s="16" t="s">
        <v>117</v>
      </c>
      <c r="I525" s="19">
        <v>-0.4898</v>
      </c>
      <c r="J525" s="20">
        <v>7.619280977E9</v>
      </c>
      <c r="K525" s="24"/>
      <c r="L525" s="21">
        <v>-0.1218</v>
      </c>
      <c r="M525" s="16" t="s">
        <v>5845</v>
      </c>
      <c r="N525" s="16" t="s">
        <v>5418</v>
      </c>
      <c r="O525" s="21">
        <v>-1.478</v>
      </c>
      <c r="P525" s="21">
        <v>9.6377</v>
      </c>
      <c r="Q525" s="21">
        <v>-3.5866</v>
      </c>
      <c r="R525" s="21">
        <v>0.6926</v>
      </c>
      <c r="S525" s="21">
        <v>1.4884</v>
      </c>
      <c r="T525" s="22">
        <f>IFERROR(__xludf.DUMMYFUNCTION("IFERROR(GOOGLEFINANCE(B525,""price""),"""")"),7.9)</f>
        <v>7.9</v>
      </c>
    </row>
    <row r="526">
      <c r="A526" s="7">
        <v>46063.62752700636</v>
      </c>
      <c r="B526" s="8" t="s">
        <v>5795</v>
      </c>
      <c r="C526" s="8" t="s">
        <v>5796</v>
      </c>
      <c r="D526" s="9">
        <v>46068.0</v>
      </c>
      <c r="E526" s="10">
        <v>29.24</v>
      </c>
      <c r="F526" s="26">
        <v>1.2511</v>
      </c>
      <c r="G526" s="12">
        <v>9741130.0</v>
      </c>
      <c r="H526" s="8" t="s">
        <v>88</v>
      </c>
      <c r="I526" s="11">
        <v>2.0593</v>
      </c>
      <c r="J526" s="12">
        <v>1.7193119771E10</v>
      </c>
      <c r="K526" s="13">
        <v>67.0642</v>
      </c>
      <c r="L526" s="13">
        <v>0.436</v>
      </c>
      <c r="M526" s="8" t="s">
        <v>5797</v>
      </c>
      <c r="N526" s="8" t="s">
        <v>5429</v>
      </c>
      <c r="O526" s="13">
        <v>15.9581</v>
      </c>
      <c r="P526" s="13">
        <v>4.2677</v>
      </c>
      <c r="Q526" s="13">
        <v>25.7621</v>
      </c>
      <c r="R526" s="13">
        <v>0.0089</v>
      </c>
      <c r="S526" s="13">
        <v>2.6411</v>
      </c>
      <c r="T526" s="14">
        <f>IFERROR(__xludf.DUMMYFUNCTION("IFERROR(GOOGLEFINANCE(B526,""price""),"""")"),25.4)</f>
        <v>25.4</v>
      </c>
    </row>
    <row r="527">
      <c r="A527" s="15">
        <v>46063.62752700636</v>
      </c>
      <c r="B527" s="16" t="s">
        <v>5567</v>
      </c>
      <c r="C527" s="16" t="s">
        <v>5568</v>
      </c>
      <c r="D527" s="17">
        <v>46068.0</v>
      </c>
      <c r="E527" s="18">
        <v>150.44</v>
      </c>
      <c r="F527" s="27">
        <v>1.2385</v>
      </c>
      <c r="G527" s="20">
        <v>8386712.0</v>
      </c>
      <c r="H527" s="16" t="s">
        <v>308</v>
      </c>
      <c r="I527" s="19">
        <v>-3.0483</v>
      </c>
      <c r="J527" s="20">
        <v>3.558067793E10</v>
      </c>
      <c r="K527" s="24"/>
      <c r="L527" s="21">
        <v>-0.3809</v>
      </c>
      <c r="M527" s="16" t="s">
        <v>5569</v>
      </c>
      <c r="N527" s="16" t="s">
        <v>5433</v>
      </c>
      <c r="O527" s="21">
        <v>-13.2874</v>
      </c>
      <c r="P527" s="21">
        <v>5.4633</v>
      </c>
      <c r="Q527" s="21">
        <v>37.3263</v>
      </c>
      <c r="R527" s="21">
        <v>3.8975</v>
      </c>
      <c r="S527" s="21">
        <v>5.9285</v>
      </c>
      <c r="T527" s="22">
        <f>IFERROR(__xludf.DUMMYFUNCTION("IFERROR(GOOGLEFINANCE(B527,""price""),"""")"),166.7)</f>
        <v>166.7</v>
      </c>
    </row>
    <row r="528">
      <c r="A528" s="7">
        <v>46063.62752700636</v>
      </c>
      <c r="B528" s="8" t="s">
        <v>5558</v>
      </c>
      <c r="C528" s="8" t="s">
        <v>5559</v>
      </c>
      <c r="D528" s="9">
        <v>46068.0</v>
      </c>
      <c r="E528" s="10">
        <v>12.4326</v>
      </c>
      <c r="F528" s="26">
        <v>1.1904</v>
      </c>
      <c r="G528" s="12">
        <v>1.1646495E7</v>
      </c>
      <c r="H528" s="8" t="s">
        <v>102</v>
      </c>
      <c r="I528" s="11">
        <v>-6.0982</v>
      </c>
      <c r="J528" s="12">
        <v>4.029382901E9</v>
      </c>
      <c r="K528" s="23"/>
      <c r="L528" s="13">
        <v>-8.3559</v>
      </c>
      <c r="M528" s="8" t="s">
        <v>5560</v>
      </c>
      <c r="N528" s="8" t="s">
        <v>5536</v>
      </c>
      <c r="O528" s="23"/>
      <c r="P528" s="13">
        <v>-351.0117</v>
      </c>
      <c r="Q528" s="13">
        <v>324.0994</v>
      </c>
      <c r="R528" s="23"/>
      <c r="S528" s="13">
        <v>1.8261</v>
      </c>
      <c r="T528" s="14">
        <f>IFERROR(__xludf.DUMMYFUNCTION("IFERROR(GOOGLEFINANCE(B528,""price""),"""")"),5.62)</f>
        <v>5.62</v>
      </c>
    </row>
    <row r="529">
      <c r="A529" s="15">
        <v>46063.62752700636</v>
      </c>
      <c r="B529" s="16" t="s">
        <v>5846</v>
      </c>
      <c r="C529" s="16" t="s">
        <v>5847</v>
      </c>
      <c r="D529" s="17">
        <v>46068.0</v>
      </c>
      <c r="E529" s="18">
        <v>86.245</v>
      </c>
      <c r="F529" s="27">
        <v>1.1866</v>
      </c>
      <c r="G529" s="20">
        <v>2.6963124E7</v>
      </c>
      <c r="H529" s="16" t="s">
        <v>93</v>
      </c>
      <c r="I529" s="19">
        <v>-0.3639</v>
      </c>
      <c r="J529" s="20">
        <v>7.7550541221E10</v>
      </c>
      <c r="K529" s="21">
        <v>35.8026</v>
      </c>
      <c r="L529" s="21">
        <v>2.4089</v>
      </c>
      <c r="M529" s="16" t="s">
        <v>5848</v>
      </c>
      <c r="N529" s="16" t="s">
        <v>5708</v>
      </c>
      <c r="O529" s="21">
        <v>27.8162</v>
      </c>
      <c r="P529" s="21">
        <v>47.8467</v>
      </c>
      <c r="Q529" s="21">
        <v>73.4811</v>
      </c>
      <c r="R529" s="21">
        <v>2.2661</v>
      </c>
      <c r="S529" s="21">
        <v>1.2203</v>
      </c>
      <c r="T529" s="22">
        <f>IFERROR(__xludf.DUMMYFUNCTION("IFERROR(GOOGLEFINANCE(B529,""price""),"""")"),69.19)</f>
        <v>69.19</v>
      </c>
    </row>
    <row r="530">
      <c r="A530" s="7">
        <v>46063.62752700636</v>
      </c>
      <c r="B530" s="8" t="s">
        <v>5175</v>
      </c>
      <c r="C530" s="8" t="s">
        <v>5176</v>
      </c>
      <c r="D530" s="9">
        <v>46068.0</v>
      </c>
      <c r="E530" s="10">
        <v>4.835</v>
      </c>
      <c r="F530" s="26">
        <v>1.1719</v>
      </c>
      <c r="G530" s="12">
        <v>1.2779021E7</v>
      </c>
      <c r="H530" s="8" t="s">
        <v>93</v>
      </c>
      <c r="I530" s="11">
        <v>4.4276</v>
      </c>
      <c r="J530" s="12">
        <v>7.80126344E9</v>
      </c>
      <c r="K530" s="23"/>
      <c r="L530" s="13">
        <v>-0.009</v>
      </c>
      <c r="M530" s="8" t="s">
        <v>5177</v>
      </c>
      <c r="N530" s="8" t="s">
        <v>5590</v>
      </c>
      <c r="O530" s="13">
        <v>11.3702</v>
      </c>
      <c r="P530" s="13">
        <v>30.822</v>
      </c>
      <c r="Q530" s="13">
        <v>-8.6628</v>
      </c>
      <c r="R530" s="13">
        <v>81.7577</v>
      </c>
      <c r="S530" s="13">
        <v>0.1285</v>
      </c>
      <c r="T530" s="14">
        <f>IFERROR(__xludf.DUMMYFUNCTION("IFERROR(GOOGLEFINANCE(B530,""price""),"""")"),3.69)</f>
        <v>3.69</v>
      </c>
    </row>
    <row r="531">
      <c r="A531" s="15">
        <v>46063.62752700636</v>
      </c>
      <c r="B531" s="16" t="s">
        <v>5484</v>
      </c>
      <c r="C531" s="16" t="s">
        <v>5485</v>
      </c>
      <c r="D531" s="17">
        <v>46068.0</v>
      </c>
      <c r="E531" s="18">
        <v>43.64</v>
      </c>
      <c r="F531" s="27">
        <v>1.1635</v>
      </c>
      <c r="G531" s="20">
        <v>3.0128968E7</v>
      </c>
      <c r="H531" s="16" t="s">
        <v>88</v>
      </c>
      <c r="I531" s="19">
        <v>-5.4388</v>
      </c>
      <c r="J531" s="20">
        <v>1.4477971434E10</v>
      </c>
      <c r="K531" s="21">
        <v>28.4559</v>
      </c>
      <c r="L531" s="21">
        <v>1.5336</v>
      </c>
      <c r="M531" s="16" t="s">
        <v>5486</v>
      </c>
      <c r="N531" s="16" t="s">
        <v>5471</v>
      </c>
      <c r="O531" s="21">
        <v>39.152</v>
      </c>
      <c r="P531" s="21">
        <v>-10.6682</v>
      </c>
      <c r="Q531" s="21">
        <v>190.5839</v>
      </c>
      <c r="R531" s="21">
        <v>1.5302</v>
      </c>
      <c r="S531" s="21">
        <v>4.9601</v>
      </c>
      <c r="T531" s="22">
        <f>IFERROR(__xludf.DUMMYFUNCTION("IFERROR(GOOGLEFINANCE(B531,""price""),"""")"),39.32)</f>
        <v>39.32</v>
      </c>
    </row>
    <row r="532">
      <c r="A532" s="7">
        <v>46063.62752700636</v>
      </c>
      <c r="B532" s="8" t="s">
        <v>5533</v>
      </c>
      <c r="C532" s="8" t="s">
        <v>5534</v>
      </c>
      <c r="D532" s="9">
        <v>46068.0</v>
      </c>
      <c r="E532" s="10">
        <v>7.615</v>
      </c>
      <c r="F532" s="26">
        <v>1.1602</v>
      </c>
      <c r="G532" s="12">
        <v>1.435337E7</v>
      </c>
      <c r="H532" s="8" t="s">
        <v>102</v>
      </c>
      <c r="I532" s="11">
        <v>-0.3272</v>
      </c>
      <c r="J532" s="12">
        <v>2.06041195E9</v>
      </c>
      <c r="K532" s="23"/>
      <c r="L532" s="13">
        <v>-3.7839</v>
      </c>
      <c r="M532" s="8" t="s">
        <v>5535</v>
      </c>
      <c r="N532" s="8" t="s">
        <v>5536</v>
      </c>
      <c r="O532" s="13">
        <v>-55.984</v>
      </c>
      <c r="P532" s="13">
        <v>-31.1477</v>
      </c>
      <c r="Q532" s="23"/>
      <c r="R532" s="13">
        <v>4.5088</v>
      </c>
      <c r="S532" s="13">
        <v>1.1293</v>
      </c>
      <c r="T532" s="14">
        <f>IFERROR(__xludf.DUMMYFUNCTION("IFERROR(GOOGLEFINANCE(B532,""price""),"""")"),4.69)</f>
        <v>4.69</v>
      </c>
    </row>
    <row r="533">
      <c r="A533" s="15">
        <v>46063.62752700636</v>
      </c>
      <c r="B533" s="16" t="s">
        <v>5849</v>
      </c>
      <c r="C533" s="16" t="s">
        <v>5850</v>
      </c>
      <c r="D533" s="17">
        <v>46068.0</v>
      </c>
      <c r="E533" s="18">
        <v>42.045</v>
      </c>
      <c r="F533" s="27">
        <v>1.1577</v>
      </c>
      <c r="G533" s="20">
        <v>8249649.0</v>
      </c>
      <c r="H533" s="16" t="s">
        <v>117</v>
      </c>
      <c r="I533" s="19">
        <v>0.2265</v>
      </c>
      <c r="J533" s="20">
        <v>1.6428395018E10</v>
      </c>
      <c r="K533" s="24"/>
      <c r="L533" s="21">
        <v>-8.0637</v>
      </c>
      <c r="M533" s="16" t="s">
        <v>5851</v>
      </c>
      <c r="N533" s="16" t="s">
        <v>5502</v>
      </c>
      <c r="O533" s="21">
        <v>-29.3174</v>
      </c>
      <c r="P533" s="21">
        <v>-155.1523</v>
      </c>
      <c r="Q533" s="21">
        <v>-56.0024</v>
      </c>
      <c r="R533" s="21">
        <v>0.0787</v>
      </c>
      <c r="S533" s="21">
        <v>3.925</v>
      </c>
      <c r="T533" s="22">
        <f>IFERROR(__xludf.DUMMYFUNCTION("IFERROR(GOOGLEFINANCE(B533,""price""),"""")"),50.96)</f>
        <v>50.96</v>
      </c>
    </row>
    <row r="534">
      <c r="A534" s="7">
        <v>46063.62752700636</v>
      </c>
      <c r="B534" s="8" t="s">
        <v>5517</v>
      </c>
      <c r="C534" s="8" t="s">
        <v>5518</v>
      </c>
      <c r="D534" s="9">
        <v>46068.0</v>
      </c>
      <c r="E534" s="10">
        <v>9.485</v>
      </c>
      <c r="F534" s="26">
        <v>1.1504</v>
      </c>
      <c r="G534" s="12">
        <v>1.4741704E7</v>
      </c>
      <c r="H534" s="8" t="s">
        <v>308</v>
      </c>
      <c r="I534" s="11">
        <v>-5.996</v>
      </c>
      <c r="J534" s="12">
        <v>1.566455242E9</v>
      </c>
      <c r="K534" s="23"/>
      <c r="L534" s="13">
        <v>-3.1791</v>
      </c>
      <c r="M534" s="8" t="s">
        <v>5519</v>
      </c>
      <c r="N534" s="8" t="s">
        <v>5520</v>
      </c>
      <c r="O534" s="13">
        <v>-50.0822</v>
      </c>
      <c r="P534" s="13">
        <v>-46.1858</v>
      </c>
      <c r="Q534" s="13">
        <v>-0.6305</v>
      </c>
      <c r="R534" s="13">
        <v>0.3596</v>
      </c>
      <c r="S534" s="13">
        <v>1.4082</v>
      </c>
      <c r="T534" s="14">
        <f>IFERROR(__xludf.DUMMYFUNCTION("IFERROR(GOOGLEFINANCE(B534,""price""),"""")"),9.29)</f>
        <v>9.29</v>
      </c>
    </row>
    <row r="535">
      <c r="A535" s="15">
        <v>46063.62752700636</v>
      </c>
      <c r="B535" s="16" t="s">
        <v>5594</v>
      </c>
      <c r="C535" s="16" t="s">
        <v>5595</v>
      </c>
      <c r="D535" s="17">
        <v>46068.0</v>
      </c>
      <c r="E535" s="18">
        <v>16.795</v>
      </c>
      <c r="F535" s="27">
        <v>1.138</v>
      </c>
      <c r="G535" s="20">
        <v>5.4038662E7</v>
      </c>
      <c r="H535" s="16" t="s">
        <v>88</v>
      </c>
      <c r="I535" s="19">
        <v>0.8709</v>
      </c>
      <c r="J535" s="20">
        <v>7.031762094E9</v>
      </c>
      <c r="K535" s="24"/>
      <c r="L535" s="21">
        <v>-1.4167</v>
      </c>
      <c r="M535" s="16" t="s">
        <v>5596</v>
      </c>
      <c r="N535" s="16" t="s">
        <v>5471</v>
      </c>
      <c r="O535" s="21">
        <v>-181.9547</v>
      </c>
      <c r="P535" s="21">
        <v>-69.885</v>
      </c>
      <c r="Q535" s="21">
        <v>30.5825</v>
      </c>
      <c r="R535" s="21">
        <v>4.3877</v>
      </c>
      <c r="S535" s="21">
        <v>1.0329</v>
      </c>
      <c r="T535" s="22">
        <f>IFERROR(__xludf.DUMMYFUNCTION("IFERROR(GOOGLEFINANCE(B535,""price""),"""")"),18.88)</f>
        <v>18.88</v>
      </c>
    </row>
    <row r="536">
      <c r="A536" s="7">
        <v>46063.62752700636</v>
      </c>
      <c r="B536" s="8" t="s">
        <v>5852</v>
      </c>
      <c r="C536" s="8" t="s">
        <v>5853</v>
      </c>
      <c r="D536" s="9">
        <v>46068.0</v>
      </c>
      <c r="E536" s="10">
        <v>163.7</v>
      </c>
      <c r="F536" s="26">
        <v>1.1291</v>
      </c>
      <c r="G536" s="12">
        <v>7396250.0</v>
      </c>
      <c r="H536" s="8" t="s">
        <v>93</v>
      </c>
      <c r="I536" s="11">
        <v>-2.1226</v>
      </c>
      <c r="J536" s="12">
        <v>4.4142907704E10</v>
      </c>
      <c r="K536" s="13">
        <v>14.171</v>
      </c>
      <c r="L536" s="13">
        <v>11.5518</v>
      </c>
      <c r="M536" s="8" t="s">
        <v>5854</v>
      </c>
      <c r="N536" s="8" t="s">
        <v>5708</v>
      </c>
      <c r="O536" s="13">
        <v>26.0003</v>
      </c>
      <c r="P536" s="13">
        <v>44.9411</v>
      </c>
      <c r="Q536" s="13">
        <v>47.8623</v>
      </c>
      <c r="R536" s="13">
        <v>0.4842</v>
      </c>
      <c r="S536" s="13">
        <v>2.4042</v>
      </c>
      <c r="T536" s="14">
        <f>IFERROR(__xludf.DUMMYFUNCTION("IFERROR(GOOGLEFINANCE(B536,""price""),"""")"),167.85)</f>
        <v>167.85</v>
      </c>
    </row>
    <row r="537">
      <c r="A537" s="15">
        <v>46063.62752700636</v>
      </c>
      <c r="B537" s="16" t="s">
        <v>2704</v>
      </c>
      <c r="C537" s="16" t="s">
        <v>2705</v>
      </c>
      <c r="D537" s="17">
        <v>46068.0</v>
      </c>
      <c r="E537" s="18">
        <v>37.7</v>
      </c>
      <c r="F537" s="27">
        <v>1.1277</v>
      </c>
      <c r="G537" s="20">
        <v>2.1877565E7</v>
      </c>
      <c r="H537" s="16" t="s">
        <v>88</v>
      </c>
      <c r="I537" s="19">
        <v>-1.4637</v>
      </c>
      <c r="J537" s="20">
        <v>1.0540384779E10</v>
      </c>
      <c r="K537" s="24"/>
      <c r="L537" s="21">
        <v>-0.5438</v>
      </c>
      <c r="M537" s="16" t="s">
        <v>2707</v>
      </c>
      <c r="N537" s="16" t="s">
        <v>5471</v>
      </c>
      <c r="O537" s="21">
        <v>-11.4029</v>
      </c>
      <c r="P537" s="21">
        <v>-26.4624</v>
      </c>
      <c r="Q537" s="21">
        <v>33.135</v>
      </c>
      <c r="R537" s="21">
        <v>1.6778</v>
      </c>
      <c r="S537" s="21">
        <v>4.8227</v>
      </c>
      <c r="T537" s="22">
        <f>IFERROR(__xludf.DUMMYFUNCTION("IFERROR(GOOGLEFINANCE(B537,""price""),"""")"),26.24)</f>
        <v>26.24</v>
      </c>
    </row>
    <row r="538">
      <c r="A538" s="7">
        <v>46063.62752700636</v>
      </c>
      <c r="B538" s="8" t="s">
        <v>5554</v>
      </c>
      <c r="C538" s="8" t="s">
        <v>5555</v>
      </c>
      <c r="D538" s="9">
        <v>46068.0</v>
      </c>
      <c r="E538" s="10">
        <v>96.41</v>
      </c>
      <c r="F538" s="26">
        <v>1.1264</v>
      </c>
      <c r="G538" s="12">
        <v>8211613.0</v>
      </c>
      <c r="H538" s="8" t="s">
        <v>873</v>
      </c>
      <c r="I538" s="11">
        <v>-5.5915</v>
      </c>
      <c r="J538" s="12">
        <v>3.5421159831E10</v>
      </c>
      <c r="K538" s="23"/>
      <c r="L538" s="13">
        <v>-1.2452</v>
      </c>
      <c r="M538" s="8" t="s">
        <v>5556</v>
      </c>
      <c r="N538" s="8" t="s">
        <v>5557</v>
      </c>
      <c r="O538" s="13">
        <v>-39.2195</v>
      </c>
      <c r="P538" s="13">
        <v>-1479.4668</v>
      </c>
      <c r="Q538" s="13">
        <v>641.24</v>
      </c>
      <c r="R538" s="13">
        <v>0.5824</v>
      </c>
      <c r="S538" s="13">
        <v>9.5602</v>
      </c>
      <c r="T538" s="14">
        <f>IFERROR(__xludf.DUMMYFUNCTION("IFERROR(GOOGLEFINANCE(B538,""price""),"""")"),94.9)</f>
        <v>94.9</v>
      </c>
    </row>
    <row r="539">
      <c r="A539" s="15">
        <v>46063.62752700636</v>
      </c>
      <c r="B539" s="16" t="s">
        <v>5544</v>
      </c>
      <c r="C539" s="16" t="s">
        <v>5545</v>
      </c>
      <c r="D539" s="17">
        <v>46068.0</v>
      </c>
      <c r="E539" s="18">
        <v>17.22</v>
      </c>
      <c r="F539" s="27">
        <v>1.1263</v>
      </c>
      <c r="G539" s="20">
        <v>3.4374824E7</v>
      </c>
      <c r="H539" s="16" t="s">
        <v>88</v>
      </c>
      <c r="I539" s="19">
        <v>2.7446</v>
      </c>
      <c r="J539" s="20">
        <v>6.803485564E9</v>
      </c>
      <c r="K539" s="24"/>
      <c r="L539" s="21">
        <v>-0.1905</v>
      </c>
      <c r="M539" s="16" t="s">
        <v>5546</v>
      </c>
      <c r="N539" s="16" t="s">
        <v>5471</v>
      </c>
      <c r="O539" s="21">
        <v>-9.6935</v>
      </c>
      <c r="P539" s="21">
        <v>-72.0529</v>
      </c>
      <c r="Q539" s="21">
        <v>35.4099</v>
      </c>
      <c r="R539" s="21">
        <v>1.333</v>
      </c>
      <c r="S539" s="21">
        <v>2.4892</v>
      </c>
      <c r="T539" s="22">
        <f>IFERROR(__xludf.DUMMYFUNCTION("IFERROR(GOOGLEFINANCE(B539,""price""),"""")"),16.53)</f>
        <v>16.53</v>
      </c>
    </row>
    <row r="540">
      <c r="A540" s="7">
        <v>46063.62752700636</v>
      </c>
      <c r="B540" s="8" t="s">
        <v>5580</v>
      </c>
      <c r="C540" s="8" t="s">
        <v>5581</v>
      </c>
      <c r="D540" s="9">
        <v>46068.0</v>
      </c>
      <c r="E540" s="10">
        <v>2.6042</v>
      </c>
      <c r="F540" s="26">
        <v>1.125</v>
      </c>
      <c r="G540" s="12">
        <v>2.0677346E7</v>
      </c>
      <c r="H540" s="8" t="s">
        <v>88</v>
      </c>
      <c r="I540" s="11">
        <v>-3.5481</v>
      </c>
      <c r="J540" s="12">
        <v>1.038626871E9</v>
      </c>
      <c r="K540" s="23"/>
      <c r="L540" s="23"/>
      <c r="M540" s="8" t="s">
        <v>5582</v>
      </c>
      <c r="N540" s="8" t="s">
        <v>5429</v>
      </c>
      <c r="O540" s="23"/>
      <c r="P540" s="23"/>
      <c r="Q540" s="23"/>
      <c r="R540" s="23"/>
      <c r="S540" s="13">
        <v>0.2412</v>
      </c>
      <c r="T540" s="14">
        <f>IFERROR(__xludf.DUMMYFUNCTION("IFERROR(GOOGLEFINANCE(B540,""price""),"""")"),2.38)</f>
        <v>2.38</v>
      </c>
    </row>
    <row r="541">
      <c r="A541" s="15">
        <v>46063.62752700636</v>
      </c>
      <c r="B541" s="16" t="s">
        <v>5434</v>
      </c>
      <c r="C541" s="16" t="s">
        <v>5435</v>
      </c>
      <c r="D541" s="17">
        <v>46068.0</v>
      </c>
      <c r="E541" s="18">
        <v>9.7135</v>
      </c>
      <c r="F541" s="27">
        <v>1.1035</v>
      </c>
      <c r="G541" s="20">
        <v>4.8994075E7</v>
      </c>
      <c r="H541" s="16" t="s">
        <v>308</v>
      </c>
      <c r="I541" s="19">
        <v>-6.059</v>
      </c>
      <c r="J541" s="20">
        <v>4.104696967E9</v>
      </c>
      <c r="K541" s="24"/>
      <c r="L541" s="21">
        <v>-0.4034</v>
      </c>
      <c r="M541" s="16" t="s">
        <v>5436</v>
      </c>
      <c r="N541" s="16" t="s">
        <v>5437</v>
      </c>
      <c r="O541" s="21">
        <v>-17.0422</v>
      </c>
      <c r="P541" s="21">
        <v>-176.0921</v>
      </c>
      <c r="Q541" s="21">
        <v>208.4002</v>
      </c>
      <c r="R541" s="21">
        <v>0.037</v>
      </c>
      <c r="S541" s="21">
        <v>15.2957</v>
      </c>
      <c r="T541" s="22">
        <f>IFERROR(__xludf.DUMMYFUNCTION("IFERROR(GOOGLEFINANCE(B541,""price""),"""")"),9.13)</f>
        <v>9.13</v>
      </c>
    </row>
    <row r="542">
      <c r="A542" s="7">
        <v>46063.875473239605</v>
      </c>
      <c r="B542" s="8" t="s">
        <v>5855</v>
      </c>
      <c r="C542" s="8" t="s">
        <v>5856</v>
      </c>
      <c r="D542" s="9">
        <v>46068.0</v>
      </c>
      <c r="E542" s="10">
        <v>38.96</v>
      </c>
      <c r="F542" s="26">
        <v>2.3339</v>
      </c>
      <c r="G542" s="12">
        <v>1.0402076E7</v>
      </c>
      <c r="H542" s="8" t="s">
        <v>93</v>
      </c>
      <c r="I542" s="11">
        <v>0.2831</v>
      </c>
      <c r="J542" s="12">
        <v>3.790281259E9</v>
      </c>
      <c r="K542" s="13">
        <v>171.0272</v>
      </c>
      <c r="L542" s="13">
        <v>0.2278</v>
      </c>
      <c r="M542" s="8" t="s">
        <v>5857</v>
      </c>
      <c r="N542" s="8" t="s">
        <v>5590</v>
      </c>
      <c r="O542" s="13">
        <v>4.8101</v>
      </c>
      <c r="P542" s="13">
        <v>1.9615</v>
      </c>
      <c r="Q542" s="13">
        <v>73.2878</v>
      </c>
      <c r="R542" s="13">
        <v>2.624</v>
      </c>
      <c r="S542" s="13">
        <v>4.5013</v>
      </c>
      <c r="T542" s="14">
        <f>IFERROR(__xludf.DUMMYFUNCTION("IFERROR(GOOGLEFINANCE(B542,""price""),"""")"),27.26)</f>
        <v>27.26</v>
      </c>
    </row>
    <row r="543">
      <c r="A543" s="15">
        <v>46063.875473239605</v>
      </c>
      <c r="B543" s="16" t="s">
        <v>5637</v>
      </c>
      <c r="C543" s="16" t="s">
        <v>5638</v>
      </c>
      <c r="D543" s="17">
        <v>46068.0</v>
      </c>
      <c r="E543" s="18">
        <v>29.05</v>
      </c>
      <c r="F543" s="27">
        <v>2.1885</v>
      </c>
      <c r="G543" s="20">
        <v>2.4120932E7</v>
      </c>
      <c r="H543" s="16" t="s">
        <v>88</v>
      </c>
      <c r="I543" s="19">
        <v>5.5212</v>
      </c>
      <c r="J543" s="20">
        <v>1.2430868364E10</v>
      </c>
      <c r="K543" s="24"/>
      <c r="L543" s="21">
        <v>-1.0498</v>
      </c>
      <c r="M543" s="16" t="s">
        <v>5639</v>
      </c>
      <c r="N543" s="16" t="s">
        <v>5429</v>
      </c>
      <c r="O543" s="21">
        <v>-13.6376</v>
      </c>
      <c r="P543" s="21">
        <v>-25.3215</v>
      </c>
      <c r="Q543" s="21">
        <v>-8.2306</v>
      </c>
      <c r="R543" s="21">
        <v>0.7272</v>
      </c>
      <c r="S543" s="21">
        <v>2.7772</v>
      </c>
      <c r="T543" s="22">
        <f>IFERROR(__xludf.DUMMYFUNCTION("IFERROR(GOOGLEFINANCE(B543,""price""),"""")"),21.62)</f>
        <v>21.62</v>
      </c>
    </row>
    <row r="544">
      <c r="A544" s="7">
        <v>46063.875473239605</v>
      </c>
      <c r="B544" s="8" t="s">
        <v>5811</v>
      </c>
      <c r="C544" s="8" t="s">
        <v>5812</v>
      </c>
      <c r="D544" s="9">
        <v>46068.0</v>
      </c>
      <c r="E544" s="10">
        <v>16.85</v>
      </c>
      <c r="F544" s="26">
        <v>1.8678</v>
      </c>
      <c r="G544" s="12">
        <v>3.5200788E7</v>
      </c>
      <c r="H544" s="8" t="s">
        <v>162</v>
      </c>
      <c r="I544" s="11">
        <v>1.4449</v>
      </c>
      <c r="J544" s="12">
        <v>6.729104929E9</v>
      </c>
      <c r="K544" s="13">
        <v>46.7147</v>
      </c>
      <c r="L544" s="13">
        <v>0.3607</v>
      </c>
      <c r="M544" s="8" t="s">
        <v>5813</v>
      </c>
      <c r="N544" s="8" t="s">
        <v>5814</v>
      </c>
      <c r="O544" s="13">
        <v>24.5254</v>
      </c>
      <c r="P544" s="13">
        <v>0.5795</v>
      </c>
      <c r="Q544" s="13">
        <v>14.8984</v>
      </c>
      <c r="R544" s="13">
        <v>2.3015</v>
      </c>
      <c r="S544" s="13">
        <v>0.7243</v>
      </c>
      <c r="T544" s="14">
        <f>IFERROR(__xludf.DUMMYFUNCTION("IFERROR(GOOGLEFINANCE(B544,""price""),"""")"),13.23)</f>
        <v>13.23</v>
      </c>
    </row>
    <row r="545">
      <c r="A545" s="15">
        <v>46063.875473239605</v>
      </c>
      <c r="B545" s="16" t="s">
        <v>5802</v>
      </c>
      <c r="C545" s="16" t="s">
        <v>5803</v>
      </c>
      <c r="D545" s="17">
        <v>46068.0</v>
      </c>
      <c r="E545" s="18">
        <v>20.33</v>
      </c>
      <c r="F545" s="27">
        <v>1.8411</v>
      </c>
      <c r="G545" s="20">
        <v>1.4186684E7</v>
      </c>
      <c r="H545" s="16" t="s">
        <v>88</v>
      </c>
      <c r="I545" s="19">
        <v>0.9434</v>
      </c>
      <c r="J545" s="20">
        <v>1.373409026E10</v>
      </c>
      <c r="K545" s="21">
        <v>7.0441</v>
      </c>
      <c r="L545" s="21">
        <v>2.8861</v>
      </c>
      <c r="M545" s="16" t="s">
        <v>5804</v>
      </c>
      <c r="N545" s="16" t="s">
        <v>5495</v>
      </c>
      <c r="O545" s="21">
        <v>51.4911</v>
      </c>
      <c r="P545" s="21">
        <v>6.9098</v>
      </c>
      <c r="Q545" s="21">
        <v>16.7925</v>
      </c>
      <c r="R545" s="21">
        <v>0.0425</v>
      </c>
      <c r="S545" s="21">
        <v>8.363</v>
      </c>
      <c r="T545" s="22">
        <f>IFERROR(__xludf.DUMMYFUNCTION("IFERROR(GOOGLEFINANCE(B545,""price""),"""")"),17.62)</f>
        <v>17.62</v>
      </c>
    </row>
    <row r="546">
      <c r="A546" s="7">
        <v>46063.875473239605</v>
      </c>
      <c r="B546" s="8" t="s">
        <v>5818</v>
      </c>
      <c r="C546" s="8" t="s">
        <v>5819</v>
      </c>
      <c r="D546" s="9">
        <v>46068.0</v>
      </c>
      <c r="E546" s="10">
        <v>8.94</v>
      </c>
      <c r="F546" s="26">
        <v>1.8223</v>
      </c>
      <c r="G546" s="12">
        <v>1.6748737E7</v>
      </c>
      <c r="H546" s="8" t="s">
        <v>102</v>
      </c>
      <c r="I546" s="11">
        <v>-2.5082</v>
      </c>
      <c r="J546" s="12">
        <v>5.375712714E9</v>
      </c>
      <c r="K546" s="23"/>
      <c r="L546" s="13">
        <v>-0.8108</v>
      </c>
      <c r="M546" s="8" t="s">
        <v>5820</v>
      </c>
      <c r="N546" s="8" t="s">
        <v>5536</v>
      </c>
      <c r="O546" s="13">
        <v>-38.653</v>
      </c>
      <c r="P546" s="23"/>
      <c r="Q546" s="23"/>
      <c r="R546" s="13">
        <v>0.06</v>
      </c>
      <c r="S546" s="13">
        <v>21.1384</v>
      </c>
      <c r="T546" s="14">
        <f>IFERROR(__xludf.DUMMYFUNCTION("IFERROR(GOOGLEFINANCE(B546,""price""),"""")"),6.36)</f>
        <v>6.36</v>
      </c>
    </row>
    <row r="547">
      <c r="A547" s="15">
        <v>46063.875473239605</v>
      </c>
      <c r="B547" s="16" t="s">
        <v>5840</v>
      </c>
      <c r="C547" s="16" t="s">
        <v>5841</v>
      </c>
      <c r="D547" s="17">
        <v>46068.0</v>
      </c>
      <c r="E547" s="18">
        <v>179.98</v>
      </c>
      <c r="F547" s="27">
        <v>1.8094</v>
      </c>
      <c r="G547" s="20">
        <v>1.1422972E7</v>
      </c>
      <c r="H547" s="16" t="s">
        <v>88</v>
      </c>
      <c r="I547" s="19">
        <v>3.5856</v>
      </c>
      <c r="J547" s="20">
        <v>6.3043604009E10</v>
      </c>
      <c r="K547" s="24"/>
      <c r="L547" s="21">
        <v>-0.2974</v>
      </c>
      <c r="M547" s="16" t="s">
        <v>5842</v>
      </c>
      <c r="N547" s="16" t="s">
        <v>5664</v>
      </c>
      <c r="O547" s="21">
        <v>-8.8822</v>
      </c>
      <c r="P547" s="21">
        <v>-9.3513</v>
      </c>
      <c r="Q547" s="21">
        <v>28.0649</v>
      </c>
      <c r="R547" s="21">
        <v>2.5996</v>
      </c>
      <c r="S547" s="21">
        <v>2.0407</v>
      </c>
      <c r="T547" s="22">
        <f>IFERROR(__xludf.DUMMYFUNCTION("IFERROR(GOOGLEFINANCE(B547,""price""),"""")"),166.99)</f>
        <v>166.99</v>
      </c>
    </row>
    <row r="548">
      <c r="A548" s="7">
        <v>46063.875473239605</v>
      </c>
      <c r="B548" s="8" t="s">
        <v>5623</v>
      </c>
      <c r="C548" s="8" t="s">
        <v>5624</v>
      </c>
      <c r="D548" s="9">
        <v>46068.0</v>
      </c>
      <c r="E548" s="10">
        <v>4.46</v>
      </c>
      <c r="F548" s="26">
        <v>1.7734</v>
      </c>
      <c r="G548" s="12">
        <v>9830323.0</v>
      </c>
      <c r="H548" s="8" t="s">
        <v>88</v>
      </c>
      <c r="I548" s="11">
        <v>1.3636</v>
      </c>
      <c r="J548" s="12">
        <v>8.631754652E9</v>
      </c>
      <c r="K548" s="23"/>
      <c r="L548" s="13">
        <v>-0.4502</v>
      </c>
      <c r="M548" s="8" t="s">
        <v>5625</v>
      </c>
      <c r="N548" s="8" t="s">
        <v>5429</v>
      </c>
      <c r="O548" s="13">
        <v>-37.2708</v>
      </c>
      <c r="P548" s="13">
        <v>-43100.0</v>
      </c>
      <c r="Q548" s="23"/>
      <c r="R548" s="13">
        <v>0.0467</v>
      </c>
      <c r="S548" s="13">
        <v>15.2857</v>
      </c>
      <c r="T548" s="14">
        <f>IFERROR(__xludf.DUMMYFUNCTION("IFERROR(GOOGLEFINANCE(B548,""price""),"""")"),4.15)</f>
        <v>4.15</v>
      </c>
    </row>
    <row r="549">
      <c r="A549" s="15">
        <v>46063.875473239605</v>
      </c>
      <c r="B549" s="16" t="s">
        <v>5824</v>
      </c>
      <c r="C549" s="16" t="s">
        <v>5825</v>
      </c>
      <c r="D549" s="17">
        <v>46068.0</v>
      </c>
      <c r="E549" s="18">
        <v>14.96</v>
      </c>
      <c r="F549" s="27">
        <v>1.6803</v>
      </c>
      <c r="G549" s="20">
        <v>3.7616376E7</v>
      </c>
      <c r="H549" s="16" t="s">
        <v>112</v>
      </c>
      <c r="I549" s="19">
        <v>1.838</v>
      </c>
      <c r="J549" s="20">
        <v>1.8340968607E10</v>
      </c>
      <c r="K549" s="24"/>
      <c r="L549" s="21">
        <v>-3.1111</v>
      </c>
      <c r="M549" s="16" t="s">
        <v>5826</v>
      </c>
      <c r="N549" s="16" t="s">
        <v>5453</v>
      </c>
      <c r="O549" s="21">
        <v>-65.2804</v>
      </c>
      <c r="P549" s="21">
        <v>-58.4919</v>
      </c>
      <c r="Q549" s="21">
        <v>28.2136</v>
      </c>
      <c r="R549" s="21">
        <v>0.9805</v>
      </c>
      <c r="S549" s="21">
        <v>2.708</v>
      </c>
      <c r="T549" s="22">
        <f>IFERROR(__xludf.DUMMYFUNCTION("IFERROR(GOOGLEFINANCE(B549,""price""),"""")"),15.43)</f>
        <v>15.43</v>
      </c>
    </row>
    <row r="550">
      <c r="A550" s="7">
        <v>46063.875473239605</v>
      </c>
      <c r="B550" s="8" t="s">
        <v>5827</v>
      </c>
      <c r="C550" s="8" t="s">
        <v>5828</v>
      </c>
      <c r="D550" s="9">
        <v>46068.0</v>
      </c>
      <c r="E550" s="10">
        <v>127.24</v>
      </c>
      <c r="F550" s="26">
        <v>1.6602</v>
      </c>
      <c r="G550" s="12">
        <v>2.6855356E7</v>
      </c>
      <c r="H550" s="8" t="s">
        <v>186</v>
      </c>
      <c r="I550" s="11">
        <v>7.4662</v>
      </c>
      <c r="J550" s="12">
        <v>1.66059289328E11</v>
      </c>
      <c r="K550" s="13">
        <v>94.459</v>
      </c>
      <c r="L550" s="13">
        <v>1.347</v>
      </c>
      <c r="M550" s="8" t="s">
        <v>5829</v>
      </c>
      <c r="N550" s="8" t="s">
        <v>5573</v>
      </c>
      <c r="O550" s="13">
        <v>15.7485</v>
      </c>
      <c r="P550" s="13">
        <v>15.7966</v>
      </c>
      <c r="Q550" s="13">
        <v>29.9011</v>
      </c>
      <c r="R550" s="13">
        <v>0.0891</v>
      </c>
      <c r="S550" s="13">
        <v>3.9336</v>
      </c>
      <c r="T550" s="14">
        <f>IFERROR(__xludf.DUMMYFUNCTION("IFERROR(GOOGLEFINANCE(B550,""price""),"""")"),110.78)</f>
        <v>110.78</v>
      </c>
    </row>
    <row r="551">
      <c r="A551" s="15">
        <v>46063.875473239605</v>
      </c>
      <c r="B551" s="16" t="s">
        <v>1077</v>
      </c>
      <c r="C551" s="16" t="s">
        <v>1078</v>
      </c>
      <c r="D551" s="17">
        <v>46068.0</v>
      </c>
      <c r="E551" s="18">
        <v>8.15</v>
      </c>
      <c r="F551" s="27">
        <v>1.583</v>
      </c>
      <c r="G551" s="20">
        <v>1.6414009E7</v>
      </c>
      <c r="H551" s="16" t="s">
        <v>335</v>
      </c>
      <c r="I551" s="19">
        <v>-0.9721</v>
      </c>
      <c r="J551" s="20">
        <v>1.141290191E9</v>
      </c>
      <c r="K551" s="24"/>
      <c r="L551" s="21">
        <v>-0.041</v>
      </c>
      <c r="M551" s="16" t="s">
        <v>1079</v>
      </c>
      <c r="N551" s="16" t="s">
        <v>5506</v>
      </c>
      <c r="O551" s="21">
        <v>-10.5913</v>
      </c>
      <c r="P551" s="21">
        <v>-18.9471</v>
      </c>
      <c r="Q551" s="21">
        <v>240.123</v>
      </c>
      <c r="R551" s="21">
        <v>0.0037</v>
      </c>
      <c r="S551" s="21">
        <v>5.0784</v>
      </c>
      <c r="T551" s="22">
        <f>IFERROR(__xludf.DUMMYFUNCTION("IFERROR(GOOGLEFINANCE(B551,""price""),"""")"),8.36)</f>
        <v>8.36</v>
      </c>
    </row>
    <row r="552">
      <c r="A552" s="7">
        <v>46063.875473239605</v>
      </c>
      <c r="B552" s="8" t="s">
        <v>5830</v>
      </c>
      <c r="C552" s="8" t="s">
        <v>5831</v>
      </c>
      <c r="D552" s="9">
        <v>46068.0</v>
      </c>
      <c r="E552" s="10">
        <v>91.79</v>
      </c>
      <c r="F552" s="26">
        <v>1.5707</v>
      </c>
      <c r="G552" s="12">
        <v>1.0388384E7</v>
      </c>
      <c r="H552" s="8" t="s">
        <v>88</v>
      </c>
      <c r="I552" s="11">
        <v>-1.1736</v>
      </c>
      <c r="J552" s="12">
        <v>2.3113384782E10</v>
      </c>
      <c r="K552" s="23"/>
      <c r="L552" s="23"/>
      <c r="M552" s="8" t="s">
        <v>5832</v>
      </c>
      <c r="N552" s="8" t="s">
        <v>5429</v>
      </c>
      <c r="O552" s="13">
        <v>3.4537</v>
      </c>
      <c r="P552" s="13">
        <v>-151.597</v>
      </c>
      <c r="Q552" s="13">
        <v>-87.5369</v>
      </c>
      <c r="R552" s="13">
        <v>0.9379</v>
      </c>
      <c r="S552" s="13">
        <v>6.5656</v>
      </c>
      <c r="T552" s="14">
        <f>IFERROR(__xludf.DUMMYFUNCTION("IFERROR(GOOGLEFINANCE(B552,""price""),"""")"),144.97)</f>
        <v>144.97</v>
      </c>
    </row>
    <row r="553">
      <c r="A553" s="15">
        <v>46063.875473239605</v>
      </c>
      <c r="B553" s="16" t="s">
        <v>5833</v>
      </c>
      <c r="C553" s="16" t="s">
        <v>5834</v>
      </c>
      <c r="D553" s="17">
        <v>46068.0</v>
      </c>
      <c r="E553" s="18">
        <v>27.12</v>
      </c>
      <c r="F553" s="27">
        <v>1.5096</v>
      </c>
      <c r="G553" s="20">
        <v>1.8725998E7</v>
      </c>
      <c r="H553" s="16" t="s">
        <v>149</v>
      </c>
      <c r="I553" s="19">
        <v>-0.3674</v>
      </c>
      <c r="J553" s="20">
        <v>1.3499589628E10</v>
      </c>
      <c r="K553" s="24"/>
      <c r="L553" s="21">
        <v>-0.5656</v>
      </c>
      <c r="M553" s="16" t="s">
        <v>5835</v>
      </c>
      <c r="N553" s="16" t="s">
        <v>5457</v>
      </c>
      <c r="O553" s="21">
        <v>-29.5915</v>
      </c>
      <c r="P553" s="21">
        <v>-4.8374</v>
      </c>
      <c r="Q553" s="21">
        <v>18.5054</v>
      </c>
      <c r="R553" s="21">
        <v>2.6036</v>
      </c>
      <c r="S553" s="21">
        <v>1.095</v>
      </c>
      <c r="T553" s="22">
        <f>IFERROR(__xludf.DUMMYFUNCTION("IFERROR(GOOGLEFINANCE(B553,""price""),"""")"),22.23)</f>
        <v>22.23</v>
      </c>
    </row>
    <row r="554">
      <c r="A554" s="7">
        <v>46063.875473239605</v>
      </c>
      <c r="B554" s="8" t="s">
        <v>5795</v>
      </c>
      <c r="C554" s="8" t="s">
        <v>5796</v>
      </c>
      <c r="D554" s="9">
        <v>46068.0</v>
      </c>
      <c r="E554" s="10">
        <v>29.47</v>
      </c>
      <c r="F554" s="26">
        <v>1.451</v>
      </c>
      <c r="G554" s="12">
        <v>1.2715716E7</v>
      </c>
      <c r="H554" s="8" t="s">
        <v>88</v>
      </c>
      <c r="I554" s="11">
        <v>2.8621</v>
      </c>
      <c r="J554" s="12">
        <v>1.732835977E10</v>
      </c>
      <c r="K554" s="13">
        <v>67.5917</v>
      </c>
      <c r="L554" s="13">
        <v>0.436</v>
      </c>
      <c r="M554" s="8" t="s">
        <v>5797</v>
      </c>
      <c r="N554" s="8" t="s">
        <v>5429</v>
      </c>
      <c r="O554" s="13">
        <v>15.9581</v>
      </c>
      <c r="P554" s="13">
        <v>4.2677</v>
      </c>
      <c r="Q554" s="13">
        <v>25.7621</v>
      </c>
      <c r="R554" s="13">
        <v>0.0089</v>
      </c>
      <c r="S554" s="13">
        <v>2.6411</v>
      </c>
      <c r="T554" s="14">
        <f>IFERROR(__xludf.DUMMYFUNCTION("IFERROR(GOOGLEFINANCE(B554,""price""),"""")"),25.4)</f>
        <v>25.4</v>
      </c>
    </row>
    <row r="555">
      <c r="A555" s="15">
        <v>46063.875473239605</v>
      </c>
      <c r="B555" s="16" t="s">
        <v>5580</v>
      </c>
      <c r="C555" s="16" t="s">
        <v>5581</v>
      </c>
      <c r="D555" s="17">
        <v>46068.0</v>
      </c>
      <c r="E555" s="18">
        <v>2.59</v>
      </c>
      <c r="F555" s="27">
        <v>1.4453</v>
      </c>
      <c r="G555" s="20">
        <v>2.2734403E7</v>
      </c>
      <c r="H555" s="16" t="s">
        <v>88</v>
      </c>
      <c r="I555" s="19">
        <v>-4.0741</v>
      </c>
      <c r="J555" s="20">
        <v>1.032963519E9</v>
      </c>
      <c r="K555" s="24"/>
      <c r="L555" s="24"/>
      <c r="M555" s="16" t="s">
        <v>5582</v>
      </c>
      <c r="N555" s="16" t="s">
        <v>5429</v>
      </c>
      <c r="O555" s="24"/>
      <c r="P555" s="24"/>
      <c r="Q555" s="24"/>
      <c r="R555" s="24"/>
      <c r="S555" s="21">
        <v>0.2412</v>
      </c>
      <c r="T555" s="22">
        <f>IFERROR(__xludf.DUMMYFUNCTION("IFERROR(GOOGLEFINANCE(B555,""price""),"""")"),2.38)</f>
        <v>2.38</v>
      </c>
    </row>
    <row r="556">
      <c r="A556" s="7">
        <v>46063.875473239605</v>
      </c>
      <c r="B556" s="8" t="s">
        <v>5846</v>
      </c>
      <c r="C556" s="8" t="s">
        <v>5847</v>
      </c>
      <c r="D556" s="9">
        <v>46068.0</v>
      </c>
      <c r="E556" s="10">
        <v>85.6</v>
      </c>
      <c r="F556" s="26">
        <v>1.4336</v>
      </c>
      <c r="G556" s="12">
        <v>4.1817662E7</v>
      </c>
      <c r="H556" s="8" t="s">
        <v>93</v>
      </c>
      <c r="I556" s="11">
        <v>-1.1091</v>
      </c>
      <c r="J556" s="12">
        <v>7.6970564422E10</v>
      </c>
      <c r="K556" s="13">
        <v>35.5349</v>
      </c>
      <c r="L556" s="13">
        <v>2.4089</v>
      </c>
      <c r="M556" s="8" t="s">
        <v>5848</v>
      </c>
      <c r="N556" s="8" t="s">
        <v>5708</v>
      </c>
      <c r="O556" s="13">
        <v>27.8162</v>
      </c>
      <c r="P556" s="13">
        <v>47.8467</v>
      </c>
      <c r="Q556" s="13">
        <v>73.4811</v>
      </c>
      <c r="R556" s="13">
        <v>2.2661</v>
      </c>
      <c r="S556" s="13">
        <v>1.2203</v>
      </c>
      <c r="T556" s="14">
        <f>IFERROR(__xludf.DUMMYFUNCTION("IFERROR(GOOGLEFINANCE(B556,""price""),"""")"),69.19)</f>
        <v>69.19</v>
      </c>
    </row>
    <row r="557">
      <c r="A557" s="15">
        <v>46063.875473239605</v>
      </c>
      <c r="B557" s="16" t="s">
        <v>5558</v>
      </c>
      <c r="C557" s="16" t="s">
        <v>5559</v>
      </c>
      <c r="D557" s="17">
        <v>46068.0</v>
      </c>
      <c r="E557" s="18">
        <v>12.22</v>
      </c>
      <c r="F557" s="27">
        <v>1.4004</v>
      </c>
      <c r="G557" s="20">
        <v>1.4179837E7</v>
      </c>
      <c r="H557" s="16" t="s">
        <v>102</v>
      </c>
      <c r="I557" s="19">
        <v>-7.7039</v>
      </c>
      <c r="J557" s="20">
        <v>3.96047963E9</v>
      </c>
      <c r="K557" s="24"/>
      <c r="L557" s="21">
        <v>-8.3559</v>
      </c>
      <c r="M557" s="16" t="s">
        <v>5560</v>
      </c>
      <c r="N557" s="16" t="s">
        <v>5536</v>
      </c>
      <c r="O557" s="24"/>
      <c r="P557" s="21">
        <v>-351.0117</v>
      </c>
      <c r="Q557" s="21">
        <v>324.0994</v>
      </c>
      <c r="R557" s="24"/>
      <c r="S557" s="21">
        <v>1.8261</v>
      </c>
      <c r="T557" s="22">
        <f>IFERROR(__xludf.DUMMYFUNCTION("IFERROR(GOOGLEFINANCE(B557,""price""),"""")"),5.62)</f>
        <v>5.62</v>
      </c>
    </row>
    <row r="558">
      <c r="A558" s="7">
        <v>46063.875473239605</v>
      </c>
      <c r="B558" s="8" t="s">
        <v>5567</v>
      </c>
      <c r="C558" s="8" t="s">
        <v>5568</v>
      </c>
      <c r="D558" s="9">
        <v>46068.0</v>
      </c>
      <c r="E558" s="10">
        <v>148.66</v>
      </c>
      <c r="F558" s="26">
        <v>1.3668</v>
      </c>
      <c r="G558" s="12">
        <v>9852340.0</v>
      </c>
      <c r="H558" s="8" t="s">
        <v>308</v>
      </c>
      <c r="I558" s="11">
        <v>-4.1954</v>
      </c>
      <c r="J558" s="12">
        <v>3.5159688787E10</v>
      </c>
      <c r="K558" s="23"/>
      <c r="L558" s="13">
        <v>-0.3809</v>
      </c>
      <c r="M558" s="8" t="s">
        <v>5569</v>
      </c>
      <c r="N558" s="8" t="s">
        <v>5433</v>
      </c>
      <c r="O558" s="13">
        <v>-13.2874</v>
      </c>
      <c r="P558" s="13">
        <v>5.4633</v>
      </c>
      <c r="Q558" s="13">
        <v>37.3263</v>
      </c>
      <c r="R558" s="13">
        <v>3.8975</v>
      </c>
      <c r="S558" s="13">
        <v>5.9285</v>
      </c>
      <c r="T558" s="14">
        <f>IFERROR(__xludf.DUMMYFUNCTION("IFERROR(GOOGLEFINANCE(B558,""price""),"""")"),166.7)</f>
        <v>166.7</v>
      </c>
    </row>
    <row r="559">
      <c r="A559" s="15">
        <v>46063.875473239605</v>
      </c>
      <c r="B559" s="16" t="s">
        <v>5533</v>
      </c>
      <c r="C559" s="16" t="s">
        <v>5534</v>
      </c>
      <c r="D559" s="17">
        <v>46068.0</v>
      </c>
      <c r="E559" s="18">
        <v>7.51</v>
      </c>
      <c r="F559" s="27">
        <v>1.3379</v>
      </c>
      <c r="G559" s="20">
        <v>1.7611146E7</v>
      </c>
      <c r="H559" s="16" t="s">
        <v>102</v>
      </c>
      <c r="I559" s="19">
        <v>-1.7016</v>
      </c>
      <c r="J559" s="20">
        <v>2.032001805E9</v>
      </c>
      <c r="K559" s="24"/>
      <c r="L559" s="21">
        <v>-3.7839</v>
      </c>
      <c r="M559" s="16" t="s">
        <v>5535</v>
      </c>
      <c r="N559" s="16" t="s">
        <v>5536</v>
      </c>
      <c r="O559" s="21">
        <v>-55.984</v>
      </c>
      <c r="P559" s="21">
        <v>-31.1477</v>
      </c>
      <c r="Q559" s="24"/>
      <c r="R559" s="21">
        <v>4.5088</v>
      </c>
      <c r="S559" s="21">
        <v>1.1293</v>
      </c>
      <c r="T559" s="22">
        <f>IFERROR(__xludf.DUMMYFUNCTION("IFERROR(GOOGLEFINANCE(B559,""price""),"""")"),4.69)</f>
        <v>4.69</v>
      </c>
    </row>
    <row r="560">
      <c r="A560" s="7">
        <v>46063.875473239605</v>
      </c>
      <c r="B560" s="8" t="s">
        <v>5484</v>
      </c>
      <c r="C560" s="8" t="s">
        <v>5485</v>
      </c>
      <c r="D560" s="9">
        <v>46068.0</v>
      </c>
      <c r="E560" s="10">
        <v>42.93</v>
      </c>
      <c r="F560" s="26">
        <v>1.3172</v>
      </c>
      <c r="G560" s="12">
        <v>3.5751725E7</v>
      </c>
      <c r="H560" s="8" t="s">
        <v>88</v>
      </c>
      <c r="I560" s="11">
        <v>-6.9772</v>
      </c>
      <c r="J560" s="12">
        <v>1.4242422403E10</v>
      </c>
      <c r="K560" s="13">
        <v>27.993</v>
      </c>
      <c r="L560" s="13">
        <v>1.5336</v>
      </c>
      <c r="M560" s="8" t="s">
        <v>5486</v>
      </c>
      <c r="N560" s="8" t="s">
        <v>5471</v>
      </c>
      <c r="O560" s="13">
        <v>39.152</v>
      </c>
      <c r="P560" s="13">
        <v>-10.6682</v>
      </c>
      <c r="Q560" s="13">
        <v>190.5839</v>
      </c>
      <c r="R560" s="13">
        <v>1.5302</v>
      </c>
      <c r="S560" s="13">
        <v>4.9601</v>
      </c>
      <c r="T560" s="14">
        <f>IFERROR(__xludf.DUMMYFUNCTION("IFERROR(GOOGLEFINANCE(B560,""price""),"""")"),39.32)</f>
        <v>39.32</v>
      </c>
    </row>
    <row r="561">
      <c r="A561" s="15">
        <v>46063.875473239605</v>
      </c>
      <c r="B561" s="16" t="s">
        <v>5517</v>
      </c>
      <c r="C561" s="16" t="s">
        <v>5518</v>
      </c>
      <c r="D561" s="17">
        <v>46068.0</v>
      </c>
      <c r="E561" s="18">
        <v>9.38</v>
      </c>
      <c r="F561" s="27">
        <v>1.3154</v>
      </c>
      <c r="G561" s="20">
        <v>1.7239428E7</v>
      </c>
      <c r="H561" s="16" t="s">
        <v>308</v>
      </c>
      <c r="I561" s="19">
        <v>-7.0367</v>
      </c>
      <c r="J561" s="20">
        <v>1.549114409E9</v>
      </c>
      <c r="K561" s="24"/>
      <c r="L561" s="21">
        <v>-3.1791</v>
      </c>
      <c r="M561" s="16" t="s">
        <v>5519</v>
      </c>
      <c r="N561" s="16" t="s">
        <v>5520</v>
      </c>
      <c r="O561" s="21">
        <v>-50.0822</v>
      </c>
      <c r="P561" s="21">
        <v>-46.1858</v>
      </c>
      <c r="Q561" s="21">
        <v>-0.6305</v>
      </c>
      <c r="R561" s="21">
        <v>0.3596</v>
      </c>
      <c r="S561" s="21">
        <v>1.4082</v>
      </c>
      <c r="T561" s="22">
        <f>IFERROR(__xludf.DUMMYFUNCTION("IFERROR(GOOGLEFINANCE(B561,""price""),"""")"),9.29)</f>
        <v>9.29</v>
      </c>
    </row>
    <row r="562">
      <c r="A562" s="7">
        <v>46063.875473239605</v>
      </c>
      <c r="B562" s="8" t="s">
        <v>384</v>
      </c>
      <c r="C562" s="8" t="s">
        <v>385</v>
      </c>
      <c r="D562" s="9">
        <v>46068.0</v>
      </c>
      <c r="E562" s="10">
        <v>2.05</v>
      </c>
      <c r="F562" s="26">
        <v>1.3047</v>
      </c>
      <c r="G562" s="12">
        <v>2.1392723E7</v>
      </c>
      <c r="H562" s="8" t="s">
        <v>117</v>
      </c>
      <c r="I562" s="11">
        <v>11.413</v>
      </c>
      <c r="J562" s="12">
        <v>1.37674006E8</v>
      </c>
      <c r="K562" s="23"/>
      <c r="L562" s="13">
        <v>-0.4533</v>
      </c>
      <c r="M562" s="8" t="s">
        <v>386</v>
      </c>
      <c r="N562" s="8" t="s">
        <v>5502</v>
      </c>
      <c r="O562" s="13">
        <v>-31.8656</v>
      </c>
      <c r="P562" s="23"/>
      <c r="Q562" s="23"/>
      <c r="R562" s="13">
        <v>0.0115</v>
      </c>
      <c r="S562" s="13">
        <v>27.5341</v>
      </c>
      <c r="T562" s="14">
        <f>IFERROR(__xludf.DUMMYFUNCTION("IFERROR(GOOGLEFINANCE(B562,""price""),"""")"),2.59)</f>
        <v>2.59</v>
      </c>
    </row>
    <row r="563">
      <c r="A563" s="15">
        <v>46063.875473239605</v>
      </c>
      <c r="B563" s="16" t="s">
        <v>5594</v>
      </c>
      <c r="C563" s="16" t="s">
        <v>5595</v>
      </c>
      <c r="D563" s="17">
        <v>46068.0</v>
      </c>
      <c r="E563" s="18">
        <v>16.63</v>
      </c>
      <c r="F563" s="27">
        <v>1.3008</v>
      </c>
      <c r="G563" s="20">
        <v>5.9260986E7</v>
      </c>
      <c r="H563" s="16" t="s">
        <v>88</v>
      </c>
      <c r="I563" s="19">
        <v>-0.1201</v>
      </c>
      <c r="J563" s="20">
        <v>6.962679584E9</v>
      </c>
      <c r="K563" s="24"/>
      <c r="L563" s="21">
        <v>-1.4167</v>
      </c>
      <c r="M563" s="16" t="s">
        <v>5596</v>
      </c>
      <c r="N563" s="16" t="s">
        <v>5471</v>
      </c>
      <c r="O563" s="21">
        <v>-181.9547</v>
      </c>
      <c r="P563" s="21">
        <v>-69.885</v>
      </c>
      <c r="Q563" s="21">
        <v>30.5825</v>
      </c>
      <c r="R563" s="21">
        <v>4.3877</v>
      </c>
      <c r="S563" s="21">
        <v>1.0329</v>
      </c>
      <c r="T563" s="22">
        <f>IFERROR(__xludf.DUMMYFUNCTION("IFERROR(GOOGLEFINANCE(B563,""price""),"""")"),18.88)</f>
        <v>18.88</v>
      </c>
    </row>
    <row r="564">
      <c r="A564" s="7">
        <v>46063.875473239605</v>
      </c>
      <c r="B564" s="8" t="s">
        <v>5544</v>
      </c>
      <c r="C564" s="8" t="s">
        <v>5545</v>
      </c>
      <c r="D564" s="9">
        <v>46068.0</v>
      </c>
      <c r="E564" s="10">
        <v>17.1</v>
      </c>
      <c r="F564" s="26">
        <v>1.2982</v>
      </c>
      <c r="G564" s="12">
        <v>4.050354E7</v>
      </c>
      <c r="H564" s="8" t="s">
        <v>88</v>
      </c>
      <c r="I564" s="11">
        <v>2.0286</v>
      </c>
      <c r="J564" s="12">
        <v>6.756074515E9</v>
      </c>
      <c r="K564" s="23"/>
      <c r="L564" s="13">
        <v>-0.1905</v>
      </c>
      <c r="M564" s="8" t="s">
        <v>5546</v>
      </c>
      <c r="N564" s="8" t="s">
        <v>5471</v>
      </c>
      <c r="O564" s="13">
        <v>-9.6935</v>
      </c>
      <c r="P564" s="13">
        <v>-72.0529</v>
      </c>
      <c r="Q564" s="13">
        <v>35.4099</v>
      </c>
      <c r="R564" s="13">
        <v>1.333</v>
      </c>
      <c r="S564" s="13">
        <v>2.4892</v>
      </c>
      <c r="T564" s="14">
        <f>IFERROR(__xludf.DUMMYFUNCTION("IFERROR(GOOGLEFINANCE(B564,""price""),"""")"),16.53)</f>
        <v>16.53</v>
      </c>
    </row>
    <row r="565">
      <c r="A565" s="15">
        <v>46063.875473239605</v>
      </c>
      <c r="B565" s="16" t="s">
        <v>5843</v>
      </c>
      <c r="C565" s="16" t="s">
        <v>5844</v>
      </c>
      <c r="D565" s="17">
        <v>46068.0</v>
      </c>
      <c r="E565" s="18">
        <v>11.16</v>
      </c>
      <c r="F565" s="27">
        <v>1.2979</v>
      </c>
      <c r="G565" s="20">
        <v>2.862353E7</v>
      </c>
      <c r="H565" s="16" t="s">
        <v>117</v>
      </c>
      <c r="I565" s="19">
        <v>-0.6233</v>
      </c>
      <c r="J565" s="20">
        <v>7.609053754E9</v>
      </c>
      <c r="K565" s="24"/>
      <c r="L565" s="21">
        <v>-0.1218</v>
      </c>
      <c r="M565" s="16" t="s">
        <v>5845</v>
      </c>
      <c r="N565" s="16" t="s">
        <v>5418</v>
      </c>
      <c r="O565" s="21">
        <v>-1.478</v>
      </c>
      <c r="P565" s="21">
        <v>9.6377</v>
      </c>
      <c r="Q565" s="21">
        <v>-3.5866</v>
      </c>
      <c r="R565" s="21">
        <v>0.6926</v>
      </c>
      <c r="S565" s="21">
        <v>1.4884</v>
      </c>
      <c r="T565" s="22">
        <f>IFERROR(__xludf.DUMMYFUNCTION("IFERROR(GOOGLEFINANCE(B565,""price""),"""")"),7.9)</f>
        <v>7.9</v>
      </c>
    </row>
    <row r="566">
      <c r="A566" s="7">
        <v>46063.875473239605</v>
      </c>
      <c r="B566" s="8" t="s">
        <v>5849</v>
      </c>
      <c r="C566" s="8" t="s">
        <v>5850</v>
      </c>
      <c r="D566" s="9">
        <v>46068.0</v>
      </c>
      <c r="E566" s="10">
        <v>41.995</v>
      </c>
      <c r="F566" s="26">
        <v>1.2973</v>
      </c>
      <c r="G566" s="12">
        <v>9987719.0</v>
      </c>
      <c r="H566" s="8" t="s">
        <v>117</v>
      </c>
      <c r="I566" s="11">
        <v>0.1073</v>
      </c>
      <c r="J566" s="12">
        <v>1.6408858337E10</v>
      </c>
      <c r="K566" s="23"/>
      <c r="L566" s="13">
        <v>-8.0637</v>
      </c>
      <c r="M566" s="8" t="s">
        <v>5851</v>
      </c>
      <c r="N566" s="8" t="s">
        <v>5502</v>
      </c>
      <c r="O566" s="13">
        <v>-29.3174</v>
      </c>
      <c r="P566" s="13">
        <v>-155.1523</v>
      </c>
      <c r="Q566" s="13">
        <v>-56.0024</v>
      </c>
      <c r="R566" s="13">
        <v>0.0787</v>
      </c>
      <c r="S566" s="13">
        <v>3.925</v>
      </c>
      <c r="T566" s="14">
        <f>IFERROR(__xludf.DUMMYFUNCTION("IFERROR(GOOGLEFINANCE(B566,""price""),"""")"),50.96)</f>
        <v>50.96</v>
      </c>
    </row>
    <row r="567">
      <c r="A567" s="15">
        <v>46063.875473239605</v>
      </c>
      <c r="B567" s="16" t="s">
        <v>2704</v>
      </c>
      <c r="C567" s="16" t="s">
        <v>2705</v>
      </c>
      <c r="D567" s="17">
        <v>46068.0</v>
      </c>
      <c r="E567" s="18">
        <v>37.47</v>
      </c>
      <c r="F567" s="27">
        <v>1.2909</v>
      </c>
      <c r="G567" s="20">
        <v>2.4413521E7</v>
      </c>
      <c r="H567" s="16" t="s">
        <v>88</v>
      </c>
      <c r="I567" s="19">
        <v>-2.0648</v>
      </c>
      <c r="J567" s="20">
        <v>1.0476080045E10</v>
      </c>
      <c r="K567" s="24"/>
      <c r="L567" s="21">
        <v>-0.5438</v>
      </c>
      <c r="M567" s="16" t="s">
        <v>2707</v>
      </c>
      <c r="N567" s="16" t="s">
        <v>5471</v>
      </c>
      <c r="O567" s="21">
        <v>-11.4029</v>
      </c>
      <c r="P567" s="21">
        <v>-26.4624</v>
      </c>
      <c r="Q567" s="21">
        <v>33.135</v>
      </c>
      <c r="R567" s="21">
        <v>1.6778</v>
      </c>
      <c r="S567" s="21">
        <v>4.8227</v>
      </c>
      <c r="T567" s="22">
        <f>IFERROR(__xludf.DUMMYFUNCTION("IFERROR(GOOGLEFINANCE(B567,""price""),"""")"),26.24)</f>
        <v>26.24</v>
      </c>
    </row>
    <row r="568">
      <c r="A568" s="7">
        <v>46063.875473239605</v>
      </c>
      <c r="B568" s="8" t="s">
        <v>5554</v>
      </c>
      <c r="C568" s="8" t="s">
        <v>5555</v>
      </c>
      <c r="D568" s="9">
        <v>46068.0</v>
      </c>
      <c r="E568" s="10">
        <v>96.27</v>
      </c>
      <c r="F568" s="26">
        <v>1.2786</v>
      </c>
      <c r="G568" s="12">
        <v>1.0352912E7</v>
      </c>
      <c r="H568" s="8" t="s">
        <v>873</v>
      </c>
      <c r="I568" s="11">
        <v>-5.7286</v>
      </c>
      <c r="J568" s="12">
        <v>3.5369723649E10</v>
      </c>
      <c r="K568" s="23"/>
      <c r="L568" s="13">
        <v>-1.2452</v>
      </c>
      <c r="M568" s="8" t="s">
        <v>5556</v>
      </c>
      <c r="N568" s="8" t="s">
        <v>5557</v>
      </c>
      <c r="O568" s="13">
        <v>-39.2195</v>
      </c>
      <c r="P568" s="13">
        <v>-1479.4668</v>
      </c>
      <c r="Q568" s="13">
        <v>641.24</v>
      </c>
      <c r="R568" s="13">
        <v>0.5824</v>
      </c>
      <c r="S568" s="13">
        <v>9.5602</v>
      </c>
      <c r="T568" s="14">
        <f>IFERROR(__xludf.DUMMYFUNCTION("IFERROR(GOOGLEFINANCE(B568,""price""),"""")"),94.9)</f>
        <v>94.9</v>
      </c>
    </row>
    <row r="569">
      <c r="A569" s="15">
        <v>46063.875473239605</v>
      </c>
      <c r="B569" s="16" t="s">
        <v>5175</v>
      </c>
      <c r="C569" s="16" t="s">
        <v>5176</v>
      </c>
      <c r="D569" s="17">
        <v>46068.0</v>
      </c>
      <c r="E569" s="18">
        <v>4.84</v>
      </c>
      <c r="F569" s="27">
        <v>1.2656</v>
      </c>
      <c r="G569" s="20">
        <v>1.6990658E7</v>
      </c>
      <c r="H569" s="16" t="s">
        <v>93</v>
      </c>
      <c r="I569" s="19">
        <v>4.5356</v>
      </c>
      <c r="J569" s="20">
        <v>7.80933093E9</v>
      </c>
      <c r="K569" s="24"/>
      <c r="L569" s="21">
        <v>-0.009</v>
      </c>
      <c r="M569" s="16" t="s">
        <v>5177</v>
      </c>
      <c r="N569" s="16" t="s">
        <v>5590</v>
      </c>
      <c r="O569" s="21">
        <v>11.3702</v>
      </c>
      <c r="P569" s="21">
        <v>30.822</v>
      </c>
      <c r="Q569" s="21">
        <v>-8.6628</v>
      </c>
      <c r="R569" s="21">
        <v>81.7577</v>
      </c>
      <c r="S569" s="21">
        <v>0.1285</v>
      </c>
      <c r="T569" s="22">
        <f>IFERROR(__xludf.DUMMYFUNCTION("IFERROR(GOOGLEFINANCE(B569,""price""),"""")"),3.69)</f>
        <v>3.69</v>
      </c>
    </row>
    <row r="570">
      <c r="A570" s="7">
        <v>46063.875473239605</v>
      </c>
      <c r="B570" s="8" t="s">
        <v>5434</v>
      </c>
      <c r="C570" s="8" t="s">
        <v>5435</v>
      </c>
      <c r="D570" s="9">
        <v>46068.0</v>
      </c>
      <c r="E570" s="10">
        <v>9.68</v>
      </c>
      <c r="F570" s="26">
        <v>1.2578</v>
      </c>
      <c r="G570" s="12">
        <v>5.6337126E7</v>
      </c>
      <c r="H570" s="8" t="s">
        <v>308</v>
      </c>
      <c r="I570" s="11">
        <v>-6.383</v>
      </c>
      <c r="J570" s="12">
        <v>4.090540654E9</v>
      </c>
      <c r="K570" s="23"/>
      <c r="L570" s="13">
        <v>-0.4034</v>
      </c>
      <c r="M570" s="8" t="s">
        <v>5436</v>
      </c>
      <c r="N570" s="8" t="s">
        <v>5437</v>
      </c>
      <c r="O570" s="13">
        <v>-17.0422</v>
      </c>
      <c r="P570" s="13">
        <v>-176.0921</v>
      </c>
      <c r="Q570" s="13">
        <v>208.4002</v>
      </c>
      <c r="R570" s="13">
        <v>0.037</v>
      </c>
      <c r="S570" s="13">
        <v>15.2957</v>
      </c>
      <c r="T570" s="14">
        <f>IFERROR(__xludf.DUMMYFUNCTION("IFERROR(GOOGLEFINANCE(B570,""price""),"""")"),9.13)</f>
        <v>9.13</v>
      </c>
    </row>
    <row r="571">
      <c r="A571" s="15">
        <v>46063.875473239605</v>
      </c>
      <c r="B571" s="16" t="s">
        <v>5422</v>
      </c>
      <c r="C571" s="16" t="s">
        <v>5423</v>
      </c>
      <c r="D571" s="17">
        <v>46068.0</v>
      </c>
      <c r="E571" s="18">
        <v>21.88</v>
      </c>
      <c r="F571" s="27">
        <v>1.2515</v>
      </c>
      <c r="G571" s="20">
        <v>1.0085483E7</v>
      </c>
      <c r="H571" s="16" t="s">
        <v>102</v>
      </c>
      <c r="I571" s="19">
        <v>-6.6553</v>
      </c>
      <c r="J571" s="20">
        <v>4.768329715E9</v>
      </c>
      <c r="K571" s="24"/>
      <c r="L571" s="21">
        <v>-2.5128</v>
      </c>
      <c r="M571" s="16" t="s">
        <v>5424</v>
      </c>
      <c r="N571" s="16" t="s">
        <v>5425</v>
      </c>
      <c r="O571" s="21">
        <v>-255.9098</v>
      </c>
      <c r="P571" s="24"/>
      <c r="Q571" s="24"/>
      <c r="R571" s="24"/>
      <c r="S571" s="21">
        <v>16.5111</v>
      </c>
      <c r="T571" s="22">
        <f>IFERROR(__xludf.DUMMYFUNCTION("IFERROR(GOOGLEFINANCE(B571,""price""),"""")"),16.15)</f>
        <v>16.15</v>
      </c>
    </row>
    <row r="572">
      <c r="A572" s="7">
        <v>46064.62785327463</v>
      </c>
      <c r="B572" s="8" t="s">
        <v>5623</v>
      </c>
      <c r="C572" s="8" t="s">
        <v>5624</v>
      </c>
      <c r="D572" s="9">
        <v>46068.0</v>
      </c>
      <c r="E572" s="10">
        <v>4.34</v>
      </c>
      <c r="F572" s="26">
        <v>1.9219</v>
      </c>
      <c r="G572" s="12">
        <v>1.4639775E7</v>
      </c>
      <c r="H572" s="8" t="s">
        <v>88</v>
      </c>
      <c r="I572" s="11">
        <v>-2.6906</v>
      </c>
      <c r="J572" s="12">
        <v>8.399510022E9</v>
      </c>
      <c r="K572" s="23"/>
      <c r="L572" s="13">
        <v>-0.4502</v>
      </c>
      <c r="M572" s="8" t="s">
        <v>5625</v>
      </c>
      <c r="N572" s="8" t="s">
        <v>5429</v>
      </c>
      <c r="O572" s="13">
        <v>-37.2708</v>
      </c>
      <c r="P572" s="13">
        <v>-43100.0</v>
      </c>
      <c r="Q572" s="23"/>
      <c r="R572" s="13">
        <v>0.0467</v>
      </c>
      <c r="S572" s="13">
        <v>15.2857</v>
      </c>
      <c r="T572" s="14">
        <f>IFERROR(__xludf.DUMMYFUNCTION("IFERROR(GOOGLEFINANCE(B572,""price""),"""")"),4.15)</f>
        <v>4.15</v>
      </c>
    </row>
    <row r="573">
      <c r="A573" s="15">
        <v>46064.62785327463</v>
      </c>
      <c r="B573" s="16" t="s">
        <v>5802</v>
      </c>
      <c r="C573" s="16" t="s">
        <v>5803</v>
      </c>
      <c r="D573" s="17">
        <v>46068.0</v>
      </c>
      <c r="E573" s="18">
        <v>19.175</v>
      </c>
      <c r="F573" s="27">
        <v>1.9036</v>
      </c>
      <c r="G573" s="20">
        <v>1.1358917E7</v>
      </c>
      <c r="H573" s="16" t="s">
        <v>88</v>
      </c>
      <c r="I573" s="19">
        <v>-5.6813</v>
      </c>
      <c r="J573" s="20">
        <v>1.2953821334E10</v>
      </c>
      <c r="K573" s="21">
        <v>6.6439</v>
      </c>
      <c r="L573" s="21">
        <v>2.8861</v>
      </c>
      <c r="M573" s="16" t="s">
        <v>5804</v>
      </c>
      <c r="N573" s="16" t="s">
        <v>5495</v>
      </c>
      <c r="O573" s="21">
        <v>51.4911</v>
      </c>
      <c r="P573" s="21">
        <v>6.9098</v>
      </c>
      <c r="Q573" s="21">
        <v>16.7925</v>
      </c>
      <c r="R573" s="21">
        <v>0.0425</v>
      </c>
      <c r="S573" s="21">
        <v>8.363</v>
      </c>
      <c r="T573" s="22">
        <f>IFERROR(__xludf.DUMMYFUNCTION("IFERROR(GOOGLEFINANCE(B573,""price""),"""")"),17.62)</f>
        <v>17.62</v>
      </c>
    </row>
    <row r="574">
      <c r="A574" s="7">
        <v>46064.62785327463</v>
      </c>
      <c r="B574" s="8" t="s">
        <v>5175</v>
      </c>
      <c r="C574" s="8" t="s">
        <v>5176</v>
      </c>
      <c r="D574" s="9">
        <v>46068.0</v>
      </c>
      <c r="E574" s="10">
        <v>4.635</v>
      </c>
      <c r="F574" s="26">
        <v>1.6719</v>
      </c>
      <c r="G574" s="12">
        <v>9889486.0</v>
      </c>
      <c r="H574" s="8" t="s">
        <v>93</v>
      </c>
      <c r="I574" s="11">
        <v>-4.2355</v>
      </c>
      <c r="J574" s="12">
        <v>7.478563866E9</v>
      </c>
      <c r="K574" s="23"/>
      <c r="L574" s="13">
        <v>-0.009</v>
      </c>
      <c r="M574" s="8" t="s">
        <v>5177</v>
      </c>
      <c r="N574" s="8" t="s">
        <v>5590</v>
      </c>
      <c r="O574" s="13">
        <v>11.3702</v>
      </c>
      <c r="P574" s="13">
        <v>30.822</v>
      </c>
      <c r="Q574" s="13">
        <v>-8.6628</v>
      </c>
      <c r="R574" s="13">
        <v>81.7577</v>
      </c>
      <c r="S574" s="13">
        <v>0.1285</v>
      </c>
      <c r="T574" s="14">
        <f>IFERROR(__xludf.DUMMYFUNCTION("IFERROR(GOOGLEFINANCE(B574,""price""),"""")"),3.69)</f>
        <v>3.69</v>
      </c>
    </row>
    <row r="575">
      <c r="A575" s="15">
        <v>46064.62785327463</v>
      </c>
      <c r="B575" s="16" t="s">
        <v>5818</v>
      </c>
      <c r="C575" s="16" t="s">
        <v>5819</v>
      </c>
      <c r="D575" s="17">
        <v>46068.0</v>
      </c>
      <c r="E575" s="18">
        <v>8.775</v>
      </c>
      <c r="F575" s="27">
        <v>1.6563</v>
      </c>
      <c r="G575" s="20">
        <v>1.1609222E7</v>
      </c>
      <c r="H575" s="16" t="s">
        <v>102</v>
      </c>
      <c r="I575" s="19">
        <v>-1.8456</v>
      </c>
      <c r="J575" s="20">
        <v>5.276496248E9</v>
      </c>
      <c r="K575" s="24"/>
      <c r="L575" s="21">
        <v>-0.8108</v>
      </c>
      <c r="M575" s="16" t="s">
        <v>5820</v>
      </c>
      <c r="N575" s="16" t="s">
        <v>5536</v>
      </c>
      <c r="O575" s="21">
        <v>-38.653</v>
      </c>
      <c r="P575" s="24"/>
      <c r="Q575" s="24"/>
      <c r="R575" s="21">
        <v>0.06</v>
      </c>
      <c r="S575" s="21">
        <v>21.1384</v>
      </c>
      <c r="T575" s="22">
        <f>IFERROR(__xludf.DUMMYFUNCTION("IFERROR(GOOGLEFINANCE(B575,""price""),"""")"),6.36)</f>
        <v>6.36</v>
      </c>
    </row>
    <row r="576">
      <c r="A576" s="7">
        <v>46064.62785327463</v>
      </c>
      <c r="B576" s="8" t="s">
        <v>5824</v>
      </c>
      <c r="C576" s="8" t="s">
        <v>5825</v>
      </c>
      <c r="D576" s="9">
        <v>46068.0</v>
      </c>
      <c r="E576" s="10">
        <v>14.63</v>
      </c>
      <c r="F576" s="26">
        <v>1.6543</v>
      </c>
      <c r="G576" s="12">
        <v>2.0582758E7</v>
      </c>
      <c r="H576" s="8" t="s">
        <v>112</v>
      </c>
      <c r="I576" s="11">
        <v>-2.2059</v>
      </c>
      <c r="J576" s="12">
        <v>1.7936388976E10</v>
      </c>
      <c r="K576" s="23"/>
      <c r="L576" s="13">
        <v>-3.1111</v>
      </c>
      <c r="M576" s="8" t="s">
        <v>5826</v>
      </c>
      <c r="N576" s="8" t="s">
        <v>5453</v>
      </c>
      <c r="O576" s="13">
        <v>-65.2804</v>
      </c>
      <c r="P576" s="13">
        <v>-58.4919</v>
      </c>
      <c r="Q576" s="13">
        <v>28.2136</v>
      </c>
      <c r="R576" s="13">
        <v>0.9805</v>
      </c>
      <c r="S576" s="13">
        <v>2.708</v>
      </c>
      <c r="T576" s="14">
        <f>IFERROR(__xludf.DUMMYFUNCTION("IFERROR(GOOGLEFINANCE(B576,""price""),"""")"),15.43)</f>
        <v>15.43</v>
      </c>
    </row>
    <row r="577">
      <c r="A577" s="15">
        <v>46064.62785327463</v>
      </c>
      <c r="B577" s="16" t="s">
        <v>5580</v>
      </c>
      <c r="C577" s="16" t="s">
        <v>5581</v>
      </c>
      <c r="D577" s="17">
        <v>46068.0</v>
      </c>
      <c r="E577" s="18">
        <v>2.405</v>
      </c>
      <c r="F577" s="27">
        <v>1.6328</v>
      </c>
      <c r="G577" s="20">
        <v>1.4057558E7</v>
      </c>
      <c r="H577" s="16" t="s">
        <v>88</v>
      </c>
      <c r="I577" s="19">
        <v>-7.1429</v>
      </c>
      <c r="J577" s="20">
        <v>9.59180361E8</v>
      </c>
      <c r="K577" s="24"/>
      <c r="L577" s="24"/>
      <c r="M577" s="16" t="s">
        <v>5582</v>
      </c>
      <c r="N577" s="16" t="s">
        <v>5429</v>
      </c>
      <c r="O577" s="24"/>
      <c r="P577" s="24"/>
      <c r="Q577" s="24"/>
      <c r="R577" s="24"/>
      <c r="S577" s="21">
        <v>0.2412</v>
      </c>
      <c r="T577" s="22">
        <f>IFERROR(__xludf.DUMMYFUNCTION("IFERROR(GOOGLEFINANCE(B577,""price""),"""")"),2.38)</f>
        <v>2.38</v>
      </c>
    </row>
    <row r="578">
      <c r="A578" s="7">
        <v>46064.62785327463</v>
      </c>
      <c r="B578" s="8" t="s">
        <v>5830</v>
      </c>
      <c r="C578" s="8" t="s">
        <v>5831</v>
      </c>
      <c r="D578" s="9">
        <v>46068.0</v>
      </c>
      <c r="E578" s="10">
        <v>88.89</v>
      </c>
      <c r="F578" s="26">
        <v>1.5642</v>
      </c>
      <c r="G578" s="12">
        <v>1.2412856E7</v>
      </c>
      <c r="H578" s="8" t="s">
        <v>88</v>
      </c>
      <c r="I578" s="11">
        <v>-3.1594</v>
      </c>
      <c r="J578" s="12">
        <v>2.2383144727E10</v>
      </c>
      <c r="K578" s="23"/>
      <c r="L578" s="23"/>
      <c r="M578" s="8" t="s">
        <v>5832</v>
      </c>
      <c r="N578" s="8" t="s">
        <v>5429</v>
      </c>
      <c r="O578" s="13">
        <v>3.4537</v>
      </c>
      <c r="P578" s="13">
        <v>-151.597</v>
      </c>
      <c r="Q578" s="13">
        <v>-87.5369</v>
      </c>
      <c r="R578" s="13">
        <v>0.9379</v>
      </c>
      <c r="S578" s="13">
        <v>6.5656</v>
      </c>
      <c r="T578" s="14">
        <f>IFERROR(__xludf.DUMMYFUNCTION("IFERROR(GOOGLEFINANCE(B578,""price""),"""")"),144.97)</f>
        <v>144.97</v>
      </c>
    </row>
    <row r="579">
      <c r="A579" s="15">
        <v>46064.62785327463</v>
      </c>
      <c r="B579" s="16" t="s">
        <v>5795</v>
      </c>
      <c r="C579" s="16" t="s">
        <v>5796</v>
      </c>
      <c r="D579" s="17">
        <v>46068.0</v>
      </c>
      <c r="E579" s="18">
        <v>27.8199</v>
      </c>
      <c r="F579" s="27">
        <v>1.5496</v>
      </c>
      <c r="G579" s="20">
        <v>1.3352872E7</v>
      </c>
      <c r="H579" s="16" t="s">
        <v>88</v>
      </c>
      <c r="I579" s="19">
        <v>-5.5993</v>
      </c>
      <c r="J579" s="20">
        <v>1.6358100819E10</v>
      </c>
      <c r="K579" s="21">
        <v>63.8071</v>
      </c>
      <c r="L579" s="21">
        <v>0.436</v>
      </c>
      <c r="M579" s="16" t="s">
        <v>5797</v>
      </c>
      <c r="N579" s="16" t="s">
        <v>5429</v>
      </c>
      <c r="O579" s="21">
        <v>15.9581</v>
      </c>
      <c r="P579" s="21">
        <v>4.2677</v>
      </c>
      <c r="Q579" s="21">
        <v>25.7621</v>
      </c>
      <c r="R579" s="21">
        <v>0.0089</v>
      </c>
      <c r="S579" s="21">
        <v>2.6411</v>
      </c>
      <c r="T579" s="22">
        <f>IFERROR(__xludf.DUMMYFUNCTION("IFERROR(GOOGLEFINANCE(B579,""price""),"""")"),25.4)</f>
        <v>25.4</v>
      </c>
    </row>
    <row r="580">
      <c r="A580" s="7">
        <v>46064.62785327463</v>
      </c>
      <c r="B580" s="8" t="s">
        <v>5833</v>
      </c>
      <c r="C580" s="8" t="s">
        <v>5834</v>
      </c>
      <c r="D580" s="9">
        <v>46068.0</v>
      </c>
      <c r="E580" s="10">
        <v>26.285</v>
      </c>
      <c r="F580" s="26">
        <v>1.4788</v>
      </c>
      <c r="G580" s="12">
        <v>9390985.0</v>
      </c>
      <c r="H580" s="8" t="s">
        <v>149</v>
      </c>
      <c r="I580" s="11">
        <v>-3.0789</v>
      </c>
      <c r="J580" s="12">
        <v>1.3083950343E10</v>
      </c>
      <c r="K580" s="23"/>
      <c r="L580" s="13">
        <v>-0.5656</v>
      </c>
      <c r="M580" s="8" t="s">
        <v>5835</v>
      </c>
      <c r="N580" s="8" t="s">
        <v>5457</v>
      </c>
      <c r="O580" s="13">
        <v>-29.5915</v>
      </c>
      <c r="P580" s="13">
        <v>-4.8374</v>
      </c>
      <c r="Q580" s="13">
        <v>18.5054</v>
      </c>
      <c r="R580" s="13">
        <v>2.6036</v>
      </c>
      <c r="S580" s="13">
        <v>1.095</v>
      </c>
      <c r="T580" s="14">
        <f>IFERROR(__xludf.DUMMYFUNCTION("IFERROR(GOOGLEFINANCE(B580,""price""),"""")"),22.23)</f>
        <v>22.23</v>
      </c>
    </row>
    <row r="581">
      <c r="A581" s="15">
        <v>46064.62785327463</v>
      </c>
      <c r="B581" s="16" t="s">
        <v>5607</v>
      </c>
      <c r="C581" s="16" t="s">
        <v>5608</v>
      </c>
      <c r="D581" s="17">
        <v>46068.0</v>
      </c>
      <c r="E581" s="18">
        <v>17.025</v>
      </c>
      <c r="F581" s="27">
        <v>1.3893</v>
      </c>
      <c r="G581" s="20">
        <v>7872641.0</v>
      </c>
      <c r="H581" s="16" t="s">
        <v>308</v>
      </c>
      <c r="I581" s="19">
        <v>-8.5661</v>
      </c>
      <c r="J581" s="20">
        <v>3.068229336E9</v>
      </c>
      <c r="K581" s="24"/>
      <c r="L581" s="21">
        <v>-1.8673</v>
      </c>
      <c r="M581" s="16" t="s">
        <v>5609</v>
      </c>
      <c r="N581" s="16" t="s">
        <v>5520</v>
      </c>
      <c r="O581" s="24"/>
      <c r="P581" s="21">
        <v>-30.7058</v>
      </c>
      <c r="Q581" s="21">
        <v>8.0687</v>
      </c>
      <c r="R581" s="24"/>
      <c r="S581" s="21">
        <v>6.2531</v>
      </c>
      <c r="T581" s="22">
        <f>IFERROR(__xludf.DUMMYFUNCTION("IFERROR(GOOGLEFINANCE(B581,""price""),"""")"),23.57)</f>
        <v>23.57</v>
      </c>
    </row>
    <row r="582">
      <c r="A582" s="7">
        <v>46064.62785327463</v>
      </c>
      <c r="B582" s="8" t="s">
        <v>5567</v>
      </c>
      <c r="C582" s="8" t="s">
        <v>5568</v>
      </c>
      <c r="D582" s="9">
        <v>46068.0</v>
      </c>
      <c r="E582" s="10">
        <v>153.58</v>
      </c>
      <c r="F582" s="26">
        <v>1.3261</v>
      </c>
      <c r="G582" s="12">
        <v>1.0964394E7</v>
      </c>
      <c r="H582" s="8" t="s">
        <v>308</v>
      </c>
      <c r="I582" s="11">
        <v>3.3096</v>
      </c>
      <c r="J582" s="12">
        <v>4.3086594402E10</v>
      </c>
      <c r="K582" s="23"/>
      <c r="L582" s="13">
        <v>-0.3809</v>
      </c>
      <c r="M582" s="8" t="s">
        <v>5569</v>
      </c>
      <c r="N582" s="8" t="s">
        <v>5433</v>
      </c>
      <c r="O582" s="13">
        <v>-13.2874</v>
      </c>
      <c r="P582" s="13">
        <v>5.4633</v>
      </c>
      <c r="Q582" s="13">
        <v>37.3263</v>
      </c>
      <c r="R582" s="13">
        <v>3.8975</v>
      </c>
      <c r="S582" s="13">
        <v>5.9285</v>
      </c>
      <c r="T582" s="14">
        <f>IFERROR(__xludf.DUMMYFUNCTION("IFERROR(GOOGLEFINANCE(B582,""price""),"""")"),166.7)</f>
        <v>166.7</v>
      </c>
    </row>
    <row r="583">
      <c r="A583" s="15">
        <v>46064.62785327463</v>
      </c>
      <c r="B583" s="16" t="s">
        <v>5849</v>
      </c>
      <c r="C583" s="16" t="s">
        <v>5850</v>
      </c>
      <c r="D583" s="17">
        <v>46068.0</v>
      </c>
      <c r="E583" s="18">
        <v>40.68</v>
      </c>
      <c r="F583" s="27">
        <v>1.3021</v>
      </c>
      <c r="G583" s="20">
        <v>1.3279129E7</v>
      </c>
      <c r="H583" s="16" t="s">
        <v>117</v>
      </c>
      <c r="I583" s="19">
        <v>-3.1313</v>
      </c>
      <c r="J583" s="20">
        <v>1.5895042934E10</v>
      </c>
      <c r="K583" s="24"/>
      <c r="L583" s="21">
        <v>-8.0637</v>
      </c>
      <c r="M583" s="16" t="s">
        <v>5851</v>
      </c>
      <c r="N583" s="16" t="s">
        <v>5502</v>
      </c>
      <c r="O583" s="21">
        <v>-29.3174</v>
      </c>
      <c r="P583" s="21">
        <v>-155.1523</v>
      </c>
      <c r="Q583" s="21">
        <v>-56.0024</v>
      </c>
      <c r="R583" s="21">
        <v>0.0787</v>
      </c>
      <c r="S583" s="21">
        <v>3.925</v>
      </c>
      <c r="T583" s="22">
        <f>IFERROR(__xludf.DUMMYFUNCTION("IFERROR(GOOGLEFINANCE(B583,""price""),"""")"),50.96)</f>
        <v>50.96</v>
      </c>
    </row>
    <row r="584">
      <c r="A584" s="7">
        <v>46064.62785327463</v>
      </c>
      <c r="B584" s="8" t="s">
        <v>1077</v>
      </c>
      <c r="C584" s="8" t="s">
        <v>1078</v>
      </c>
      <c r="D584" s="9">
        <v>46068.0</v>
      </c>
      <c r="E584" s="10">
        <v>8.1</v>
      </c>
      <c r="F584" s="26">
        <v>1.2754</v>
      </c>
      <c r="G584" s="12">
        <v>1.4927959E7</v>
      </c>
      <c r="H584" s="8" t="s">
        <v>335</v>
      </c>
      <c r="I584" s="11">
        <v>-0.6135</v>
      </c>
      <c r="J584" s="12">
        <v>1.134288421E9</v>
      </c>
      <c r="K584" s="23"/>
      <c r="L584" s="13">
        <v>-0.041</v>
      </c>
      <c r="M584" s="8" t="s">
        <v>1079</v>
      </c>
      <c r="N584" s="8" t="s">
        <v>5506</v>
      </c>
      <c r="O584" s="13">
        <v>-10.5913</v>
      </c>
      <c r="P584" s="13">
        <v>-18.9471</v>
      </c>
      <c r="Q584" s="13">
        <v>240.123</v>
      </c>
      <c r="R584" s="13">
        <v>0.0037</v>
      </c>
      <c r="S584" s="13">
        <v>5.0784</v>
      </c>
      <c r="T584" s="14">
        <f>IFERROR(__xludf.DUMMYFUNCTION("IFERROR(GOOGLEFINANCE(B584,""price""),"""")"),8.36)</f>
        <v>8.36</v>
      </c>
    </row>
    <row r="585">
      <c r="A585" s="15">
        <v>46064.62785327463</v>
      </c>
      <c r="B585" s="16" t="s">
        <v>5852</v>
      </c>
      <c r="C585" s="16" t="s">
        <v>5853</v>
      </c>
      <c r="D585" s="17">
        <v>46068.0</v>
      </c>
      <c r="E585" s="18">
        <v>153.5</v>
      </c>
      <c r="F585" s="27">
        <v>1.2326</v>
      </c>
      <c r="G585" s="20">
        <v>1.1702582E7</v>
      </c>
      <c r="H585" s="16" t="s">
        <v>93</v>
      </c>
      <c r="I585" s="19">
        <v>-5.5443</v>
      </c>
      <c r="J585" s="20">
        <v>4.1392402764E10</v>
      </c>
      <c r="K585" s="21">
        <v>13.288</v>
      </c>
      <c r="L585" s="21">
        <v>11.5518</v>
      </c>
      <c r="M585" s="16" t="s">
        <v>5854</v>
      </c>
      <c r="N585" s="16" t="s">
        <v>5708</v>
      </c>
      <c r="O585" s="21">
        <v>26.0003</v>
      </c>
      <c r="P585" s="21">
        <v>44.9411</v>
      </c>
      <c r="Q585" s="21">
        <v>47.8623</v>
      </c>
      <c r="R585" s="21">
        <v>0.4842</v>
      </c>
      <c r="S585" s="21">
        <v>2.4042</v>
      </c>
      <c r="T585" s="22">
        <f>IFERROR(__xludf.DUMMYFUNCTION("IFERROR(GOOGLEFINANCE(B585,""price""),"""")"),167.85)</f>
        <v>167.85</v>
      </c>
    </row>
    <row r="586">
      <c r="A586" s="7">
        <v>46064.62785327463</v>
      </c>
      <c r="B586" s="8" t="s">
        <v>5517</v>
      </c>
      <c r="C586" s="8" t="s">
        <v>5518</v>
      </c>
      <c r="D586" s="9">
        <v>46068.0</v>
      </c>
      <c r="E586" s="10">
        <v>8.915</v>
      </c>
      <c r="F586" s="26">
        <v>1.2285</v>
      </c>
      <c r="G586" s="12">
        <v>1.8989729E7</v>
      </c>
      <c r="H586" s="8" t="s">
        <v>308</v>
      </c>
      <c r="I586" s="11">
        <v>-4.9574</v>
      </c>
      <c r="J586" s="12">
        <v>1.472319287E9</v>
      </c>
      <c r="K586" s="23"/>
      <c r="L586" s="13">
        <v>-3.1791</v>
      </c>
      <c r="M586" s="8" t="s">
        <v>5519</v>
      </c>
      <c r="N586" s="8" t="s">
        <v>5520</v>
      </c>
      <c r="O586" s="13">
        <v>-50.0822</v>
      </c>
      <c r="P586" s="13">
        <v>-46.1858</v>
      </c>
      <c r="Q586" s="13">
        <v>-0.6305</v>
      </c>
      <c r="R586" s="13">
        <v>0.3596</v>
      </c>
      <c r="S586" s="13">
        <v>1.4082</v>
      </c>
      <c r="T586" s="14">
        <f>IFERROR(__xludf.DUMMYFUNCTION("IFERROR(GOOGLEFINANCE(B586,""price""),"""")"),9.29)</f>
        <v>9.29</v>
      </c>
    </row>
    <row r="587">
      <c r="A587" s="15">
        <v>46064.62785327463</v>
      </c>
      <c r="B587" s="16" t="s">
        <v>5533</v>
      </c>
      <c r="C587" s="16" t="s">
        <v>5534</v>
      </c>
      <c r="D587" s="17">
        <v>46068.0</v>
      </c>
      <c r="E587" s="18">
        <v>6.839</v>
      </c>
      <c r="F587" s="27">
        <v>1.2227</v>
      </c>
      <c r="G587" s="20">
        <v>2.3272727E7</v>
      </c>
      <c r="H587" s="16" t="s">
        <v>102</v>
      </c>
      <c r="I587" s="19">
        <v>-8.9348</v>
      </c>
      <c r="J587" s="20">
        <v>1.850447538E9</v>
      </c>
      <c r="K587" s="24"/>
      <c r="L587" s="21">
        <v>-3.7839</v>
      </c>
      <c r="M587" s="16" t="s">
        <v>5535</v>
      </c>
      <c r="N587" s="16" t="s">
        <v>5536</v>
      </c>
      <c r="O587" s="21">
        <v>-55.984</v>
      </c>
      <c r="P587" s="21">
        <v>-31.1477</v>
      </c>
      <c r="Q587" s="24"/>
      <c r="R587" s="21">
        <v>4.5088</v>
      </c>
      <c r="S587" s="21">
        <v>1.1293</v>
      </c>
      <c r="T587" s="22">
        <f>IFERROR(__xludf.DUMMYFUNCTION("IFERROR(GOOGLEFINANCE(B587,""price""),"""")"),4.69)</f>
        <v>4.69</v>
      </c>
    </row>
    <row r="588">
      <c r="A588" s="7">
        <v>46064.62785327463</v>
      </c>
      <c r="B588" s="8" t="s">
        <v>5558</v>
      </c>
      <c r="C588" s="8" t="s">
        <v>5559</v>
      </c>
      <c r="D588" s="9">
        <v>46068.0</v>
      </c>
      <c r="E588" s="10">
        <v>11.745</v>
      </c>
      <c r="F588" s="26">
        <v>1.1787</v>
      </c>
      <c r="G588" s="12">
        <v>1.8914578E7</v>
      </c>
      <c r="H588" s="8" t="s">
        <v>102</v>
      </c>
      <c r="I588" s="11">
        <v>-3.8871</v>
      </c>
      <c r="J588" s="12">
        <v>3.806533149E9</v>
      </c>
      <c r="K588" s="23"/>
      <c r="L588" s="13">
        <v>-8.3559</v>
      </c>
      <c r="M588" s="8" t="s">
        <v>5560</v>
      </c>
      <c r="N588" s="8" t="s">
        <v>5536</v>
      </c>
      <c r="O588" s="23"/>
      <c r="P588" s="13">
        <v>-351.0117</v>
      </c>
      <c r="Q588" s="13">
        <v>324.0994</v>
      </c>
      <c r="R588" s="23"/>
      <c r="S588" s="13">
        <v>1.8261</v>
      </c>
      <c r="T588" s="14">
        <f>IFERROR(__xludf.DUMMYFUNCTION("IFERROR(GOOGLEFINANCE(B588,""price""),"""")"),5.62)</f>
        <v>5.62</v>
      </c>
    </row>
    <row r="589">
      <c r="A589" s="15">
        <v>46064.62785327463</v>
      </c>
      <c r="B589" s="16" t="s">
        <v>5544</v>
      </c>
      <c r="C589" s="16" t="s">
        <v>5545</v>
      </c>
      <c r="D589" s="17">
        <v>46068.0</v>
      </c>
      <c r="E589" s="18">
        <v>16.25</v>
      </c>
      <c r="F589" s="27">
        <v>1.1731</v>
      </c>
      <c r="G589" s="20">
        <v>2.895039E7</v>
      </c>
      <c r="H589" s="16" t="s">
        <v>88</v>
      </c>
      <c r="I589" s="19">
        <v>-4.9708</v>
      </c>
      <c r="J589" s="20">
        <v>6.420246306E9</v>
      </c>
      <c r="K589" s="24"/>
      <c r="L589" s="21">
        <v>-0.1905</v>
      </c>
      <c r="M589" s="16" t="s">
        <v>5546</v>
      </c>
      <c r="N589" s="16" t="s">
        <v>5471</v>
      </c>
      <c r="O589" s="21">
        <v>-9.6935</v>
      </c>
      <c r="P589" s="21">
        <v>-72.0529</v>
      </c>
      <c r="Q589" s="21">
        <v>35.4099</v>
      </c>
      <c r="R589" s="21">
        <v>1.333</v>
      </c>
      <c r="S589" s="21">
        <v>2.4892</v>
      </c>
      <c r="T589" s="22">
        <f>IFERROR(__xludf.DUMMYFUNCTION("IFERROR(GOOGLEFINANCE(B589,""price""),"""")"),16.53)</f>
        <v>16.53</v>
      </c>
    </row>
    <row r="590">
      <c r="A590" s="7">
        <v>46064.62785327463</v>
      </c>
      <c r="B590" s="8" t="s">
        <v>5527</v>
      </c>
      <c r="C590" s="8" t="s">
        <v>5528</v>
      </c>
      <c r="D590" s="9">
        <v>46068.0</v>
      </c>
      <c r="E590" s="10">
        <v>12.045</v>
      </c>
      <c r="F590" s="26">
        <v>1.1491</v>
      </c>
      <c r="G590" s="12">
        <v>8336747.0</v>
      </c>
      <c r="H590" s="8" t="s">
        <v>88</v>
      </c>
      <c r="I590" s="11">
        <v>-4.5563</v>
      </c>
      <c r="J590" s="12">
        <v>1.437825362E9</v>
      </c>
      <c r="K590" s="23"/>
      <c r="L590" s="23"/>
      <c r="M590" s="8" t="s">
        <v>5529</v>
      </c>
      <c r="N590" s="8" t="s">
        <v>5429</v>
      </c>
      <c r="O590" s="23"/>
      <c r="P590" s="23"/>
      <c r="Q590" s="23"/>
      <c r="R590" s="13">
        <v>0.0885</v>
      </c>
      <c r="S590" s="13">
        <v>10.416</v>
      </c>
      <c r="T590" s="14">
        <f>IFERROR(__xludf.DUMMYFUNCTION("IFERROR(GOOGLEFINANCE(B590,""price""),"""")"),12.37)</f>
        <v>12.37</v>
      </c>
    </row>
    <row r="591">
      <c r="A591" s="15">
        <v>46064.62785327463</v>
      </c>
      <c r="B591" s="16" t="s">
        <v>5537</v>
      </c>
      <c r="C591" s="16" t="s">
        <v>5538</v>
      </c>
      <c r="D591" s="17">
        <v>46068.0</v>
      </c>
      <c r="E591" s="18">
        <v>3.12</v>
      </c>
      <c r="F591" s="27">
        <v>1.1484</v>
      </c>
      <c r="G591" s="20">
        <v>1.4213691E7</v>
      </c>
      <c r="H591" s="16" t="s">
        <v>112</v>
      </c>
      <c r="I591" s="19">
        <v>-5.7402</v>
      </c>
      <c r="J591" s="20">
        <v>6.71099395E8</v>
      </c>
      <c r="K591" s="24"/>
      <c r="L591" s="21">
        <v>-0.1295</v>
      </c>
      <c r="M591" s="16" t="s">
        <v>5539</v>
      </c>
      <c r="N591" s="16" t="s">
        <v>5540</v>
      </c>
      <c r="O591" s="21">
        <v>-10.1055</v>
      </c>
      <c r="P591" s="21">
        <v>-355.6789</v>
      </c>
      <c r="Q591" s="21">
        <v>19.0139</v>
      </c>
      <c r="R591" s="21">
        <v>0.0027</v>
      </c>
      <c r="S591" s="21">
        <v>107.4542</v>
      </c>
      <c r="T591" s="22">
        <f>IFERROR(__xludf.DUMMYFUNCTION("IFERROR(GOOGLEFINANCE(B591,""price""),"""")"),2.01)</f>
        <v>2.01</v>
      </c>
    </row>
    <row r="592">
      <c r="A592" s="7">
        <v>46064.62785327463</v>
      </c>
      <c r="B592" s="8" t="s">
        <v>5481</v>
      </c>
      <c r="C592" s="8" t="s">
        <v>5482</v>
      </c>
      <c r="D592" s="9">
        <v>46068.0</v>
      </c>
      <c r="E592" s="10">
        <v>9.485</v>
      </c>
      <c r="F592" s="26">
        <v>1.1338</v>
      </c>
      <c r="G592" s="12">
        <v>2.6246595E7</v>
      </c>
      <c r="H592" s="8" t="s">
        <v>88</v>
      </c>
      <c r="I592" s="11">
        <v>-5.4337</v>
      </c>
      <c r="J592" s="12">
        <v>2.425816184E9</v>
      </c>
      <c r="K592" s="23"/>
      <c r="L592" s="13">
        <v>-1.071</v>
      </c>
      <c r="M592" s="8" t="s">
        <v>5483</v>
      </c>
      <c r="N592" s="8" t="s">
        <v>5471</v>
      </c>
      <c r="O592" s="13">
        <v>-15.3378</v>
      </c>
      <c r="P592" s="13">
        <v>-20.8099</v>
      </c>
      <c r="Q592" s="13">
        <v>67.959</v>
      </c>
      <c r="R592" s="13">
        <v>1.2945</v>
      </c>
      <c r="S592" s="13">
        <v>10.5425</v>
      </c>
      <c r="T592" s="14">
        <f>IFERROR(__xludf.DUMMYFUNCTION("IFERROR(GOOGLEFINANCE(B592,""price""),"""")"),10.02)</f>
        <v>10.02</v>
      </c>
    </row>
    <row r="593">
      <c r="A593" s="15">
        <v>46064.62785327463</v>
      </c>
      <c r="B593" s="16" t="s">
        <v>5594</v>
      </c>
      <c r="C593" s="16" t="s">
        <v>5595</v>
      </c>
      <c r="D593" s="17">
        <v>46068.0</v>
      </c>
      <c r="E593" s="18">
        <v>15.91</v>
      </c>
      <c r="F593" s="27">
        <v>1.124</v>
      </c>
      <c r="G593" s="20">
        <v>3.6174049E7</v>
      </c>
      <c r="H593" s="16" t="s">
        <v>88</v>
      </c>
      <c r="I593" s="19">
        <v>-4.3295</v>
      </c>
      <c r="J593" s="20">
        <v>6.66122845E9</v>
      </c>
      <c r="K593" s="24"/>
      <c r="L593" s="21">
        <v>-1.4167</v>
      </c>
      <c r="M593" s="16" t="s">
        <v>5596</v>
      </c>
      <c r="N593" s="16" t="s">
        <v>5471</v>
      </c>
      <c r="O593" s="21">
        <v>-181.9547</v>
      </c>
      <c r="P593" s="21">
        <v>-69.885</v>
      </c>
      <c r="Q593" s="21">
        <v>30.5825</v>
      </c>
      <c r="R593" s="21">
        <v>4.3877</v>
      </c>
      <c r="S593" s="21">
        <v>1.0329</v>
      </c>
      <c r="T593" s="22">
        <f>IFERROR(__xludf.DUMMYFUNCTION("IFERROR(GOOGLEFINANCE(B593,""price""),"""")"),18.88)</f>
        <v>18.88</v>
      </c>
    </row>
    <row r="594">
      <c r="A594" s="7">
        <v>46064.62785327463</v>
      </c>
      <c r="B594" s="8" t="s">
        <v>5554</v>
      </c>
      <c r="C594" s="8" t="s">
        <v>5555</v>
      </c>
      <c r="D594" s="9">
        <v>46068.0</v>
      </c>
      <c r="E594" s="10">
        <v>97.52</v>
      </c>
      <c r="F594" s="26">
        <v>1.1068</v>
      </c>
      <c r="G594" s="12">
        <v>1.0913434E7</v>
      </c>
      <c r="H594" s="8" t="s">
        <v>873</v>
      </c>
      <c r="I594" s="11">
        <v>1.2984</v>
      </c>
      <c r="J594" s="12">
        <v>3.5828973068E10</v>
      </c>
      <c r="K594" s="23"/>
      <c r="L594" s="13">
        <v>-1.2452</v>
      </c>
      <c r="M594" s="8" t="s">
        <v>5556</v>
      </c>
      <c r="N594" s="8" t="s">
        <v>5557</v>
      </c>
      <c r="O594" s="13">
        <v>-39.2195</v>
      </c>
      <c r="P594" s="13">
        <v>-1479.4668</v>
      </c>
      <c r="Q594" s="13">
        <v>641.24</v>
      </c>
      <c r="R594" s="13">
        <v>0.5824</v>
      </c>
      <c r="S594" s="13">
        <v>9.5602</v>
      </c>
      <c r="T594" s="14">
        <f>IFERROR(__xludf.DUMMYFUNCTION("IFERROR(GOOGLEFINANCE(B594,""price""),"""")"),94.9)</f>
        <v>94.9</v>
      </c>
    </row>
    <row r="595">
      <c r="A595" s="15">
        <v>46064.62785327463</v>
      </c>
      <c r="B595" s="16" t="s">
        <v>5484</v>
      </c>
      <c r="C595" s="16" t="s">
        <v>5485</v>
      </c>
      <c r="D595" s="17">
        <v>46068.0</v>
      </c>
      <c r="E595" s="18">
        <v>42.625</v>
      </c>
      <c r="F595" s="27">
        <v>1.0933</v>
      </c>
      <c r="G595" s="20">
        <v>3.414656E7</v>
      </c>
      <c r="H595" s="16" t="s">
        <v>88</v>
      </c>
      <c r="I595" s="19">
        <v>-0.7105</v>
      </c>
      <c r="J595" s="20">
        <v>1.414123548E10</v>
      </c>
      <c r="K595" s="21">
        <v>48.8371</v>
      </c>
      <c r="L595" s="21">
        <v>0.8728</v>
      </c>
      <c r="M595" s="16" t="s">
        <v>5486</v>
      </c>
      <c r="N595" s="16" t="s">
        <v>5471</v>
      </c>
      <c r="O595" s="21">
        <v>22.5116</v>
      </c>
      <c r="P595" s="21">
        <v>-13.85</v>
      </c>
      <c r="Q595" s="21">
        <v>123.3192</v>
      </c>
      <c r="R595" s="21">
        <v>1.5302</v>
      </c>
      <c r="S595" s="21">
        <v>4.9601</v>
      </c>
      <c r="T595" s="22">
        <f>IFERROR(__xludf.DUMMYFUNCTION("IFERROR(GOOGLEFINANCE(B595,""price""),"""")"),39.32)</f>
        <v>39.32</v>
      </c>
    </row>
    <row r="596">
      <c r="A596" s="7">
        <v>46064.62785327463</v>
      </c>
      <c r="B596" s="8" t="s">
        <v>5434</v>
      </c>
      <c r="C596" s="8" t="s">
        <v>5435</v>
      </c>
      <c r="D596" s="9">
        <v>46068.0</v>
      </c>
      <c r="E596" s="10">
        <v>9.26</v>
      </c>
      <c r="F596" s="26">
        <v>1.0801</v>
      </c>
      <c r="G596" s="12">
        <v>6.0674053E7</v>
      </c>
      <c r="H596" s="8" t="s">
        <v>308</v>
      </c>
      <c r="I596" s="11">
        <v>-4.3388</v>
      </c>
      <c r="J596" s="12">
        <v>3.913058583E9</v>
      </c>
      <c r="K596" s="23"/>
      <c r="L596" s="13">
        <v>-0.4034</v>
      </c>
      <c r="M596" s="8" t="s">
        <v>5436</v>
      </c>
      <c r="N596" s="8" t="s">
        <v>5437</v>
      </c>
      <c r="O596" s="13">
        <v>-17.0422</v>
      </c>
      <c r="P596" s="13">
        <v>-176.0921</v>
      </c>
      <c r="Q596" s="13">
        <v>208.4002</v>
      </c>
      <c r="R596" s="13">
        <v>0.037</v>
      </c>
      <c r="S596" s="13">
        <v>15.2957</v>
      </c>
      <c r="T596" s="14">
        <f>IFERROR(__xludf.DUMMYFUNCTION("IFERROR(GOOGLEFINANCE(B596,""price""),"""")"),9.13)</f>
        <v>9.13</v>
      </c>
    </row>
    <row r="597">
      <c r="A597" s="15">
        <v>46064.62785327463</v>
      </c>
      <c r="B597" s="16" t="s">
        <v>2704</v>
      </c>
      <c r="C597" s="16" t="s">
        <v>2705</v>
      </c>
      <c r="D597" s="17">
        <v>46068.0</v>
      </c>
      <c r="E597" s="18">
        <v>36.395</v>
      </c>
      <c r="F597" s="27">
        <v>1.0652</v>
      </c>
      <c r="G597" s="20">
        <v>2.2011149E7</v>
      </c>
      <c r="H597" s="16" t="s">
        <v>88</v>
      </c>
      <c r="I597" s="19">
        <v>-2.869</v>
      </c>
      <c r="J597" s="20">
        <v>1.0175526084E10</v>
      </c>
      <c r="K597" s="24"/>
      <c r="L597" s="21">
        <v>-0.5438</v>
      </c>
      <c r="M597" s="16" t="s">
        <v>2707</v>
      </c>
      <c r="N597" s="16" t="s">
        <v>5471</v>
      </c>
      <c r="O597" s="21">
        <v>-11.4029</v>
      </c>
      <c r="P597" s="21">
        <v>-26.4624</v>
      </c>
      <c r="Q597" s="21">
        <v>33.135</v>
      </c>
      <c r="R597" s="21">
        <v>1.6778</v>
      </c>
      <c r="S597" s="21">
        <v>4.8227</v>
      </c>
      <c r="T597" s="22">
        <f>IFERROR(__xludf.DUMMYFUNCTION("IFERROR(GOOGLEFINANCE(B597,""price""),"""")"),26.24)</f>
        <v>26.24</v>
      </c>
    </row>
    <row r="598">
      <c r="A598" s="7">
        <v>46064.62785327463</v>
      </c>
      <c r="B598" s="8" t="s">
        <v>5422</v>
      </c>
      <c r="C598" s="8" t="s">
        <v>5423</v>
      </c>
      <c r="D598" s="9">
        <v>46068.0</v>
      </c>
      <c r="E598" s="10">
        <v>21.835</v>
      </c>
      <c r="F598" s="26">
        <v>1.0615</v>
      </c>
      <c r="G598" s="12">
        <v>1.1001067E7</v>
      </c>
      <c r="H598" s="8" t="s">
        <v>102</v>
      </c>
      <c r="I598" s="11">
        <v>-0.2057</v>
      </c>
      <c r="J598" s="12">
        <v>4.758522531E9</v>
      </c>
      <c r="K598" s="23"/>
      <c r="L598" s="13">
        <v>-2.5128</v>
      </c>
      <c r="M598" s="8" t="s">
        <v>5424</v>
      </c>
      <c r="N598" s="8" t="s">
        <v>5425</v>
      </c>
      <c r="O598" s="13">
        <v>-255.9098</v>
      </c>
      <c r="P598" s="23"/>
      <c r="Q598" s="23"/>
      <c r="R598" s="23"/>
      <c r="S598" s="13">
        <v>16.5111</v>
      </c>
      <c r="T598" s="14">
        <f>IFERROR(__xludf.DUMMYFUNCTION("IFERROR(GOOGLEFINANCE(B598,""price""),"""")"),16.15)</f>
        <v>16.15</v>
      </c>
    </row>
    <row r="599">
      <c r="A599" s="15">
        <v>46064.62785327463</v>
      </c>
      <c r="B599" s="16" t="s">
        <v>5643</v>
      </c>
      <c r="C599" s="16" t="s">
        <v>5644</v>
      </c>
      <c r="D599" s="17">
        <v>46068.0</v>
      </c>
      <c r="E599" s="18">
        <v>17.935</v>
      </c>
      <c r="F599" s="27">
        <v>1.0525</v>
      </c>
      <c r="G599" s="20">
        <v>8748843.0</v>
      </c>
      <c r="H599" s="16" t="s">
        <v>102</v>
      </c>
      <c r="I599" s="19">
        <v>-5.5556</v>
      </c>
      <c r="J599" s="20">
        <v>3.298879134E9</v>
      </c>
      <c r="K599" s="24"/>
      <c r="L599" s="21">
        <v>-0.4504</v>
      </c>
      <c r="M599" s="16" t="s">
        <v>5645</v>
      </c>
      <c r="N599" s="16" t="s">
        <v>5536</v>
      </c>
      <c r="O599" s="21">
        <v>-13.0214</v>
      </c>
      <c r="P599" s="21">
        <v>-1.6208</v>
      </c>
      <c r="Q599" s="21">
        <v>1.1851</v>
      </c>
      <c r="R599" s="21">
        <v>1.0416</v>
      </c>
      <c r="S599" s="21">
        <v>1.4832</v>
      </c>
      <c r="T599" s="22">
        <f>IFERROR(__xludf.DUMMYFUNCTION("IFERROR(GOOGLEFINANCE(B599,""price""),"""")"),13.78)</f>
        <v>13.78</v>
      </c>
    </row>
    <row r="600">
      <c r="A600" s="7">
        <v>46064.62785327463</v>
      </c>
      <c r="B600" s="8" t="s">
        <v>5591</v>
      </c>
      <c r="C600" s="8" t="s">
        <v>5592</v>
      </c>
      <c r="D600" s="9">
        <v>46068.0</v>
      </c>
      <c r="E600" s="10">
        <v>8.815</v>
      </c>
      <c r="F600" s="26">
        <v>1.0508</v>
      </c>
      <c r="G600" s="12">
        <v>1.5653977E7</v>
      </c>
      <c r="H600" s="8" t="s">
        <v>308</v>
      </c>
      <c r="I600" s="11">
        <v>0.2844</v>
      </c>
      <c r="J600" s="12">
        <v>2.031823865E9</v>
      </c>
      <c r="K600" s="23"/>
      <c r="L600" s="13">
        <v>-0.6396</v>
      </c>
      <c r="M600" s="8" t="s">
        <v>5593</v>
      </c>
      <c r="N600" s="8" t="s">
        <v>5414</v>
      </c>
      <c r="O600" s="13">
        <v>-33.2524</v>
      </c>
      <c r="P600" s="13">
        <v>-181.4004</v>
      </c>
      <c r="Q600" s="13">
        <v>-38.0644</v>
      </c>
      <c r="R600" s="13">
        <v>0.0241</v>
      </c>
      <c r="S600" s="13">
        <v>7.9353</v>
      </c>
      <c r="T600" s="14">
        <f>IFERROR(__xludf.DUMMYFUNCTION("IFERROR(GOOGLEFINANCE(B600,""price""),"""")"),9.54)</f>
        <v>9.54</v>
      </c>
    </row>
    <row r="601">
      <c r="A601" s="15">
        <v>46064.62785327463</v>
      </c>
      <c r="B601" s="16" t="s">
        <v>5458</v>
      </c>
      <c r="C601" s="16" t="s">
        <v>5459</v>
      </c>
      <c r="D601" s="17">
        <v>46068.0</v>
      </c>
      <c r="E601" s="18">
        <v>4.335</v>
      </c>
      <c r="F601" s="27">
        <v>1.0508</v>
      </c>
      <c r="G601" s="20">
        <v>4.8088784E7</v>
      </c>
      <c r="H601" s="16" t="s">
        <v>88</v>
      </c>
      <c r="I601" s="19">
        <v>-4.9342</v>
      </c>
      <c r="J601" s="20">
        <v>1.892449465E9</v>
      </c>
      <c r="K601" s="24"/>
      <c r="L601" s="21">
        <v>-1.4208</v>
      </c>
      <c r="M601" s="16" t="s">
        <v>5460</v>
      </c>
      <c r="N601" s="16" t="s">
        <v>5429</v>
      </c>
      <c r="O601" s="21">
        <v>-111.8268</v>
      </c>
      <c r="P601" s="21">
        <v>-46.2208</v>
      </c>
      <c r="Q601" s="21">
        <v>-6.9516</v>
      </c>
      <c r="R601" s="21">
        <v>0.1851</v>
      </c>
      <c r="S601" s="21">
        <v>3.1313</v>
      </c>
      <c r="T601" s="22">
        <f>IFERROR(__xludf.DUMMYFUNCTION("IFERROR(GOOGLEFINANCE(B601,""price""),"""")"),3.32)</f>
        <v>3.32</v>
      </c>
    </row>
    <row r="602">
      <c r="A602" s="7">
        <v>46065.62812385122</v>
      </c>
      <c r="B602" s="8" t="s">
        <v>5175</v>
      </c>
      <c r="C602" s="8" t="s">
        <v>5176</v>
      </c>
      <c r="D602" s="9">
        <v>46068.0</v>
      </c>
      <c r="E602" s="10">
        <v>4.675</v>
      </c>
      <c r="F602" s="26">
        <v>3.3281</v>
      </c>
      <c r="G602" s="12">
        <v>9042286.0</v>
      </c>
      <c r="H602" s="8" t="s">
        <v>93</v>
      </c>
      <c r="I602" s="11">
        <v>0.1071</v>
      </c>
      <c r="J602" s="12">
        <v>7.543103677E9</v>
      </c>
      <c r="K602" s="23"/>
      <c r="L602" s="13">
        <v>-0.009</v>
      </c>
      <c r="M602" s="8" t="s">
        <v>5177</v>
      </c>
      <c r="N602" s="8" t="s">
        <v>5590</v>
      </c>
      <c r="O602" s="13">
        <v>11.3702</v>
      </c>
      <c r="P602" s="13">
        <v>30.822</v>
      </c>
      <c r="Q602" s="13">
        <v>-8.6628</v>
      </c>
      <c r="R602" s="13">
        <v>81.7577</v>
      </c>
      <c r="S602" s="13">
        <v>0.1285</v>
      </c>
      <c r="T602" s="14">
        <f>IFERROR(__xludf.DUMMYFUNCTION("IFERROR(GOOGLEFINANCE(B602,""price""),"""")"),3.69)</f>
        <v>3.69</v>
      </c>
    </row>
    <row r="603">
      <c r="A603" s="15">
        <v>46065.62812385122</v>
      </c>
      <c r="B603" s="16" t="s">
        <v>5802</v>
      </c>
      <c r="C603" s="16" t="s">
        <v>5803</v>
      </c>
      <c r="D603" s="17">
        <v>46068.0</v>
      </c>
      <c r="E603" s="18">
        <v>18.5899</v>
      </c>
      <c r="F603" s="27">
        <v>2.377</v>
      </c>
      <c r="G603" s="20">
        <v>1.785867E7</v>
      </c>
      <c r="H603" s="16" t="s">
        <v>88</v>
      </c>
      <c r="I603" s="19">
        <v>-2.6197</v>
      </c>
      <c r="J603" s="20">
        <v>1.2558552597E10</v>
      </c>
      <c r="K603" s="21">
        <v>6.4412</v>
      </c>
      <c r="L603" s="21">
        <v>2.8861</v>
      </c>
      <c r="M603" s="16" t="s">
        <v>5804</v>
      </c>
      <c r="N603" s="16" t="s">
        <v>5495</v>
      </c>
      <c r="O603" s="21">
        <v>51.4911</v>
      </c>
      <c r="P603" s="21">
        <v>6.9098</v>
      </c>
      <c r="Q603" s="21">
        <v>16.7925</v>
      </c>
      <c r="R603" s="21">
        <v>0.0425</v>
      </c>
      <c r="S603" s="21">
        <v>8.363</v>
      </c>
      <c r="T603" s="22">
        <f>IFERROR(__xludf.DUMMYFUNCTION("IFERROR(GOOGLEFINANCE(B603,""price""),"""")"),17.62)</f>
        <v>17.62</v>
      </c>
    </row>
    <row r="604">
      <c r="A604" s="7">
        <v>46065.62812385122</v>
      </c>
      <c r="B604" s="8" t="s">
        <v>5858</v>
      </c>
      <c r="C604" s="8" t="s">
        <v>5859</v>
      </c>
      <c r="D604" s="9">
        <v>46068.0</v>
      </c>
      <c r="E604" s="10">
        <v>16.05</v>
      </c>
      <c r="F604" s="26">
        <v>2.0898</v>
      </c>
      <c r="G604" s="12">
        <v>1.10043296E8</v>
      </c>
      <c r="H604" s="8" t="s">
        <v>88</v>
      </c>
      <c r="I604" s="11">
        <v>72.3953</v>
      </c>
      <c r="J604" s="12">
        <v>2.39787001E9</v>
      </c>
      <c r="K604" s="23"/>
      <c r="L604" s="13">
        <v>-0.9629</v>
      </c>
      <c r="M604" s="8" t="s">
        <v>5860</v>
      </c>
      <c r="N604" s="8" t="s">
        <v>5664</v>
      </c>
      <c r="O604" s="13">
        <v>-12.8431</v>
      </c>
      <c r="P604" s="13">
        <v>-23.2063</v>
      </c>
      <c r="Q604" s="13">
        <v>9.4497</v>
      </c>
      <c r="R604" s="13">
        <v>0.4628</v>
      </c>
      <c r="S604" s="13">
        <v>2.6119</v>
      </c>
      <c r="T604" s="14">
        <f>IFERROR(__xludf.DUMMYFUNCTION("IFERROR(GOOGLEFINANCE(B604,""price""),"""")"),23.07)</f>
        <v>23.07</v>
      </c>
    </row>
    <row r="605">
      <c r="A605" s="15">
        <v>46065.62812385122</v>
      </c>
      <c r="B605" s="16" t="s">
        <v>5795</v>
      </c>
      <c r="C605" s="16" t="s">
        <v>5796</v>
      </c>
      <c r="D605" s="17">
        <v>46068.0</v>
      </c>
      <c r="E605" s="18">
        <v>26.295</v>
      </c>
      <c r="F605" s="27">
        <v>2.0688</v>
      </c>
      <c r="G605" s="20">
        <v>1.7825029E7</v>
      </c>
      <c r="H605" s="16" t="s">
        <v>88</v>
      </c>
      <c r="I605" s="19">
        <v>-6.1563</v>
      </c>
      <c r="J605" s="20">
        <v>1.5461460252E10</v>
      </c>
      <c r="K605" s="21">
        <v>60.3096</v>
      </c>
      <c r="L605" s="21">
        <v>0.436</v>
      </c>
      <c r="M605" s="16" t="s">
        <v>5797</v>
      </c>
      <c r="N605" s="16" t="s">
        <v>5429</v>
      </c>
      <c r="O605" s="21">
        <v>15.9581</v>
      </c>
      <c r="P605" s="21">
        <v>4.2677</v>
      </c>
      <c r="Q605" s="21">
        <v>25.7621</v>
      </c>
      <c r="R605" s="21">
        <v>0.0089</v>
      </c>
      <c r="S605" s="21">
        <v>2.6411</v>
      </c>
      <c r="T605" s="22">
        <f>IFERROR(__xludf.DUMMYFUNCTION("IFERROR(GOOGLEFINANCE(B605,""price""),"""")"),25.4)</f>
        <v>25.4</v>
      </c>
    </row>
    <row r="606">
      <c r="A606" s="7">
        <v>46065.62812385122</v>
      </c>
      <c r="B606" s="8" t="s">
        <v>5824</v>
      </c>
      <c r="C606" s="8" t="s">
        <v>5825</v>
      </c>
      <c r="D606" s="9">
        <v>46068.0</v>
      </c>
      <c r="E606" s="10">
        <v>14.0245</v>
      </c>
      <c r="F606" s="26">
        <v>1.8932</v>
      </c>
      <c r="G606" s="12">
        <v>2.3174768E7</v>
      </c>
      <c r="H606" s="8" t="s">
        <v>112</v>
      </c>
      <c r="I606" s="11">
        <v>-4.9831</v>
      </c>
      <c r="J606" s="12">
        <v>1.7194045826E10</v>
      </c>
      <c r="K606" s="23"/>
      <c r="L606" s="13">
        <v>-3.1111</v>
      </c>
      <c r="M606" s="8" t="s">
        <v>5826</v>
      </c>
      <c r="N606" s="8" t="s">
        <v>5453</v>
      </c>
      <c r="O606" s="13">
        <v>-65.2804</v>
      </c>
      <c r="P606" s="13">
        <v>-58.4919</v>
      </c>
      <c r="Q606" s="13">
        <v>28.2136</v>
      </c>
      <c r="R606" s="13">
        <v>0.9805</v>
      </c>
      <c r="S606" s="13">
        <v>2.708</v>
      </c>
      <c r="T606" s="14">
        <f>IFERROR(__xludf.DUMMYFUNCTION("IFERROR(GOOGLEFINANCE(B606,""price""),"""")"),15.43)</f>
        <v>15.43</v>
      </c>
    </row>
    <row r="607">
      <c r="A607" s="15">
        <v>46065.62812385122</v>
      </c>
      <c r="B607" s="16" t="s">
        <v>5833</v>
      </c>
      <c r="C607" s="16" t="s">
        <v>5834</v>
      </c>
      <c r="D607" s="17">
        <v>46068.0</v>
      </c>
      <c r="E607" s="18">
        <v>25.06</v>
      </c>
      <c r="F607" s="27">
        <v>1.8055</v>
      </c>
      <c r="G607" s="20">
        <v>1.8979933E7</v>
      </c>
      <c r="H607" s="16" t="s">
        <v>149</v>
      </c>
      <c r="I607" s="19">
        <v>-4.7148</v>
      </c>
      <c r="J607" s="20">
        <v>1.2474178274E10</v>
      </c>
      <c r="K607" s="24"/>
      <c r="L607" s="21">
        <v>-0.5656</v>
      </c>
      <c r="M607" s="16" t="s">
        <v>5835</v>
      </c>
      <c r="N607" s="16" t="s">
        <v>5457</v>
      </c>
      <c r="O607" s="21">
        <v>-29.5915</v>
      </c>
      <c r="P607" s="21">
        <v>-4.8374</v>
      </c>
      <c r="Q607" s="21">
        <v>18.5054</v>
      </c>
      <c r="R607" s="21">
        <v>2.6036</v>
      </c>
      <c r="S607" s="21">
        <v>1.095</v>
      </c>
      <c r="T607" s="22">
        <f>IFERROR(__xludf.DUMMYFUNCTION("IFERROR(GOOGLEFINANCE(B607,""price""),"""")"),22.23)</f>
        <v>22.23</v>
      </c>
    </row>
    <row r="608">
      <c r="A608" s="7">
        <v>46065.62812385122</v>
      </c>
      <c r="B608" s="8" t="s">
        <v>5861</v>
      </c>
      <c r="C608" s="8" t="s">
        <v>5862</v>
      </c>
      <c r="D608" s="9">
        <v>46068.0</v>
      </c>
      <c r="E608" s="10">
        <v>135.225</v>
      </c>
      <c r="F608" s="26">
        <v>1.7253</v>
      </c>
      <c r="G608" s="12">
        <v>1.0731338E7</v>
      </c>
      <c r="H608" s="8" t="s">
        <v>308</v>
      </c>
      <c r="I608" s="11">
        <v>-3.8639</v>
      </c>
      <c r="J608" s="12">
        <v>1.70286839688E11</v>
      </c>
      <c r="K608" s="13">
        <v>51.4614</v>
      </c>
      <c r="L608" s="13">
        <v>2.6277</v>
      </c>
      <c r="M608" s="8" t="s">
        <v>5863</v>
      </c>
      <c r="N608" s="8" t="s">
        <v>5513</v>
      </c>
      <c r="O608" s="13">
        <v>31.7364</v>
      </c>
      <c r="P608" s="13">
        <v>42.8824</v>
      </c>
      <c r="Q608" s="13">
        <v>27.7506</v>
      </c>
      <c r="R608" s="13">
        <v>0.0</v>
      </c>
      <c r="S608" s="13">
        <v>3.2539</v>
      </c>
      <c r="T608" s="14">
        <f>IFERROR(__xludf.DUMMYFUNCTION("IFERROR(GOOGLEFINANCE(B608,""price""),"""")"),147.35)</f>
        <v>147.35</v>
      </c>
    </row>
    <row r="609">
      <c r="A609" s="15">
        <v>46065.62812385122</v>
      </c>
      <c r="B609" s="16" t="s">
        <v>5852</v>
      </c>
      <c r="C609" s="16" t="s">
        <v>5853</v>
      </c>
      <c r="D609" s="17">
        <v>46068.0</v>
      </c>
      <c r="E609" s="18">
        <v>141.585</v>
      </c>
      <c r="F609" s="27">
        <v>1.4326</v>
      </c>
      <c r="G609" s="20">
        <v>1.5290289E7</v>
      </c>
      <c r="H609" s="16" t="s">
        <v>93</v>
      </c>
      <c r="I609" s="19">
        <v>-7.5816</v>
      </c>
      <c r="J609" s="20">
        <v>3.8179435475E10</v>
      </c>
      <c r="K609" s="21">
        <v>12.2565</v>
      </c>
      <c r="L609" s="21">
        <v>11.5518</v>
      </c>
      <c r="M609" s="16" t="s">
        <v>5854</v>
      </c>
      <c r="N609" s="16" t="s">
        <v>5708</v>
      </c>
      <c r="O609" s="21">
        <v>26.0003</v>
      </c>
      <c r="P609" s="21">
        <v>44.9411</v>
      </c>
      <c r="Q609" s="21">
        <v>47.8623</v>
      </c>
      <c r="R609" s="21">
        <v>0.4842</v>
      </c>
      <c r="S609" s="21">
        <v>2.4042</v>
      </c>
      <c r="T609" s="22">
        <f>IFERROR(__xludf.DUMMYFUNCTION("IFERROR(GOOGLEFINANCE(B609,""price""),"""")"),167.85)</f>
        <v>167.85</v>
      </c>
    </row>
    <row r="610">
      <c r="A610" s="7">
        <v>46065.62812385122</v>
      </c>
      <c r="B610" s="8" t="s">
        <v>5864</v>
      </c>
      <c r="C610" s="8" t="s">
        <v>5865</v>
      </c>
      <c r="D610" s="9">
        <v>46068.0</v>
      </c>
      <c r="E610" s="10">
        <v>7.255</v>
      </c>
      <c r="F610" s="26">
        <v>1.377</v>
      </c>
      <c r="G610" s="12">
        <v>1.3659031E7</v>
      </c>
      <c r="H610" s="8" t="s">
        <v>149</v>
      </c>
      <c r="I610" s="11">
        <v>-7.9315</v>
      </c>
      <c r="J610" s="12">
        <v>1.380915144E9</v>
      </c>
      <c r="K610" s="13">
        <v>7.6886</v>
      </c>
      <c r="L610" s="13">
        <v>0.9436</v>
      </c>
      <c r="M610" s="8" t="s">
        <v>5866</v>
      </c>
      <c r="N610" s="8" t="s">
        <v>5718</v>
      </c>
      <c r="O610" s="13">
        <v>100.8498</v>
      </c>
      <c r="P610" s="13">
        <v>16.7678</v>
      </c>
      <c r="Q610" s="13">
        <v>-0.2115</v>
      </c>
      <c r="R610" s="13">
        <v>37.7153</v>
      </c>
      <c r="S610" s="13">
        <v>0.8074</v>
      </c>
      <c r="T610" s="14">
        <f>IFERROR(__xludf.DUMMYFUNCTION("IFERROR(GOOGLEFINANCE(B610,""price""),"""")"),6.89)</f>
        <v>6.89</v>
      </c>
    </row>
    <row r="611">
      <c r="A611" s="15">
        <v>46065.62812385122</v>
      </c>
      <c r="B611" s="16" t="s">
        <v>5544</v>
      </c>
      <c r="C611" s="16" t="s">
        <v>5545</v>
      </c>
      <c r="D611" s="17">
        <v>46068.0</v>
      </c>
      <c r="E611" s="18">
        <v>15.905</v>
      </c>
      <c r="F611" s="27">
        <v>1.2227</v>
      </c>
      <c r="G611" s="20">
        <v>2.8616025E7</v>
      </c>
      <c r="H611" s="16" t="s">
        <v>88</v>
      </c>
      <c r="I611" s="19">
        <v>-2.3034</v>
      </c>
      <c r="J611" s="20">
        <v>6.283939663E9</v>
      </c>
      <c r="K611" s="24"/>
      <c r="L611" s="21">
        <v>-0.1905</v>
      </c>
      <c r="M611" s="16" t="s">
        <v>5546</v>
      </c>
      <c r="N611" s="16" t="s">
        <v>5471</v>
      </c>
      <c r="O611" s="21">
        <v>-9.6935</v>
      </c>
      <c r="P611" s="21">
        <v>-72.0529</v>
      </c>
      <c r="Q611" s="21">
        <v>35.4099</v>
      </c>
      <c r="R611" s="21">
        <v>1.333</v>
      </c>
      <c r="S611" s="21">
        <v>2.4892</v>
      </c>
      <c r="T611" s="22">
        <f>IFERROR(__xludf.DUMMYFUNCTION("IFERROR(GOOGLEFINANCE(B611,""price""),"""")"),16.53)</f>
        <v>16.53</v>
      </c>
    </row>
    <row r="612">
      <c r="A612" s="7">
        <v>46065.62812385122</v>
      </c>
      <c r="B612" s="8" t="s">
        <v>5867</v>
      </c>
      <c r="C612" s="8" t="s">
        <v>5868</v>
      </c>
      <c r="D612" s="9">
        <v>46068.0</v>
      </c>
      <c r="E612" s="10">
        <v>104.24</v>
      </c>
      <c r="F612" s="26">
        <v>1.1986</v>
      </c>
      <c r="G612" s="12">
        <v>9139064.0</v>
      </c>
      <c r="H612" s="8" t="s">
        <v>88</v>
      </c>
      <c r="I612" s="11">
        <v>9.9578</v>
      </c>
      <c r="J612" s="12">
        <v>1.4996512514E10</v>
      </c>
      <c r="K612" s="13">
        <v>30.5635</v>
      </c>
      <c r="L612" s="13">
        <v>3.4106</v>
      </c>
      <c r="M612" s="8" t="s">
        <v>5869</v>
      </c>
      <c r="N612" s="8" t="s">
        <v>5471</v>
      </c>
      <c r="O612" s="13">
        <v>10.6416</v>
      </c>
      <c r="P612" s="13">
        <v>15.4015</v>
      </c>
      <c r="Q612" s="13">
        <v>4.2094</v>
      </c>
      <c r="R612" s="13">
        <v>1.1055</v>
      </c>
      <c r="S612" s="13">
        <v>2.2152</v>
      </c>
      <c r="T612" s="14">
        <f>IFERROR(__xludf.DUMMYFUNCTION("IFERROR(GOOGLEFINANCE(B612,""price""),"""")"),91.35)</f>
        <v>91.35</v>
      </c>
    </row>
    <row r="613">
      <c r="A613" s="15">
        <v>46065.62812385122</v>
      </c>
      <c r="B613" s="16" t="s">
        <v>5537</v>
      </c>
      <c r="C613" s="16" t="s">
        <v>5538</v>
      </c>
      <c r="D613" s="17">
        <v>46068.0</v>
      </c>
      <c r="E613" s="18">
        <v>2.861</v>
      </c>
      <c r="F613" s="27">
        <v>1.1875</v>
      </c>
      <c r="G613" s="20">
        <v>1.6366315E7</v>
      </c>
      <c r="H613" s="16" t="s">
        <v>112</v>
      </c>
      <c r="I613" s="19">
        <v>-8.8854</v>
      </c>
      <c r="J613" s="20">
        <v>6.15389572E8</v>
      </c>
      <c r="K613" s="24"/>
      <c r="L613" s="21">
        <v>-0.1295</v>
      </c>
      <c r="M613" s="16" t="s">
        <v>5539</v>
      </c>
      <c r="N613" s="16" t="s">
        <v>5540</v>
      </c>
      <c r="O613" s="21">
        <v>-10.1055</v>
      </c>
      <c r="P613" s="21">
        <v>-355.6789</v>
      </c>
      <c r="Q613" s="21">
        <v>19.0139</v>
      </c>
      <c r="R613" s="21">
        <v>0.0027</v>
      </c>
      <c r="S613" s="21">
        <v>107.4542</v>
      </c>
      <c r="T613" s="22">
        <f>IFERROR(__xludf.DUMMYFUNCTION("IFERROR(GOOGLEFINANCE(B613,""price""),"""")"),2.01)</f>
        <v>2.01</v>
      </c>
    </row>
    <row r="614">
      <c r="A614" s="7">
        <v>46065.62812385122</v>
      </c>
      <c r="B614" s="8" t="s">
        <v>1550</v>
      </c>
      <c r="C614" s="8" t="s">
        <v>1551</v>
      </c>
      <c r="D614" s="9">
        <v>46068.0</v>
      </c>
      <c r="E614" s="10">
        <v>3.0901</v>
      </c>
      <c r="F614" s="26">
        <v>1.1484</v>
      </c>
      <c r="G614" s="12">
        <v>2.3890181E7</v>
      </c>
      <c r="H614" s="8" t="s">
        <v>102</v>
      </c>
      <c r="I614" s="11">
        <v>-23.8892</v>
      </c>
      <c r="J614" s="12">
        <v>5.18487851E8</v>
      </c>
      <c r="K614" s="23"/>
      <c r="L614" s="13">
        <v>-0.9498</v>
      </c>
      <c r="M614" s="8" t="s">
        <v>1552</v>
      </c>
      <c r="N614" s="8" t="s">
        <v>5536</v>
      </c>
      <c r="O614" s="13">
        <v>-111.4363</v>
      </c>
      <c r="P614" s="13">
        <v>-140.0055</v>
      </c>
      <c r="Q614" s="13">
        <v>-35.9855</v>
      </c>
      <c r="R614" s="13">
        <v>0.7752</v>
      </c>
      <c r="S614" s="13">
        <v>0.6278</v>
      </c>
      <c r="T614" s="14">
        <f>IFERROR(__xludf.DUMMYFUNCTION("IFERROR(GOOGLEFINANCE(B614,""price""),"""")"),3.26)</f>
        <v>3.26</v>
      </c>
    </row>
    <row r="615">
      <c r="A615" s="15">
        <v>46065.62812385122</v>
      </c>
      <c r="B615" s="16" t="s">
        <v>5567</v>
      </c>
      <c r="C615" s="16" t="s">
        <v>5568</v>
      </c>
      <c r="D615" s="17">
        <v>46068.0</v>
      </c>
      <c r="E615" s="18">
        <v>139.9399</v>
      </c>
      <c r="F615" s="27">
        <v>1.1421</v>
      </c>
      <c r="G615" s="20">
        <v>1.2060985E7</v>
      </c>
      <c r="H615" s="16" t="s">
        <v>308</v>
      </c>
      <c r="I615" s="19">
        <v>-10.0296</v>
      </c>
      <c r="J615" s="20">
        <v>3.9259887846E10</v>
      </c>
      <c r="K615" s="24"/>
      <c r="L615" s="21">
        <v>-0.3809</v>
      </c>
      <c r="M615" s="16" t="s">
        <v>5569</v>
      </c>
      <c r="N615" s="16" t="s">
        <v>5433</v>
      </c>
      <c r="O615" s="21">
        <v>-13.2874</v>
      </c>
      <c r="P615" s="21">
        <v>5.4633</v>
      </c>
      <c r="Q615" s="21">
        <v>37.3263</v>
      </c>
      <c r="R615" s="21">
        <v>3.8975</v>
      </c>
      <c r="S615" s="21">
        <v>5.9285</v>
      </c>
      <c r="T615" s="22">
        <f>IFERROR(__xludf.DUMMYFUNCTION("IFERROR(GOOGLEFINANCE(B615,""price""),"""")"),166.7)</f>
        <v>166.7</v>
      </c>
    </row>
    <row r="616">
      <c r="A616" s="7">
        <v>46065.62812385122</v>
      </c>
      <c r="B616" s="8" t="s">
        <v>5554</v>
      </c>
      <c r="C616" s="8" t="s">
        <v>5555</v>
      </c>
      <c r="D616" s="9">
        <v>46068.0</v>
      </c>
      <c r="E616" s="10">
        <v>81.11</v>
      </c>
      <c r="F616" s="26">
        <v>1.107</v>
      </c>
      <c r="G616" s="12">
        <v>2.7279272E7</v>
      </c>
      <c r="H616" s="8" t="s">
        <v>873</v>
      </c>
      <c r="I616" s="11">
        <v>-16.3124</v>
      </c>
      <c r="J616" s="12">
        <v>2.9799918498E10</v>
      </c>
      <c r="K616" s="23"/>
      <c r="L616" s="13">
        <v>-1.2452</v>
      </c>
      <c r="M616" s="8" t="s">
        <v>5556</v>
      </c>
      <c r="N616" s="8" t="s">
        <v>5557</v>
      </c>
      <c r="O616" s="13">
        <v>-39.2195</v>
      </c>
      <c r="P616" s="13">
        <v>-1479.4668</v>
      </c>
      <c r="Q616" s="13">
        <v>641.24</v>
      </c>
      <c r="R616" s="13">
        <v>0.5824</v>
      </c>
      <c r="S616" s="13">
        <v>9.5602</v>
      </c>
      <c r="T616" s="14">
        <f>IFERROR(__xludf.DUMMYFUNCTION("IFERROR(GOOGLEFINANCE(B616,""price""),"""")"),94.9)</f>
        <v>94.9</v>
      </c>
    </row>
    <row r="617">
      <c r="A617" s="15">
        <v>46065.62812385122</v>
      </c>
      <c r="B617" s="16" t="s">
        <v>2300</v>
      </c>
      <c r="C617" s="16" t="s">
        <v>2301</v>
      </c>
      <c r="D617" s="17">
        <v>46068.0</v>
      </c>
      <c r="E617" s="18">
        <v>23.445</v>
      </c>
      <c r="F617" s="27">
        <v>1.0947</v>
      </c>
      <c r="G617" s="20">
        <v>1.2812059E7</v>
      </c>
      <c r="H617" s="16" t="s">
        <v>88</v>
      </c>
      <c r="I617" s="19">
        <v>-0.6568</v>
      </c>
      <c r="J617" s="20">
        <v>6.872638732E9</v>
      </c>
      <c r="K617" s="21">
        <v>15.3255</v>
      </c>
      <c r="L617" s="21">
        <v>1.5298</v>
      </c>
      <c r="M617" s="16" t="s">
        <v>2302</v>
      </c>
      <c r="N617" s="16" t="s">
        <v>5429</v>
      </c>
      <c r="O617" s="21">
        <v>32.9115</v>
      </c>
      <c r="P617" s="21">
        <v>3.8913</v>
      </c>
      <c r="Q617" s="21">
        <v>50.905</v>
      </c>
      <c r="R617" s="21">
        <v>0.4455</v>
      </c>
      <c r="S617" s="21">
        <v>1.9333</v>
      </c>
      <c r="T617" s="22">
        <f>IFERROR(__xludf.DUMMYFUNCTION("IFERROR(GOOGLEFINANCE(B617,""price""),"""")"),24.0)</f>
        <v>24</v>
      </c>
    </row>
    <row r="618">
      <c r="A618" s="7">
        <v>46065.62812385122</v>
      </c>
      <c r="B618" s="8" t="s">
        <v>5561</v>
      </c>
      <c r="C618" s="8" t="s">
        <v>5562</v>
      </c>
      <c r="D618" s="9">
        <v>46068.0</v>
      </c>
      <c r="E618" s="10">
        <v>14.105</v>
      </c>
      <c r="F618" s="26">
        <v>1.0911</v>
      </c>
      <c r="G618" s="12">
        <v>2.9703569E7</v>
      </c>
      <c r="H618" s="8" t="s">
        <v>102</v>
      </c>
      <c r="I618" s="11">
        <v>-9.4091</v>
      </c>
      <c r="J618" s="12">
        <v>4.269930037E9</v>
      </c>
      <c r="K618" s="23"/>
      <c r="L618" s="13">
        <v>-2.8582</v>
      </c>
      <c r="M618" s="8" t="s">
        <v>5563</v>
      </c>
      <c r="N618" s="8" t="s">
        <v>5536</v>
      </c>
      <c r="O618" s="13">
        <v>-76.8505</v>
      </c>
      <c r="P618" s="13">
        <v>-983.9643</v>
      </c>
      <c r="Q618" s="13">
        <v>765.6686</v>
      </c>
      <c r="R618" s="13">
        <v>0.0</v>
      </c>
      <c r="S618" s="13">
        <v>1.6153</v>
      </c>
      <c r="T618" s="14">
        <f>IFERROR(__xludf.DUMMYFUNCTION("IFERROR(GOOGLEFINANCE(B618,""price""),"""")"),9.21)</f>
        <v>9.21</v>
      </c>
    </row>
    <row r="619">
      <c r="A619" s="15">
        <v>46065.62812385122</v>
      </c>
      <c r="B619" s="16" t="s">
        <v>5870</v>
      </c>
      <c r="C619" s="16" t="s">
        <v>5871</v>
      </c>
      <c r="D619" s="17">
        <v>46068.0</v>
      </c>
      <c r="E619" s="18">
        <v>12.9</v>
      </c>
      <c r="F619" s="27">
        <v>1.0693</v>
      </c>
      <c r="G619" s="20">
        <v>1.3161431E7</v>
      </c>
      <c r="H619" s="16" t="s">
        <v>88</v>
      </c>
      <c r="I619" s="19">
        <v>-21.0043</v>
      </c>
      <c r="J619" s="20">
        <v>2.118102199E9</v>
      </c>
      <c r="K619" s="24"/>
      <c r="L619" s="21">
        <v>-0.5936</v>
      </c>
      <c r="M619" s="16" t="s">
        <v>5872</v>
      </c>
      <c r="N619" s="16" t="s">
        <v>5429</v>
      </c>
      <c r="O619" s="21">
        <v>-6.3432</v>
      </c>
      <c r="P619" s="21">
        <v>-0.1219</v>
      </c>
      <c r="Q619" s="21">
        <v>26.1978</v>
      </c>
      <c r="R619" s="21">
        <v>0.4348</v>
      </c>
      <c r="S619" s="21">
        <v>1.2688</v>
      </c>
      <c r="T619" s="22">
        <f>IFERROR(__xludf.DUMMYFUNCTION("IFERROR(GOOGLEFINANCE(B619,""price""),"""")"),16.06)</f>
        <v>16.06</v>
      </c>
    </row>
    <row r="620">
      <c r="A620" s="7">
        <v>46065.62812385122</v>
      </c>
      <c r="B620" s="8" t="s">
        <v>5422</v>
      </c>
      <c r="C620" s="8" t="s">
        <v>5423</v>
      </c>
      <c r="D620" s="9">
        <v>46068.0</v>
      </c>
      <c r="E620" s="10">
        <v>18.73</v>
      </c>
      <c r="F620" s="26">
        <v>1.0516</v>
      </c>
      <c r="G620" s="12">
        <v>2.8155881E7</v>
      </c>
      <c r="H620" s="8" t="s">
        <v>102</v>
      </c>
      <c r="I620" s="11">
        <v>-13.9642</v>
      </c>
      <c r="J620" s="12">
        <v>4.082028335E9</v>
      </c>
      <c r="K620" s="23"/>
      <c r="L620" s="13">
        <v>-2.5128</v>
      </c>
      <c r="M620" s="8" t="s">
        <v>5424</v>
      </c>
      <c r="N620" s="8" t="s">
        <v>5425</v>
      </c>
      <c r="O620" s="13">
        <v>-255.9098</v>
      </c>
      <c r="P620" s="23"/>
      <c r="Q620" s="23"/>
      <c r="R620" s="23"/>
      <c r="S620" s="13">
        <v>16.5111</v>
      </c>
      <c r="T620" s="14">
        <f>IFERROR(__xludf.DUMMYFUNCTION("IFERROR(GOOGLEFINANCE(B620,""price""),"""")"),16.15)</f>
        <v>16.15</v>
      </c>
    </row>
    <row r="621">
      <c r="A621" s="15">
        <v>46065.62812385122</v>
      </c>
      <c r="B621" s="16" t="s">
        <v>5517</v>
      </c>
      <c r="C621" s="16" t="s">
        <v>5518</v>
      </c>
      <c r="D621" s="17">
        <v>46068.0</v>
      </c>
      <c r="E621" s="18">
        <v>7.875</v>
      </c>
      <c r="F621" s="27">
        <v>1.0293</v>
      </c>
      <c r="G621" s="20">
        <v>2.08761E7</v>
      </c>
      <c r="H621" s="16" t="s">
        <v>308</v>
      </c>
      <c r="I621" s="19">
        <v>-12.5971</v>
      </c>
      <c r="J621" s="20">
        <v>1.300562484E9</v>
      </c>
      <c r="K621" s="24"/>
      <c r="L621" s="21">
        <v>-3.1791</v>
      </c>
      <c r="M621" s="16" t="s">
        <v>5519</v>
      </c>
      <c r="N621" s="16" t="s">
        <v>5520</v>
      </c>
      <c r="O621" s="21">
        <v>-50.0822</v>
      </c>
      <c r="P621" s="21">
        <v>-46.1858</v>
      </c>
      <c r="Q621" s="21">
        <v>-0.6305</v>
      </c>
      <c r="R621" s="21">
        <v>0.3596</v>
      </c>
      <c r="S621" s="21">
        <v>1.4082</v>
      </c>
      <c r="T621" s="22">
        <f>IFERROR(__xludf.DUMMYFUNCTION("IFERROR(GOOGLEFINANCE(B621,""price""),"""")"),9.29)</f>
        <v>9.29</v>
      </c>
    </row>
    <row r="622">
      <c r="A622" s="7">
        <v>46065.62812385122</v>
      </c>
      <c r="B622" s="8" t="s">
        <v>5558</v>
      </c>
      <c r="C622" s="8" t="s">
        <v>5559</v>
      </c>
      <c r="D622" s="9">
        <v>46068.0</v>
      </c>
      <c r="E622" s="10">
        <v>10.7568</v>
      </c>
      <c r="F622" s="26">
        <v>1.0273</v>
      </c>
      <c r="G622" s="12">
        <v>1.4960397E7</v>
      </c>
      <c r="H622" s="8" t="s">
        <v>102</v>
      </c>
      <c r="I622" s="11">
        <v>-7.1088</v>
      </c>
      <c r="J622" s="12">
        <v>3.486259226E9</v>
      </c>
      <c r="K622" s="23"/>
      <c r="L622" s="13">
        <v>-8.3559</v>
      </c>
      <c r="M622" s="8" t="s">
        <v>5560</v>
      </c>
      <c r="N622" s="8" t="s">
        <v>5536</v>
      </c>
      <c r="O622" s="23"/>
      <c r="P622" s="13">
        <v>-351.0117</v>
      </c>
      <c r="Q622" s="13">
        <v>324.0994</v>
      </c>
      <c r="R622" s="23"/>
      <c r="S622" s="13">
        <v>1.8261</v>
      </c>
      <c r="T622" s="14">
        <f>IFERROR(__xludf.DUMMYFUNCTION("IFERROR(GOOGLEFINANCE(B622,""price""),"""")"),5.62)</f>
        <v>5.62</v>
      </c>
    </row>
    <row r="623">
      <c r="A623" s="15">
        <v>46065.62812385122</v>
      </c>
      <c r="B623" s="16" t="s">
        <v>5484</v>
      </c>
      <c r="C623" s="16" t="s">
        <v>5485</v>
      </c>
      <c r="D623" s="17">
        <v>46068.0</v>
      </c>
      <c r="E623" s="18">
        <v>40.0</v>
      </c>
      <c r="F623" s="27">
        <v>1.0087</v>
      </c>
      <c r="G623" s="20">
        <v>2.620061E7</v>
      </c>
      <c r="H623" s="16" t="s">
        <v>88</v>
      </c>
      <c r="I623" s="19">
        <v>-6.2573</v>
      </c>
      <c r="J623" s="20">
        <v>1.3270366943E10</v>
      </c>
      <c r="K623" s="21">
        <v>45.8295</v>
      </c>
      <c r="L623" s="21">
        <v>0.8728</v>
      </c>
      <c r="M623" s="16" t="s">
        <v>5486</v>
      </c>
      <c r="N623" s="16" t="s">
        <v>5471</v>
      </c>
      <c r="O623" s="21">
        <v>22.5116</v>
      </c>
      <c r="P623" s="21">
        <v>-13.85</v>
      </c>
      <c r="Q623" s="21">
        <v>123.3192</v>
      </c>
      <c r="R623" s="21">
        <v>1.5302</v>
      </c>
      <c r="S623" s="21">
        <v>4.9601</v>
      </c>
      <c r="T623" s="22">
        <f>IFERROR(__xludf.DUMMYFUNCTION("IFERROR(GOOGLEFINANCE(B623,""price""),"""")"),39.32)</f>
        <v>39.32</v>
      </c>
    </row>
    <row r="624">
      <c r="A624" s="7">
        <v>46065.62812385122</v>
      </c>
      <c r="B624" s="8" t="s">
        <v>5594</v>
      </c>
      <c r="C624" s="8" t="s">
        <v>5595</v>
      </c>
      <c r="D624" s="9">
        <v>46068.0</v>
      </c>
      <c r="E624" s="10">
        <v>15.845</v>
      </c>
      <c r="F624" s="26">
        <v>0.9909</v>
      </c>
      <c r="G624" s="12">
        <v>3.5641142E7</v>
      </c>
      <c r="H624" s="8" t="s">
        <v>88</v>
      </c>
      <c r="I624" s="11">
        <v>-1.1541</v>
      </c>
      <c r="J624" s="12">
        <v>6.634014748E9</v>
      </c>
      <c r="K624" s="23"/>
      <c r="L624" s="13">
        <v>-1.4167</v>
      </c>
      <c r="M624" s="8" t="s">
        <v>5596</v>
      </c>
      <c r="N624" s="8" t="s">
        <v>5471</v>
      </c>
      <c r="O624" s="13">
        <v>-181.9547</v>
      </c>
      <c r="P624" s="13">
        <v>-69.885</v>
      </c>
      <c r="Q624" s="13">
        <v>30.5825</v>
      </c>
      <c r="R624" s="13">
        <v>4.3877</v>
      </c>
      <c r="S624" s="13">
        <v>1.0329</v>
      </c>
      <c r="T624" s="14">
        <f>IFERROR(__xludf.DUMMYFUNCTION("IFERROR(GOOGLEFINANCE(B624,""price""),"""")"),18.88)</f>
        <v>18.88</v>
      </c>
    </row>
    <row r="625">
      <c r="A625" s="15">
        <v>46065.62812385122</v>
      </c>
      <c r="B625" s="16" t="s">
        <v>5434</v>
      </c>
      <c r="C625" s="16" t="s">
        <v>5435</v>
      </c>
      <c r="D625" s="17">
        <v>46068.0</v>
      </c>
      <c r="E625" s="18">
        <v>8.869</v>
      </c>
      <c r="F625" s="27">
        <v>0.9785</v>
      </c>
      <c r="G625" s="20">
        <v>5.3977884E7</v>
      </c>
      <c r="H625" s="16" t="s">
        <v>308</v>
      </c>
      <c r="I625" s="19">
        <v>-3.9112</v>
      </c>
      <c r="J625" s="20">
        <v>3.747830859E9</v>
      </c>
      <c r="K625" s="24"/>
      <c r="L625" s="21">
        <v>-0.4034</v>
      </c>
      <c r="M625" s="16" t="s">
        <v>5436</v>
      </c>
      <c r="N625" s="16" t="s">
        <v>5437</v>
      </c>
      <c r="O625" s="21">
        <v>-17.0422</v>
      </c>
      <c r="P625" s="21">
        <v>-176.0921</v>
      </c>
      <c r="Q625" s="21">
        <v>208.4002</v>
      </c>
      <c r="R625" s="21">
        <v>0.037</v>
      </c>
      <c r="S625" s="21">
        <v>15.2957</v>
      </c>
      <c r="T625" s="22">
        <f>IFERROR(__xludf.DUMMYFUNCTION("IFERROR(GOOGLEFINANCE(B625,""price""),"""")"),9.13)</f>
        <v>9.13</v>
      </c>
    </row>
    <row r="626">
      <c r="A626" s="7">
        <v>46065.62812385122</v>
      </c>
      <c r="B626" s="8" t="s">
        <v>5591</v>
      </c>
      <c r="C626" s="8" t="s">
        <v>5592</v>
      </c>
      <c r="D626" s="9">
        <v>46068.0</v>
      </c>
      <c r="E626" s="10">
        <v>8.34</v>
      </c>
      <c r="F626" s="26">
        <v>0.9785</v>
      </c>
      <c r="G626" s="12">
        <v>1.4456631E7</v>
      </c>
      <c r="H626" s="8" t="s">
        <v>308</v>
      </c>
      <c r="I626" s="11">
        <v>-4.7945</v>
      </c>
      <c r="J626" s="12">
        <v>1.922338236E9</v>
      </c>
      <c r="K626" s="23"/>
      <c r="L626" s="13">
        <v>-0.6396</v>
      </c>
      <c r="M626" s="8" t="s">
        <v>5593</v>
      </c>
      <c r="N626" s="8" t="s">
        <v>5414</v>
      </c>
      <c r="O626" s="13">
        <v>-33.2524</v>
      </c>
      <c r="P626" s="13">
        <v>-181.4004</v>
      </c>
      <c r="Q626" s="13">
        <v>-38.0644</v>
      </c>
      <c r="R626" s="13">
        <v>0.0241</v>
      </c>
      <c r="S626" s="13">
        <v>7.9353</v>
      </c>
      <c r="T626" s="14">
        <f>IFERROR(__xludf.DUMMYFUNCTION("IFERROR(GOOGLEFINANCE(B626,""price""),"""")"),9.54)</f>
        <v>9.54</v>
      </c>
    </row>
    <row r="627">
      <c r="A627" s="15">
        <v>46065.62812385122</v>
      </c>
      <c r="B627" s="16" t="s">
        <v>5818</v>
      </c>
      <c r="C627" s="16" t="s">
        <v>5819</v>
      </c>
      <c r="D627" s="17">
        <v>46068.0</v>
      </c>
      <c r="E627" s="18">
        <v>7.785</v>
      </c>
      <c r="F627" s="27">
        <v>0.9688</v>
      </c>
      <c r="G627" s="20">
        <v>2.2343642E7</v>
      </c>
      <c r="H627" s="16" t="s">
        <v>102</v>
      </c>
      <c r="I627" s="19">
        <v>-11.7347</v>
      </c>
      <c r="J627" s="20">
        <v>4.681199294E9</v>
      </c>
      <c r="K627" s="24"/>
      <c r="L627" s="21">
        <v>-0.8108</v>
      </c>
      <c r="M627" s="16" t="s">
        <v>5820</v>
      </c>
      <c r="N627" s="16" t="s">
        <v>5536</v>
      </c>
      <c r="O627" s="21">
        <v>-37.3944</v>
      </c>
      <c r="P627" s="24"/>
      <c r="Q627" s="24"/>
      <c r="R627" s="21">
        <v>0.0607</v>
      </c>
      <c r="S627" s="21">
        <v>15.9497</v>
      </c>
      <c r="T627" s="22">
        <f>IFERROR(__xludf.DUMMYFUNCTION("IFERROR(GOOGLEFINANCE(B627,""price""),"""")"),6.36)</f>
        <v>6.36</v>
      </c>
    </row>
    <row r="628">
      <c r="A628" s="7">
        <v>46065.62812385122</v>
      </c>
      <c r="B628" s="8" t="s">
        <v>5533</v>
      </c>
      <c r="C628" s="8" t="s">
        <v>5534</v>
      </c>
      <c r="D628" s="9">
        <v>46068.0</v>
      </c>
      <c r="E628" s="10">
        <v>6.195</v>
      </c>
      <c r="F628" s="26">
        <v>0.9648</v>
      </c>
      <c r="G628" s="12">
        <v>2.0934255E7</v>
      </c>
      <c r="H628" s="8" t="s">
        <v>102</v>
      </c>
      <c r="I628" s="11">
        <v>-9.562</v>
      </c>
      <c r="J628" s="12">
        <v>1.676198566E9</v>
      </c>
      <c r="K628" s="23"/>
      <c r="L628" s="13">
        <v>-3.7839</v>
      </c>
      <c r="M628" s="8" t="s">
        <v>5535</v>
      </c>
      <c r="N628" s="8" t="s">
        <v>5536</v>
      </c>
      <c r="O628" s="13">
        <v>-55.984</v>
      </c>
      <c r="P628" s="13">
        <v>-31.1477</v>
      </c>
      <c r="Q628" s="23"/>
      <c r="R628" s="13">
        <v>4.5088</v>
      </c>
      <c r="S628" s="13">
        <v>1.1293</v>
      </c>
      <c r="T628" s="14">
        <f>IFERROR(__xludf.DUMMYFUNCTION("IFERROR(GOOGLEFINANCE(B628,""price""),"""")"),4.69)</f>
        <v>4.69</v>
      </c>
    </row>
    <row r="629">
      <c r="A629" s="15">
        <v>46065.62812385122</v>
      </c>
      <c r="B629" s="16" t="s">
        <v>5668</v>
      </c>
      <c r="C629" s="16" t="s">
        <v>5669</v>
      </c>
      <c r="D629" s="17">
        <v>46068.0</v>
      </c>
      <c r="E629" s="18">
        <v>8.1</v>
      </c>
      <c r="F629" s="27">
        <v>0.9648</v>
      </c>
      <c r="G629" s="20">
        <v>1.0521279E7</v>
      </c>
      <c r="H629" s="16" t="s">
        <v>88</v>
      </c>
      <c r="I629" s="19">
        <v>-5.1522</v>
      </c>
      <c r="J629" s="20">
        <v>1.815398649E9</v>
      </c>
      <c r="K629" s="24"/>
      <c r="L629" s="21">
        <v>-0.6048</v>
      </c>
      <c r="M629" s="16" t="s">
        <v>5670</v>
      </c>
      <c r="N629" s="16" t="s">
        <v>5664</v>
      </c>
      <c r="O629" s="21">
        <v>-14.4858</v>
      </c>
      <c r="P629" s="21">
        <v>-6918.4982</v>
      </c>
      <c r="Q629" s="21">
        <v>41.5072</v>
      </c>
      <c r="R629" s="21">
        <v>0.0029</v>
      </c>
      <c r="S629" s="21">
        <v>154.8687</v>
      </c>
      <c r="T629" s="22">
        <f>IFERROR(__xludf.DUMMYFUNCTION("IFERROR(GOOGLEFINANCE(B629,""price""),"""")"),7.06)</f>
        <v>7.06</v>
      </c>
    </row>
    <row r="630">
      <c r="A630" s="7">
        <v>46065.62812385122</v>
      </c>
      <c r="B630" s="8" t="s">
        <v>5734</v>
      </c>
      <c r="C630" s="8" t="s">
        <v>5735</v>
      </c>
      <c r="D630" s="9">
        <v>46068.0</v>
      </c>
      <c r="E630" s="10">
        <v>31.06</v>
      </c>
      <c r="F630" s="26">
        <v>0.9629</v>
      </c>
      <c r="G630" s="12">
        <v>1.2870601E7</v>
      </c>
      <c r="H630" s="8" t="s">
        <v>308</v>
      </c>
      <c r="I630" s="11">
        <v>-7.587</v>
      </c>
      <c r="J630" s="12">
        <v>1.1003924639E10</v>
      </c>
      <c r="K630" s="23"/>
      <c r="L630" s="13">
        <v>-5.3543</v>
      </c>
      <c r="M630" s="8" t="s">
        <v>5736</v>
      </c>
      <c r="N630" s="8" t="s">
        <v>5674</v>
      </c>
      <c r="O630" s="13">
        <v>-108.2332</v>
      </c>
      <c r="P630" s="13">
        <v>-564.3908</v>
      </c>
      <c r="Q630" s="13">
        <v>113.0721</v>
      </c>
      <c r="R630" s="13">
        <v>0.0125</v>
      </c>
      <c r="S630" s="13">
        <v>8.7256</v>
      </c>
      <c r="T630" s="14">
        <f>IFERROR(__xludf.DUMMYFUNCTION("IFERROR(GOOGLEFINANCE(B630,""price""),"""")"),28.79)</f>
        <v>28.79</v>
      </c>
    </row>
    <row r="631">
      <c r="A631" s="15">
        <v>46065.62812385122</v>
      </c>
      <c r="B631" s="16" t="s">
        <v>5574</v>
      </c>
      <c r="C631" s="16" t="s">
        <v>5575</v>
      </c>
      <c r="D631" s="17">
        <v>46068.0</v>
      </c>
      <c r="E631" s="18">
        <v>21.235</v>
      </c>
      <c r="F631" s="27">
        <v>0.9605</v>
      </c>
      <c r="G631" s="20">
        <v>1.1038568E7</v>
      </c>
      <c r="H631" s="16" t="s">
        <v>335</v>
      </c>
      <c r="I631" s="19">
        <v>-5.4541</v>
      </c>
      <c r="J631" s="20">
        <v>5.03878411E9</v>
      </c>
      <c r="K631" s="24"/>
      <c r="L631" s="21">
        <v>-0.4849</v>
      </c>
      <c r="M631" s="16" t="s">
        <v>5576</v>
      </c>
      <c r="N631" s="16" t="s">
        <v>5506</v>
      </c>
      <c r="O631" s="21">
        <v>-18.1731</v>
      </c>
      <c r="P631" s="21">
        <v>-129.5586</v>
      </c>
      <c r="Q631" s="21">
        <v>103.694</v>
      </c>
      <c r="R631" s="21">
        <v>0.0</v>
      </c>
      <c r="S631" s="21">
        <v>11.4962</v>
      </c>
      <c r="T631" s="22">
        <f>IFERROR(__xludf.DUMMYFUNCTION("IFERROR(GOOGLEFINANCE(B631,""price""),"""")"),18.4)</f>
        <v>18.4</v>
      </c>
    </row>
    <row r="632">
      <c r="A632" s="7">
        <v>46066.62589308855</v>
      </c>
      <c r="B632" s="8" t="s">
        <v>5655</v>
      </c>
      <c r="C632" s="8" t="s">
        <v>5656</v>
      </c>
      <c r="D632" s="9">
        <v>46068.0</v>
      </c>
      <c r="E632" s="10">
        <v>4.94</v>
      </c>
      <c r="F632" s="26">
        <v>1.3828</v>
      </c>
      <c r="G632" s="12">
        <v>1.1475717E7</v>
      </c>
      <c r="H632" s="8" t="s">
        <v>88</v>
      </c>
      <c r="I632" s="11">
        <v>-0.4032</v>
      </c>
      <c r="J632" s="12">
        <v>3.165441308E9</v>
      </c>
      <c r="K632" s="23"/>
      <c r="L632" s="13">
        <v>-0.0054</v>
      </c>
      <c r="M632" s="8" t="s">
        <v>5657</v>
      </c>
      <c r="N632" s="8" t="s">
        <v>5429</v>
      </c>
      <c r="O632" s="13">
        <v>-0.1405</v>
      </c>
      <c r="P632" s="13">
        <v>7.955</v>
      </c>
      <c r="Q632" s="13">
        <v>10.644</v>
      </c>
      <c r="R632" s="13">
        <v>0.5124</v>
      </c>
      <c r="S632" s="13">
        <v>1.4114</v>
      </c>
      <c r="T632" s="14">
        <f>IFERROR(__xludf.DUMMYFUNCTION("IFERROR(GOOGLEFINANCE(B632,""price""),"""")"),4.99)</f>
        <v>4.99</v>
      </c>
    </row>
    <row r="633">
      <c r="A633" s="15">
        <v>46066.62589308855</v>
      </c>
      <c r="B633" s="16" t="s">
        <v>5514</v>
      </c>
      <c r="C633" s="16" t="s">
        <v>5515</v>
      </c>
      <c r="D633" s="17">
        <v>46068.0</v>
      </c>
      <c r="E633" s="18">
        <v>6.005</v>
      </c>
      <c r="F633" s="27">
        <v>1.2051</v>
      </c>
      <c r="G633" s="20">
        <v>3.5252078E7</v>
      </c>
      <c r="H633" s="16" t="s">
        <v>117</v>
      </c>
      <c r="I633" s="19">
        <v>-9.29</v>
      </c>
      <c r="J633" s="20">
        <v>5.914715983E9</v>
      </c>
      <c r="K633" s="24"/>
      <c r="L633" s="21">
        <v>-0.4205</v>
      </c>
      <c r="M633" s="16" t="s">
        <v>5516</v>
      </c>
      <c r="N633" s="16" t="s">
        <v>5491</v>
      </c>
      <c r="O633" s="24"/>
      <c r="P633" s="21">
        <v>-315.8428</v>
      </c>
      <c r="Q633" s="21">
        <v>1025.9547</v>
      </c>
      <c r="R633" s="24"/>
      <c r="S633" s="21">
        <v>5.7671</v>
      </c>
      <c r="T633" s="22">
        <f>IFERROR(__xludf.DUMMYFUNCTION("IFERROR(GOOGLEFINANCE(B633,""price""),"""")"),7.28)</f>
        <v>7.28</v>
      </c>
    </row>
    <row r="634">
      <c r="A634" s="7">
        <v>46066.62589308855</v>
      </c>
      <c r="B634" s="8" t="s">
        <v>5623</v>
      </c>
      <c r="C634" s="8" t="s">
        <v>5624</v>
      </c>
      <c r="D634" s="9">
        <v>46068.0</v>
      </c>
      <c r="E634" s="10">
        <v>4.465</v>
      </c>
      <c r="F634" s="26">
        <v>1.0625</v>
      </c>
      <c r="G634" s="12">
        <v>1.3451412E7</v>
      </c>
      <c r="H634" s="8" t="s">
        <v>88</v>
      </c>
      <c r="I634" s="11">
        <v>5.8057</v>
      </c>
      <c r="J634" s="12">
        <v>8.745605982E9</v>
      </c>
      <c r="K634" s="23"/>
      <c r="L634" s="13">
        <v>-0.4446</v>
      </c>
      <c r="M634" s="8" t="s">
        <v>5625</v>
      </c>
      <c r="N634" s="8" t="s">
        <v>5429</v>
      </c>
      <c r="O634" s="13">
        <v>-40.6476</v>
      </c>
      <c r="P634" s="13">
        <v>-30033.3333</v>
      </c>
      <c r="Q634" s="23"/>
      <c r="R634" s="13">
        <v>0.0393</v>
      </c>
      <c r="S634" s="13">
        <v>11.8649</v>
      </c>
      <c r="T634" s="14">
        <f>IFERROR(__xludf.DUMMYFUNCTION("IFERROR(GOOGLEFINANCE(B634,""price""),"""")"),4.15)</f>
        <v>4.15</v>
      </c>
    </row>
    <row r="635">
      <c r="A635" s="15">
        <v>46066.62589308855</v>
      </c>
      <c r="B635" s="16" t="s">
        <v>5836</v>
      </c>
      <c r="C635" s="16" t="s">
        <v>5837</v>
      </c>
      <c r="D635" s="17">
        <v>46068.0</v>
      </c>
      <c r="E635" s="18">
        <v>10.3</v>
      </c>
      <c r="F635" s="27">
        <v>0.9883</v>
      </c>
      <c r="G635" s="20">
        <v>9899468.0</v>
      </c>
      <c r="H635" s="16" t="s">
        <v>93</v>
      </c>
      <c r="I635" s="19">
        <v>11.2311</v>
      </c>
      <c r="J635" s="20">
        <v>6.32446168E9</v>
      </c>
      <c r="K635" s="24"/>
      <c r="L635" s="24"/>
      <c r="M635" s="16" t="s">
        <v>5838</v>
      </c>
      <c r="N635" s="16" t="s">
        <v>5839</v>
      </c>
      <c r="O635" s="24"/>
      <c r="P635" s="24"/>
      <c r="Q635" s="24"/>
      <c r="R635" s="21">
        <v>0.4147</v>
      </c>
      <c r="S635" s="21">
        <v>2.8104</v>
      </c>
      <c r="T635" s="22">
        <f>IFERROR(__xludf.DUMMYFUNCTION("IFERROR(GOOGLEFINANCE(B635,""price""),"""")"),4.87)</f>
        <v>4.87</v>
      </c>
    </row>
    <row r="636">
      <c r="A636" s="7">
        <v>46066.62589308855</v>
      </c>
      <c r="B636" s="8" t="s">
        <v>5873</v>
      </c>
      <c r="C636" s="8" t="s">
        <v>5874</v>
      </c>
      <c r="D636" s="9">
        <v>46068.0</v>
      </c>
      <c r="E636" s="10">
        <v>35.36</v>
      </c>
      <c r="F636" s="26">
        <v>0.9834</v>
      </c>
      <c r="G636" s="12">
        <v>1.5725207E7</v>
      </c>
      <c r="H636" s="8" t="s">
        <v>162</v>
      </c>
      <c r="I636" s="11">
        <v>6.3779</v>
      </c>
      <c r="J636" s="12">
        <v>9.283165898E9</v>
      </c>
      <c r="K636" s="13">
        <v>19.42</v>
      </c>
      <c r="L636" s="13">
        <v>1.8208</v>
      </c>
      <c r="M636" s="8" t="s">
        <v>5875</v>
      </c>
      <c r="N636" s="8" t="s">
        <v>5475</v>
      </c>
      <c r="O636" s="13">
        <v>15.3273</v>
      </c>
      <c r="P636" s="13">
        <v>16.6804</v>
      </c>
      <c r="Q636" s="13">
        <v>10.1577</v>
      </c>
      <c r="R636" s="13">
        <v>0.0101</v>
      </c>
      <c r="S636" s="13">
        <v>3.643</v>
      </c>
      <c r="T636" s="14">
        <f>IFERROR(__xludf.DUMMYFUNCTION("IFERROR(GOOGLEFINANCE(B636,""price""),"""")"),39.25)</f>
        <v>39.25</v>
      </c>
    </row>
    <row r="637">
      <c r="A637" s="15">
        <v>46066.62589308855</v>
      </c>
      <c r="B637" s="16" t="s">
        <v>5876</v>
      </c>
      <c r="C637" s="16" t="s">
        <v>5877</v>
      </c>
      <c r="D637" s="17">
        <v>46068.0</v>
      </c>
      <c r="E637" s="18">
        <v>12.205</v>
      </c>
      <c r="F637" s="27">
        <v>0.918</v>
      </c>
      <c r="G637" s="20">
        <v>8583536.0</v>
      </c>
      <c r="H637" s="16" t="s">
        <v>88</v>
      </c>
      <c r="I637" s="19">
        <v>7.6279</v>
      </c>
      <c r="J637" s="20">
        <v>2.789627884E9</v>
      </c>
      <c r="K637" s="21">
        <v>11.5819</v>
      </c>
      <c r="L637" s="21">
        <v>1.0538</v>
      </c>
      <c r="M637" s="16" t="s">
        <v>5878</v>
      </c>
      <c r="N637" s="16" t="s">
        <v>5471</v>
      </c>
      <c r="O637" s="24"/>
      <c r="P637" s="21">
        <v>4.5626</v>
      </c>
      <c r="Q637" s="21">
        <v>0.1059</v>
      </c>
      <c r="R637" s="24"/>
      <c r="S637" s="24"/>
      <c r="T637" s="22">
        <f>IFERROR(__xludf.DUMMYFUNCTION("IFERROR(GOOGLEFINANCE(B637,""price""),"""")"),12.23)</f>
        <v>12.23</v>
      </c>
    </row>
    <row r="638">
      <c r="A638" s="7">
        <v>46066.62589308855</v>
      </c>
      <c r="B638" s="8" t="s">
        <v>2300</v>
      </c>
      <c r="C638" s="8" t="s">
        <v>2301</v>
      </c>
      <c r="D638" s="9">
        <v>46068.0</v>
      </c>
      <c r="E638" s="10">
        <v>23.245</v>
      </c>
      <c r="F638" s="26">
        <v>0.8945</v>
      </c>
      <c r="G638" s="12">
        <v>7176661.0</v>
      </c>
      <c r="H638" s="8" t="s">
        <v>88</v>
      </c>
      <c r="I638" s="11">
        <v>-0.9587</v>
      </c>
      <c r="J638" s="12">
        <v>6.814010666E9</v>
      </c>
      <c r="K638" s="13">
        <v>15.1948</v>
      </c>
      <c r="L638" s="13">
        <v>1.5298</v>
      </c>
      <c r="M638" s="8" t="s">
        <v>2302</v>
      </c>
      <c r="N638" s="8" t="s">
        <v>5429</v>
      </c>
      <c r="O638" s="13">
        <v>32.9115</v>
      </c>
      <c r="P638" s="13">
        <v>3.8913</v>
      </c>
      <c r="Q638" s="13">
        <v>50.905</v>
      </c>
      <c r="R638" s="13">
        <v>0.4455</v>
      </c>
      <c r="S638" s="13">
        <v>1.9333</v>
      </c>
      <c r="T638" s="14">
        <f>IFERROR(__xludf.DUMMYFUNCTION("IFERROR(GOOGLEFINANCE(B638,""price""),"""")"),24.0)</f>
        <v>24</v>
      </c>
    </row>
    <row r="639">
      <c r="A639" s="15">
        <v>46066.62589308855</v>
      </c>
      <c r="B639" s="16" t="s">
        <v>5503</v>
      </c>
      <c r="C639" s="16" t="s">
        <v>5504</v>
      </c>
      <c r="D639" s="17">
        <v>46068.0</v>
      </c>
      <c r="E639" s="18">
        <v>9.2435</v>
      </c>
      <c r="F639" s="27">
        <v>0.8711</v>
      </c>
      <c r="G639" s="20">
        <v>7854933.0</v>
      </c>
      <c r="H639" s="16" t="s">
        <v>335</v>
      </c>
      <c r="I639" s="19">
        <v>-5.9669</v>
      </c>
      <c r="J639" s="20">
        <v>1.089845382E9</v>
      </c>
      <c r="K639" s="24"/>
      <c r="L639" s="21">
        <v>-0.5583</v>
      </c>
      <c r="M639" s="16" t="s">
        <v>5505</v>
      </c>
      <c r="N639" s="16" t="s">
        <v>5445</v>
      </c>
      <c r="O639" s="21">
        <v>-128.3047</v>
      </c>
      <c r="P639" s="24"/>
      <c r="Q639" s="24"/>
      <c r="R639" s="21">
        <v>0.064</v>
      </c>
      <c r="S639" s="21">
        <v>0.1282</v>
      </c>
      <c r="T639" s="22">
        <f>IFERROR(__xludf.DUMMYFUNCTION("IFERROR(GOOGLEFINANCE(B639,""price""),"""")"),8.87)</f>
        <v>8.87</v>
      </c>
    </row>
    <row r="640">
      <c r="A640" s="7">
        <v>46066.62589308855</v>
      </c>
      <c r="B640" s="8" t="s">
        <v>5879</v>
      </c>
      <c r="C640" s="8" t="s">
        <v>5880</v>
      </c>
      <c r="D640" s="9">
        <v>46068.0</v>
      </c>
      <c r="E640" s="10">
        <v>62.495</v>
      </c>
      <c r="F640" s="26">
        <v>0.8573</v>
      </c>
      <c r="G640" s="12">
        <v>7886441.0</v>
      </c>
      <c r="H640" s="8" t="s">
        <v>286</v>
      </c>
      <c r="I640" s="11">
        <v>1.0265</v>
      </c>
      <c r="J640" s="12">
        <v>8.0108940378E10</v>
      </c>
      <c r="K640" s="13">
        <v>33.0749</v>
      </c>
      <c r="L640" s="13">
        <v>1.8895</v>
      </c>
      <c r="M640" s="8" t="s">
        <v>5881</v>
      </c>
      <c r="N640" s="8" t="s">
        <v>5882</v>
      </c>
      <c r="O640" s="13">
        <v>9.2894</v>
      </c>
      <c r="P640" s="13">
        <v>12.3466</v>
      </c>
      <c r="Q640" s="13">
        <v>5.7518</v>
      </c>
      <c r="R640" s="13">
        <v>0.8502</v>
      </c>
      <c r="S640" s="13">
        <v>0.5923</v>
      </c>
      <c r="T640" s="14">
        <f>IFERROR(__xludf.DUMMYFUNCTION("IFERROR(GOOGLEFINANCE(B640,""price""),"""")"),59.0)</f>
        <v>59</v>
      </c>
    </row>
    <row r="641">
      <c r="A641" s="15">
        <v>46066.62589308855</v>
      </c>
      <c r="B641" s="16" t="s">
        <v>5792</v>
      </c>
      <c r="C641" s="16" t="s">
        <v>5793</v>
      </c>
      <c r="D641" s="17">
        <v>46068.0</v>
      </c>
      <c r="E641" s="18">
        <v>10.39</v>
      </c>
      <c r="F641" s="27">
        <v>0.8506</v>
      </c>
      <c r="G641" s="20">
        <v>1.4263538E7</v>
      </c>
      <c r="H641" s="16" t="s">
        <v>88</v>
      </c>
      <c r="I641" s="19">
        <v>0.6783</v>
      </c>
      <c r="J641" s="20">
        <v>7.525430321E9</v>
      </c>
      <c r="K641" s="24"/>
      <c r="L641" s="21">
        <v>-0.1129</v>
      </c>
      <c r="M641" s="16" t="s">
        <v>5794</v>
      </c>
      <c r="N641" s="16" t="s">
        <v>5429</v>
      </c>
      <c r="O641" s="21">
        <v>-9.3898</v>
      </c>
      <c r="P641" s="21">
        <v>-0.4502</v>
      </c>
      <c r="Q641" s="21">
        <v>24.2671</v>
      </c>
      <c r="R641" s="21">
        <v>0.622</v>
      </c>
      <c r="S641" s="21">
        <v>0.8013</v>
      </c>
      <c r="T641" s="22">
        <f>IFERROR(__xludf.DUMMYFUNCTION("IFERROR(GOOGLEFINANCE(B641,""price""),"""")"),7.14)</f>
        <v>7.14</v>
      </c>
    </row>
    <row r="642">
      <c r="A642" s="7">
        <v>46066.62589308855</v>
      </c>
      <c r="B642" s="8" t="s">
        <v>5449</v>
      </c>
      <c r="C642" s="8" t="s">
        <v>5450</v>
      </c>
      <c r="D642" s="9">
        <v>46068.0</v>
      </c>
      <c r="E642" s="10">
        <v>18.675</v>
      </c>
      <c r="F642" s="26">
        <v>0.8158</v>
      </c>
      <c r="G642" s="12">
        <v>3.8990084E7</v>
      </c>
      <c r="H642" s="8" t="s">
        <v>286</v>
      </c>
      <c r="I642" s="11">
        <v>0.6739</v>
      </c>
      <c r="J642" s="12">
        <v>3.5781515097E10</v>
      </c>
      <c r="K642" s="13">
        <v>25.1008</v>
      </c>
      <c r="L642" s="13">
        <v>0.744</v>
      </c>
      <c r="M642" s="8" t="s">
        <v>5451</v>
      </c>
      <c r="N642" s="8" t="s">
        <v>5452</v>
      </c>
      <c r="O642" s="13">
        <v>13.4693</v>
      </c>
      <c r="P642" s="13">
        <v>18.2006</v>
      </c>
      <c r="Q642" s="13">
        <v>-2.9368</v>
      </c>
      <c r="R642" s="13">
        <v>0.8566</v>
      </c>
      <c r="S642" s="13">
        <v>0.9799</v>
      </c>
      <c r="T642" s="14">
        <f>IFERROR(__xludf.DUMMYFUNCTION("IFERROR(GOOGLEFINANCE(B642,""price""),"""")"),17.35)</f>
        <v>17.35</v>
      </c>
    </row>
    <row r="643">
      <c r="A643" s="15">
        <v>46066.62589308855</v>
      </c>
      <c r="B643" s="16" t="s">
        <v>5802</v>
      </c>
      <c r="C643" s="16" t="s">
        <v>5803</v>
      </c>
      <c r="D643" s="17">
        <v>46068.0</v>
      </c>
      <c r="E643" s="18">
        <v>15.435</v>
      </c>
      <c r="F643" s="27">
        <v>0.8145</v>
      </c>
      <c r="G643" s="20">
        <v>5.9885073E7</v>
      </c>
      <c r="H643" s="16" t="s">
        <v>88</v>
      </c>
      <c r="I643" s="19">
        <v>-16.7476</v>
      </c>
      <c r="J643" s="20">
        <v>1.0427235615E10</v>
      </c>
      <c r="K643" s="21">
        <v>5.348</v>
      </c>
      <c r="L643" s="21">
        <v>2.8861</v>
      </c>
      <c r="M643" s="16" t="s">
        <v>5804</v>
      </c>
      <c r="N643" s="16" t="s">
        <v>5495</v>
      </c>
      <c r="O643" s="21">
        <v>8.7792</v>
      </c>
      <c r="P643" s="21">
        <v>6.9098</v>
      </c>
      <c r="Q643" s="21">
        <v>16.7925</v>
      </c>
      <c r="R643" s="21">
        <v>0.0552</v>
      </c>
      <c r="S643" s="21">
        <v>7.639</v>
      </c>
      <c r="T643" s="22">
        <f>IFERROR(__xludf.DUMMYFUNCTION("IFERROR(GOOGLEFINANCE(B643,""price""),"""")"),17.62)</f>
        <v>17.62</v>
      </c>
    </row>
    <row r="644">
      <c r="A644" s="7">
        <v>46066.62589308855</v>
      </c>
      <c r="B644" s="8" t="s">
        <v>5533</v>
      </c>
      <c r="C644" s="8" t="s">
        <v>5534</v>
      </c>
      <c r="D644" s="9">
        <v>46068.0</v>
      </c>
      <c r="E644" s="10">
        <v>6.135</v>
      </c>
      <c r="F644" s="26">
        <v>0.7969</v>
      </c>
      <c r="G644" s="12">
        <v>1.3195512E7</v>
      </c>
      <c r="H644" s="8" t="s">
        <v>102</v>
      </c>
      <c r="I644" s="11">
        <v>-1.2077</v>
      </c>
      <c r="J644" s="12">
        <v>1.65996423E9</v>
      </c>
      <c r="K644" s="23"/>
      <c r="L644" s="13">
        <v>-3.7839</v>
      </c>
      <c r="M644" s="8" t="s">
        <v>5535</v>
      </c>
      <c r="N644" s="8" t="s">
        <v>5536</v>
      </c>
      <c r="O644" s="13">
        <v>-55.984</v>
      </c>
      <c r="P644" s="13">
        <v>-31.1477</v>
      </c>
      <c r="Q644" s="23"/>
      <c r="R644" s="13">
        <v>4.5088</v>
      </c>
      <c r="S644" s="13">
        <v>1.1293</v>
      </c>
      <c r="T644" s="14">
        <f>IFERROR(__xludf.DUMMYFUNCTION("IFERROR(GOOGLEFINANCE(B644,""price""),"""")"),4.69)</f>
        <v>4.69</v>
      </c>
    </row>
    <row r="645">
      <c r="A645" s="15">
        <v>46066.62589308855</v>
      </c>
      <c r="B645" s="16" t="s">
        <v>5770</v>
      </c>
      <c r="C645" s="16" t="s">
        <v>5771</v>
      </c>
      <c r="D645" s="17">
        <v>46068.0</v>
      </c>
      <c r="E645" s="18">
        <v>19.785</v>
      </c>
      <c r="F645" s="27">
        <v>0.7852</v>
      </c>
      <c r="G645" s="20">
        <v>1.1848032E7</v>
      </c>
      <c r="H645" s="16" t="s">
        <v>117</v>
      </c>
      <c r="I645" s="19">
        <v>5.7456</v>
      </c>
      <c r="J645" s="20">
        <v>1.0170593231E10</v>
      </c>
      <c r="K645" s="24"/>
      <c r="L645" s="21">
        <v>-1.714</v>
      </c>
      <c r="M645" s="16" t="s">
        <v>5772</v>
      </c>
      <c r="N645" s="16" t="s">
        <v>5418</v>
      </c>
      <c r="O645" s="21">
        <v>-13.7478</v>
      </c>
      <c r="P645" s="21">
        <v>3.3885</v>
      </c>
      <c r="Q645" s="21">
        <v>-12.5389</v>
      </c>
      <c r="R645" s="21">
        <v>1.5957</v>
      </c>
      <c r="S645" s="21">
        <v>2.3138</v>
      </c>
      <c r="T645" s="22">
        <f>IFERROR(__xludf.DUMMYFUNCTION("IFERROR(GOOGLEFINANCE(B645,""price""),"""")"),17.15)</f>
        <v>17.15</v>
      </c>
    </row>
    <row r="646">
      <c r="A646" s="7">
        <v>46066.62589308855</v>
      </c>
      <c r="B646" s="8" t="s">
        <v>2475</v>
      </c>
      <c r="C646" s="8" t="s">
        <v>2476</v>
      </c>
      <c r="D646" s="9">
        <v>46068.0</v>
      </c>
      <c r="E646" s="10">
        <v>18.125</v>
      </c>
      <c r="F646" s="26">
        <v>0.7846</v>
      </c>
      <c r="G646" s="12">
        <v>2.1193496E7</v>
      </c>
      <c r="H646" s="8" t="s">
        <v>917</v>
      </c>
      <c r="I646" s="11">
        <v>3.2175</v>
      </c>
      <c r="J646" s="12">
        <v>3.9837124795E10</v>
      </c>
      <c r="K646" s="13">
        <v>15.4492</v>
      </c>
      <c r="L646" s="13">
        <v>1.1732</v>
      </c>
      <c r="M646" s="8" t="s">
        <v>2477</v>
      </c>
      <c r="N646" s="8" t="s">
        <v>5883</v>
      </c>
      <c r="O646" s="13">
        <v>8.6235</v>
      </c>
      <c r="P646" s="13">
        <v>18.9969</v>
      </c>
      <c r="Q646" s="13">
        <v>-0.2698</v>
      </c>
      <c r="R646" s="13">
        <v>1.8849</v>
      </c>
      <c r="S646" s="13">
        <v>0.9712</v>
      </c>
      <c r="T646" s="14">
        <f>IFERROR(__xludf.DUMMYFUNCTION("IFERROR(GOOGLEFINANCE(B646,""price""),"""")"),18.54)</f>
        <v>18.54</v>
      </c>
    </row>
    <row r="647">
      <c r="A647" s="15">
        <v>46066.62589308855</v>
      </c>
      <c r="B647" s="16" t="s">
        <v>5884</v>
      </c>
      <c r="C647" s="16" t="s">
        <v>5885</v>
      </c>
      <c r="D647" s="17">
        <v>46068.0</v>
      </c>
      <c r="E647" s="18">
        <v>99.29</v>
      </c>
      <c r="F647" s="27">
        <v>0.7841</v>
      </c>
      <c r="G647" s="20">
        <v>7465889.0</v>
      </c>
      <c r="H647" s="16" t="s">
        <v>117</v>
      </c>
      <c r="I647" s="19">
        <v>-1.5761</v>
      </c>
      <c r="J647" s="20">
        <v>1.27291194617E11</v>
      </c>
      <c r="K647" s="21">
        <v>26.8228</v>
      </c>
      <c r="L647" s="21">
        <v>3.7017</v>
      </c>
      <c r="M647" s="16" t="s">
        <v>5886</v>
      </c>
      <c r="N647" s="16" t="s">
        <v>5418</v>
      </c>
      <c r="O647" s="21">
        <v>9.812</v>
      </c>
      <c r="P647" s="21">
        <v>18.6144</v>
      </c>
      <c r="Q647" s="21">
        <v>5.34</v>
      </c>
      <c r="R647" s="21">
        <v>0.5981</v>
      </c>
      <c r="S647" s="21">
        <v>2.4153</v>
      </c>
      <c r="T647" s="22">
        <f>IFERROR(__xludf.DUMMYFUNCTION("IFERROR(GOOGLEFINANCE(B647,""price""),"""")"),87.21)</f>
        <v>87.21</v>
      </c>
    </row>
    <row r="648">
      <c r="A648" s="7">
        <v>46066.62589308855</v>
      </c>
      <c r="B648" s="8" t="s">
        <v>5725</v>
      </c>
      <c r="C648" s="8" t="s">
        <v>5726</v>
      </c>
      <c r="D648" s="9">
        <v>46068.0</v>
      </c>
      <c r="E648" s="10">
        <v>22.48</v>
      </c>
      <c r="F648" s="26">
        <v>0.7711</v>
      </c>
      <c r="G648" s="12">
        <v>7759902.0</v>
      </c>
      <c r="H648" s="8" t="s">
        <v>88</v>
      </c>
      <c r="I648" s="11">
        <v>2.089</v>
      </c>
      <c r="J648" s="12">
        <v>1.1140901688E10</v>
      </c>
      <c r="K648" s="23"/>
      <c r="L648" s="13">
        <v>-2.0067</v>
      </c>
      <c r="M648" s="8" t="s">
        <v>5727</v>
      </c>
      <c r="N648" s="8" t="s">
        <v>5429</v>
      </c>
      <c r="O648" s="23"/>
      <c r="P648" s="13">
        <v>-107.671</v>
      </c>
      <c r="Q648" s="13">
        <v>43.2284</v>
      </c>
      <c r="R648" s="13">
        <v>0.0441</v>
      </c>
      <c r="S648" s="13">
        <v>2.9292</v>
      </c>
      <c r="T648" s="14">
        <f>IFERROR(__xludf.DUMMYFUNCTION("IFERROR(GOOGLEFINANCE(B648,""price""),"""")"),18.16)</f>
        <v>18.16</v>
      </c>
    </row>
    <row r="649">
      <c r="A649" s="15">
        <v>46066.62589308855</v>
      </c>
      <c r="B649" s="16" t="s">
        <v>1839</v>
      </c>
      <c r="C649" s="16" t="s">
        <v>1840</v>
      </c>
      <c r="D649" s="17">
        <v>46068.0</v>
      </c>
      <c r="E649" s="18">
        <v>12.705</v>
      </c>
      <c r="F649" s="27">
        <v>0.7422</v>
      </c>
      <c r="G649" s="20">
        <v>7318223.0</v>
      </c>
      <c r="H649" s="16" t="s">
        <v>112</v>
      </c>
      <c r="I649" s="19">
        <v>-14.2713</v>
      </c>
      <c r="J649" s="20">
        <v>2.336241553E9</v>
      </c>
      <c r="K649" s="24"/>
      <c r="L649" s="21">
        <v>-0.3169</v>
      </c>
      <c r="M649" s="16" t="s">
        <v>1841</v>
      </c>
      <c r="N649" s="16" t="s">
        <v>5887</v>
      </c>
      <c r="O649" s="24"/>
      <c r="P649" s="21">
        <v>4.5173</v>
      </c>
      <c r="Q649" s="21">
        <v>-17.3378</v>
      </c>
      <c r="R649" s="24"/>
      <c r="S649" s="24"/>
      <c r="T649" s="22">
        <f>IFERROR(__xludf.DUMMYFUNCTION("IFERROR(GOOGLEFINANCE(B649,""price""),"""")"),14.1)</f>
        <v>14.1</v>
      </c>
    </row>
    <row r="650">
      <c r="A650" s="7">
        <v>46066.62589308855</v>
      </c>
      <c r="B650" s="8" t="s">
        <v>5888</v>
      </c>
      <c r="C650" s="8" t="s">
        <v>5889</v>
      </c>
      <c r="D650" s="9">
        <v>46068.0</v>
      </c>
      <c r="E650" s="10">
        <v>6.775</v>
      </c>
      <c r="F650" s="26">
        <v>0.7227</v>
      </c>
      <c r="G650" s="12">
        <v>2.2028351E7</v>
      </c>
      <c r="H650" s="8" t="s">
        <v>308</v>
      </c>
      <c r="I650" s="11">
        <v>0.2219</v>
      </c>
      <c r="J650" s="12">
        <v>4.963307938E9</v>
      </c>
      <c r="K650" s="23"/>
      <c r="L650" s="13">
        <v>-1.1844</v>
      </c>
      <c r="M650" s="8" t="s">
        <v>5890</v>
      </c>
      <c r="N650" s="8" t="s">
        <v>5520</v>
      </c>
      <c r="O650" s="13">
        <v>-59.1329</v>
      </c>
      <c r="P650" s="23"/>
      <c r="Q650" s="23"/>
      <c r="R650" s="13">
        <v>0.0536</v>
      </c>
      <c r="S650" s="13">
        <v>18.1946</v>
      </c>
      <c r="T650" s="14">
        <f>IFERROR(__xludf.DUMMYFUNCTION("IFERROR(GOOGLEFINANCE(B650,""price""),"""")"),5.4)</f>
        <v>5.4</v>
      </c>
    </row>
    <row r="651">
      <c r="A651" s="15">
        <v>46066.62589308855</v>
      </c>
      <c r="B651" s="16" t="s">
        <v>5891</v>
      </c>
      <c r="C651" s="16" t="s">
        <v>5892</v>
      </c>
      <c r="D651" s="17">
        <v>46068.0</v>
      </c>
      <c r="E651" s="18">
        <v>7.255</v>
      </c>
      <c r="F651" s="27">
        <v>0.7031</v>
      </c>
      <c r="G651" s="20">
        <v>1.8640116E7</v>
      </c>
      <c r="H651" s="16" t="s">
        <v>102</v>
      </c>
      <c r="I651" s="19">
        <v>-13.9383</v>
      </c>
      <c r="J651" s="20">
        <v>8.61142549E8</v>
      </c>
      <c r="K651" s="21">
        <v>21.5474</v>
      </c>
      <c r="L651" s="21">
        <v>0.3367</v>
      </c>
      <c r="M651" s="16" t="s">
        <v>5893</v>
      </c>
      <c r="N651" s="16" t="s">
        <v>5441</v>
      </c>
      <c r="O651" s="21">
        <v>6.0088</v>
      </c>
      <c r="P651" s="21">
        <v>4.4329</v>
      </c>
      <c r="Q651" s="21">
        <v>-6.0173</v>
      </c>
      <c r="R651" s="21">
        <v>3.7891</v>
      </c>
      <c r="S651" s="21">
        <v>1.7741</v>
      </c>
      <c r="T651" s="22">
        <f>IFERROR(__xludf.DUMMYFUNCTION("IFERROR(GOOGLEFINANCE(B651,""price""),"""")"),5.98)</f>
        <v>5.98</v>
      </c>
    </row>
    <row r="652">
      <c r="A652" s="7">
        <v>46066.62589308855</v>
      </c>
      <c r="B652" s="8" t="s">
        <v>5830</v>
      </c>
      <c r="C652" s="8" t="s">
        <v>5831</v>
      </c>
      <c r="D652" s="9">
        <v>46068.0</v>
      </c>
      <c r="E652" s="10">
        <v>96.57</v>
      </c>
      <c r="F652" s="26">
        <v>0.701</v>
      </c>
      <c r="G652" s="12">
        <v>1.7159377E7</v>
      </c>
      <c r="H652" s="8" t="s">
        <v>88</v>
      </c>
      <c r="I652" s="11">
        <v>7.6229</v>
      </c>
      <c r="J652" s="12">
        <v>2.4317024926E10</v>
      </c>
      <c r="K652" s="23"/>
      <c r="L652" s="23"/>
      <c r="M652" s="8" t="s">
        <v>5832</v>
      </c>
      <c r="N652" s="8" t="s">
        <v>5429</v>
      </c>
      <c r="O652" s="13">
        <v>3.4537</v>
      </c>
      <c r="P652" s="13">
        <v>-151.597</v>
      </c>
      <c r="Q652" s="13">
        <v>-87.5369</v>
      </c>
      <c r="R652" s="13">
        <v>0.9379</v>
      </c>
      <c r="S652" s="13">
        <v>6.5656</v>
      </c>
      <c r="T652" s="14">
        <f>IFERROR(__xludf.DUMMYFUNCTION("IFERROR(GOOGLEFINANCE(B652,""price""),"""")"),144.97)</f>
        <v>144.97</v>
      </c>
    </row>
    <row r="653">
      <c r="A653" s="15">
        <v>46066.62589308855</v>
      </c>
      <c r="B653" s="16" t="s">
        <v>1564</v>
      </c>
      <c r="C653" s="16" t="s">
        <v>1565</v>
      </c>
      <c r="D653" s="17">
        <v>46068.0</v>
      </c>
      <c r="E653" s="18">
        <v>51.51</v>
      </c>
      <c r="F653" s="27">
        <v>0.6907</v>
      </c>
      <c r="G653" s="20">
        <v>1.5972655E7</v>
      </c>
      <c r="H653" s="16" t="s">
        <v>102</v>
      </c>
      <c r="I653" s="19">
        <v>-17.3194</v>
      </c>
      <c r="J653" s="20">
        <v>6.1883268E9</v>
      </c>
      <c r="K653" s="21">
        <v>20.8458</v>
      </c>
      <c r="L653" s="21">
        <v>2.471</v>
      </c>
      <c r="M653" s="16" t="s">
        <v>1566</v>
      </c>
      <c r="N653" s="16" t="s">
        <v>5894</v>
      </c>
      <c r="O653" s="21">
        <v>12.4267</v>
      </c>
      <c r="P653" s="21">
        <v>14.9963</v>
      </c>
      <c r="Q653" s="21">
        <v>-3.1655</v>
      </c>
      <c r="R653" s="21">
        <v>1.0654</v>
      </c>
      <c r="S653" s="21">
        <v>1.8423</v>
      </c>
      <c r="T653" s="22">
        <f>IFERROR(__xludf.DUMMYFUNCTION("IFERROR(GOOGLEFINANCE(B653,""price""),"""")"),40.37)</f>
        <v>40.37</v>
      </c>
    </row>
    <row r="654">
      <c r="A654" s="7">
        <v>46066.62589308855</v>
      </c>
      <c r="B654" s="8" t="s">
        <v>5688</v>
      </c>
      <c r="C654" s="8" t="s">
        <v>5689</v>
      </c>
      <c r="D654" s="9">
        <v>46068.0</v>
      </c>
      <c r="E654" s="10">
        <v>4.835</v>
      </c>
      <c r="F654" s="26">
        <v>0.6875</v>
      </c>
      <c r="G654" s="12">
        <v>3.7428424E7</v>
      </c>
      <c r="H654" s="8" t="s">
        <v>88</v>
      </c>
      <c r="I654" s="11">
        <v>0.3112</v>
      </c>
      <c r="J654" s="12">
        <v>8.166083442E9</v>
      </c>
      <c r="K654" s="23"/>
      <c r="L654" s="13">
        <v>-0.2738</v>
      </c>
      <c r="M654" s="8" t="s">
        <v>5690</v>
      </c>
      <c r="N654" s="8" t="s">
        <v>5429</v>
      </c>
      <c r="O654" s="13">
        <v>-19.4617</v>
      </c>
      <c r="P654" s="13">
        <v>-8.972</v>
      </c>
      <c r="Q654" s="13">
        <v>10.6325</v>
      </c>
      <c r="R654" s="13">
        <v>1.816</v>
      </c>
      <c r="S654" s="13">
        <v>3.5628</v>
      </c>
      <c r="T654" s="14">
        <f>IFERROR(__xludf.DUMMYFUNCTION("IFERROR(GOOGLEFINANCE(B654,""price""),"""")"),4.82)</f>
        <v>4.82</v>
      </c>
    </row>
    <row r="655">
      <c r="A655" s="15">
        <v>46066.62589308855</v>
      </c>
      <c r="B655" s="16" t="s">
        <v>5895</v>
      </c>
      <c r="C655" s="16" t="s">
        <v>5896</v>
      </c>
      <c r="D655" s="17">
        <v>46068.0</v>
      </c>
      <c r="E655" s="18">
        <v>70.235</v>
      </c>
      <c r="F655" s="27">
        <v>0.6779</v>
      </c>
      <c r="G655" s="20">
        <v>7657922.0</v>
      </c>
      <c r="H655" s="16" t="s">
        <v>117</v>
      </c>
      <c r="I655" s="19">
        <v>7.921</v>
      </c>
      <c r="J655" s="20">
        <v>2.7392795347E10</v>
      </c>
      <c r="K655" s="21">
        <v>33.4963</v>
      </c>
      <c r="L655" s="21">
        <v>2.0968</v>
      </c>
      <c r="M655" s="16" t="s">
        <v>5897</v>
      </c>
      <c r="N655" s="16" t="s">
        <v>5418</v>
      </c>
      <c r="O655" s="21">
        <v>34.4966</v>
      </c>
      <c r="P655" s="21">
        <v>19.5581</v>
      </c>
      <c r="Q655" s="21">
        <v>15.5963</v>
      </c>
      <c r="R655" s="21">
        <v>0.4865</v>
      </c>
      <c r="S655" s="21">
        <v>1.8825</v>
      </c>
      <c r="T655" s="22">
        <f>IFERROR(__xludf.DUMMYFUNCTION("IFERROR(GOOGLEFINANCE(B655,""price""),"""")"),64.02)</f>
        <v>64.02</v>
      </c>
    </row>
    <row r="656">
      <c r="A656" s="7">
        <v>46066.62589308855</v>
      </c>
      <c r="B656" s="8" t="s">
        <v>5898</v>
      </c>
      <c r="C656" s="8" t="s">
        <v>5899</v>
      </c>
      <c r="D656" s="9">
        <v>46068.0</v>
      </c>
      <c r="E656" s="10">
        <v>11.335</v>
      </c>
      <c r="F656" s="26">
        <v>0.6758</v>
      </c>
      <c r="G656" s="12">
        <v>2.0627195E7</v>
      </c>
      <c r="H656" s="8" t="s">
        <v>88</v>
      </c>
      <c r="I656" s="11">
        <v>1.3864</v>
      </c>
      <c r="J656" s="12">
        <v>6.061387959E9</v>
      </c>
      <c r="K656" s="13">
        <v>26.7335</v>
      </c>
      <c r="L656" s="13">
        <v>0.424</v>
      </c>
      <c r="M656" s="8" t="s">
        <v>5900</v>
      </c>
      <c r="N656" s="8" t="s">
        <v>5429</v>
      </c>
      <c r="O656" s="13">
        <v>12.562</v>
      </c>
      <c r="P656" s="13">
        <v>1.5172</v>
      </c>
      <c r="Q656" s="13">
        <v>10.0505</v>
      </c>
      <c r="R656" s="13">
        <v>0.0426</v>
      </c>
      <c r="S656" s="13">
        <v>2.5445</v>
      </c>
      <c r="T656" s="14">
        <f>IFERROR(__xludf.DUMMYFUNCTION("IFERROR(GOOGLEFINANCE(B656,""price""),"""")"),9.38)</f>
        <v>9.38</v>
      </c>
    </row>
    <row r="657">
      <c r="A657" s="15">
        <v>46066.62589308855</v>
      </c>
      <c r="B657" s="16" t="s">
        <v>5901</v>
      </c>
      <c r="C657" s="16" t="s">
        <v>5902</v>
      </c>
      <c r="D657" s="17">
        <v>46068.0</v>
      </c>
      <c r="E657" s="18">
        <v>21.675</v>
      </c>
      <c r="F657" s="27">
        <v>0.6727</v>
      </c>
      <c r="G657" s="20">
        <v>3.3959547E7</v>
      </c>
      <c r="H657" s="16" t="s">
        <v>149</v>
      </c>
      <c r="I657" s="19">
        <v>-6.7742</v>
      </c>
      <c r="J657" s="20">
        <v>9.867706471E9</v>
      </c>
      <c r="K657" s="21">
        <v>16.5118</v>
      </c>
      <c r="L657" s="21">
        <v>1.3127</v>
      </c>
      <c r="M657" s="16" t="s">
        <v>5903</v>
      </c>
      <c r="N657" s="16" t="s">
        <v>5904</v>
      </c>
      <c r="O657" s="21">
        <v>39.8705</v>
      </c>
      <c r="P657" s="21">
        <v>16.4299</v>
      </c>
      <c r="Q657" s="21">
        <v>3.589</v>
      </c>
      <c r="R657" s="21">
        <v>6.9972</v>
      </c>
      <c r="S657" s="21">
        <v>0.1947</v>
      </c>
      <c r="T657" s="22">
        <f>IFERROR(__xludf.DUMMYFUNCTION("IFERROR(GOOGLEFINANCE(B657,""price""),"""")"),19.96)</f>
        <v>19.96</v>
      </c>
    </row>
    <row r="658">
      <c r="A658" s="7">
        <v>46066.62589308855</v>
      </c>
      <c r="B658" s="8" t="s">
        <v>5905</v>
      </c>
      <c r="C658" s="8" t="s">
        <v>5906</v>
      </c>
      <c r="D658" s="9">
        <v>46068.0</v>
      </c>
      <c r="E658" s="10">
        <v>33.965</v>
      </c>
      <c r="F658" s="26">
        <v>0.6632</v>
      </c>
      <c r="G658" s="12">
        <v>9152042.0</v>
      </c>
      <c r="H658" s="8" t="s">
        <v>270</v>
      </c>
      <c r="I658" s="11">
        <v>-0.9478</v>
      </c>
      <c r="J658" s="12">
        <v>2.8447332195E10</v>
      </c>
      <c r="K658" s="13">
        <v>22.5128</v>
      </c>
      <c r="L658" s="13">
        <v>1.5087</v>
      </c>
      <c r="M658" s="8" t="s">
        <v>5907</v>
      </c>
      <c r="N658" s="8" t="s">
        <v>5908</v>
      </c>
      <c r="O658" s="13">
        <v>12.2383</v>
      </c>
      <c r="P658" s="13">
        <v>13.9335</v>
      </c>
      <c r="Q658" s="13">
        <v>-3.3124</v>
      </c>
      <c r="R658" s="13">
        <v>0.795</v>
      </c>
      <c r="S658" s="13">
        <v>2.0397</v>
      </c>
      <c r="T658" s="14">
        <f>IFERROR(__xludf.DUMMYFUNCTION("IFERROR(GOOGLEFINANCE(B658,""price""),"""")"),37.59)</f>
        <v>37.59</v>
      </c>
    </row>
    <row r="659">
      <c r="A659" s="15">
        <v>46066.62589308855</v>
      </c>
      <c r="B659" s="16" t="s">
        <v>5818</v>
      </c>
      <c r="C659" s="16" t="s">
        <v>5819</v>
      </c>
      <c r="D659" s="17">
        <v>46068.0</v>
      </c>
      <c r="E659" s="18">
        <v>7.725</v>
      </c>
      <c r="F659" s="27">
        <v>0.6602</v>
      </c>
      <c r="G659" s="20">
        <v>9973696.0</v>
      </c>
      <c r="H659" s="16" t="s">
        <v>102</v>
      </c>
      <c r="I659" s="19">
        <v>-0.5151</v>
      </c>
      <c r="J659" s="20">
        <v>4.645120767E9</v>
      </c>
      <c r="K659" s="24"/>
      <c r="L659" s="21">
        <v>-0.7583</v>
      </c>
      <c r="M659" s="16" t="s">
        <v>5820</v>
      </c>
      <c r="N659" s="16" t="s">
        <v>5536</v>
      </c>
      <c r="O659" s="21">
        <v>-37.3944</v>
      </c>
      <c r="P659" s="24"/>
      <c r="Q659" s="24"/>
      <c r="R659" s="21">
        <v>0.0607</v>
      </c>
      <c r="S659" s="21">
        <v>15.9497</v>
      </c>
      <c r="T659" s="22">
        <f>IFERROR(__xludf.DUMMYFUNCTION("IFERROR(GOOGLEFINANCE(B659,""price""),"""")"),6.36)</f>
        <v>6.36</v>
      </c>
    </row>
    <row r="660">
      <c r="A660" s="7">
        <v>46066.62589308855</v>
      </c>
      <c r="B660" s="8" t="s">
        <v>5715</v>
      </c>
      <c r="C660" s="8" t="s">
        <v>5716</v>
      </c>
      <c r="D660" s="9">
        <v>46068.0</v>
      </c>
      <c r="E660" s="10">
        <v>36.255</v>
      </c>
      <c r="F660" s="26">
        <v>0.65</v>
      </c>
      <c r="G660" s="12">
        <v>1.3712136E7</v>
      </c>
      <c r="H660" s="8" t="s">
        <v>149</v>
      </c>
      <c r="I660" s="11">
        <v>1.1579</v>
      </c>
      <c r="J660" s="12">
        <v>4.721934511E10</v>
      </c>
      <c r="K660" s="13">
        <v>31.7164</v>
      </c>
      <c r="L660" s="13">
        <v>1.1431</v>
      </c>
      <c r="M660" s="8" t="s">
        <v>5717</v>
      </c>
      <c r="N660" s="8" t="s">
        <v>5718</v>
      </c>
      <c r="O660" s="13">
        <v>47.3551</v>
      </c>
      <c r="P660" s="13">
        <v>16.8413</v>
      </c>
      <c r="Q660" s="13">
        <v>5.4071</v>
      </c>
      <c r="R660" s="13">
        <v>1.7932</v>
      </c>
      <c r="S660" s="13">
        <v>1.2347</v>
      </c>
      <c r="T660" s="14">
        <f>IFERROR(__xludf.DUMMYFUNCTION("IFERROR(GOOGLEFINANCE(B660,""price""),"""")"),34.09)</f>
        <v>34.09</v>
      </c>
    </row>
    <row r="661">
      <c r="A661" s="15">
        <v>46066.62589308855</v>
      </c>
      <c r="B661" s="16" t="s">
        <v>2704</v>
      </c>
      <c r="C661" s="16" t="s">
        <v>2705</v>
      </c>
      <c r="D661" s="17">
        <v>46068.0</v>
      </c>
      <c r="E661" s="18">
        <v>35.01</v>
      </c>
      <c r="F661" s="27">
        <v>0.641</v>
      </c>
      <c r="G661" s="20">
        <v>1.9917993E7</v>
      </c>
      <c r="H661" s="16" t="s">
        <v>88</v>
      </c>
      <c r="I661" s="19">
        <v>-3.2071</v>
      </c>
      <c r="J661" s="20">
        <v>9.788298903E9</v>
      </c>
      <c r="K661" s="24"/>
      <c r="L661" s="21">
        <v>-0.5438</v>
      </c>
      <c r="M661" s="16" t="s">
        <v>2707</v>
      </c>
      <c r="N661" s="16" t="s">
        <v>5471</v>
      </c>
      <c r="O661" s="21">
        <v>-11.4029</v>
      </c>
      <c r="P661" s="21">
        <v>-26.4624</v>
      </c>
      <c r="Q661" s="21">
        <v>33.135</v>
      </c>
      <c r="R661" s="21">
        <v>1.6778</v>
      </c>
      <c r="S661" s="21">
        <v>4.8227</v>
      </c>
      <c r="T661" s="22">
        <f>IFERROR(__xludf.DUMMYFUNCTION("IFERROR(GOOGLEFINANCE(B661,""price""),"""")"),26.24)</f>
        <v>26.24</v>
      </c>
    </row>
    <row r="662">
      <c r="A662" s="7">
        <v>46069.62565890695</v>
      </c>
      <c r="B662" s="8" t="s">
        <v>5836</v>
      </c>
      <c r="C662" s="8" t="s">
        <v>5837</v>
      </c>
      <c r="D662" s="9">
        <v>46075.0</v>
      </c>
      <c r="E662" s="10">
        <v>10.29</v>
      </c>
      <c r="F662" s="26">
        <v>1.9756</v>
      </c>
      <c r="G662" s="12">
        <v>1.1382591E7</v>
      </c>
      <c r="H662" s="8" t="s">
        <v>93</v>
      </c>
      <c r="I662" s="11">
        <v>11.1231</v>
      </c>
      <c r="J662" s="12">
        <v>6.318321246E9</v>
      </c>
      <c r="K662" s="23"/>
      <c r="L662" s="23"/>
      <c r="M662" s="8" t="s">
        <v>5838</v>
      </c>
      <c r="N662" s="8" t="s">
        <v>5839</v>
      </c>
      <c r="O662" s="23"/>
      <c r="P662" s="23"/>
      <c r="Q662" s="23"/>
      <c r="R662" s="13">
        <v>0.4147</v>
      </c>
      <c r="S662" s="13">
        <v>2.8104</v>
      </c>
      <c r="T662" s="14">
        <f>IFERROR(__xludf.DUMMYFUNCTION("IFERROR(GOOGLEFINANCE(B662,""price""),"""")"),4.87)</f>
        <v>4.87</v>
      </c>
    </row>
    <row r="663">
      <c r="A663" s="15">
        <v>46069.62565890695</v>
      </c>
      <c r="B663" s="16" t="s">
        <v>5655</v>
      </c>
      <c r="C663" s="16" t="s">
        <v>5656</v>
      </c>
      <c r="D663" s="17">
        <v>46075.0</v>
      </c>
      <c r="E663" s="18">
        <v>4.94</v>
      </c>
      <c r="F663" s="27">
        <v>1.7422</v>
      </c>
      <c r="G663" s="20">
        <v>1.6293244E7</v>
      </c>
      <c r="H663" s="16" t="s">
        <v>88</v>
      </c>
      <c r="I663" s="19">
        <v>-0.4032</v>
      </c>
      <c r="J663" s="20">
        <v>3.165441321E9</v>
      </c>
      <c r="K663" s="24"/>
      <c r="L663" s="21">
        <v>-0.0054</v>
      </c>
      <c r="M663" s="16" t="s">
        <v>5657</v>
      </c>
      <c r="N663" s="16" t="s">
        <v>5429</v>
      </c>
      <c r="O663" s="21">
        <v>-0.1405</v>
      </c>
      <c r="P663" s="21">
        <v>7.955</v>
      </c>
      <c r="Q663" s="21">
        <v>10.644</v>
      </c>
      <c r="R663" s="21">
        <v>0.5124</v>
      </c>
      <c r="S663" s="21">
        <v>1.4114</v>
      </c>
      <c r="T663" s="22">
        <f>IFERROR(__xludf.DUMMYFUNCTION("IFERROR(GOOGLEFINANCE(B663,""price""),"""")"),4.99)</f>
        <v>4.99</v>
      </c>
    </row>
    <row r="664">
      <c r="A664" s="7">
        <v>46069.62565890695</v>
      </c>
      <c r="B664" s="8" t="s">
        <v>5754</v>
      </c>
      <c r="C664" s="8" t="s">
        <v>5755</v>
      </c>
      <c r="D664" s="9">
        <v>46075.0</v>
      </c>
      <c r="E664" s="10">
        <v>4.445</v>
      </c>
      <c r="F664" s="26">
        <v>1.6992</v>
      </c>
      <c r="G664" s="12">
        <v>3.2319882E7</v>
      </c>
      <c r="H664" s="8" t="s">
        <v>93</v>
      </c>
      <c r="I664" s="11">
        <v>1.484</v>
      </c>
      <c r="J664" s="12">
        <v>4.239588477E9</v>
      </c>
      <c r="K664" s="23"/>
      <c r="L664" s="13">
        <v>-0.4363</v>
      </c>
      <c r="M664" s="8" t="s">
        <v>5756</v>
      </c>
      <c r="N664" s="8" t="s">
        <v>5757</v>
      </c>
      <c r="O664" s="13">
        <v>-39.33</v>
      </c>
      <c r="P664" s="13">
        <v>-4.1534</v>
      </c>
      <c r="Q664" s="13">
        <v>-4.4543</v>
      </c>
      <c r="R664" s="13">
        <v>2.2035</v>
      </c>
      <c r="S664" s="13">
        <v>2.8304</v>
      </c>
      <c r="T664" s="14">
        <f>IFERROR(__xludf.DUMMYFUNCTION("IFERROR(GOOGLEFINANCE(B664,""price""),"""")"),4.32)</f>
        <v>4.32</v>
      </c>
    </row>
    <row r="665">
      <c r="A665" s="15">
        <v>46069.62565890695</v>
      </c>
      <c r="B665" s="16" t="s">
        <v>5725</v>
      </c>
      <c r="C665" s="16" t="s">
        <v>5726</v>
      </c>
      <c r="D665" s="17">
        <v>46075.0</v>
      </c>
      <c r="E665" s="18">
        <v>22.53</v>
      </c>
      <c r="F665" s="27">
        <v>1.5873</v>
      </c>
      <c r="G665" s="20">
        <v>9365177.0</v>
      </c>
      <c r="H665" s="16" t="s">
        <v>88</v>
      </c>
      <c r="I665" s="19">
        <v>2.3161</v>
      </c>
      <c r="J665" s="20">
        <v>1.1165681382E10</v>
      </c>
      <c r="K665" s="24"/>
      <c r="L665" s="21">
        <v>-2.0067</v>
      </c>
      <c r="M665" s="16" t="s">
        <v>5727</v>
      </c>
      <c r="N665" s="16" t="s">
        <v>5429</v>
      </c>
      <c r="O665" s="24"/>
      <c r="P665" s="21">
        <v>-107.671</v>
      </c>
      <c r="Q665" s="21">
        <v>43.2284</v>
      </c>
      <c r="R665" s="21">
        <v>0.0441</v>
      </c>
      <c r="S665" s="21">
        <v>2.9292</v>
      </c>
      <c r="T665" s="22">
        <f>IFERROR(__xludf.DUMMYFUNCTION("IFERROR(GOOGLEFINANCE(B665,""price""),"""")"),18.16)</f>
        <v>18.16</v>
      </c>
    </row>
    <row r="666">
      <c r="A666" s="7">
        <v>46069.62565890695</v>
      </c>
      <c r="B666" s="8" t="s">
        <v>5514</v>
      </c>
      <c r="C666" s="8" t="s">
        <v>5515</v>
      </c>
      <c r="D666" s="9">
        <v>46075.0</v>
      </c>
      <c r="E666" s="10">
        <v>5.945</v>
      </c>
      <c r="F666" s="26">
        <v>1.5703</v>
      </c>
      <c r="G666" s="12">
        <v>3.9429065E7</v>
      </c>
      <c r="H666" s="8" t="s">
        <v>117</v>
      </c>
      <c r="I666" s="11">
        <v>-10.1964</v>
      </c>
      <c r="J666" s="12">
        <v>5.855618342E9</v>
      </c>
      <c r="K666" s="23"/>
      <c r="L666" s="13">
        <v>-0.4205</v>
      </c>
      <c r="M666" s="8" t="s">
        <v>5516</v>
      </c>
      <c r="N666" s="8" t="s">
        <v>5491</v>
      </c>
      <c r="O666" s="23"/>
      <c r="P666" s="13">
        <v>-315.8428</v>
      </c>
      <c r="Q666" s="13">
        <v>1025.9547</v>
      </c>
      <c r="R666" s="23"/>
      <c r="S666" s="13">
        <v>5.7671</v>
      </c>
      <c r="T666" s="14">
        <f>IFERROR(__xludf.DUMMYFUNCTION("IFERROR(GOOGLEFINANCE(B666,""price""),"""")"),7.28)</f>
        <v>7.28</v>
      </c>
    </row>
    <row r="667">
      <c r="A667" s="15">
        <v>46069.62565890695</v>
      </c>
      <c r="B667" s="16" t="s">
        <v>5858</v>
      </c>
      <c r="C667" s="16" t="s">
        <v>5859</v>
      </c>
      <c r="D667" s="17">
        <v>46075.0</v>
      </c>
      <c r="E667" s="18">
        <v>18.26</v>
      </c>
      <c r="F667" s="27">
        <v>1.418</v>
      </c>
      <c r="G667" s="20">
        <v>5.5396324E7</v>
      </c>
      <c r="H667" s="16" t="s">
        <v>88</v>
      </c>
      <c r="I667" s="19">
        <v>13.8404</v>
      </c>
      <c r="J667" s="20">
        <v>2.728043923E9</v>
      </c>
      <c r="K667" s="24"/>
      <c r="L667" s="21">
        <v>-0.8329</v>
      </c>
      <c r="M667" s="16" t="s">
        <v>5860</v>
      </c>
      <c r="N667" s="16" t="s">
        <v>5664</v>
      </c>
      <c r="O667" s="21">
        <v>-12.8431</v>
      </c>
      <c r="P667" s="21">
        <v>-18.968</v>
      </c>
      <c r="Q667" s="21">
        <v>14.7776</v>
      </c>
      <c r="R667" s="21">
        <v>0.4628</v>
      </c>
      <c r="S667" s="21">
        <v>2.6119</v>
      </c>
      <c r="T667" s="22">
        <f>IFERROR(__xludf.DUMMYFUNCTION("IFERROR(GOOGLEFINANCE(B667,""price""),"""")"),23.07)</f>
        <v>23.07</v>
      </c>
    </row>
    <row r="668">
      <c r="A668" s="7">
        <v>46069.62565890695</v>
      </c>
      <c r="B668" s="8" t="s">
        <v>5652</v>
      </c>
      <c r="C668" s="8" t="s">
        <v>5653</v>
      </c>
      <c r="D668" s="9">
        <v>46075.0</v>
      </c>
      <c r="E668" s="10">
        <v>3.49</v>
      </c>
      <c r="F668" s="26">
        <v>1.3047</v>
      </c>
      <c r="G668" s="12">
        <v>1.6160951E7</v>
      </c>
      <c r="H668" s="8" t="s">
        <v>117</v>
      </c>
      <c r="I668" s="11">
        <v>-2.514</v>
      </c>
      <c r="J668" s="12">
        <v>1.816395635E9</v>
      </c>
      <c r="K668" s="23"/>
      <c r="L668" s="13">
        <v>-1.81</v>
      </c>
      <c r="M668" s="8" t="s">
        <v>5654</v>
      </c>
      <c r="N668" s="8" t="s">
        <v>5502</v>
      </c>
      <c r="O668" s="13">
        <v>-91.0646</v>
      </c>
      <c r="P668" s="13">
        <v>-1656.172</v>
      </c>
      <c r="Q668" s="13">
        <v>-32.9759</v>
      </c>
      <c r="R668" s="13">
        <v>0.0787</v>
      </c>
      <c r="S668" s="13">
        <v>4.6041</v>
      </c>
      <c r="T668" s="14">
        <f>IFERROR(__xludf.DUMMYFUNCTION("IFERROR(GOOGLEFINANCE(B668,""price""),"""")"),3.28)</f>
        <v>3.28</v>
      </c>
    </row>
    <row r="669">
      <c r="A669" s="15">
        <v>46069.62565890695</v>
      </c>
      <c r="B669" s="16" t="s">
        <v>5561</v>
      </c>
      <c r="C669" s="16" t="s">
        <v>5562</v>
      </c>
      <c r="D669" s="17">
        <v>46075.0</v>
      </c>
      <c r="E669" s="18">
        <v>14.31</v>
      </c>
      <c r="F669" s="27">
        <v>1.3001</v>
      </c>
      <c r="G669" s="20">
        <v>2.3713905E7</v>
      </c>
      <c r="H669" s="16" t="s">
        <v>102</v>
      </c>
      <c r="I669" s="19">
        <v>2.2873</v>
      </c>
      <c r="J669" s="20">
        <v>4.331988786E9</v>
      </c>
      <c r="K669" s="24"/>
      <c r="L669" s="21">
        <v>-2.8582</v>
      </c>
      <c r="M669" s="16" t="s">
        <v>5563</v>
      </c>
      <c r="N669" s="16" t="s">
        <v>5536</v>
      </c>
      <c r="O669" s="21">
        <v>-76.8505</v>
      </c>
      <c r="P669" s="21">
        <v>-983.9643</v>
      </c>
      <c r="Q669" s="21">
        <v>765.6686</v>
      </c>
      <c r="R669" s="21">
        <v>0.0</v>
      </c>
      <c r="S669" s="21">
        <v>1.6153</v>
      </c>
      <c r="T669" s="22">
        <f>IFERROR(__xludf.DUMMYFUNCTION("IFERROR(GOOGLEFINANCE(B669,""price""),"""")"),9.21)</f>
        <v>9.21</v>
      </c>
    </row>
    <row r="670">
      <c r="A670" s="7">
        <v>46069.62565890695</v>
      </c>
      <c r="B670" s="8" t="s">
        <v>5594</v>
      </c>
      <c r="C670" s="8" t="s">
        <v>5595</v>
      </c>
      <c r="D670" s="9">
        <v>46075.0</v>
      </c>
      <c r="E670" s="10">
        <v>16.26</v>
      </c>
      <c r="F670" s="26">
        <v>1.2314</v>
      </c>
      <c r="G670" s="12">
        <v>4.3021841E7</v>
      </c>
      <c r="H670" s="8" t="s">
        <v>88</v>
      </c>
      <c r="I670" s="11">
        <v>2.1999</v>
      </c>
      <c r="J670" s="12">
        <v>6.807767542E9</v>
      </c>
      <c r="K670" s="23"/>
      <c r="L670" s="13">
        <v>-1.4167</v>
      </c>
      <c r="M670" s="8" t="s">
        <v>5596</v>
      </c>
      <c r="N670" s="8" t="s">
        <v>5471</v>
      </c>
      <c r="O670" s="13">
        <v>-181.9547</v>
      </c>
      <c r="P670" s="13">
        <v>-69.885</v>
      </c>
      <c r="Q670" s="13">
        <v>30.5825</v>
      </c>
      <c r="R670" s="13">
        <v>4.3877</v>
      </c>
      <c r="S670" s="13">
        <v>1.0329</v>
      </c>
      <c r="T670" s="14">
        <f>IFERROR(__xludf.DUMMYFUNCTION("IFERROR(GOOGLEFINANCE(B670,""price""),"""")"),18.88)</f>
        <v>18.88</v>
      </c>
    </row>
    <row r="671">
      <c r="A671" s="15">
        <v>46069.62565890695</v>
      </c>
      <c r="B671" s="16" t="s">
        <v>5533</v>
      </c>
      <c r="C671" s="16" t="s">
        <v>5534</v>
      </c>
      <c r="D671" s="17">
        <v>46075.0</v>
      </c>
      <c r="E671" s="18">
        <v>6.12</v>
      </c>
      <c r="F671" s="27">
        <v>1.2266</v>
      </c>
      <c r="G671" s="20">
        <v>1.4595847E7</v>
      </c>
      <c r="H671" s="16" t="s">
        <v>102</v>
      </c>
      <c r="I671" s="19">
        <v>-1.4493</v>
      </c>
      <c r="J671" s="20">
        <v>1.655905596E9</v>
      </c>
      <c r="K671" s="24"/>
      <c r="L671" s="21">
        <v>-3.7839</v>
      </c>
      <c r="M671" s="16" t="s">
        <v>5535</v>
      </c>
      <c r="N671" s="16" t="s">
        <v>5536</v>
      </c>
      <c r="O671" s="21">
        <v>-55.984</v>
      </c>
      <c r="P671" s="21">
        <v>-31.1477</v>
      </c>
      <c r="Q671" s="24"/>
      <c r="R671" s="21">
        <v>4.5088</v>
      </c>
      <c r="S671" s="21">
        <v>1.1293</v>
      </c>
      <c r="T671" s="22">
        <f>IFERROR(__xludf.DUMMYFUNCTION("IFERROR(GOOGLEFINANCE(B671,""price""),"""")"),4.69)</f>
        <v>4.69</v>
      </c>
    </row>
    <row r="672">
      <c r="A672" s="7">
        <v>46069.62565890695</v>
      </c>
      <c r="B672" s="8" t="s">
        <v>5558</v>
      </c>
      <c r="C672" s="8" t="s">
        <v>5559</v>
      </c>
      <c r="D672" s="9">
        <v>46075.0</v>
      </c>
      <c r="E672" s="10">
        <v>11.1</v>
      </c>
      <c r="F672" s="26">
        <v>1.2168</v>
      </c>
      <c r="G672" s="12">
        <v>1.5467101E7</v>
      </c>
      <c r="H672" s="8" t="s">
        <v>102</v>
      </c>
      <c r="I672" s="11">
        <v>2.873</v>
      </c>
      <c r="J672" s="12">
        <v>3.597489867E9</v>
      </c>
      <c r="K672" s="23"/>
      <c r="L672" s="13">
        <v>-8.3559</v>
      </c>
      <c r="M672" s="8" t="s">
        <v>5560</v>
      </c>
      <c r="N672" s="8" t="s">
        <v>5536</v>
      </c>
      <c r="O672" s="23"/>
      <c r="P672" s="13">
        <v>-351.0117</v>
      </c>
      <c r="Q672" s="13">
        <v>324.0994</v>
      </c>
      <c r="R672" s="23"/>
      <c r="S672" s="13">
        <v>1.8261</v>
      </c>
      <c r="T672" s="14">
        <f>IFERROR(__xludf.DUMMYFUNCTION("IFERROR(GOOGLEFINANCE(B672,""price""),"""")"),5.62)</f>
        <v>5.62</v>
      </c>
    </row>
    <row r="673">
      <c r="A673" s="15">
        <v>46069.62565890695</v>
      </c>
      <c r="B673" s="16" t="s">
        <v>5876</v>
      </c>
      <c r="C673" s="16" t="s">
        <v>5877</v>
      </c>
      <c r="D673" s="17">
        <v>46075.0</v>
      </c>
      <c r="E673" s="18">
        <v>12.24</v>
      </c>
      <c r="F673" s="27">
        <v>1.2031</v>
      </c>
      <c r="G673" s="20">
        <v>1.1036503E7</v>
      </c>
      <c r="H673" s="16" t="s">
        <v>88</v>
      </c>
      <c r="I673" s="19">
        <v>7.9365</v>
      </c>
      <c r="J673" s="20">
        <v>2.797627547E9</v>
      </c>
      <c r="K673" s="21">
        <v>11.6151</v>
      </c>
      <c r="L673" s="21">
        <v>1.0538</v>
      </c>
      <c r="M673" s="16" t="s">
        <v>5878</v>
      </c>
      <c r="N673" s="16" t="s">
        <v>5471</v>
      </c>
      <c r="O673" s="24"/>
      <c r="P673" s="21">
        <v>4.5626</v>
      </c>
      <c r="Q673" s="21">
        <v>0.1059</v>
      </c>
      <c r="R673" s="24"/>
      <c r="S673" s="24"/>
      <c r="T673" s="22">
        <f>IFERROR(__xludf.DUMMYFUNCTION("IFERROR(GOOGLEFINANCE(B673,""price""),"""")"),12.23)</f>
        <v>12.23</v>
      </c>
    </row>
    <row r="674">
      <c r="A674" s="7">
        <v>46069.62565890695</v>
      </c>
      <c r="B674" s="8" t="s">
        <v>5544</v>
      </c>
      <c r="C674" s="8" t="s">
        <v>5545</v>
      </c>
      <c r="D674" s="9">
        <v>46075.0</v>
      </c>
      <c r="E674" s="10">
        <v>16.42</v>
      </c>
      <c r="F674" s="26">
        <v>1.1995</v>
      </c>
      <c r="G674" s="12">
        <v>3.7914151E7</v>
      </c>
      <c r="H674" s="8" t="s">
        <v>88</v>
      </c>
      <c r="I674" s="11">
        <v>1.9876</v>
      </c>
      <c r="J674" s="12">
        <v>6.487411845E9</v>
      </c>
      <c r="K674" s="23"/>
      <c r="L674" s="13">
        <v>-0.1905</v>
      </c>
      <c r="M674" s="8" t="s">
        <v>5546</v>
      </c>
      <c r="N674" s="8" t="s">
        <v>5471</v>
      </c>
      <c r="O674" s="13">
        <v>-9.6935</v>
      </c>
      <c r="P674" s="13">
        <v>-72.0529</v>
      </c>
      <c r="Q674" s="13">
        <v>35.4099</v>
      </c>
      <c r="R674" s="13">
        <v>1.333</v>
      </c>
      <c r="S674" s="13">
        <v>2.4892</v>
      </c>
      <c r="T674" s="14">
        <f>IFERROR(__xludf.DUMMYFUNCTION("IFERROR(GOOGLEFINANCE(B674,""price""),"""")"),16.53)</f>
        <v>16.53</v>
      </c>
    </row>
    <row r="675">
      <c r="A675" s="15">
        <v>46069.62565890695</v>
      </c>
      <c r="B675" s="16" t="s">
        <v>5564</v>
      </c>
      <c r="C675" s="16" t="s">
        <v>5565</v>
      </c>
      <c r="D675" s="17">
        <v>46075.0</v>
      </c>
      <c r="E675" s="18">
        <v>22.42</v>
      </c>
      <c r="F675" s="27">
        <v>1.191</v>
      </c>
      <c r="G675" s="20">
        <v>2.0426681E7</v>
      </c>
      <c r="H675" s="16" t="s">
        <v>335</v>
      </c>
      <c r="I675" s="19">
        <v>7.0678</v>
      </c>
      <c r="J675" s="20">
        <v>1.439602929E10</v>
      </c>
      <c r="K675" s="21">
        <v>32.8691</v>
      </c>
      <c r="L675" s="21">
        <v>0.6821</v>
      </c>
      <c r="M675" s="16" t="s">
        <v>5566</v>
      </c>
      <c r="N675" s="16" t="s">
        <v>5445</v>
      </c>
      <c r="O675" s="21">
        <v>19.572</v>
      </c>
      <c r="P675" s="21">
        <v>28.3305</v>
      </c>
      <c r="Q675" s="21">
        <v>72.9391</v>
      </c>
      <c r="R675" s="21">
        <v>0.1217</v>
      </c>
      <c r="S675" s="21">
        <v>1.999</v>
      </c>
      <c r="T675" s="22">
        <f>IFERROR(__xludf.DUMMYFUNCTION("IFERROR(GOOGLEFINANCE(B675,""price""),"""")"),20.24)</f>
        <v>20.24</v>
      </c>
    </row>
    <row r="676">
      <c r="A676" s="7">
        <v>46069.62565890695</v>
      </c>
      <c r="B676" s="8" t="s">
        <v>2704</v>
      </c>
      <c r="C676" s="8" t="s">
        <v>2705</v>
      </c>
      <c r="D676" s="9">
        <v>46075.0</v>
      </c>
      <c r="E676" s="10">
        <v>35.28</v>
      </c>
      <c r="F676" s="26">
        <v>1.1882</v>
      </c>
      <c r="G676" s="12">
        <v>2.2436175E7</v>
      </c>
      <c r="H676" s="8" t="s">
        <v>88</v>
      </c>
      <c r="I676" s="11">
        <v>-2.4606</v>
      </c>
      <c r="J676" s="12">
        <v>9.863787227E9</v>
      </c>
      <c r="K676" s="23"/>
      <c r="L676" s="13">
        <v>-0.5438</v>
      </c>
      <c r="M676" s="8" t="s">
        <v>2707</v>
      </c>
      <c r="N676" s="8" t="s">
        <v>5471</v>
      </c>
      <c r="O676" s="13">
        <v>-11.4029</v>
      </c>
      <c r="P676" s="13">
        <v>-26.4624</v>
      </c>
      <c r="Q676" s="13">
        <v>33.135</v>
      </c>
      <c r="R676" s="13">
        <v>1.6778</v>
      </c>
      <c r="S676" s="13">
        <v>4.8227</v>
      </c>
      <c r="T676" s="14">
        <f>IFERROR(__xludf.DUMMYFUNCTION("IFERROR(GOOGLEFINANCE(B676,""price""),"""")"),26.24)</f>
        <v>26.24</v>
      </c>
    </row>
    <row r="677">
      <c r="A677" s="15">
        <v>46069.62565890695</v>
      </c>
      <c r="B677" s="16" t="s">
        <v>5537</v>
      </c>
      <c r="C677" s="16" t="s">
        <v>5538</v>
      </c>
      <c r="D677" s="17">
        <v>46075.0</v>
      </c>
      <c r="E677" s="18">
        <v>2.98</v>
      </c>
      <c r="F677" s="27">
        <v>1.1875</v>
      </c>
      <c r="G677" s="20">
        <v>1.5384342E7</v>
      </c>
      <c r="H677" s="16" t="s">
        <v>112</v>
      </c>
      <c r="I677" s="19">
        <v>3.2929</v>
      </c>
      <c r="J677" s="20">
        <v>6.66315976E8</v>
      </c>
      <c r="K677" s="24"/>
      <c r="L677" s="21">
        <v>-0.135</v>
      </c>
      <c r="M677" s="16" t="s">
        <v>5539</v>
      </c>
      <c r="N677" s="16" t="s">
        <v>5540</v>
      </c>
      <c r="O677" s="21">
        <v>-10.5751</v>
      </c>
      <c r="P677" s="21">
        <v>-523.9108</v>
      </c>
      <c r="Q677" s="21">
        <v>12.4146</v>
      </c>
      <c r="R677" s="21">
        <v>0.0018</v>
      </c>
      <c r="S677" s="21">
        <v>35.7348</v>
      </c>
      <c r="T677" s="22">
        <f>IFERROR(__xludf.DUMMYFUNCTION("IFERROR(GOOGLEFINANCE(B677,""price""),"""")"),2.01)</f>
        <v>2.01</v>
      </c>
    </row>
    <row r="678">
      <c r="A678" s="7">
        <v>46069.62565890695</v>
      </c>
      <c r="B678" s="8" t="s">
        <v>2735</v>
      </c>
      <c r="C678" s="8" t="s">
        <v>2736</v>
      </c>
      <c r="D678" s="9">
        <v>46075.0</v>
      </c>
      <c r="E678" s="10">
        <v>22.6</v>
      </c>
      <c r="F678" s="26">
        <v>1.1866</v>
      </c>
      <c r="G678" s="12">
        <v>1.7168197E7</v>
      </c>
      <c r="H678" s="8" t="s">
        <v>335</v>
      </c>
      <c r="I678" s="11">
        <v>8.1857</v>
      </c>
      <c r="J678" s="12">
        <v>1.5144230737E10</v>
      </c>
      <c r="K678" s="13">
        <v>74.4401</v>
      </c>
      <c r="L678" s="13">
        <v>0.3036</v>
      </c>
      <c r="M678" s="8" t="s">
        <v>2738</v>
      </c>
      <c r="N678" s="8" t="s">
        <v>5445</v>
      </c>
      <c r="O678" s="13">
        <v>8.8784</v>
      </c>
      <c r="P678" s="13">
        <v>29.4716</v>
      </c>
      <c r="Q678" s="13">
        <v>45.6149</v>
      </c>
      <c r="R678" s="13">
        <v>0.1183</v>
      </c>
      <c r="S678" s="13">
        <v>2.1532</v>
      </c>
      <c r="T678" s="14">
        <f>IFERROR(__xludf.DUMMYFUNCTION("IFERROR(GOOGLEFINANCE(B678,""price""),"""")"),19.46)</f>
        <v>19.46</v>
      </c>
    </row>
    <row r="679">
      <c r="A679" s="15">
        <v>46069.62565890695</v>
      </c>
      <c r="B679" s="16" t="s">
        <v>5517</v>
      </c>
      <c r="C679" s="16" t="s">
        <v>5518</v>
      </c>
      <c r="D679" s="17">
        <v>46075.0</v>
      </c>
      <c r="E679" s="18">
        <v>8.02</v>
      </c>
      <c r="F679" s="27">
        <v>1.1719</v>
      </c>
      <c r="G679" s="20">
        <v>1.6667273E7</v>
      </c>
      <c r="H679" s="16" t="s">
        <v>308</v>
      </c>
      <c r="I679" s="19">
        <v>1.6477</v>
      </c>
      <c r="J679" s="20">
        <v>1.32450939E9</v>
      </c>
      <c r="K679" s="24"/>
      <c r="L679" s="21">
        <v>-3.1791</v>
      </c>
      <c r="M679" s="16" t="s">
        <v>5519</v>
      </c>
      <c r="N679" s="16" t="s">
        <v>5520</v>
      </c>
      <c r="O679" s="21">
        <v>-50.0822</v>
      </c>
      <c r="P679" s="21">
        <v>-46.1858</v>
      </c>
      <c r="Q679" s="21">
        <v>-0.6305</v>
      </c>
      <c r="R679" s="21">
        <v>0.3596</v>
      </c>
      <c r="S679" s="21">
        <v>1.4082</v>
      </c>
      <c r="T679" s="22">
        <f>IFERROR(__xludf.DUMMYFUNCTION("IFERROR(GOOGLEFINANCE(B679,""price""),"""")"),9.29)</f>
        <v>9.29</v>
      </c>
    </row>
    <row r="680">
      <c r="A680" s="7">
        <v>46069.62565890695</v>
      </c>
      <c r="B680" s="8" t="s">
        <v>5422</v>
      </c>
      <c r="C680" s="8" t="s">
        <v>5423</v>
      </c>
      <c r="D680" s="9">
        <v>46075.0</v>
      </c>
      <c r="E680" s="10">
        <v>19.395</v>
      </c>
      <c r="F680" s="26">
        <v>1.1692</v>
      </c>
      <c r="G680" s="12">
        <v>1.2602429E7</v>
      </c>
      <c r="H680" s="8" t="s">
        <v>102</v>
      </c>
      <c r="I680" s="11">
        <v>1.6509</v>
      </c>
      <c r="J680" s="12">
        <v>4.226958877E9</v>
      </c>
      <c r="K680" s="23"/>
      <c r="L680" s="13">
        <v>-2.5128</v>
      </c>
      <c r="M680" s="8" t="s">
        <v>5424</v>
      </c>
      <c r="N680" s="8" t="s">
        <v>5425</v>
      </c>
      <c r="O680" s="13">
        <v>-255.9098</v>
      </c>
      <c r="P680" s="23"/>
      <c r="Q680" s="23"/>
      <c r="R680" s="23"/>
      <c r="S680" s="13">
        <v>16.5111</v>
      </c>
      <c r="T680" s="14">
        <f>IFERROR(__xludf.DUMMYFUNCTION("IFERROR(GOOGLEFINANCE(B680,""price""),"""")"),16.15)</f>
        <v>16.15</v>
      </c>
    </row>
    <row r="681">
      <c r="A681" s="15">
        <v>46069.62565890695</v>
      </c>
      <c r="B681" s="16" t="s">
        <v>5434</v>
      </c>
      <c r="C681" s="16" t="s">
        <v>5435</v>
      </c>
      <c r="D681" s="17">
        <v>46075.0</v>
      </c>
      <c r="E681" s="18">
        <v>9.31</v>
      </c>
      <c r="F681" s="27">
        <v>1.165</v>
      </c>
      <c r="G681" s="20">
        <v>5.6679966E7</v>
      </c>
      <c r="H681" s="16" t="s">
        <v>308</v>
      </c>
      <c r="I681" s="19">
        <v>3.7904</v>
      </c>
      <c r="J681" s="20">
        <v>4.185435587E9</v>
      </c>
      <c r="K681" s="24"/>
      <c r="L681" s="21">
        <v>-0.4034</v>
      </c>
      <c r="M681" s="16" t="s">
        <v>5436</v>
      </c>
      <c r="N681" s="16" t="s">
        <v>5437</v>
      </c>
      <c r="O681" s="21">
        <v>-17.0422</v>
      </c>
      <c r="P681" s="21">
        <v>-176.0921</v>
      </c>
      <c r="Q681" s="21">
        <v>208.4002</v>
      </c>
      <c r="R681" s="21">
        <v>0.037</v>
      </c>
      <c r="S681" s="21">
        <v>15.2957</v>
      </c>
      <c r="T681" s="22">
        <f>IFERROR(__xludf.DUMMYFUNCTION("IFERROR(GOOGLEFINANCE(B681,""price""),"""")"),9.13)</f>
        <v>9.13</v>
      </c>
    </row>
    <row r="682">
      <c r="A682" s="7">
        <v>46069.62565890695</v>
      </c>
      <c r="B682" s="8" t="s">
        <v>5554</v>
      </c>
      <c r="C682" s="8" t="s">
        <v>5555</v>
      </c>
      <c r="D682" s="9">
        <v>46075.0</v>
      </c>
      <c r="E682" s="10">
        <v>82.51</v>
      </c>
      <c r="F682" s="26">
        <v>1.1534</v>
      </c>
      <c r="G682" s="12">
        <v>1.2963097E7</v>
      </c>
      <c r="H682" s="8" t="s">
        <v>873</v>
      </c>
      <c r="I682" s="11">
        <v>0.3527</v>
      </c>
      <c r="J682" s="12">
        <v>3.0314281659E10</v>
      </c>
      <c r="K682" s="23"/>
      <c r="L682" s="13">
        <v>-1.2452</v>
      </c>
      <c r="M682" s="8" t="s">
        <v>5556</v>
      </c>
      <c r="N682" s="8" t="s">
        <v>5557</v>
      </c>
      <c r="O682" s="13">
        <v>-39.2195</v>
      </c>
      <c r="P682" s="13">
        <v>-1479.4668</v>
      </c>
      <c r="Q682" s="13">
        <v>641.24</v>
      </c>
      <c r="R682" s="13">
        <v>0.5824</v>
      </c>
      <c r="S682" s="13">
        <v>9.5602</v>
      </c>
      <c r="T682" s="14">
        <f>IFERROR(__xludf.DUMMYFUNCTION("IFERROR(GOOGLEFINANCE(B682,""price""),"""")"),94.9)</f>
        <v>94.9</v>
      </c>
    </row>
    <row r="683">
      <c r="A683" s="15">
        <v>46069.62565890695</v>
      </c>
      <c r="B683" s="16" t="s">
        <v>5484</v>
      </c>
      <c r="C683" s="16" t="s">
        <v>5485</v>
      </c>
      <c r="D683" s="17">
        <v>46075.0</v>
      </c>
      <c r="E683" s="18">
        <v>42.22</v>
      </c>
      <c r="F683" s="27">
        <v>1.153</v>
      </c>
      <c r="G683" s="20">
        <v>3.1579573E7</v>
      </c>
      <c r="H683" s="16" t="s">
        <v>88</v>
      </c>
      <c r="I683" s="19">
        <v>5.4709</v>
      </c>
      <c r="J683" s="20">
        <v>1.4006873314E10</v>
      </c>
      <c r="K683" s="21">
        <v>48.3731</v>
      </c>
      <c r="L683" s="21">
        <v>0.8728</v>
      </c>
      <c r="M683" s="16" t="s">
        <v>5486</v>
      </c>
      <c r="N683" s="16" t="s">
        <v>5471</v>
      </c>
      <c r="O683" s="21">
        <v>22.5116</v>
      </c>
      <c r="P683" s="21">
        <v>-13.85</v>
      </c>
      <c r="Q683" s="21">
        <v>123.3192</v>
      </c>
      <c r="R683" s="21">
        <v>1.5302</v>
      </c>
      <c r="S683" s="21">
        <v>4.9601</v>
      </c>
      <c r="T683" s="22">
        <f>IFERROR(__xludf.DUMMYFUNCTION("IFERROR(GOOGLEFINANCE(B683,""price""),"""")"),39.32)</f>
        <v>39.32</v>
      </c>
    </row>
    <row r="684">
      <c r="A684" s="7">
        <v>46069.62565890695</v>
      </c>
      <c r="B684" s="8" t="s">
        <v>5591</v>
      </c>
      <c r="C684" s="8" t="s">
        <v>5592</v>
      </c>
      <c r="D684" s="9">
        <v>46075.0</v>
      </c>
      <c r="E684" s="10">
        <v>8.3</v>
      </c>
      <c r="F684" s="26">
        <v>1.1377</v>
      </c>
      <c r="G684" s="12">
        <v>1.5468489E7</v>
      </c>
      <c r="H684" s="8" t="s">
        <v>308</v>
      </c>
      <c r="I684" s="11">
        <v>-0.8363</v>
      </c>
      <c r="J684" s="12">
        <v>1.913118382E9</v>
      </c>
      <c r="K684" s="23"/>
      <c r="L684" s="13">
        <v>-0.6396</v>
      </c>
      <c r="M684" s="8" t="s">
        <v>5593</v>
      </c>
      <c r="N684" s="8" t="s">
        <v>5414</v>
      </c>
      <c r="O684" s="13">
        <v>-33.2524</v>
      </c>
      <c r="P684" s="13">
        <v>-181.4004</v>
      </c>
      <c r="Q684" s="13">
        <v>-38.0644</v>
      </c>
      <c r="R684" s="13">
        <v>0.0241</v>
      </c>
      <c r="S684" s="13">
        <v>7.9353</v>
      </c>
      <c r="T684" s="14">
        <f>IFERROR(__xludf.DUMMYFUNCTION("IFERROR(GOOGLEFINANCE(B684,""price""),"""")"),9.54)</f>
        <v>9.54</v>
      </c>
    </row>
    <row r="685">
      <c r="A685" s="15">
        <v>46069.62565890695</v>
      </c>
      <c r="B685" s="16" t="s">
        <v>5792</v>
      </c>
      <c r="C685" s="16" t="s">
        <v>5793</v>
      </c>
      <c r="D685" s="17">
        <v>46075.0</v>
      </c>
      <c r="E685" s="18">
        <v>10.41</v>
      </c>
      <c r="F685" s="27">
        <v>1.1289</v>
      </c>
      <c r="G685" s="20">
        <v>1.7431111E7</v>
      </c>
      <c r="H685" s="16" t="s">
        <v>88</v>
      </c>
      <c r="I685" s="19">
        <v>0.8721</v>
      </c>
      <c r="J685" s="20">
        <v>7.539916343E9</v>
      </c>
      <c r="K685" s="24"/>
      <c r="L685" s="21">
        <v>-0.1129</v>
      </c>
      <c r="M685" s="16" t="s">
        <v>5794</v>
      </c>
      <c r="N685" s="16" t="s">
        <v>5429</v>
      </c>
      <c r="O685" s="21">
        <v>-9.3898</v>
      </c>
      <c r="P685" s="21">
        <v>-0.4502</v>
      </c>
      <c r="Q685" s="21">
        <v>24.2671</v>
      </c>
      <c r="R685" s="21">
        <v>0.622</v>
      </c>
      <c r="S685" s="21">
        <v>0.8013</v>
      </c>
      <c r="T685" s="22">
        <f>IFERROR(__xludf.DUMMYFUNCTION("IFERROR(GOOGLEFINANCE(B685,""price""),"""")"),7.14)</f>
        <v>7.14</v>
      </c>
    </row>
    <row r="686">
      <c r="A686" s="7">
        <v>46069.62565890695</v>
      </c>
      <c r="B686" s="8" t="s">
        <v>5481</v>
      </c>
      <c r="C686" s="8" t="s">
        <v>5482</v>
      </c>
      <c r="D686" s="9">
        <v>46075.0</v>
      </c>
      <c r="E686" s="10">
        <v>9.85</v>
      </c>
      <c r="F686" s="26">
        <v>1.1221</v>
      </c>
      <c r="G686" s="12">
        <v>2.8205194E7</v>
      </c>
      <c r="H686" s="8" t="s">
        <v>88</v>
      </c>
      <c r="I686" s="11">
        <v>5.8002</v>
      </c>
      <c r="J686" s="12">
        <v>2.519166154E9</v>
      </c>
      <c r="K686" s="23"/>
      <c r="L686" s="13">
        <v>-1.071</v>
      </c>
      <c r="M686" s="8" t="s">
        <v>5483</v>
      </c>
      <c r="N686" s="8" t="s">
        <v>5471</v>
      </c>
      <c r="O686" s="13">
        <v>-15.3378</v>
      </c>
      <c r="P686" s="13">
        <v>-20.8099</v>
      </c>
      <c r="Q686" s="13">
        <v>67.959</v>
      </c>
      <c r="R686" s="13">
        <v>1.2945</v>
      </c>
      <c r="S686" s="13">
        <v>10.5425</v>
      </c>
      <c r="T686" s="14">
        <f>IFERROR(__xludf.DUMMYFUNCTION("IFERROR(GOOGLEFINANCE(B686,""price""),"""")"),10.02)</f>
        <v>10.02</v>
      </c>
    </row>
    <row r="687">
      <c r="A687" s="15">
        <v>46069.62565890695</v>
      </c>
      <c r="B687" s="16" t="s">
        <v>5510</v>
      </c>
      <c r="C687" s="16" t="s">
        <v>5511</v>
      </c>
      <c r="D687" s="17">
        <v>46075.0</v>
      </c>
      <c r="E687" s="18">
        <v>626.56</v>
      </c>
      <c r="F687" s="27">
        <v>1.1101</v>
      </c>
      <c r="G687" s="20">
        <v>2.3640407E7</v>
      </c>
      <c r="H687" s="16" t="s">
        <v>308</v>
      </c>
      <c r="I687" s="19">
        <v>-0.5918</v>
      </c>
      <c r="J687" s="20">
        <v>9.245973297E10</v>
      </c>
      <c r="K687" s="24"/>
      <c r="L687" s="21">
        <v>-7.5894</v>
      </c>
      <c r="M687" s="16" t="s">
        <v>5512</v>
      </c>
      <c r="N687" s="16" t="s">
        <v>5513</v>
      </c>
      <c r="O687" s="21">
        <v>-9.3725</v>
      </c>
      <c r="P687" s="21">
        <v>14.2905</v>
      </c>
      <c r="Q687" s="21">
        <v>23.6019</v>
      </c>
      <c r="R687" s="21">
        <v>0.0796</v>
      </c>
      <c r="S687" s="21">
        <v>3.1137</v>
      </c>
      <c r="T687" s="22">
        <f>IFERROR(__xludf.DUMMYFUNCTION("IFERROR(GOOGLEFINANCE(B687,""price""),"""")"),851.77)</f>
        <v>851.77</v>
      </c>
    </row>
    <row r="688">
      <c r="A688" s="7">
        <v>46069.62565890695</v>
      </c>
      <c r="B688" s="8" t="s">
        <v>5465</v>
      </c>
      <c r="C688" s="8" t="s">
        <v>5466</v>
      </c>
      <c r="D688" s="9">
        <v>46075.0</v>
      </c>
      <c r="E688" s="10">
        <v>96.04</v>
      </c>
      <c r="F688" s="26">
        <v>1.0849</v>
      </c>
      <c r="G688" s="12">
        <v>2.3115563E7</v>
      </c>
      <c r="H688" s="8" t="s">
        <v>88</v>
      </c>
      <c r="I688" s="11">
        <v>0.3553</v>
      </c>
      <c r="J688" s="12">
        <v>5.0061166074E10</v>
      </c>
      <c r="K688" s="23"/>
      <c r="L688" s="13">
        <v>-1.8177</v>
      </c>
      <c r="M688" s="8" t="s">
        <v>5467</v>
      </c>
      <c r="N688" s="8" t="s">
        <v>5429</v>
      </c>
      <c r="O688" s="13">
        <v>-29.1701</v>
      </c>
      <c r="P688" s="13">
        <v>3.6285</v>
      </c>
      <c r="Q688" s="13">
        <v>235.401</v>
      </c>
      <c r="R688" s="13">
        <v>4.85</v>
      </c>
      <c r="S688" s="13">
        <v>0.487</v>
      </c>
      <c r="T688" s="14">
        <f>IFERROR(__xludf.DUMMYFUNCTION("IFERROR(GOOGLEFINANCE(B688,""price""),"""")"),102.0)</f>
        <v>102</v>
      </c>
    </row>
    <row r="689">
      <c r="A689" s="15">
        <v>46069.62565890695</v>
      </c>
      <c r="B689" s="16" t="s">
        <v>5679</v>
      </c>
      <c r="C689" s="16" t="s">
        <v>5680</v>
      </c>
      <c r="D689" s="17">
        <v>46075.0</v>
      </c>
      <c r="E689" s="18">
        <v>19.67</v>
      </c>
      <c r="F689" s="27">
        <v>1.0723</v>
      </c>
      <c r="G689" s="20">
        <v>2.3824069E7</v>
      </c>
      <c r="H689" s="16" t="s">
        <v>308</v>
      </c>
      <c r="I689" s="19">
        <v>4.5165</v>
      </c>
      <c r="J689" s="20">
        <v>7.341481034E9</v>
      </c>
      <c r="K689" s="24"/>
      <c r="L689" s="21">
        <v>-1.351</v>
      </c>
      <c r="M689" s="16" t="s">
        <v>5681</v>
      </c>
      <c r="N689" s="16" t="s">
        <v>5674</v>
      </c>
      <c r="O689" s="21">
        <v>-122.0285</v>
      </c>
      <c r="P689" s="21">
        <v>-355.2063</v>
      </c>
      <c r="Q689" s="21">
        <v>156.1969</v>
      </c>
      <c r="R689" s="21">
        <v>0.0593</v>
      </c>
      <c r="S689" s="21">
        <v>54.6763</v>
      </c>
      <c r="T689" s="22">
        <f>IFERROR(__xludf.DUMMYFUNCTION("IFERROR(GOOGLEFINANCE(B689,""price""),"""")"),14.25)</f>
        <v>14.25</v>
      </c>
    </row>
    <row r="690">
      <c r="A690" s="7">
        <v>46069.62565890695</v>
      </c>
      <c r="B690" s="8" t="s">
        <v>5458</v>
      </c>
      <c r="C690" s="8" t="s">
        <v>5459</v>
      </c>
      <c r="D690" s="9">
        <v>46075.0</v>
      </c>
      <c r="E690" s="10">
        <v>4.08</v>
      </c>
      <c r="F690" s="26">
        <v>1.0625</v>
      </c>
      <c r="G690" s="12">
        <v>3.8506096E7</v>
      </c>
      <c r="H690" s="8" t="s">
        <v>88</v>
      </c>
      <c r="I690" s="11">
        <v>-0.4878</v>
      </c>
      <c r="J690" s="12">
        <v>1.781128897E9</v>
      </c>
      <c r="K690" s="23"/>
      <c r="L690" s="13">
        <v>-1.4208</v>
      </c>
      <c r="M690" s="8" t="s">
        <v>5460</v>
      </c>
      <c r="N690" s="8" t="s">
        <v>5429</v>
      </c>
      <c r="O690" s="13">
        <v>-111.8268</v>
      </c>
      <c r="P690" s="13">
        <v>-46.2208</v>
      </c>
      <c r="Q690" s="13">
        <v>-6.9516</v>
      </c>
      <c r="R690" s="13">
        <v>0.1851</v>
      </c>
      <c r="S690" s="13">
        <v>3.1313</v>
      </c>
      <c r="T690" s="14">
        <f>IFERROR(__xludf.DUMMYFUNCTION("IFERROR(GOOGLEFINANCE(B690,""price""),"""")"),3.32)</f>
        <v>3.32</v>
      </c>
    </row>
    <row r="691">
      <c r="A691" s="15">
        <v>46069.62565890695</v>
      </c>
      <c r="B691" s="16" t="s">
        <v>5671</v>
      </c>
      <c r="C691" s="16" t="s">
        <v>5672</v>
      </c>
      <c r="D691" s="17">
        <v>46075.0</v>
      </c>
      <c r="E691" s="18">
        <v>16.09</v>
      </c>
      <c r="F691" s="27">
        <v>1.057</v>
      </c>
      <c r="G691" s="20">
        <v>2.8502676E7</v>
      </c>
      <c r="H691" s="16" t="s">
        <v>308</v>
      </c>
      <c r="I691" s="19">
        <v>7.3382</v>
      </c>
      <c r="J691" s="20">
        <v>5.310119388E9</v>
      </c>
      <c r="K691" s="24"/>
      <c r="L691" s="21">
        <v>-1.3002</v>
      </c>
      <c r="M691" s="16" t="s">
        <v>5673</v>
      </c>
      <c r="N691" s="16" t="s">
        <v>5674</v>
      </c>
      <c r="O691" s="21">
        <v>-141.9</v>
      </c>
      <c r="P691" s="21">
        <v>-1074.9533</v>
      </c>
      <c r="Q691" s="21">
        <v>-36.9828</v>
      </c>
      <c r="R691" s="21">
        <v>0.0204</v>
      </c>
      <c r="S691" s="21">
        <v>39.2207</v>
      </c>
      <c r="T691" s="22">
        <f>IFERROR(__xludf.DUMMYFUNCTION("IFERROR(GOOGLEFINANCE(B691,""price""),"""")"),14.68)</f>
        <v>14.68</v>
      </c>
    </row>
    <row r="692">
      <c r="A692" s="7">
        <v>46070.62557361559</v>
      </c>
      <c r="B692" s="8" t="s">
        <v>5655</v>
      </c>
      <c r="C692" s="8" t="s">
        <v>5656</v>
      </c>
      <c r="D692" s="9">
        <v>46075.0</v>
      </c>
      <c r="E692" s="10">
        <v>5.025</v>
      </c>
      <c r="F692" s="26">
        <v>2.0898</v>
      </c>
      <c r="G692" s="12">
        <v>8971010.0</v>
      </c>
      <c r="H692" s="8" t="s">
        <v>88</v>
      </c>
      <c r="I692" s="11">
        <v>1.7206</v>
      </c>
      <c r="J692" s="12">
        <v>3.219907417E9</v>
      </c>
      <c r="K692" s="23"/>
      <c r="L692" s="13">
        <v>-0.0054</v>
      </c>
      <c r="M692" s="8" t="s">
        <v>5657</v>
      </c>
      <c r="N692" s="8" t="s">
        <v>5429</v>
      </c>
      <c r="O692" s="13">
        <v>-0.1405</v>
      </c>
      <c r="P692" s="13">
        <v>7.955</v>
      </c>
      <c r="Q692" s="13">
        <v>10.644</v>
      </c>
      <c r="R692" s="13">
        <v>0.5124</v>
      </c>
      <c r="S692" s="13">
        <v>1.4114</v>
      </c>
      <c r="T692" s="14">
        <f>IFERROR(__xludf.DUMMYFUNCTION("IFERROR(GOOGLEFINANCE(B692,""price""),"""")"),4.99)</f>
        <v>4.99</v>
      </c>
    </row>
    <row r="693">
      <c r="A693" s="15">
        <v>46070.62557361559</v>
      </c>
      <c r="B693" s="16" t="s">
        <v>5909</v>
      </c>
      <c r="C693" s="16" t="s">
        <v>5910</v>
      </c>
      <c r="D693" s="17">
        <v>46075.0</v>
      </c>
      <c r="E693" s="18">
        <v>15.01</v>
      </c>
      <c r="F693" s="27">
        <v>1.8457</v>
      </c>
      <c r="G693" s="20">
        <v>7543095.0</v>
      </c>
      <c r="H693" s="16" t="s">
        <v>117</v>
      </c>
      <c r="I693" s="19">
        <v>15.9969</v>
      </c>
      <c r="J693" s="20">
        <v>1.242636075E9</v>
      </c>
      <c r="K693" s="24"/>
      <c r="L693" s="21">
        <v>-2.9902</v>
      </c>
      <c r="M693" s="16" t="s">
        <v>5911</v>
      </c>
      <c r="N693" s="16" t="s">
        <v>5491</v>
      </c>
      <c r="O693" s="21">
        <v>-98.2307</v>
      </c>
      <c r="P693" s="21">
        <v>-515.6542</v>
      </c>
      <c r="Q693" s="21">
        <v>-7.3786</v>
      </c>
      <c r="R693" s="21">
        <v>0.1162</v>
      </c>
      <c r="S693" s="21">
        <v>7.181</v>
      </c>
      <c r="T693" s="22">
        <f>IFERROR(__xludf.DUMMYFUNCTION("IFERROR(GOOGLEFINANCE(B693,""price""),"""")"),14.19)</f>
        <v>14.19</v>
      </c>
    </row>
    <row r="694">
      <c r="A694" s="7">
        <v>46070.62557361559</v>
      </c>
      <c r="B694" s="8" t="s">
        <v>5754</v>
      </c>
      <c r="C694" s="8" t="s">
        <v>5755</v>
      </c>
      <c r="D694" s="9">
        <v>46075.0</v>
      </c>
      <c r="E694" s="10">
        <v>4.365</v>
      </c>
      <c r="F694" s="26">
        <v>1.8398</v>
      </c>
      <c r="G694" s="12">
        <v>2.5467483E7</v>
      </c>
      <c r="H694" s="8" t="s">
        <v>93</v>
      </c>
      <c r="I694" s="11">
        <v>-1.7998</v>
      </c>
      <c r="J694" s="12">
        <v>4.163285422E9</v>
      </c>
      <c r="K694" s="23"/>
      <c r="L694" s="13">
        <v>-0.4363</v>
      </c>
      <c r="M694" s="8" t="s">
        <v>5756</v>
      </c>
      <c r="N694" s="8" t="s">
        <v>5757</v>
      </c>
      <c r="O694" s="13">
        <v>-39.33</v>
      </c>
      <c r="P694" s="13">
        <v>-4.1534</v>
      </c>
      <c r="Q694" s="13">
        <v>-4.4543</v>
      </c>
      <c r="R694" s="13">
        <v>2.2035</v>
      </c>
      <c r="S694" s="13">
        <v>2.8304</v>
      </c>
      <c r="T694" s="14">
        <f>IFERROR(__xludf.DUMMYFUNCTION("IFERROR(GOOGLEFINANCE(B694,""price""),"""")"),4.32)</f>
        <v>4.32</v>
      </c>
    </row>
    <row r="695">
      <c r="A695" s="15">
        <v>46070.62557361559</v>
      </c>
      <c r="B695" s="16" t="s">
        <v>5725</v>
      </c>
      <c r="C695" s="16" t="s">
        <v>5726</v>
      </c>
      <c r="D695" s="17">
        <v>46075.0</v>
      </c>
      <c r="E695" s="18">
        <v>23.32</v>
      </c>
      <c r="F695" s="27">
        <v>1.7021</v>
      </c>
      <c r="G695" s="20">
        <v>1.0676183E7</v>
      </c>
      <c r="H695" s="16" t="s">
        <v>88</v>
      </c>
      <c r="I695" s="19">
        <v>3.5064</v>
      </c>
      <c r="J695" s="20">
        <v>1.1557198838E10</v>
      </c>
      <c r="K695" s="24"/>
      <c r="L695" s="21">
        <v>-2.0067</v>
      </c>
      <c r="M695" s="16" t="s">
        <v>5727</v>
      </c>
      <c r="N695" s="16" t="s">
        <v>5429</v>
      </c>
      <c r="O695" s="24"/>
      <c r="P695" s="21">
        <v>-107.671</v>
      </c>
      <c r="Q695" s="21">
        <v>43.2284</v>
      </c>
      <c r="R695" s="21">
        <v>0.0441</v>
      </c>
      <c r="S695" s="21">
        <v>2.9292</v>
      </c>
      <c r="T695" s="22">
        <f>IFERROR(__xludf.DUMMYFUNCTION("IFERROR(GOOGLEFINANCE(B695,""price""),"""")"),18.16)</f>
        <v>18.16</v>
      </c>
    </row>
    <row r="696">
      <c r="A696" s="7">
        <v>46070.62557361559</v>
      </c>
      <c r="B696" s="8" t="s">
        <v>5912</v>
      </c>
      <c r="C696" s="8" t="s">
        <v>5913</v>
      </c>
      <c r="D696" s="9">
        <v>46075.0</v>
      </c>
      <c r="E696" s="10">
        <v>5.325</v>
      </c>
      <c r="F696" s="26">
        <v>1.4531</v>
      </c>
      <c r="G696" s="12">
        <v>7613440.0</v>
      </c>
      <c r="H696" s="8" t="s">
        <v>117</v>
      </c>
      <c r="I696" s="11">
        <v>8.0122</v>
      </c>
      <c r="J696" s="12">
        <v>1.884115362E9</v>
      </c>
      <c r="K696" s="23"/>
      <c r="L696" s="13">
        <v>-1.4007</v>
      </c>
      <c r="M696" s="8" t="s">
        <v>5914</v>
      </c>
      <c r="N696" s="8" t="s">
        <v>5502</v>
      </c>
      <c r="O696" s="13">
        <v>-507.7249</v>
      </c>
      <c r="P696" s="13">
        <v>-1706.6255</v>
      </c>
      <c r="Q696" s="13">
        <v>59.1976</v>
      </c>
      <c r="R696" s="13">
        <v>2.3453</v>
      </c>
      <c r="S696" s="13">
        <v>4.0412</v>
      </c>
      <c r="T696" s="14">
        <f>IFERROR(__xludf.DUMMYFUNCTION("IFERROR(GOOGLEFINANCE(B696,""price""),"""")"),4.16)</f>
        <v>4.16</v>
      </c>
    </row>
    <row r="697">
      <c r="A697" s="15">
        <v>46070.62557361559</v>
      </c>
      <c r="B697" s="16" t="s">
        <v>5514</v>
      </c>
      <c r="C697" s="16" t="s">
        <v>5515</v>
      </c>
      <c r="D697" s="17">
        <v>46075.0</v>
      </c>
      <c r="E697" s="18">
        <v>5.995</v>
      </c>
      <c r="F697" s="27">
        <v>1.3477</v>
      </c>
      <c r="G697" s="20">
        <v>1.2917059E7</v>
      </c>
      <c r="H697" s="16" t="s">
        <v>117</v>
      </c>
      <c r="I697" s="19">
        <v>0.841</v>
      </c>
      <c r="J697" s="20">
        <v>5.904866604E9</v>
      </c>
      <c r="K697" s="24"/>
      <c r="L697" s="21">
        <v>-0.4205</v>
      </c>
      <c r="M697" s="16" t="s">
        <v>5516</v>
      </c>
      <c r="N697" s="16" t="s">
        <v>5491</v>
      </c>
      <c r="O697" s="24"/>
      <c r="P697" s="21">
        <v>-315.8428</v>
      </c>
      <c r="Q697" s="21">
        <v>1025.9547</v>
      </c>
      <c r="R697" s="24"/>
      <c r="S697" s="21">
        <v>5.7671</v>
      </c>
      <c r="T697" s="22">
        <f>IFERROR(__xludf.DUMMYFUNCTION("IFERROR(GOOGLEFINANCE(B697,""price""),"""")"),7.28)</f>
        <v>7.28</v>
      </c>
    </row>
    <row r="698">
      <c r="A698" s="7">
        <v>46070.62557361559</v>
      </c>
      <c r="B698" s="8" t="s">
        <v>5915</v>
      </c>
      <c r="C698" s="8" t="s">
        <v>5916</v>
      </c>
      <c r="D698" s="9">
        <v>46075.0</v>
      </c>
      <c r="E698" s="10">
        <v>16.725</v>
      </c>
      <c r="F698" s="26">
        <v>1.332</v>
      </c>
      <c r="G698" s="12">
        <v>6833827.0</v>
      </c>
      <c r="H698" s="8" t="s">
        <v>190</v>
      </c>
      <c r="I698" s="11">
        <v>1.3022</v>
      </c>
      <c r="J698" s="12">
        <v>3.974786545E9</v>
      </c>
      <c r="K698" s="23"/>
      <c r="L698" s="13">
        <v>-1.1042</v>
      </c>
      <c r="M698" s="8" t="s">
        <v>5917</v>
      </c>
      <c r="N698" s="8" t="s">
        <v>5918</v>
      </c>
      <c r="O698" s="23"/>
      <c r="P698" s="13">
        <v>23.7146</v>
      </c>
      <c r="Q698" s="13">
        <v>2.384</v>
      </c>
      <c r="R698" s="23"/>
      <c r="S698" s="23"/>
      <c r="T698" s="14">
        <f>IFERROR(__xludf.DUMMYFUNCTION("IFERROR(GOOGLEFINANCE(B698,""price""),"""")"),13.55)</f>
        <v>13.55</v>
      </c>
    </row>
    <row r="699">
      <c r="A699" s="15">
        <v>46070.62557361559</v>
      </c>
      <c r="B699" s="16" t="s">
        <v>5038</v>
      </c>
      <c r="C699" s="16" t="s">
        <v>5039</v>
      </c>
      <c r="D699" s="17">
        <v>46075.0</v>
      </c>
      <c r="E699" s="18">
        <v>12.395</v>
      </c>
      <c r="F699" s="27">
        <v>1.3027</v>
      </c>
      <c r="G699" s="20">
        <v>7358324.0</v>
      </c>
      <c r="H699" s="16" t="s">
        <v>107</v>
      </c>
      <c r="I699" s="19">
        <v>-6.1696</v>
      </c>
      <c r="J699" s="20">
        <v>2.153644117E9</v>
      </c>
      <c r="K699" s="24"/>
      <c r="L699" s="21">
        <v>-1.816</v>
      </c>
      <c r="M699" s="16" t="s">
        <v>5040</v>
      </c>
      <c r="N699" s="16" t="s">
        <v>5919</v>
      </c>
      <c r="O699" s="21">
        <v>-10.6499</v>
      </c>
      <c r="P699" s="21">
        <v>-0.0692</v>
      </c>
      <c r="Q699" s="21">
        <v>-3.4575</v>
      </c>
      <c r="R699" s="21">
        <v>0.868</v>
      </c>
      <c r="S699" s="21">
        <v>1.3629</v>
      </c>
      <c r="T699" s="22">
        <f>IFERROR(__xludf.DUMMYFUNCTION("IFERROR(GOOGLEFINANCE(B699,""price""),"""")"),13.65)</f>
        <v>13.65</v>
      </c>
    </row>
    <row r="700">
      <c r="A700" s="7">
        <v>46070.62557361559</v>
      </c>
      <c r="B700" s="8" t="s">
        <v>1077</v>
      </c>
      <c r="C700" s="8" t="s">
        <v>1078</v>
      </c>
      <c r="D700" s="9">
        <v>46075.0</v>
      </c>
      <c r="E700" s="10">
        <v>7.295</v>
      </c>
      <c r="F700" s="26">
        <v>1.2988</v>
      </c>
      <c r="G700" s="12">
        <v>8125651.0</v>
      </c>
      <c r="H700" s="8" t="s">
        <v>335</v>
      </c>
      <c r="I700" s="11">
        <v>-4.2651</v>
      </c>
      <c r="J700" s="12">
        <v>1.021559789E9</v>
      </c>
      <c r="K700" s="23"/>
      <c r="L700" s="13">
        <v>-0.041</v>
      </c>
      <c r="M700" s="8" t="s">
        <v>1079</v>
      </c>
      <c r="N700" s="8" t="s">
        <v>5506</v>
      </c>
      <c r="O700" s="13">
        <v>-10.5913</v>
      </c>
      <c r="P700" s="13">
        <v>-18.9471</v>
      </c>
      <c r="Q700" s="13">
        <v>240.123</v>
      </c>
      <c r="R700" s="13">
        <v>0.0037</v>
      </c>
      <c r="S700" s="13">
        <v>5.0784</v>
      </c>
      <c r="T700" s="14">
        <f>IFERROR(__xludf.DUMMYFUNCTION("IFERROR(GOOGLEFINANCE(B700,""price""),"""")"),8.36)</f>
        <v>8.36</v>
      </c>
    </row>
    <row r="701">
      <c r="A701" s="15">
        <v>46070.62557361559</v>
      </c>
      <c r="B701" s="16" t="s">
        <v>5503</v>
      </c>
      <c r="C701" s="16" t="s">
        <v>5504</v>
      </c>
      <c r="D701" s="17">
        <v>46075.0</v>
      </c>
      <c r="E701" s="18">
        <v>9.35</v>
      </c>
      <c r="F701" s="27">
        <v>1.2461</v>
      </c>
      <c r="G701" s="20">
        <v>6593322.0</v>
      </c>
      <c r="H701" s="16" t="s">
        <v>335</v>
      </c>
      <c r="I701" s="19">
        <v>1.1905</v>
      </c>
      <c r="J701" s="20">
        <v>1.102407146E9</v>
      </c>
      <c r="K701" s="24"/>
      <c r="L701" s="21">
        <v>-0.5583</v>
      </c>
      <c r="M701" s="16" t="s">
        <v>5505</v>
      </c>
      <c r="N701" s="16" t="s">
        <v>5445</v>
      </c>
      <c r="O701" s="21">
        <v>-128.3047</v>
      </c>
      <c r="P701" s="24"/>
      <c r="Q701" s="24"/>
      <c r="R701" s="21">
        <v>0.064</v>
      </c>
      <c r="S701" s="21">
        <v>0.1282</v>
      </c>
      <c r="T701" s="22">
        <f>IFERROR(__xludf.DUMMYFUNCTION("IFERROR(GOOGLEFINANCE(B701,""price""),"""")"),8.87)</f>
        <v>8.87</v>
      </c>
    </row>
    <row r="702">
      <c r="A702" s="7">
        <v>46070.62557361559</v>
      </c>
      <c r="B702" s="8" t="s">
        <v>5564</v>
      </c>
      <c r="C702" s="8" t="s">
        <v>5565</v>
      </c>
      <c r="D702" s="9">
        <v>46075.0</v>
      </c>
      <c r="E702" s="10">
        <v>21.83</v>
      </c>
      <c r="F702" s="26">
        <v>1.2156</v>
      </c>
      <c r="G702" s="12">
        <v>2.1439067E7</v>
      </c>
      <c r="H702" s="8" t="s">
        <v>335</v>
      </c>
      <c r="I702" s="11">
        <v>-2.6316</v>
      </c>
      <c r="J702" s="12">
        <v>1.4017186414E10</v>
      </c>
      <c r="K702" s="13">
        <v>32.0041</v>
      </c>
      <c r="L702" s="13">
        <v>0.6821</v>
      </c>
      <c r="M702" s="8" t="s">
        <v>5566</v>
      </c>
      <c r="N702" s="8" t="s">
        <v>5445</v>
      </c>
      <c r="O702" s="13">
        <v>19.572</v>
      </c>
      <c r="P702" s="13">
        <v>28.3305</v>
      </c>
      <c r="Q702" s="13">
        <v>72.9391</v>
      </c>
      <c r="R702" s="13">
        <v>0.1217</v>
      </c>
      <c r="S702" s="13">
        <v>1.999</v>
      </c>
      <c r="T702" s="14">
        <f>IFERROR(__xludf.DUMMYFUNCTION("IFERROR(GOOGLEFINANCE(B702,""price""),"""")"),20.24)</f>
        <v>20.24</v>
      </c>
    </row>
    <row r="703">
      <c r="A703" s="15">
        <v>46070.62557361559</v>
      </c>
      <c r="B703" s="16" t="s">
        <v>2735</v>
      </c>
      <c r="C703" s="16" t="s">
        <v>2736</v>
      </c>
      <c r="D703" s="17">
        <v>46075.0</v>
      </c>
      <c r="E703" s="18">
        <v>21.4249</v>
      </c>
      <c r="F703" s="27">
        <v>1.2112</v>
      </c>
      <c r="G703" s="20">
        <v>2.0053955E7</v>
      </c>
      <c r="H703" s="16" t="s">
        <v>335</v>
      </c>
      <c r="I703" s="19">
        <v>-5.1996</v>
      </c>
      <c r="J703" s="20">
        <v>1.4356797749E10</v>
      </c>
      <c r="K703" s="21">
        <v>70.5695</v>
      </c>
      <c r="L703" s="21">
        <v>0.3036</v>
      </c>
      <c r="M703" s="16" t="s">
        <v>2738</v>
      </c>
      <c r="N703" s="16" t="s">
        <v>5445</v>
      </c>
      <c r="O703" s="21">
        <v>8.8784</v>
      </c>
      <c r="P703" s="21">
        <v>29.4716</v>
      </c>
      <c r="Q703" s="21">
        <v>45.6149</v>
      </c>
      <c r="R703" s="21">
        <v>0.1183</v>
      </c>
      <c r="S703" s="21">
        <v>2.1532</v>
      </c>
      <c r="T703" s="22">
        <f>IFERROR(__xludf.DUMMYFUNCTION("IFERROR(GOOGLEFINANCE(B703,""price""),"""")"),19.46)</f>
        <v>19.46</v>
      </c>
    </row>
    <row r="704">
      <c r="A704" s="7">
        <v>46070.62557361559</v>
      </c>
      <c r="B704" s="8" t="s">
        <v>5533</v>
      </c>
      <c r="C704" s="8" t="s">
        <v>5534</v>
      </c>
      <c r="D704" s="9">
        <v>46075.0</v>
      </c>
      <c r="E704" s="10">
        <v>6.505</v>
      </c>
      <c r="F704" s="26">
        <v>1.1992</v>
      </c>
      <c r="G704" s="12">
        <v>1.7206914E7</v>
      </c>
      <c r="H704" s="8" t="s">
        <v>102</v>
      </c>
      <c r="I704" s="11">
        <v>6.2908</v>
      </c>
      <c r="J704" s="12">
        <v>1.760076128E9</v>
      </c>
      <c r="K704" s="23"/>
      <c r="L704" s="13">
        <v>-3.7839</v>
      </c>
      <c r="M704" s="8" t="s">
        <v>5535</v>
      </c>
      <c r="N704" s="8" t="s">
        <v>5536</v>
      </c>
      <c r="O704" s="13">
        <v>-55.984</v>
      </c>
      <c r="P704" s="13">
        <v>-31.1477</v>
      </c>
      <c r="Q704" s="23"/>
      <c r="R704" s="13">
        <v>4.5088</v>
      </c>
      <c r="S704" s="13">
        <v>1.1293</v>
      </c>
      <c r="T704" s="14">
        <f>IFERROR(__xludf.DUMMYFUNCTION("IFERROR(GOOGLEFINANCE(B704,""price""),"""")"),4.69)</f>
        <v>4.69</v>
      </c>
    </row>
    <row r="705">
      <c r="A705" s="15">
        <v>46070.62557361559</v>
      </c>
      <c r="B705" s="16" t="s">
        <v>5920</v>
      </c>
      <c r="C705" s="16" t="s">
        <v>5921</v>
      </c>
      <c r="D705" s="17">
        <v>46075.0</v>
      </c>
      <c r="E705" s="18">
        <v>18.7586</v>
      </c>
      <c r="F705" s="27">
        <v>1.1963</v>
      </c>
      <c r="G705" s="20">
        <v>7459838.0</v>
      </c>
      <c r="H705" s="16" t="s">
        <v>149</v>
      </c>
      <c r="I705" s="19">
        <v>3.4101</v>
      </c>
      <c r="J705" s="20">
        <v>3.828779087E9</v>
      </c>
      <c r="K705" s="24"/>
      <c r="L705" s="21">
        <v>-1.1488</v>
      </c>
      <c r="M705" s="16" t="s">
        <v>5922</v>
      </c>
      <c r="N705" s="16" t="s">
        <v>5923</v>
      </c>
      <c r="O705" s="21">
        <v>-6.0553</v>
      </c>
      <c r="P705" s="21">
        <v>18.1282</v>
      </c>
      <c r="Q705" s="21">
        <v>0.8695</v>
      </c>
      <c r="R705" s="21">
        <v>6.5732</v>
      </c>
      <c r="S705" s="21">
        <v>0.7784</v>
      </c>
      <c r="T705" s="22">
        <f>IFERROR(__xludf.DUMMYFUNCTION("IFERROR(GOOGLEFINANCE(B705,""price""),"""")"),26.88)</f>
        <v>26.88</v>
      </c>
    </row>
    <row r="706">
      <c r="A706" s="7">
        <v>46070.62557361559</v>
      </c>
      <c r="B706" s="8" t="s">
        <v>5434</v>
      </c>
      <c r="C706" s="8" t="s">
        <v>5435</v>
      </c>
      <c r="D706" s="9">
        <v>46075.0</v>
      </c>
      <c r="E706" s="10">
        <v>9.8281</v>
      </c>
      <c r="F706" s="26">
        <v>1.1709</v>
      </c>
      <c r="G706" s="12">
        <v>6.7467911E7</v>
      </c>
      <c r="H706" s="8" t="s">
        <v>308</v>
      </c>
      <c r="I706" s="11">
        <v>5.565</v>
      </c>
      <c r="J706" s="12">
        <v>4.418354403E9</v>
      </c>
      <c r="K706" s="23"/>
      <c r="L706" s="13">
        <v>-0.4034</v>
      </c>
      <c r="M706" s="8" t="s">
        <v>5436</v>
      </c>
      <c r="N706" s="8" t="s">
        <v>5437</v>
      </c>
      <c r="O706" s="13">
        <v>-17.0422</v>
      </c>
      <c r="P706" s="13">
        <v>-176.0921</v>
      </c>
      <c r="Q706" s="13">
        <v>208.4002</v>
      </c>
      <c r="R706" s="13">
        <v>0.037</v>
      </c>
      <c r="S706" s="13">
        <v>15.2957</v>
      </c>
      <c r="T706" s="14">
        <f>IFERROR(__xludf.DUMMYFUNCTION("IFERROR(GOOGLEFINANCE(B706,""price""),"""")"),9.13)</f>
        <v>9.13</v>
      </c>
    </row>
    <row r="707">
      <c r="A707" s="15">
        <v>46070.62557361559</v>
      </c>
      <c r="B707" s="16" t="s">
        <v>5544</v>
      </c>
      <c r="C707" s="16" t="s">
        <v>5545</v>
      </c>
      <c r="D707" s="17">
        <v>46075.0</v>
      </c>
      <c r="E707" s="18">
        <v>15.685</v>
      </c>
      <c r="F707" s="27">
        <v>1.1393</v>
      </c>
      <c r="G707" s="20">
        <v>2.7241418E7</v>
      </c>
      <c r="H707" s="16" t="s">
        <v>88</v>
      </c>
      <c r="I707" s="19">
        <v>-4.4762</v>
      </c>
      <c r="J707" s="20">
        <v>6.197019171E9</v>
      </c>
      <c r="K707" s="24"/>
      <c r="L707" s="21">
        <v>-0.1905</v>
      </c>
      <c r="M707" s="16" t="s">
        <v>5546</v>
      </c>
      <c r="N707" s="16" t="s">
        <v>5471</v>
      </c>
      <c r="O707" s="21">
        <v>-9.6935</v>
      </c>
      <c r="P707" s="21">
        <v>-72.0529</v>
      </c>
      <c r="Q707" s="21">
        <v>35.4099</v>
      </c>
      <c r="R707" s="21">
        <v>1.333</v>
      </c>
      <c r="S707" s="21">
        <v>2.4892</v>
      </c>
      <c r="T707" s="22">
        <f>IFERROR(__xludf.DUMMYFUNCTION("IFERROR(GOOGLEFINANCE(B707,""price""),"""")"),16.53)</f>
        <v>16.53</v>
      </c>
    </row>
    <row r="708">
      <c r="A708" s="7">
        <v>46070.62557361559</v>
      </c>
      <c r="B708" s="8" t="s">
        <v>5517</v>
      </c>
      <c r="C708" s="8" t="s">
        <v>5518</v>
      </c>
      <c r="D708" s="9">
        <v>46075.0</v>
      </c>
      <c r="E708" s="10">
        <v>7.998</v>
      </c>
      <c r="F708" s="26">
        <v>1.1211</v>
      </c>
      <c r="G708" s="12">
        <v>1.2208353E7</v>
      </c>
      <c r="H708" s="8" t="s">
        <v>308</v>
      </c>
      <c r="I708" s="11">
        <v>-0.2743</v>
      </c>
      <c r="J708" s="12">
        <v>1.320876072E9</v>
      </c>
      <c r="K708" s="23"/>
      <c r="L708" s="13">
        <v>-3.1791</v>
      </c>
      <c r="M708" s="8" t="s">
        <v>5519</v>
      </c>
      <c r="N708" s="8" t="s">
        <v>5520</v>
      </c>
      <c r="O708" s="13">
        <v>-50.0822</v>
      </c>
      <c r="P708" s="13">
        <v>-46.1858</v>
      </c>
      <c r="Q708" s="13">
        <v>-0.6305</v>
      </c>
      <c r="R708" s="13">
        <v>0.3596</v>
      </c>
      <c r="S708" s="13">
        <v>1.4082</v>
      </c>
      <c r="T708" s="14">
        <f>IFERROR(__xludf.DUMMYFUNCTION("IFERROR(GOOGLEFINANCE(B708,""price""),"""")"),9.29)</f>
        <v>9.29</v>
      </c>
    </row>
    <row r="709">
      <c r="A709" s="15">
        <v>46070.62557361559</v>
      </c>
      <c r="B709" s="16" t="s">
        <v>2704</v>
      </c>
      <c r="C709" s="16" t="s">
        <v>2705</v>
      </c>
      <c r="D709" s="17">
        <v>46075.0</v>
      </c>
      <c r="E709" s="18">
        <v>33.7301</v>
      </c>
      <c r="F709" s="27">
        <v>1.1205</v>
      </c>
      <c r="G709" s="20">
        <v>1.703289E7</v>
      </c>
      <c r="H709" s="16" t="s">
        <v>88</v>
      </c>
      <c r="I709" s="19">
        <v>-4.3931</v>
      </c>
      <c r="J709" s="20">
        <v>9.430457187E9</v>
      </c>
      <c r="K709" s="24"/>
      <c r="L709" s="21">
        <v>-0.5438</v>
      </c>
      <c r="M709" s="16" t="s">
        <v>2707</v>
      </c>
      <c r="N709" s="16" t="s">
        <v>5471</v>
      </c>
      <c r="O709" s="21">
        <v>-11.4029</v>
      </c>
      <c r="P709" s="21">
        <v>-26.4624</v>
      </c>
      <c r="Q709" s="21">
        <v>33.135</v>
      </c>
      <c r="R709" s="21">
        <v>1.6778</v>
      </c>
      <c r="S709" s="21">
        <v>4.8227</v>
      </c>
      <c r="T709" s="22">
        <f>IFERROR(__xludf.DUMMYFUNCTION("IFERROR(GOOGLEFINANCE(B709,""price""),"""")"),26.24)</f>
        <v>26.24</v>
      </c>
    </row>
    <row r="710">
      <c r="A710" s="7">
        <v>46070.62557361559</v>
      </c>
      <c r="B710" s="8" t="s">
        <v>5558</v>
      </c>
      <c r="C710" s="8" t="s">
        <v>5559</v>
      </c>
      <c r="D710" s="9">
        <v>46075.0</v>
      </c>
      <c r="E710" s="10">
        <v>11.46</v>
      </c>
      <c r="F710" s="26">
        <v>1.1165</v>
      </c>
      <c r="G710" s="12">
        <v>1.1119653E7</v>
      </c>
      <c r="H710" s="8" t="s">
        <v>102</v>
      </c>
      <c r="I710" s="11">
        <v>3.2432</v>
      </c>
      <c r="J710" s="12">
        <v>3.714165214E9</v>
      </c>
      <c r="K710" s="23"/>
      <c r="L710" s="13">
        <v>-8.3559</v>
      </c>
      <c r="M710" s="8" t="s">
        <v>5560</v>
      </c>
      <c r="N710" s="8" t="s">
        <v>5536</v>
      </c>
      <c r="O710" s="23"/>
      <c r="P710" s="13">
        <v>-351.0117</v>
      </c>
      <c r="Q710" s="13">
        <v>324.0994</v>
      </c>
      <c r="R710" s="23"/>
      <c r="S710" s="13">
        <v>1.8261</v>
      </c>
      <c r="T710" s="14">
        <f>IFERROR(__xludf.DUMMYFUNCTION("IFERROR(GOOGLEFINANCE(B710,""price""),"""")"),5.62)</f>
        <v>5.62</v>
      </c>
    </row>
    <row r="711">
      <c r="A711" s="15">
        <v>46070.62557361559</v>
      </c>
      <c r="B711" s="16" t="s">
        <v>5594</v>
      </c>
      <c r="C711" s="16" t="s">
        <v>5595</v>
      </c>
      <c r="D711" s="17">
        <v>46075.0</v>
      </c>
      <c r="E711" s="18">
        <v>16.4203</v>
      </c>
      <c r="F711" s="27">
        <v>1.1126</v>
      </c>
      <c r="G711" s="20">
        <v>2.5735885E7</v>
      </c>
      <c r="H711" s="16" t="s">
        <v>88</v>
      </c>
      <c r="I711" s="19">
        <v>0.9859</v>
      </c>
      <c r="J711" s="20">
        <v>6.874882249E9</v>
      </c>
      <c r="K711" s="24"/>
      <c r="L711" s="21">
        <v>-1.4167</v>
      </c>
      <c r="M711" s="16" t="s">
        <v>5596</v>
      </c>
      <c r="N711" s="16" t="s">
        <v>5471</v>
      </c>
      <c r="O711" s="21">
        <v>-181.9547</v>
      </c>
      <c r="P711" s="21">
        <v>-69.885</v>
      </c>
      <c r="Q711" s="21">
        <v>30.5825</v>
      </c>
      <c r="R711" s="21">
        <v>4.3877</v>
      </c>
      <c r="S711" s="21">
        <v>1.0329</v>
      </c>
      <c r="T711" s="22">
        <f>IFERROR(__xludf.DUMMYFUNCTION("IFERROR(GOOGLEFINANCE(B711,""price""),"""")"),18.88)</f>
        <v>18.88</v>
      </c>
    </row>
    <row r="712">
      <c r="A712" s="7">
        <v>46070.62557361559</v>
      </c>
      <c r="B712" s="8" t="s">
        <v>4884</v>
      </c>
      <c r="C712" s="8" t="s">
        <v>4885</v>
      </c>
      <c r="D712" s="9">
        <v>46075.0</v>
      </c>
      <c r="E712" s="10">
        <v>17.47</v>
      </c>
      <c r="F712" s="26">
        <v>1.1118</v>
      </c>
      <c r="G712" s="12">
        <v>7653903.0</v>
      </c>
      <c r="H712" s="8" t="s">
        <v>88</v>
      </c>
      <c r="I712" s="11">
        <v>-2.074</v>
      </c>
      <c r="J712" s="12">
        <v>5.416771128E9</v>
      </c>
      <c r="K712" s="13">
        <v>125.4128</v>
      </c>
      <c r="L712" s="13">
        <v>0.1393</v>
      </c>
      <c r="M712" s="8" t="s">
        <v>4886</v>
      </c>
      <c r="N712" s="8" t="s">
        <v>5471</v>
      </c>
      <c r="O712" s="23"/>
      <c r="P712" s="13">
        <v>-56.2854</v>
      </c>
      <c r="Q712" s="13">
        <v>-40.0761</v>
      </c>
      <c r="R712" s="23"/>
      <c r="S712" s="13">
        <v>1.584</v>
      </c>
      <c r="T712" s="14">
        <f>IFERROR(__xludf.DUMMYFUNCTION("IFERROR(GOOGLEFINANCE(B712,""price""),"""")"),18.32)</f>
        <v>18.32</v>
      </c>
    </row>
    <row r="713">
      <c r="A713" s="15">
        <v>46070.62557361559</v>
      </c>
      <c r="B713" s="16" t="s">
        <v>5561</v>
      </c>
      <c r="C713" s="16" t="s">
        <v>5562</v>
      </c>
      <c r="D713" s="17">
        <v>46075.0</v>
      </c>
      <c r="E713" s="18">
        <v>14.2101</v>
      </c>
      <c r="F713" s="27">
        <v>1.1011</v>
      </c>
      <c r="G713" s="20">
        <v>2.2623463E7</v>
      </c>
      <c r="H713" s="16" t="s">
        <v>102</v>
      </c>
      <c r="I713" s="19">
        <v>-0.6981</v>
      </c>
      <c r="J713" s="20">
        <v>4.3017466E9</v>
      </c>
      <c r="K713" s="24"/>
      <c r="L713" s="21">
        <v>-2.8582</v>
      </c>
      <c r="M713" s="16" t="s">
        <v>5563</v>
      </c>
      <c r="N713" s="16" t="s">
        <v>5536</v>
      </c>
      <c r="O713" s="21">
        <v>-76.8505</v>
      </c>
      <c r="P713" s="21">
        <v>-983.9643</v>
      </c>
      <c r="Q713" s="21">
        <v>765.6686</v>
      </c>
      <c r="R713" s="21">
        <v>0.0</v>
      </c>
      <c r="S713" s="21">
        <v>1.6153</v>
      </c>
      <c r="T713" s="22">
        <f>IFERROR(__xludf.DUMMYFUNCTION("IFERROR(GOOGLEFINANCE(B713,""price""),"""")"),9.21)</f>
        <v>9.21</v>
      </c>
    </row>
    <row r="714">
      <c r="A714" s="7">
        <v>46070.62557361559</v>
      </c>
      <c r="B714" s="8" t="s">
        <v>5574</v>
      </c>
      <c r="C714" s="8" t="s">
        <v>5575</v>
      </c>
      <c r="D714" s="9">
        <v>46075.0</v>
      </c>
      <c r="E714" s="10">
        <v>20.685</v>
      </c>
      <c r="F714" s="26">
        <v>1.092</v>
      </c>
      <c r="G714" s="12">
        <v>8116528.0</v>
      </c>
      <c r="H714" s="8" t="s">
        <v>335</v>
      </c>
      <c r="I714" s="11">
        <v>-0.1689</v>
      </c>
      <c r="J714" s="12">
        <v>4.908276436E9</v>
      </c>
      <c r="K714" s="23"/>
      <c r="L714" s="13">
        <v>-0.4849</v>
      </c>
      <c r="M714" s="8" t="s">
        <v>5576</v>
      </c>
      <c r="N714" s="8" t="s">
        <v>5506</v>
      </c>
      <c r="O714" s="13">
        <v>-18.1731</v>
      </c>
      <c r="P714" s="13">
        <v>-129.5586</v>
      </c>
      <c r="Q714" s="13">
        <v>103.694</v>
      </c>
      <c r="R714" s="13">
        <v>0.0</v>
      </c>
      <c r="S714" s="13">
        <v>11.4962</v>
      </c>
      <c r="T714" s="14">
        <f>IFERROR(__xludf.DUMMYFUNCTION("IFERROR(GOOGLEFINANCE(B714,""price""),"""")"),18.4)</f>
        <v>18.4</v>
      </c>
    </row>
    <row r="715">
      <c r="A715" s="15">
        <v>46070.62557361559</v>
      </c>
      <c r="B715" s="16" t="s">
        <v>5728</v>
      </c>
      <c r="C715" s="16" t="s">
        <v>5729</v>
      </c>
      <c r="D715" s="17">
        <v>46075.0</v>
      </c>
      <c r="E715" s="18">
        <v>7.0</v>
      </c>
      <c r="F715" s="27">
        <v>1.0703</v>
      </c>
      <c r="G715" s="20">
        <v>4.7921321E7</v>
      </c>
      <c r="H715" s="16" t="s">
        <v>117</v>
      </c>
      <c r="I715" s="19">
        <v>-21.1712</v>
      </c>
      <c r="J715" s="20">
        <v>1.523842534E9</v>
      </c>
      <c r="K715" s="24"/>
      <c r="L715" s="21">
        <v>-1.4385</v>
      </c>
      <c r="M715" s="16" t="s">
        <v>5730</v>
      </c>
      <c r="N715" s="16" t="s">
        <v>5491</v>
      </c>
      <c r="O715" s="21">
        <v>-54.8523</v>
      </c>
      <c r="P715" s="21">
        <v>-519.7513</v>
      </c>
      <c r="Q715" s="21">
        <v>-18.4724</v>
      </c>
      <c r="R715" s="21">
        <v>0.1176</v>
      </c>
      <c r="S715" s="21">
        <v>15.3944</v>
      </c>
      <c r="T715" s="22">
        <f>IFERROR(__xludf.DUMMYFUNCTION("IFERROR(GOOGLEFINANCE(B715,""price""),"""")"),8.79)</f>
        <v>8.79</v>
      </c>
    </row>
    <row r="716">
      <c r="A716" s="7">
        <v>46070.62557361559</v>
      </c>
      <c r="B716" s="8" t="s">
        <v>5484</v>
      </c>
      <c r="C716" s="8" t="s">
        <v>5485</v>
      </c>
      <c r="D716" s="9">
        <v>46075.0</v>
      </c>
      <c r="E716" s="10">
        <v>41.49</v>
      </c>
      <c r="F716" s="26">
        <v>1.0654</v>
      </c>
      <c r="G716" s="12">
        <v>2.0444348E7</v>
      </c>
      <c r="H716" s="8" t="s">
        <v>88</v>
      </c>
      <c r="I716" s="11">
        <v>-1.729</v>
      </c>
      <c r="J716" s="12">
        <v>1.37646891E10</v>
      </c>
      <c r="K716" s="13">
        <v>47.5367</v>
      </c>
      <c r="L716" s="13">
        <v>0.8728</v>
      </c>
      <c r="M716" s="8" t="s">
        <v>5486</v>
      </c>
      <c r="N716" s="8" t="s">
        <v>5471</v>
      </c>
      <c r="O716" s="13">
        <v>22.5116</v>
      </c>
      <c r="P716" s="13">
        <v>-13.85</v>
      </c>
      <c r="Q716" s="13">
        <v>123.3192</v>
      </c>
      <c r="R716" s="13">
        <v>1.5302</v>
      </c>
      <c r="S716" s="13">
        <v>4.9601</v>
      </c>
      <c r="T716" s="14">
        <f>IFERROR(__xludf.DUMMYFUNCTION("IFERROR(GOOGLEFINANCE(B716,""price""),"""")"),39.32)</f>
        <v>39.32</v>
      </c>
    </row>
    <row r="717">
      <c r="A717" s="15">
        <v>46070.62557361559</v>
      </c>
      <c r="B717" s="16" t="s">
        <v>5481</v>
      </c>
      <c r="C717" s="16" t="s">
        <v>5482</v>
      </c>
      <c r="D717" s="17">
        <v>46075.0</v>
      </c>
      <c r="E717" s="18">
        <v>9.335</v>
      </c>
      <c r="F717" s="27">
        <v>1.0508</v>
      </c>
      <c r="G717" s="20">
        <v>1.8485036E7</v>
      </c>
      <c r="H717" s="16" t="s">
        <v>88</v>
      </c>
      <c r="I717" s="19">
        <v>-5.2284</v>
      </c>
      <c r="J717" s="20">
        <v>2.387453406E9</v>
      </c>
      <c r="K717" s="24"/>
      <c r="L717" s="21">
        <v>-1.071</v>
      </c>
      <c r="M717" s="16" t="s">
        <v>5483</v>
      </c>
      <c r="N717" s="16" t="s">
        <v>5471</v>
      </c>
      <c r="O717" s="21">
        <v>-15.3378</v>
      </c>
      <c r="P717" s="21">
        <v>-20.8099</v>
      </c>
      <c r="Q717" s="21">
        <v>67.959</v>
      </c>
      <c r="R717" s="21">
        <v>1.2945</v>
      </c>
      <c r="S717" s="21">
        <v>10.5425</v>
      </c>
      <c r="T717" s="22">
        <f>IFERROR(__xludf.DUMMYFUNCTION("IFERROR(GOOGLEFINANCE(B717,""price""),"""")"),10.02)</f>
        <v>10.02</v>
      </c>
    </row>
    <row r="718">
      <c r="A718" s="7">
        <v>46070.62557361559</v>
      </c>
      <c r="B718" s="8" t="s">
        <v>5554</v>
      </c>
      <c r="C718" s="8" t="s">
        <v>5555</v>
      </c>
      <c r="D718" s="9">
        <v>46075.0</v>
      </c>
      <c r="E718" s="10">
        <v>83.54</v>
      </c>
      <c r="F718" s="26">
        <v>1.0294</v>
      </c>
      <c r="G718" s="12">
        <v>8399048.0</v>
      </c>
      <c r="H718" s="8" t="s">
        <v>873</v>
      </c>
      <c r="I718" s="11">
        <v>1.2483</v>
      </c>
      <c r="J718" s="12">
        <v>3.0692705003E10</v>
      </c>
      <c r="K718" s="23"/>
      <c r="L718" s="13">
        <v>-1.2452</v>
      </c>
      <c r="M718" s="8" t="s">
        <v>5556</v>
      </c>
      <c r="N718" s="8" t="s">
        <v>5557</v>
      </c>
      <c r="O718" s="13">
        <v>-39.2195</v>
      </c>
      <c r="P718" s="13">
        <v>-1479.4668</v>
      </c>
      <c r="Q718" s="13">
        <v>641.24</v>
      </c>
      <c r="R718" s="13">
        <v>0.5824</v>
      </c>
      <c r="S718" s="13">
        <v>9.5602</v>
      </c>
      <c r="T718" s="14">
        <f>IFERROR(__xludf.DUMMYFUNCTION("IFERROR(GOOGLEFINANCE(B718,""price""),"""")"),94.9)</f>
        <v>94.9</v>
      </c>
    </row>
    <row r="719">
      <c r="A719" s="15">
        <v>46070.62557361559</v>
      </c>
      <c r="B719" s="16" t="s">
        <v>5496</v>
      </c>
      <c r="C719" s="16" t="s">
        <v>5497</v>
      </c>
      <c r="D719" s="17">
        <v>46075.0</v>
      </c>
      <c r="E719" s="18">
        <v>7.5935</v>
      </c>
      <c r="F719" s="27">
        <v>1.0293</v>
      </c>
      <c r="G719" s="20">
        <v>3.7007232E7</v>
      </c>
      <c r="H719" s="16" t="s">
        <v>88</v>
      </c>
      <c r="I719" s="19">
        <v>-4.1225</v>
      </c>
      <c r="J719" s="20">
        <v>2.87174294E9</v>
      </c>
      <c r="K719" s="21">
        <v>4.2051</v>
      </c>
      <c r="L719" s="21">
        <v>1.8058</v>
      </c>
      <c r="M719" s="16" t="s">
        <v>5498</v>
      </c>
      <c r="N719" s="16" t="s">
        <v>5471</v>
      </c>
      <c r="O719" s="21">
        <v>23.127</v>
      </c>
      <c r="P719" s="21">
        <v>-67.8835</v>
      </c>
      <c r="Q719" s="21">
        <v>53.5148</v>
      </c>
      <c r="R719" s="21">
        <v>0.7061</v>
      </c>
      <c r="S719" s="21">
        <v>2.094</v>
      </c>
      <c r="T719" s="22">
        <f>IFERROR(__xludf.DUMMYFUNCTION("IFERROR(GOOGLEFINANCE(B719,""price""),"""")"),9.54)</f>
        <v>9.54</v>
      </c>
    </row>
    <row r="720">
      <c r="A720" s="7">
        <v>46070.62557361559</v>
      </c>
      <c r="B720" s="8" t="s">
        <v>5671</v>
      </c>
      <c r="C720" s="8" t="s">
        <v>5672</v>
      </c>
      <c r="D720" s="9">
        <v>46075.0</v>
      </c>
      <c r="E720" s="10">
        <v>15.805</v>
      </c>
      <c r="F720" s="26">
        <v>1.0247</v>
      </c>
      <c r="G720" s="12">
        <v>2.1079678E7</v>
      </c>
      <c r="H720" s="8" t="s">
        <v>308</v>
      </c>
      <c r="I720" s="11">
        <v>-1.7713</v>
      </c>
      <c r="J720" s="12">
        <v>5.216061959E9</v>
      </c>
      <c r="K720" s="23"/>
      <c r="L720" s="13">
        <v>-1.3002</v>
      </c>
      <c r="M720" s="8" t="s">
        <v>5673</v>
      </c>
      <c r="N720" s="8" t="s">
        <v>5674</v>
      </c>
      <c r="O720" s="13">
        <v>-141.9</v>
      </c>
      <c r="P720" s="13">
        <v>-1074.9533</v>
      </c>
      <c r="Q720" s="13">
        <v>-36.9828</v>
      </c>
      <c r="R720" s="13">
        <v>0.0204</v>
      </c>
      <c r="S720" s="13">
        <v>39.2207</v>
      </c>
      <c r="T720" s="14">
        <f>IFERROR(__xludf.DUMMYFUNCTION("IFERROR(GOOGLEFINANCE(B720,""price""),"""")"),14.68)</f>
        <v>14.68</v>
      </c>
    </row>
    <row r="721">
      <c r="A721" s="15">
        <v>46070.62557361559</v>
      </c>
      <c r="B721" s="16" t="s">
        <v>5465</v>
      </c>
      <c r="C721" s="16" t="s">
        <v>5466</v>
      </c>
      <c r="D721" s="17">
        <v>46075.0</v>
      </c>
      <c r="E721" s="18">
        <v>90.18</v>
      </c>
      <c r="F721" s="27">
        <v>1.0218</v>
      </c>
      <c r="G721" s="20">
        <v>1.4459605E7</v>
      </c>
      <c r="H721" s="16" t="s">
        <v>88</v>
      </c>
      <c r="I721" s="19">
        <v>-6.1016</v>
      </c>
      <c r="J721" s="20">
        <v>4.7006621788E10</v>
      </c>
      <c r="K721" s="24"/>
      <c r="L721" s="21">
        <v>-1.8177</v>
      </c>
      <c r="M721" s="16" t="s">
        <v>5467</v>
      </c>
      <c r="N721" s="16" t="s">
        <v>5429</v>
      </c>
      <c r="O721" s="21">
        <v>-29.1701</v>
      </c>
      <c r="P721" s="21">
        <v>3.6285</v>
      </c>
      <c r="Q721" s="21">
        <v>235.401</v>
      </c>
      <c r="R721" s="21">
        <v>4.85</v>
      </c>
      <c r="S721" s="21">
        <v>0.487</v>
      </c>
      <c r="T721" s="22">
        <f>IFERROR(__xludf.DUMMYFUNCTION("IFERROR(GOOGLEFINANCE(B721,""price""),"""")"),102.0)</f>
        <v>102</v>
      </c>
    </row>
    <row r="722">
      <c r="A722" s="7">
        <v>46071.62830375681</v>
      </c>
      <c r="B722" s="8" t="s">
        <v>5655</v>
      </c>
      <c r="C722" s="8" t="s">
        <v>5656</v>
      </c>
      <c r="D722" s="9">
        <v>46075.0</v>
      </c>
      <c r="E722" s="10">
        <v>5.105</v>
      </c>
      <c r="F722" s="26">
        <v>3.1484</v>
      </c>
      <c r="G722" s="12">
        <v>7325590.0</v>
      </c>
      <c r="H722" s="8" t="s">
        <v>88</v>
      </c>
      <c r="I722" s="11">
        <v>1.2897</v>
      </c>
      <c r="J722" s="12">
        <v>3.271169562E9</v>
      </c>
      <c r="K722" s="23"/>
      <c r="L722" s="13">
        <v>-0.0054</v>
      </c>
      <c r="M722" s="8" t="s">
        <v>5657</v>
      </c>
      <c r="N722" s="8" t="s">
        <v>5429</v>
      </c>
      <c r="O722" s="13">
        <v>-0.1405</v>
      </c>
      <c r="P722" s="13">
        <v>7.955</v>
      </c>
      <c r="Q722" s="13">
        <v>10.644</v>
      </c>
      <c r="R722" s="13">
        <v>0.5124</v>
      </c>
      <c r="S722" s="13">
        <v>1.4114</v>
      </c>
      <c r="T722" s="14">
        <f>IFERROR(__xludf.DUMMYFUNCTION("IFERROR(GOOGLEFINANCE(B722,""price""),"""")"),4.99)</f>
        <v>4.99</v>
      </c>
    </row>
    <row r="723">
      <c r="A723" s="15">
        <v>46071.62830375681</v>
      </c>
      <c r="B723" s="16" t="s">
        <v>5754</v>
      </c>
      <c r="C723" s="16" t="s">
        <v>5755</v>
      </c>
      <c r="D723" s="17">
        <v>46075.0</v>
      </c>
      <c r="E723" s="18">
        <v>4.64</v>
      </c>
      <c r="F723" s="27">
        <v>1.9922</v>
      </c>
      <c r="G723" s="20">
        <v>2.9532302E7</v>
      </c>
      <c r="H723" s="16" t="s">
        <v>93</v>
      </c>
      <c r="I723" s="19">
        <v>7.1594</v>
      </c>
      <c r="J723" s="20">
        <v>4.425576924E9</v>
      </c>
      <c r="K723" s="24"/>
      <c r="L723" s="21">
        <v>-0.4363</v>
      </c>
      <c r="M723" s="16" t="s">
        <v>5756</v>
      </c>
      <c r="N723" s="16" t="s">
        <v>5757</v>
      </c>
      <c r="O723" s="21">
        <v>-39.33</v>
      </c>
      <c r="P723" s="21">
        <v>-4.1534</v>
      </c>
      <c r="Q723" s="21">
        <v>-4.4543</v>
      </c>
      <c r="R723" s="21">
        <v>2.2035</v>
      </c>
      <c r="S723" s="21">
        <v>2.8304</v>
      </c>
      <c r="T723" s="22">
        <f>IFERROR(__xludf.DUMMYFUNCTION("IFERROR(GOOGLEFINANCE(B723,""price""),"""")"),4.32)</f>
        <v>4.32</v>
      </c>
    </row>
    <row r="724">
      <c r="A724" s="7">
        <v>46071.62830375681</v>
      </c>
      <c r="B724" s="8" t="s">
        <v>5725</v>
      </c>
      <c r="C724" s="8" t="s">
        <v>5726</v>
      </c>
      <c r="D724" s="9">
        <v>46075.0</v>
      </c>
      <c r="E724" s="10">
        <v>24.32</v>
      </c>
      <c r="F724" s="26">
        <v>1.9211</v>
      </c>
      <c r="G724" s="12">
        <v>1.4965411E7</v>
      </c>
      <c r="H724" s="8" t="s">
        <v>88</v>
      </c>
      <c r="I724" s="11">
        <v>5.2814</v>
      </c>
      <c r="J724" s="12">
        <v>1.2052790386E10</v>
      </c>
      <c r="K724" s="23"/>
      <c r="L724" s="13">
        <v>-2.0067</v>
      </c>
      <c r="M724" s="8" t="s">
        <v>5727</v>
      </c>
      <c r="N724" s="8" t="s">
        <v>5429</v>
      </c>
      <c r="O724" s="23"/>
      <c r="P724" s="13">
        <v>-107.671</v>
      </c>
      <c r="Q724" s="13">
        <v>43.2284</v>
      </c>
      <c r="R724" s="13">
        <v>0.0441</v>
      </c>
      <c r="S724" s="13">
        <v>2.9292</v>
      </c>
      <c r="T724" s="14">
        <f>IFERROR(__xludf.DUMMYFUNCTION("IFERROR(GOOGLEFINANCE(B724,""price""),"""")"),18.16)</f>
        <v>18.16</v>
      </c>
    </row>
    <row r="725">
      <c r="A725" s="15">
        <v>46071.62830375681</v>
      </c>
      <c r="B725" s="16" t="s">
        <v>5924</v>
      </c>
      <c r="C725" s="16" t="s">
        <v>5925</v>
      </c>
      <c r="D725" s="17">
        <v>46075.0</v>
      </c>
      <c r="E725" s="18">
        <v>174.7</v>
      </c>
      <c r="F725" s="27">
        <v>1.5788</v>
      </c>
      <c r="G725" s="20">
        <v>7966412.0</v>
      </c>
      <c r="H725" s="16" t="s">
        <v>162</v>
      </c>
      <c r="I725" s="19">
        <v>7.6137</v>
      </c>
      <c r="J725" s="20">
        <v>7.5295441011E10</v>
      </c>
      <c r="K725" s="21">
        <v>88.6307</v>
      </c>
      <c r="L725" s="21">
        <v>1.9711</v>
      </c>
      <c r="M725" s="16" t="s">
        <v>5926</v>
      </c>
      <c r="N725" s="16" t="s">
        <v>5475</v>
      </c>
      <c r="O725" s="21">
        <v>10.1149</v>
      </c>
      <c r="P725" s="21">
        <v>5.9755</v>
      </c>
      <c r="Q725" s="21">
        <v>24.4582</v>
      </c>
      <c r="R725" s="21">
        <v>0.343</v>
      </c>
      <c r="S725" s="21">
        <v>2.03</v>
      </c>
      <c r="T725" s="22">
        <f>IFERROR(__xludf.DUMMYFUNCTION("IFERROR(GOOGLEFINANCE(B725,""price""),"""")"),152.58)</f>
        <v>152.58</v>
      </c>
    </row>
    <row r="726">
      <c r="A726" s="7">
        <v>46071.62830375681</v>
      </c>
      <c r="B726" s="8" t="s">
        <v>5551</v>
      </c>
      <c r="C726" s="8" t="s">
        <v>5552</v>
      </c>
      <c r="D726" s="9">
        <v>46075.0</v>
      </c>
      <c r="E726" s="10">
        <v>1.055</v>
      </c>
      <c r="F726" s="26">
        <v>1.2813</v>
      </c>
      <c r="G726" s="12">
        <v>1.3968729E7</v>
      </c>
      <c r="H726" s="8" t="s">
        <v>88</v>
      </c>
      <c r="I726" s="11">
        <v>-3.211</v>
      </c>
      <c r="J726" s="12">
        <v>9.78623304E8</v>
      </c>
      <c r="K726" s="23"/>
      <c r="L726" s="13">
        <v>-0.7493</v>
      </c>
      <c r="M726" s="8" t="s">
        <v>5553</v>
      </c>
      <c r="N726" s="8" t="s">
        <v>5471</v>
      </c>
      <c r="O726" s="13">
        <v>-2.7528</v>
      </c>
      <c r="P726" s="13">
        <v>7.0352</v>
      </c>
      <c r="Q726" s="13">
        <v>623.0875</v>
      </c>
      <c r="R726" s="13">
        <v>0.3226</v>
      </c>
      <c r="S726" s="13">
        <v>0.0737</v>
      </c>
      <c r="T726" s="14">
        <f>IFERROR(__xludf.DUMMYFUNCTION("IFERROR(GOOGLEFINANCE(B726,""price""),"""")"),0.95)</f>
        <v>0.95</v>
      </c>
    </row>
    <row r="727">
      <c r="A727" s="15">
        <v>46071.62830375681</v>
      </c>
      <c r="B727" s="16" t="s">
        <v>5564</v>
      </c>
      <c r="C727" s="16" t="s">
        <v>5565</v>
      </c>
      <c r="D727" s="17">
        <v>46075.0</v>
      </c>
      <c r="E727" s="18">
        <v>22.66</v>
      </c>
      <c r="F727" s="27">
        <v>1.25</v>
      </c>
      <c r="G727" s="20">
        <v>1.7402596E7</v>
      </c>
      <c r="H727" s="16" t="s">
        <v>335</v>
      </c>
      <c r="I727" s="19">
        <v>3.8973</v>
      </c>
      <c r="J727" s="20">
        <v>1.4550134461E10</v>
      </c>
      <c r="K727" s="21">
        <v>33.2209</v>
      </c>
      <c r="L727" s="21">
        <v>0.6821</v>
      </c>
      <c r="M727" s="16" t="s">
        <v>5566</v>
      </c>
      <c r="N727" s="16" t="s">
        <v>5445</v>
      </c>
      <c r="O727" s="21">
        <v>19.572</v>
      </c>
      <c r="P727" s="21">
        <v>28.3305</v>
      </c>
      <c r="Q727" s="21">
        <v>72.9391</v>
      </c>
      <c r="R727" s="21">
        <v>0.1217</v>
      </c>
      <c r="S727" s="21">
        <v>1.999</v>
      </c>
      <c r="T727" s="22">
        <f>IFERROR(__xludf.DUMMYFUNCTION("IFERROR(GOOGLEFINANCE(B727,""price""),"""")"),20.24)</f>
        <v>20.24</v>
      </c>
    </row>
    <row r="728">
      <c r="A728" s="7">
        <v>46071.62830375681</v>
      </c>
      <c r="B728" s="8" t="s">
        <v>5927</v>
      </c>
      <c r="C728" s="8" t="s">
        <v>5928</v>
      </c>
      <c r="D728" s="9">
        <v>46075.0</v>
      </c>
      <c r="E728" s="10">
        <v>2.49</v>
      </c>
      <c r="F728" s="26">
        <v>1.2266</v>
      </c>
      <c r="G728" s="12">
        <v>1.0985951E7</v>
      </c>
      <c r="H728" s="8" t="s">
        <v>88</v>
      </c>
      <c r="I728" s="11">
        <v>-36.1538</v>
      </c>
      <c r="J728" s="12">
        <v>2.1484047E8</v>
      </c>
      <c r="K728" s="23"/>
      <c r="L728" s="13">
        <v>-0.3896</v>
      </c>
      <c r="M728" s="8" t="s">
        <v>5929</v>
      </c>
      <c r="N728" s="8" t="s">
        <v>5429</v>
      </c>
      <c r="O728" s="13">
        <v>-129.5826</v>
      </c>
      <c r="P728" s="13">
        <v>-6.2622</v>
      </c>
      <c r="Q728" s="13">
        <v>13.0794</v>
      </c>
      <c r="R728" s="13">
        <v>1.8561</v>
      </c>
      <c r="S728" s="13">
        <v>0.7061</v>
      </c>
      <c r="T728" s="14">
        <f>IFERROR(__xludf.DUMMYFUNCTION("IFERROR(GOOGLEFINANCE(B728,""price""),"""")"),2.33)</f>
        <v>2.33</v>
      </c>
    </row>
    <row r="729">
      <c r="A729" s="15">
        <v>46071.62830375681</v>
      </c>
      <c r="B729" s="16" t="s">
        <v>5533</v>
      </c>
      <c r="C729" s="16" t="s">
        <v>5534</v>
      </c>
      <c r="D729" s="17">
        <v>46075.0</v>
      </c>
      <c r="E729" s="18">
        <v>6.455</v>
      </c>
      <c r="F729" s="27">
        <v>1.2266</v>
      </c>
      <c r="G729" s="20">
        <v>1.3924156E7</v>
      </c>
      <c r="H729" s="16" t="s">
        <v>102</v>
      </c>
      <c r="I729" s="19">
        <v>0.2329</v>
      </c>
      <c r="J729" s="20">
        <v>1.746547536E9</v>
      </c>
      <c r="K729" s="24"/>
      <c r="L729" s="21">
        <v>-3.7839</v>
      </c>
      <c r="M729" s="16" t="s">
        <v>5535</v>
      </c>
      <c r="N729" s="16" t="s">
        <v>5536</v>
      </c>
      <c r="O729" s="21">
        <v>-55.984</v>
      </c>
      <c r="P729" s="21">
        <v>-31.1477</v>
      </c>
      <c r="Q729" s="24"/>
      <c r="R729" s="21">
        <v>4.5088</v>
      </c>
      <c r="S729" s="21">
        <v>1.1293</v>
      </c>
      <c r="T729" s="22">
        <f>IFERROR(__xludf.DUMMYFUNCTION("IFERROR(GOOGLEFINANCE(B729,""price""),"""")"),4.69)</f>
        <v>4.69</v>
      </c>
    </row>
    <row r="730">
      <c r="A730" s="7">
        <v>46071.62830375681</v>
      </c>
      <c r="B730" s="8" t="s">
        <v>5434</v>
      </c>
      <c r="C730" s="8" t="s">
        <v>5435</v>
      </c>
      <c r="D730" s="9">
        <v>46075.0</v>
      </c>
      <c r="E730" s="10">
        <v>10.945</v>
      </c>
      <c r="F730" s="26">
        <v>1.2119</v>
      </c>
      <c r="G730" s="12">
        <v>9.959559E7</v>
      </c>
      <c r="H730" s="8" t="s">
        <v>308</v>
      </c>
      <c r="I730" s="11">
        <v>8.9055</v>
      </c>
      <c r="J730" s="12">
        <v>4.920471677E9</v>
      </c>
      <c r="K730" s="23"/>
      <c r="L730" s="13">
        <v>-0.4034</v>
      </c>
      <c r="M730" s="8" t="s">
        <v>5436</v>
      </c>
      <c r="N730" s="8" t="s">
        <v>5437</v>
      </c>
      <c r="O730" s="13">
        <v>-17.0422</v>
      </c>
      <c r="P730" s="13">
        <v>-176.0921</v>
      </c>
      <c r="Q730" s="13">
        <v>208.4002</v>
      </c>
      <c r="R730" s="13">
        <v>0.037</v>
      </c>
      <c r="S730" s="13">
        <v>15.2957</v>
      </c>
      <c r="T730" s="14">
        <f>IFERROR(__xludf.DUMMYFUNCTION("IFERROR(GOOGLEFINANCE(B730,""price""),"""")"),9.13)</f>
        <v>9.13</v>
      </c>
    </row>
    <row r="731">
      <c r="A731" s="15">
        <v>46071.62830375681</v>
      </c>
      <c r="B731" s="16" t="s">
        <v>2987</v>
      </c>
      <c r="C731" s="16" t="s">
        <v>2988</v>
      </c>
      <c r="D731" s="17">
        <v>46075.0</v>
      </c>
      <c r="E731" s="18">
        <v>82.61</v>
      </c>
      <c r="F731" s="27">
        <v>1.2111</v>
      </c>
      <c r="G731" s="20">
        <v>7082026.0</v>
      </c>
      <c r="H731" s="16" t="s">
        <v>137</v>
      </c>
      <c r="I731" s="19">
        <v>3.3271</v>
      </c>
      <c r="J731" s="20">
        <v>3.7339718575E10</v>
      </c>
      <c r="K731" s="21">
        <v>17.9775</v>
      </c>
      <c r="L731" s="21">
        <v>4.5952</v>
      </c>
      <c r="M731" s="16" t="s">
        <v>2990</v>
      </c>
      <c r="N731" s="16" t="s">
        <v>5743</v>
      </c>
      <c r="O731" s="21">
        <v>42.4302</v>
      </c>
      <c r="P731" s="21">
        <v>21.2717</v>
      </c>
      <c r="Q731" s="21">
        <v>4.8901</v>
      </c>
      <c r="R731" s="21">
        <v>1.5115</v>
      </c>
      <c r="S731" s="21">
        <v>0.9249</v>
      </c>
      <c r="T731" s="22">
        <f>IFERROR(__xludf.DUMMYFUNCTION("IFERROR(GOOGLEFINANCE(B731,""price""),"""")"),95.4)</f>
        <v>95.4</v>
      </c>
    </row>
    <row r="732">
      <c r="A732" s="7">
        <v>46071.62830375681</v>
      </c>
      <c r="B732" s="8" t="s">
        <v>5778</v>
      </c>
      <c r="C732" s="8" t="s">
        <v>5779</v>
      </c>
      <c r="D732" s="9">
        <v>46075.0</v>
      </c>
      <c r="E732" s="10">
        <v>1.935</v>
      </c>
      <c r="F732" s="26">
        <v>1.1719</v>
      </c>
      <c r="G732" s="12">
        <v>2.1772662E7</v>
      </c>
      <c r="H732" s="8" t="s">
        <v>117</v>
      </c>
      <c r="I732" s="11">
        <v>7.5</v>
      </c>
      <c r="J732" s="12">
        <v>1.235217327E9</v>
      </c>
      <c r="K732" s="23"/>
      <c r="L732" s="13">
        <v>-0.1202</v>
      </c>
      <c r="M732" s="8" t="s">
        <v>5780</v>
      </c>
      <c r="N732" s="8" t="s">
        <v>5502</v>
      </c>
      <c r="O732" s="13">
        <v>-29.5717</v>
      </c>
      <c r="P732" s="13">
        <v>-34.4016</v>
      </c>
      <c r="Q732" s="13">
        <v>522.1303</v>
      </c>
      <c r="R732" s="13">
        <v>1.0102</v>
      </c>
      <c r="S732" s="13">
        <v>5.9552</v>
      </c>
      <c r="T732" s="14">
        <f>IFERROR(__xludf.DUMMYFUNCTION("IFERROR(GOOGLEFINANCE(B732,""price""),"""")"),1.67)</f>
        <v>1.67</v>
      </c>
    </row>
    <row r="733">
      <c r="A733" s="15">
        <v>46071.62830375681</v>
      </c>
      <c r="B733" s="16" t="s">
        <v>5527</v>
      </c>
      <c r="C733" s="16" t="s">
        <v>5528</v>
      </c>
      <c r="D733" s="17">
        <v>46075.0</v>
      </c>
      <c r="E733" s="18">
        <v>12.215</v>
      </c>
      <c r="F733" s="27">
        <v>1.1335</v>
      </c>
      <c r="G733" s="20">
        <v>7391660.0</v>
      </c>
      <c r="H733" s="16" t="s">
        <v>88</v>
      </c>
      <c r="I733" s="19">
        <v>7.1491</v>
      </c>
      <c r="J733" s="20">
        <v>1.45811842E9</v>
      </c>
      <c r="K733" s="24"/>
      <c r="L733" s="24"/>
      <c r="M733" s="16" t="s">
        <v>5529</v>
      </c>
      <c r="N733" s="16" t="s">
        <v>5429</v>
      </c>
      <c r="O733" s="24"/>
      <c r="P733" s="24"/>
      <c r="Q733" s="24"/>
      <c r="R733" s="21">
        <v>0.0885</v>
      </c>
      <c r="S733" s="21">
        <v>10.416</v>
      </c>
      <c r="T733" s="22">
        <f>IFERROR(__xludf.DUMMYFUNCTION("IFERROR(GOOGLEFINANCE(B733,""price""),"""")"),12.37)</f>
        <v>12.37</v>
      </c>
    </row>
    <row r="734">
      <c r="A734" s="7">
        <v>46071.62830375681</v>
      </c>
      <c r="B734" s="8" t="s">
        <v>5607</v>
      </c>
      <c r="C734" s="8" t="s">
        <v>5608</v>
      </c>
      <c r="D734" s="9">
        <v>46075.0</v>
      </c>
      <c r="E734" s="10">
        <v>17.75</v>
      </c>
      <c r="F734" s="26">
        <v>1.1084</v>
      </c>
      <c r="G734" s="12">
        <v>7272804.0</v>
      </c>
      <c r="H734" s="8" t="s">
        <v>308</v>
      </c>
      <c r="I734" s="11">
        <v>6.799</v>
      </c>
      <c r="J734" s="12">
        <v>3.198888165E9</v>
      </c>
      <c r="K734" s="23"/>
      <c r="L734" s="13">
        <v>-1.8673</v>
      </c>
      <c r="M734" s="8" t="s">
        <v>5609</v>
      </c>
      <c r="N734" s="8" t="s">
        <v>5520</v>
      </c>
      <c r="O734" s="23"/>
      <c r="P734" s="13">
        <v>-30.7058</v>
      </c>
      <c r="Q734" s="13">
        <v>8.0687</v>
      </c>
      <c r="R734" s="23"/>
      <c r="S734" s="13">
        <v>6.2531</v>
      </c>
      <c r="T734" s="14">
        <f>IFERROR(__xludf.DUMMYFUNCTION("IFERROR(GOOGLEFINANCE(B734,""price""),"""")"),23.57)</f>
        <v>23.57</v>
      </c>
    </row>
    <row r="735">
      <c r="A735" s="15">
        <v>46071.62830375681</v>
      </c>
      <c r="B735" s="16" t="s">
        <v>5652</v>
      </c>
      <c r="C735" s="16" t="s">
        <v>5653</v>
      </c>
      <c r="D735" s="17">
        <v>46075.0</v>
      </c>
      <c r="E735" s="18">
        <v>3.485</v>
      </c>
      <c r="F735" s="27">
        <v>1.0938</v>
      </c>
      <c r="G735" s="20">
        <v>3.4450485E7</v>
      </c>
      <c r="H735" s="16" t="s">
        <v>117</v>
      </c>
      <c r="I735" s="19">
        <v>0.7225</v>
      </c>
      <c r="J735" s="20">
        <v>1.813793364E9</v>
      </c>
      <c r="K735" s="24"/>
      <c r="L735" s="21">
        <v>-1.81</v>
      </c>
      <c r="M735" s="16" t="s">
        <v>5654</v>
      </c>
      <c r="N735" s="16" t="s">
        <v>5502</v>
      </c>
      <c r="O735" s="21">
        <v>-91.0646</v>
      </c>
      <c r="P735" s="21">
        <v>-1656.172</v>
      </c>
      <c r="Q735" s="21">
        <v>-32.9759</v>
      </c>
      <c r="R735" s="21">
        <v>0.0787</v>
      </c>
      <c r="S735" s="21">
        <v>4.6041</v>
      </c>
      <c r="T735" s="22">
        <f>IFERROR(__xludf.DUMMYFUNCTION("IFERROR(GOOGLEFINANCE(B735,""price""),"""")"),3.28)</f>
        <v>3.28</v>
      </c>
    </row>
    <row r="736">
      <c r="A736" s="7">
        <v>46071.62830375681</v>
      </c>
      <c r="B736" s="8" t="s">
        <v>5567</v>
      </c>
      <c r="C736" s="8" t="s">
        <v>5568</v>
      </c>
      <c r="D736" s="9">
        <v>46075.0</v>
      </c>
      <c r="E736" s="10">
        <v>156.01</v>
      </c>
      <c r="F736" s="26">
        <v>1.0925</v>
      </c>
      <c r="G736" s="12">
        <v>8265258.0</v>
      </c>
      <c r="H736" s="8" t="s">
        <v>308</v>
      </c>
      <c r="I736" s="11">
        <v>7.3562</v>
      </c>
      <c r="J736" s="12">
        <v>4.3768329661E10</v>
      </c>
      <c r="K736" s="23"/>
      <c r="L736" s="13">
        <v>-0.3809</v>
      </c>
      <c r="M736" s="8" t="s">
        <v>5569</v>
      </c>
      <c r="N736" s="8" t="s">
        <v>5433</v>
      </c>
      <c r="O736" s="13">
        <v>-13.2874</v>
      </c>
      <c r="P736" s="13">
        <v>5.4633</v>
      </c>
      <c r="Q736" s="13">
        <v>37.3263</v>
      </c>
      <c r="R736" s="13">
        <v>3.8975</v>
      </c>
      <c r="S736" s="13">
        <v>5.9285</v>
      </c>
      <c r="T736" s="14">
        <f>IFERROR(__xludf.DUMMYFUNCTION("IFERROR(GOOGLEFINANCE(B736,""price""),"""")"),166.7)</f>
        <v>166.7</v>
      </c>
    </row>
    <row r="737">
      <c r="A737" s="15">
        <v>46071.62830375681</v>
      </c>
      <c r="B737" s="16" t="s">
        <v>5930</v>
      </c>
      <c r="C737" s="16" t="s">
        <v>5931</v>
      </c>
      <c r="D737" s="17">
        <v>46075.0</v>
      </c>
      <c r="E737" s="18">
        <v>6.195</v>
      </c>
      <c r="F737" s="27">
        <v>1.0664</v>
      </c>
      <c r="G737" s="20">
        <v>6.5205935E7</v>
      </c>
      <c r="H737" s="16" t="s">
        <v>270</v>
      </c>
      <c r="I737" s="19">
        <v>0.8958</v>
      </c>
      <c r="J737" s="20">
        <v>6.823428607E9</v>
      </c>
      <c r="K737" s="24"/>
      <c r="L737" s="21">
        <v>-3.2621</v>
      </c>
      <c r="M737" s="16" t="s">
        <v>5932</v>
      </c>
      <c r="N737" s="16" t="s">
        <v>5933</v>
      </c>
      <c r="O737" s="21">
        <v>-32.0459</v>
      </c>
      <c r="P737" s="21">
        <v>15.5137</v>
      </c>
      <c r="Q737" s="21">
        <v>16.9333</v>
      </c>
      <c r="R737" s="21">
        <v>0.7701</v>
      </c>
      <c r="S737" s="21">
        <v>1.0814</v>
      </c>
      <c r="T737" s="22">
        <f>IFERROR(__xludf.DUMMYFUNCTION("IFERROR(GOOGLEFINANCE(B737,""price""),"""")"),6.52)</f>
        <v>6.52</v>
      </c>
    </row>
    <row r="738">
      <c r="A738" s="7">
        <v>46071.62830375681</v>
      </c>
      <c r="B738" s="8" t="s">
        <v>5544</v>
      </c>
      <c r="C738" s="8" t="s">
        <v>5545</v>
      </c>
      <c r="D738" s="9">
        <v>46075.0</v>
      </c>
      <c r="E738" s="10">
        <v>15.535</v>
      </c>
      <c r="F738" s="26">
        <v>1.0479</v>
      </c>
      <c r="G738" s="12">
        <v>1.7682682E7</v>
      </c>
      <c r="H738" s="8" t="s">
        <v>88</v>
      </c>
      <c r="I738" s="11">
        <v>-0.6714</v>
      </c>
      <c r="J738" s="12">
        <v>6.137755466E9</v>
      </c>
      <c r="K738" s="23"/>
      <c r="L738" s="13">
        <v>-0.1905</v>
      </c>
      <c r="M738" s="8" t="s">
        <v>5546</v>
      </c>
      <c r="N738" s="8" t="s">
        <v>5471</v>
      </c>
      <c r="O738" s="13">
        <v>-9.6935</v>
      </c>
      <c r="P738" s="13">
        <v>-72.0529</v>
      </c>
      <c r="Q738" s="13">
        <v>35.4099</v>
      </c>
      <c r="R738" s="13">
        <v>1.333</v>
      </c>
      <c r="S738" s="13">
        <v>2.4892</v>
      </c>
      <c r="T738" s="14">
        <f>IFERROR(__xludf.DUMMYFUNCTION("IFERROR(GOOGLEFINANCE(B738,""price""),"""")"),16.53)</f>
        <v>16.53</v>
      </c>
    </row>
    <row r="739">
      <c r="A739" s="15">
        <v>46071.62830375681</v>
      </c>
      <c r="B739" s="16" t="s">
        <v>5594</v>
      </c>
      <c r="C739" s="16" t="s">
        <v>5595</v>
      </c>
      <c r="D739" s="17">
        <v>46075.0</v>
      </c>
      <c r="E739" s="18">
        <v>15.385</v>
      </c>
      <c r="F739" s="27">
        <v>1.0397</v>
      </c>
      <c r="G739" s="20">
        <v>2.5288684E7</v>
      </c>
      <c r="H739" s="16" t="s">
        <v>88</v>
      </c>
      <c r="I739" s="19">
        <v>-4.9135</v>
      </c>
      <c r="J739" s="20">
        <v>6.441420918E9</v>
      </c>
      <c r="K739" s="24"/>
      <c r="L739" s="21">
        <v>-1.4167</v>
      </c>
      <c r="M739" s="16" t="s">
        <v>5596</v>
      </c>
      <c r="N739" s="16" t="s">
        <v>5471</v>
      </c>
      <c r="O739" s="21">
        <v>-181.9547</v>
      </c>
      <c r="P739" s="21">
        <v>-69.885</v>
      </c>
      <c r="Q739" s="21">
        <v>30.5825</v>
      </c>
      <c r="R739" s="21">
        <v>4.3877</v>
      </c>
      <c r="S739" s="21">
        <v>1.0329</v>
      </c>
      <c r="T739" s="22">
        <f>IFERROR(__xludf.DUMMYFUNCTION("IFERROR(GOOGLEFINANCE(B739,""price""),"""")"),18.88)</f>
        <v>18.88</v>
      </c>
    </row>
    <row r="740">
      <c r="A740" s="7">
        <v>46071.62830375681</v>
      </c>
      <c r="B740" s="8" t="s">
        <v>4980</v>
      </c>
      <c r="C740" s="8" t="s">
        <v>4981</v>
      </c>
      <c r="D740" s="9">
        <v>46075.0</v>
      </c>
      <c r="E740" s="10">
        <v>5.735</v>
      </c>
      <c r="F740" s="26">
        <v>1.0313</v>
      </c>
      <c r="G740" s="12">
        <v>7621262.0</v>
      </c>
      <c r="H740" s="8" t="s">
        <v>270</v>
      </c>
      <c r="I740" s="11">
        <v>5.6169</v>
      </c>
      <c r="J740" s="12">
        <v>1.759915468E9</v>
      </c>
      <c r="K740" s="13">
        <v>22.9676</v>
      </c>
      <c r="L740" s="13">
        <v>0.2497</v>
      </c>
      <c r="M740" s="8" t="s">
        <v>4982</v>
      </c>
      <c r="N740" s="8" t="s">
        <v>5933</v>
      </c>
      <c r="O740" s="13">
        <v>7.0761</v>
      </c>
      <c r="P740" s="13">
        <v>34.7194</v>
      </c>
      <c r="Q740" s="13">
        <v>5.8258</v>
      </c>
      <c r="R740" s="13">
        <v>1.8038</v>
      </c>
      <c r="S740" s="13">
        <v>1.5499</v>
      </c>
      <c r="T740" s="14">
        <f>IFERROR(__xludf.DUMMYFUNCTION("IFERROR(GOOGLEFINANCE(B740,""price""),"""")"),5.9)</f>
        <v>5.9</v>
      </c>
    </row>
    <row r="741">
      <c r="A741" s="15">
        <v>46071.62830375681</v>
      </c>
      <c r="B741" s="16" t="s">
        <v>5934</v>
      </c>
      <c r="C741" s="16" t="s">
        <v>5935</v>
      </c>
      <c r="D741" s="17">
        <v>46075.0</v>
      </c>
      <c r="E741" s="18">
        <v>37.835</v>
      </c>
      <c r="F741" s="27">
        <v>1.0083</v>
      </c>
      <c r="G741" s="20">
        <v>1.1012514E7</v>
      </c>
      <c r="H741" s="16" t="s">
        <v>137</v>
      </c>
      <c r="I741" s="19">
        <v>0.8396</v>
      </c>
      <c r="J741" s="20">
        <v>3.6624950133E10</v>
      </c>
      <c r="K741" s="21">
        <v>23.206</v>
      </c>
      <c r="L741" s="21">
        <v>1.6304</v>
      </c>
      <c r="M741" s="16" t="s">
        <v>5936</v>
      </c>
      <c r="N741" s="16" t="s">
        <v>5937</v>
      </c>
      <c r="O741" s="21">
        <v>18.2217</v>
      </c>
      <c r="P741" s="21">
        <v>36.9706</v>
      </c>
      <c r="Q741" s="21">
        <v>6.6905</v>
      </c>
      <c r="R741" s="21">
        <v>0.0104</v>
      </c>
      <c r="S741" s="21">
        <v>7.788</v>
      </c>
      <c r="T741" s="22">
        <f>IFERROR(__xludf.DUMMYFUNCTION("IFERROR(GOOGLEFINANCE(B741,""price""),"""")"),32.76)</f>
        <v>32.76</v>
      </c>
    </row>
    <row r="742">
      <c r="A742" s="7">
        <v>46071.62830375681</v>
      </c>
      <c r="B742" s="8" t="s">
        <v>5517</v>
      </c>
      <c r="C742" s="8" t="s">
        <v>5518</v>
      </c>
      <c r="D742" s="9">
        <v>46075.0</v>
      </c>
      <c r="E742" s="10">
        <v>8.41</v>
      </c>
      <c r="F742" s="26">
        <v>1.0</v>
      </c>
      <c r="G742" s="12">
        <v>1.3931681E7</v>
      </c>
      <c r="H742" s="8" t="s">
        <v>308</v>
      </c>
      <c r="I742" s="11">
        <v>5.125</v>
      </c>
      <c r="J742" s="12">
        <v>1.388918122E9</v>
      </c>
      <c r="K742" s="23"/>
      <c r="L742" s="13">
        <v>-3.1791</v>
      </c>
      <c r="M742" s="8" t="s">
        <v>5519</v>
      </c>
      <c r="N742" s="8" t="s">
        <v>5520</v>
      </c>
      <c r="O742" s="13">
        <v>-50.0822</v>
      </c>
      <c r="P742" s="13">
        <v>-46.1858</v>
      </c>
      <c r="Q742" s="13">
        <v>-0.6305</v>
      </c>
      <c r="R742" s="13">
        <v>0.3596</v>
      </c>
      <c r="S742" s="13">
        <v>1.4082</v>
      </c>
      <c r="T742" s="14">
        <f>IFERROR(__xludf.DUMMYFUNCTION("IFERROR(GOOGLEFINANCE(B742,""price""),"""")"),9.29)</f>
        <v>9.29</v>
      </c>
    </row>
    <row r="743">
      <c r="A743" s="15">
        <v>46071.62830375681</v>
      </c>
      <c r="B743" s="16" t="s">
        <v>2704</v>
      </c>
      <c r="C743" s="16" t="s">
        <v>2705</v>
      </c>
      <c r="D743" s="17">
        <v>46075.0</v>
      </c>
      <c r="E743" s="18">
        <v>32.295</v>
      </c>
      <c r="F743" s="27">
        <v>0.9967</v>
      </c>
      <c r="G743" s="20">
        <v>2.2210067E7</v>
      </c>
      <c r="H743" s="16" t="s">
        <v>88</v>
      </c>
      <c r="I743" s="19">
        <v>-3.7694</v>
      </c>
      <c r="J743" s="20">
        <v>9.029224279E9</v>
      </c>
      <c r="K743" s="24"/>
      <c r="L743" s="21">
        <v>-0.5438</v>
      </c>
      <c r="M743" s="16" t="s">
        <v>2707</v>
      </c>
      <c r="N743" s="16" t="s">
        <v>5471</v>
      </c>
      <c r="O743" s="21">
        <v>-11.4029</v>
      </c>
      <c r="P743" s="21">
        <v>-26.4624</v>
      </c>
      <c r="Q743" s="21">
        <v>33.135</v>
      </c>
      <c r="R743" s="21">
        <v>1.6778</v>
      </c>
      <c r="S743" s="21">
        <v>4.8227</v>
      </c>
      <c r="T743" s="22">
        <f>IFERROR(__xludf.DUMMYFUNCTION("IFERROR(GOOGLEFINANCE(B743,""price""),"""")"),26.24)</f>
        <v>26.24</v>
      </c>
    </row>
    <row r="744">
      <c r="A744" s="7">
        <v>46071.62830375681</v>
      </c>
      <c r="B744" s="8" t="s">
        <v>5574</v>
      </c>
      <c r="C744" s="8" t="s">
        <v>5575</v>
      </c>
      <c r="D744" s="9">
        <v>46075.0</v>
      </c>
      <c r="E744" s="10">
        <v>21.32</v>
      </c>
      <c r="F744" s="26">
        <v>0.9858</v>
      </c>
      <c r="G744" s="12">
        <v>7498015.0</v>
      </c>
      <c r="H744" s="8" t="s">
        <v>335</v>
      </c>
      <c r="I744" s="11">
        <v>3.6461</v>
      </c>
      <c r="J744" s="12">
        <v>5.058953614E9</v>
      </c>
      <c r="K744" s="23"/>
      <c r="L744" s="13">
        <v>-0.4849</v>
      </c>
      <c r="M744" s="8" t="s">
        <v>5576</v>
      </c>
      <c r="N744" s="8" t="s">
        <v>5506</v>
      </c>
      <c r="O744" s="13">
        <v>-18.1731</v>
      </c>
      <c r="P744" s="13">
        <v>-129.5586</v>
      </c>
      <c r="Q744" s="13">
        <v>103.694</v>
      </c>
      <c r="R744" s="13">
        <v>0.0</v>
      </c>
      <c r="S744" s="13">
        <v>11.4962</v>
      </c>
      <c r="T744" s="14">
        <f>IFERROR(__xludf.DUMMYFUNCTION("IFERROR(GOOGLEFINANCE(B744,""price""),"""")"),18.4)</f>
        <v>18.4</v>
      </c>
    </row>
    <row r="745">
      <c r="A745" s="15">
        <v>46071.62830375681</v>
      </c>
      <c r="B745" s="16" t="s">
        <v>5558</v>
      </c>
      <c r="C745" s="16" t="s">
        <v>5559</v>
      </c>
      <c r="D745" s="17">
        <v>46075.0</v>
      </c>
      <c r="E745" s="18">
        <v>11.735</v>
      </c>
      <c r="F745" s="27">
        <v>0.9596</v>
      </c>
      <c r="G745" s="20">
        <v>9899998.0</v>
      </c>
      <c r="H745" s="16" t="s">
        <v>102</v>
      </c>
      <c r="I745" s="19">
        <v>2.4891</v>
      </c>
      <c r="J745" s="20">
        <v>3.80329202E9</v>
      </c>
      <c r="K745" s="24"/>
      <c r="L745" s="21">
        <v>-8.3559</v>
      </c>
      <c r="M745" s="16" t="s">
        <v>5560</v>
      </c>
      <c r="N745" s="16" t="s">
        <v>5536</v>
      </c>
      <c r="O745" s="24"/>
      <c r="P745" s="21">
        <v>-351.0117</v>
      </c>
      <c r="Q745" s="21">
        <v>324.0994</v>
      </c>
      <c r="R745" s="24"/>
      <c r="S745" s="21">
        <v>1.8261</v>
      </c>
      <c r="T745" s="22">
        <f>IFERROR(__xludf.DUMMYFUNCTION("IFERROR(GOOGLEFINANCE(B745,""price""),"""")"),5.62)</f>
        <v>5.62</v>
      </c>
    </row>
    <row r="746">
      <c r="A746" s="7">
        <v>46071.62830375681</v>
      </c>
      <c r="B746" s="8" t="s">
        <v>5679</v>
      </c>
      <c r="C746" s="8" t="s">
        <v>5680</v>
      </c>
      <c r="D746" s="9">
        <v>46075.0</v>
      </c>
      <c r="E746" s="10">
        <v>19.0565</v>
      </c>
      <c r="F746" s="26">
        <v>0.9417</v>
      </c>
      <c r="G746" s="12">
        <v>1.7938315E7</v>
      </c>
      <c r="H746" s="8" t="s">
        <v>308</v>
      </c>
      <c r="I746" s="11">
        <v>3.3433</v>
      </c>
      <c r="J746" s="12">
        <v>7.112503143E9</v>
      </c>
      <c r="K746" s="23"/>
      <c r="L746" s="13">
        <v>-1.351</v>
      </c>
      <c r="M746" s="8" t="s">
        <v>5681</v>
      </c>
      <c r="N746" s="8" t="s">
        <v>5674</v>
      </c>
      <c r="O746" s="13">
        <v>-122.0285</v>
      </c>
      <c r="P746" s="13">
        <v>-355.2063</v>
      </c>
      <c r="Q746" s="13">
        <v>156.1969</v>
      </c>
      <c r="R746" s="13">
        <v>0.0593</v>
      </c>
      <c r="S746" s="13">
        <v>54.6763</v>
      </c>
      <c r="T746" s="14">
        <f>IFERROR(__xludf.DUMMYFUNCTION("IFERROR(GOOGLEFINANCE(B746,""price""),"""")"),14.25)</f>
        <v>14.25</v>
      </c>
    </row>
    <row r="747">
      <c r="A747" s="15">
        <v>46071.62830375681</v>
      </c>
      <c r="B747" s="16" t="s">
        <v>5484</v>
      </c>
      <c r="C747" s="16" t="s">
        <v>5485</v>
      </c>
      <c r="D747" s="17">
        <v>46075.0</v>
      </c>
      <c r="E747" s="18">
        <v>42.29</v>
      </c>
      <c r="F747" s="27">
        <v>0.9367</v>
      </c>
      <c r="G747" s="20">
        <v>2.4080405E7</v>
      </c>
      <c r="H747" s="16" t="s">
        <v>88</v>
      </c>
      <c r="I747" s="19">
        <v>3.2219</v>
      </c>
      <c r="J747" s="20">
        <v>1.403009647E10</v>
      </c>
      <c r="K747" s="21">
        <v>48.4533</v>
      </c>
      <c r="L747" s="21">
        <v>0.8728</v>
      </c>
      <c r="M747" s="16" t="s">
        <v>5486</v>
      </c>
      <c r="N747" s="16" t="s">
        <v>5471</v>
      </c>
      <c r="O747" s="21">
        <v>22.5116</v>
      </c>
      <c r="P747" s="21">
        <v>-13.85</v>
      </c>
      <c r="Q747" s="21">
        <v>123.3192</v>
      </c>
      <c r="R747" s="21">
        <v>1.5302</v>
      </c>
      <c r="S747" s="21">
        <v>4.9601</v>
      </c>
      <c r="T747" s="22">
        <f>IFERROR(__xludf.DUMMYFUNCTION("IFERROR(GOOGLEFINANCE(B747,""price""),"""")"),39.32)</f>
        <v>39.32</v>
      </c>
    </row>
    <row r="748">
      <c r="A748" s="7">
        <v>46071.62830375681</v>
      </c>
      <c r="B748" s="8" t="s">
        <v>5858</v>
      </c>
      <c r="C748" s="8" t="s">
        <v>5859</v>
      </c>
      <c r="D748" s="9">
        <v>46075.0</v>
      </c>
      <c r="E748" s="10">
        <v>18.88</v>
      </c>
      <c r="F748" s="26">
        <v>0.9326</v>
      </c>
      <c r="G748" s="12">
        <v>1.4053786E7</v>
      </c>
      <c r="H748" s="8" t="s">
        <v>88</v>
      </c>
      <c r="I748" s="11">
        <v>6.9083</v>
      </c>
      <c r="J748" s="12">
        <v>2.82067186E9</v>
      </c>
      <c r="K748" s="23"/>
      <c r="L748" s="13">
        <v>-0.8329</v>
      </c>
      <c r="M748" s="8" t="s">
        <v>5860</v>
      </c>
      <c r="N748" s="8" t="s">
        <v>5664</v>
      </c>
      <c r="O748" s="13">
        <v>-12.8431</v>
      </c>
      <c r="P748" s="13">
        <v>-18.968</v>
      </c>
      <c r="Q748" s="13">
        <v>14.7776</v>
      </c>
      <c r="R748" s="13">
        <v>0.4628</v>
      </c>
      <c r="S748" s="13">
        <v>2.6119</v>
      </c>
      <c r="T748" s="14">
        <f>IFERROR(__xludf.DUMMYFUNCTION("IFERROR(GOOGLEFINANCE(B748,""price""),"""")"),23.07)</f>
        <v>23.07</v>
      </c>
    </row>
    <row r="749">
      <c r="A749" s="15">
        <v>46071.62830375681</v>
      </c>
      <c r="B749" s="16" t="s">
        <v>5422</v>
      </c>
      <c r="C749" s="16" t="s">
        <v>5423</v>
      </c>
      <c r="D749" s="17">
        <v>46075.0</v>
      </c>
      <c r="E749" s="18">
        <v>18.4786</v>
      </c>
      <c r="F749" s="27">
        <v>0.9268</v>
      </c>
      <c r="G749" s="20">
        <v>1.0494672E7</v>
      </c>
      <c r="H749" s="16" t="s">
        <v>102</v>
      </c>
      <c r="I749" s="19">
        <v>-2.8464</v>
      </c>
      <c r="J749" s="20">
        <v>4.027241338E9</v>
      </c>
      <c r="K749" s="24"/>
      <c r="L749" s="21">
        <v>-2.5128</v>
      </c>
      <c r="M749" s="16" t="s">
        <v>5424</v>
      </c>
      <c r="N749" s="16" t="s">
        <v>5425</v>
      </c>
      <c r="O749" s="21">
        <v>-255.9098</v>
      </c>
      <c r="P749" s="24"/>
      <c r="Q749" s="24"/>
      <c r="R749" s="24"/>
      <c r="S749" s="21">
        <v>16.5111</v>
      </c>
      <c r="T749" s="22">
        <f>IFERROR(__xludf.DUMMYFUNCTION("IFERROR(GOOGLEFINANCE(B749,""price""),"""")"),16.15)</f>
        <v>16.15</v>
      </c>
    </row>
    <row r="750">
      <c r="A750" s="7">
        <v>46071.62830375681</v>
      </c>
      <c r="B750" s="8" t="s">
        <v>5496</v>
      </c>
      <c r="C750" s="8" t="s">
        <v>5497</v>
      </c>
      <c r="D750" s="9">
        <v>46075.0</v>
      </c>
      <c r="E750" s="10">
        <v>7.5799</v>
      </c>
      <c r="F750" s="26">
        <v>0.9219</v>
      </c>
      <c r="G750" s="12">
        <v>2.8522205E7</v>
      </c>
      <c r="H750" s="8" t="s">
        <v>88</v>
      </c>
      <c r="I750" s="11">
        <v>0.9308</v>
      </c>
      <c r="J750" s="12">
        <v>2.866599692E9</v>
      </c>
      <c r="K750" s="13">
        <v>4.1975</v>
      </c>
      <c r="L750" s="13">
        <v>1.8058</v>
      </c>
      <c r="M750" s="8" t="s">
        <v>5498</v>
      </c>
      <c r="N750" s="8" t="s">
        <v>5471</v>
      </c>
      <c r="O750" s="13">
        <v>23.127</v>
      </c>
      <c r="P750" s="13">
        <v>-67.8835</v>
      </c>
      <c r="Q750" s="13">
        <v>53.5148</v>
      </c>
      <c r="R750" s="13">
        <v>0.7061</v>
      </c>
      <c r="S750" s="13">
        <v>2.094</v>
      </c>
      <c r="T750" s="14">
        <f>IFERROR(__xludf.DUMMYFUNCTION("IFERROR(GOOGLEFINANCE(B750,""price""),"""")"),9.54)</f>
        <v>9.54</v>
      </c>
    </row>
    <row r="751">
      <c r="A751" s="15">
        <v>46071.62830375681</v>
      </c>
      <c r="B751" s="16" t="s">
        <v>5481</v>
      </c>
      <c r="C751" s="16" t="s">
        <v>5482</v>
      </c>
      <c r="D751" s="17">
        <v>46075.0</v>
      </c>
      <c r="E751" s="18">
        <v>9.26</v>
      </c>
      <c r="F751" s="27">
        <v>0.9209</v>
      </c>
      <c r="G751" s="20">
        <v>2.0409397E7</v>
      </c>
      <c r="H751" s="16" t="s">
        <v>88</v>
      </c>
      <c r="I751" s="19">
        <v>-0.2155</v>
      </c>
      <c r="J751" s="20">
        <v>2.368271778E9</v>
      </c>
      <c r="K751" s="24"/>
      <c r="L751" s="21">
        <v>-1.071</v>
      </c>
      <c r="M751" s="16" t="s">
        <v>5483</v>
      </c>
      <c r="N751" s="16" t="s">
        <v>5471</v>
      </c>
      <c r="O751" s="21">
        <v>-15.3378</v>
      </c>
      <c r="P751" s="21">
        <v>-20.8099</v>
      </c>
      <c r="Q751" s="21">
        <v>67.959</v>
      </c>
      <c r="R751" s="21">
        <v>1.2945</v>
      </c>
      <c r="S751" s="21">
        <v>10.5425</v>
      </c>
      <c r="T751" s="22">
        <f>IFERROR(__xludf.DUMMYFUNCTION("IFERROR(GOOGLEFINANCE(B751,""price""),"""")"),10.02)</f>
        <v>10.02</v>
      </c>
    </row>
    <row r="752">
      <c r="A752" s="7">
        <v>46072.62546238977</v>
      </c>
      <c r="B752" s="8" t="s">
        <v>5754</v>
      </c>
      <c r="C752" s="8" t="s">
        <v>5755</v>
      </c>
      <c r="D752" s="9">
        <v>46075.0</v>
      </c>
      <c r="E752" s="10">
        <v>4.6901</v>
      </c>
      <c r="F752" s="26">
        <v>2.7969</v>
      </c>
      <c r="G752" s="12">
        <v>4.2710035E7</v>
      </c>
      <c r="H752" s="8" t="s">
        <v>93</v>
      </c>
      <c r="I752" s="11">
        <v>1.2981</v>
      </c>
      <c r="J752" s="12">
        <v>4.473361899E9</v>
      </c>
      <c r="K752" s="23"/>
      <c r="L752" s="13">
        <v>-0.4363</v>
      </c>
      <c r="M752" s="8" t="s">
        <v>5756</v>
      </c>
      <c r="N752" s="8" t="s">
        <v>5757</v>
      </c>
      <c r="O752" s="13">
        <v>-39.33</v>
      </c>
      <c r="P752" s="13">
        <v>-4.1534</v>
      </c>
      <c r="Q752" s="13">
        <v>-4.4543</v>
      </c>
      <c r="R752" s="13">
        <v>2.2035</v>
      </c>
      <c r="S752" s="13">
        <v>2.8304</v>
      </c>
      <c r="T752" s="14">
        <f>IFERROR(__xludf.DUMMYFUNCTION("IFERROR(GOOGLEFINANCE(B752,""price""),"""")"),4.32)</f>
        <v>4.32</v>
      </c>
    </row>
    <row r="753">
      <c r="A753" s="15">
        <v>46072.62546238977</v>
      </c>
      <c r="B753" s="16" t="s">
        <v>5938</v>
      </c>
      <c r="C753" s="16" t="s">
        <v>5939</v>
      </c>
      <c r="D753" s="17">
        <v>46075.0</v>
      </c>
      <c r="E753" s="18">
        <v>7.595</v>
      </c>
      <c r="F753" s="27">
        <v>1.7813</v>
      </c>
      <c r="G753" s="20">
        <v>3.6322414E7</v>
      </c>
      <c r="H753" s="16" t="s">
        <v>88</v>
      </c>
      <c r="I753" s="19">
        <v>-20.9677</v>
      </c>
      <c r="J753" s="20">
        <v>1.765120688E9</v>
      </c>
      <c r="K753" s="24"/>
      <c r="L753" s="24"/>
      <c r="M753" s="16" t="s">
        <v>5940</v>
      </c>
      <c r="N753" s="16" t="s">
        <v>5471</v>
      </c>
      <c r="O753" s="21">
        <v>11.4635</v>
      </c>
      <c r="P753" s="21">
        <v>-29.6598</v>
      </c>
      <c r="Q753" s="21">
        <v>77.3256</v>
      </c>
      <c r="R753" s="21">
        <v>1.2667</v>
      </c>
      <c r="S753" s="21">
        <v>0.9119</v>
      </c>
      <c r="T753" s="22">
        <f>IFERROR(__xludf.DUMMYFUNCTION("IFERROR(GOOGLEFINANCE(B753,""price""),"""")"),10.75)</f>
        <v>10.75</v>
      </c>
    </row>
    <row r="754">
      <c r="A754" s="7">
        <v>46072.62546238977</v>
      </c>
      <c r="B754" s="8" t="s">
        <v>5514</v>
      </c>
      <c r="C754" s="8" t="s">
        <v>5515</v>
      </c>
      <c r="D754" s="9">
        <v>46075.0</v>
      </c>
      <c r="E754" s="10">
        <v>8.645</v>
      </c>
      <c r="F754" s="26">
        <v>1.4688</v>
      </c>
      <c r="G754" s="12">
        <v>5.0934041E7</v>
      </c>
      <c r="H754" s="8" t="s">
        <v>117</v>
      </c>
      <c r="I754" s="11">
        <v>1.2295</v>
      </c>
      <c r="J754" s="12">
        <v>8.515024202E9</v>
      </c>
      <c r="K754" s="23"/>
      <c r="L754" s="13">
        <v>-0.4205</v>
      </c>
      <c r="M754" s="8" t="s">
        <v>5516</v>
      </c>
      <c r="N754" s="8" t="s">
        <v>5491</v>
      </c>
      <c r="O754" s="23"/>
      <c r="P754" s="13">
        <v>-315.8428</v>
      </c>
      <c r="Q754" s="13">
        <v>1025.9547</v>
      </c>
      <c r="R754" s="23"/>
      <c r="S754" s="13">
        <v>5.7671</v>
      </c>
      <c r="T754" s="14">
        <f>IFERROR(__xludf.DUMMYFUNCTION("IFERROR(GOOGLEFINANCE(B754,""price""),"""")"),7.28)</f>
        <v>7.28</v>
      </c>
    </row>
    <row r="755">
      <c r="A755" s="15">
        <v>46072.62546238977</v>
      </c>
      <c r="B755" s="16" t="s">
        <v>5778</v>
      </c>
      <c r="C755" s="16" t="s">
        <v>5779</v>
      </c>
      <c r="D755" s="17">
        <v>46075.0</v>
      </c>
      <c r="E755" s="18">
        <v>1.91</v>
      </c>
      <c r="F755" s="27">
        <v>1.3906</v>
      </c>
      <c r="G755" s="20">
        <v>2.2445086E7</v>
      </c>
      <c r="H755" s="16" t="s">
        <v>117</v>
      </c>
      <c r="I755" s="19">
        <v>-1.5464</v>
      </c>
      <c r="J755" s="20">
        <v>1.219258515E9</v>
      </c>
      <c r="K755" s="24"/>
      <c r="L755" s="21">
        <v>-0.1202</v>
      </c>
      <c r="M755" s="16" t="s">
        <v>5780</v>
      </c>
      <c r="N755" s="16" t="s">
        <v>5502</v>
      </c>
      <c r="O755" s="21">
        <v>-29.5717</v>
      </c>
      <c r="P755" s="21">
        <v>-34.4016</v>
      </c>
      <c r="Q755" s="21">
        <v>522.1303</v>
      </c>
      <c r="R755" s="21">
        <v>1.0102</v>
      </c>
      <c r="S755" s="21">
        <v>5.9552</v>
      </c>
      <c r="T755" s="22">
        <f>IFERROR(__xludf.DUMMYFUNCTION("IFERROR(GOOGLEFINANCE(B755,""price""),"""")"),1.67)</f>
        <v>1.67</v>
      </c>
    </row>
    <row r="756">
      <c r="A756" s="7">
        <v>46072.62546238977</v>
      </c>
      <c r="B756" s="8" t="s">
        <v>5941</v>
      </c>
      <c r="C756" s="8" t="s">
        <v>5942</v>
      </c>
      <c r="D756" s="9">
        <v>46075.0</v>
      </c>
      <c r="E756" s="10">
        <v>79.51</v>
      </c>
      <c r="F756" s="26">
        <v>1.283</v>
      </c>
      <c r="G756" s="12">
        <v>9703575.0</v>
      </c>
      <c r="H756" s="8" t="s">
        <v>137</v>
      </c>
      <c r="I756" s="11">
        <v>-13.0848</v>
      </c>
      <c r="J756" s="12">
        <v>1.0363181619E10</v>
      </c>
      <c r="K756" s="23"/>
      <c r="L756" s="13">
        <v>-2.559</v>
      </c>
      <c r="M756" s="8" t="s">
        <v>5943</v>
      </c>
      <c r="N756" s="8" t="s">
        <v>5937</v>
      </c>
      <c r="O756" s="23"/>
      <c r="P756" s="13">
        <v>-0.4738</v>
      </c>
      <c r="Q756" s="13">
        <v>3.3519</v>
      </c>
      <c r="R756" s="23"/>
      <c r="S756" s="13">
        <v>0.7445</v>
      </c>
      <c r="T756" s="14">
        <f>IFERROR(__xludf.DUMMYFUNCTION("IFERROR(GOOGLEFINANCE(B756,""price""),"""")"),71.68)</f>
        <v>71.68</v>
      </c>
    </row>
    <row r="757">
      <c r="A757" s="15">
        <v>46072.62546238977</v>
      </c>
      <c r="B757" s="16" t="s">
        <v>2107</v>
      </c>
      <c r="C757" s="16" t="s">
        <v>2108</v>
      </c>
      <c r="D757" s="17">
        <v>46075.0</v>
      </c>
      <c r="E757" s="18">
        <v>6.995</v>
      </c>
      <c r="F757" s="27">
        <v>1.2695</v>
      </c>
      <c r="G757" s="20">
        <v>1.1601102E7</v>
      </c>
      <c r="H757" s="16" t="s">
        <v>107</v>
      </c>
      <c r="I757" s="19">
        <v>-9.7419</v>
      </c>
      <c r="J757" s="20">
        <v>1.109073496E9</v>
      </c>
      <c r="K757" s="24"/>
      <c r="L757" s="21">
        <v>-2.9655</v>
      </c>
      <c r="M757" s="16" t="s">
        <v>2109</v>
      </c>
      <c r="N757" s="16" t="s">
        <v>5613</v>
      </c>
      <c r="O757" s="21">
        <v>-29.569</v>
      </c>
      <c r="P757" s="21">
        <v>-3.7612</v>
      </c>
      <c r="Q757" s="21">
        <v>-5.6948</v>
      </c>
      <c r="R757" s="21">
        <v>2.4274</v>
      </c>
      <c r="S757" s="21">
        <v>2.4646</v>
      </c>
      <c r="T757" s="22">
        <f>IFERROR(__xludf.DUMMYFUNCTION("IFERROR(GOOGLEFINANCE(B757,""price""),"""")"),9.08)</f>
        <v>9.08</v>
      </c>
    </row>
    <row r="758">
      <c r="A758" s="7">
        <v>46072.62546238977</v>
      </c>
      <c r="B758" s="8" t="s">
        <v>5944</v>
      </c>
      <c r="C758" s="8" t="s">
        <v>5945</v>
      </c>
      <c r="D758" s="9">
        <v>46075.0</v>
      </c>
      <c r="E758" s="10">
        <v>18.0665</v>
      </c>
      <c r="F758" s="26">
        <v>1.2637</v>
      </c>
      <c r="G758" s="12">
        <v>1.073726E7</v>
      </c>
      <c r="H758" s="8" t="s">
        <v>93</v>
      </c>
      <c r="I758" s="11">
        <v>-0.4601</v>
      </c>
      <c r="J758" s="12">
        <v>6.470274688E9</v>
      </c>
      <c r="K758" s="13">
        <v>11.5382</v>
      </c>
      <c r="L758" s="13">
        <v>1.5658</v>
      </c>
      <c r="M758" s="8" t="s">
        <v>5946</v>
      </c>
      <c r="N758" s="8" t="s">
        <v>5947</v>
      </c>
      <c r="O758" s="13">
        <v>8.6623</v>
      </c>
      <c r="P758" s="13">
        <v>24.8531</v>
      </c>
      <c r="Q758" s="13">
        <v>4.5405</v>
      </c>
      <c r="R758" s="13">
        <v>0.5797</v>
      </c>
      <c r="S758" s="13">
        <v>0.0825</v>
      </c>
      <c r="T758" s="14">
        <f>IFERROR(__xludf.DUMMYFUNCTION("IFERROR(GOOGLEFINANCE(B758,""price""),"""")"),17.69)</f>
        <v>17.69</v>
      </c>
    </row>
    <row r="759">
      <c r="A759" s="15">
        <v>46072.62546238977</v>
      </c>
      <c r="B759" s="16" t="s">
        <v>5930</v>
      </c>
      <c r="C759" s="16" t="s">
        <v>5931</v>
      </c>
      <c r="D759" s="17">
        <v>46075.0</v>
      </c>
      <c r="E759" s="18">
        <v>6.3438</v>
      </c>
      <c r="F759" s="27">
        <v>1.2305</v>
      </c>
      <c r="G759" s="20">
        <v>5.5625731E7</v>
      </c>
      <c r="H759" s="16" t="s">
        <v>270</v>
      </c>
      <c r="I759" s="19">
        <v>1.9904</v>
      </c>
      <c r="J759" s="20">
        <v>6.987322983E9</v>
      </c>
      <c r="K759" s="24"/>
      <c r="L759" s="21">
        <v>-3.2621</v>
      </c>
      <c r="M759" s="16" t="s">
        <v>5932</v>
      </c>
      <c r="N759" s="16" t="s">
        <v>5933</v>
      </c>
      <c r="O759" s="21">
        <v>-32.0459</v>
      </c>
      <c r="P759" s="21">
        <v>15.5137</v>
      </c>
      <c r="Q759" s="21">
        <v>16.9333</v>
      </c>
      <c r="R759" s="21">
        <v>0.7701</v>
      </c>
      <c r="S759" s="21">
        <v>1.0814</v>
      </c>
      <c r="T759" s="22">
        <f>IFERROR(__xludf.DUMMYFUNCTION("IFERROR(GOOGLEFINANCE(B759,""price""),"""")"),6.52)</f>
        <v>6.52</v>
      </c>
    </row>
    <row r="760">
      <c r="A760" s="7">
        <v>46072.62546238977</v>
      </c>
      <c r="B760" s="8" t="s">
        <v>5551</v>
      </c>
      <c r="C760" s="8" t="s">
        <v>5552</v>
      </c>
      <c r="D760" s="9">
        <v>46075.0</v>
      </c>
      <c r="E760" s="10">
        <v>1.0387</v>
      </c>
      <c r="F760" s="26">
        <v>1.2188</v>
      </c>
      <c r="G760" s="12">
        <v>1.1088268E7</v>
      </c>
      <c r="H760" s="8" t="s">
        <v>88</v>
      </c>
      <c r="I760" s="11">
        <v>-0.125</v>
      </c>
      <c r="J760" s="12">
        <v>9.63503278E8</v>
      </c>
      <c r="K760" s="23"/>
      <c r="L760" s="13">
        <v>-0.7493</v>
      </c>
      <c r="M760" s="8" t="s">
        <v>5553</v>
      </c>
      <c r="N760" s="8" t="s">
        <v>5471</v>
      </c>
      <c r="O760" s="13">
        <v>-2.7528</v>
      </c>
      <c r="P760" s="13">
        <v>7.0352</v>
      </c>
      <c r="Q760" s="13">
        <v>623.0875</v>
      </c>
      <c r="R760" s="13">
        <v>0.3226</v>
      </c>
      <c r="S760" s="13">
        <v>0.0737</v>
      </c>
      <c r="T760" s="14">
        <f>IFERROR(__xludf.DUMMYFUNCTION("IFERROR(GOOGLEFINANCE(B760,""price""),"""")"),0.95)</f>
        <v>0.95</v>
      </c>
    </row>
    <row r="761">
      <c r="A761" s="15">
        <v>46072.62546238977</v>
      </c>
      <c r="B761" s="16" t="s">
        <v>4936</v>
      </c>
      <c r="C761" s="16" t="s">
        <v>4937</v>
      </c>
      <c r="D761" s="17">
        <v>46075.0</v>
      </c>
      <c r="E761" s="18">
        <v>21.3269</v>
      </c>
      <c r="F761" s="27">
        <v>1.1641</v>
      </c>
      <c r="G761" s="20">
        <v>8233800.0</v>
      </c>
      <c r="H761" s="16" t="s">
        <v>93</v>
      </c>
      <c r="I761" s="19">
        <v>5.7882</v>
      </c>
      <c r="J761" s="20">
        <v>1.1238042726E10</v>
      </c>
      <c r="K761" s="24"/>
      <c r="L761" s="24"/>
      <c r="M761" s="16" t="s">
        <v>4938</v>
      </c>
      <c r="N761" s="16" t="s">
        <v>5708</v>
      </c>
      <c r="O761" s="21">
        <v>24.5666</v>
      </c>
      <c r="P761" s="21">
        <v>32.3937</v>
      </c>
      <c r="Q761" s="21">
        <v>3.1882</v>
      </c>
      <c r="R761" s="21">
        <v>3.6244</v>
      </c>
      <c r="S761" s="21">
        <v>0.2582</v>
      </c>
      <c r="T761" s="22">
        <f>IFERROR(__xludf.DUMMYFUNCTION("IFERROR(GOOGLEFINANCE(B761,""price""),"""")"),19.99)</f>
        <v>19.99</v>
      </c>
    </row>
    <row r="762">
      <c r="A762" s="7">
        <v>46072.62546238977</v>
      </c>
      <c r="B762" s="8" t="s">
        <v>5948</v>
      </c>
      <c r="C762" s="8" t="s">
        <v>5949</v>
      </c>
      <c r="D762" s="9">
        <v>46075.0</v>
      </c>
      <c r="E762" s="10">
        <v>4.08</v>
      </c>
      <c r="F762" s="26">
        <v>1.1563</v>
      </c>
      <c r="G762" s="12">
        <v>6888309.0</v>
      </c>
      <c r="H762" s="8" t="s">
        <v>117</v>
      </c>
      <c r="I762" s="11">
        <v>7.6517</v>
      </c>
      <c r="J762" s="12">
        <v>5.81164293E8</v>
      </c>
      <c r="K762" s="23"/>
      <c r="L762" s="13">
        <v>-0.2869</v>
      </c>
      <c r="M762" s="8" t="s">
        <v>5950</v>
      </c>
      <c r="N762" s="8" t="s">
        <v>5491</v>
      </c>
      <c r="O762" s="13">
        <v>-84.3341</v>
      </c>
      <c r="P762" s="23"/>
      <c r="Q762" s="23"/>
      <c r="R762" s="13">
        <v>0.0131</v>
      </c>
      <c r="S762" s="13">
        <v>8.2786</v>
      </c>
      <c r="T762" s="14">
        <f>IFERROR(__xludf.DUMMYFUNCTION("IFERROR(GOOGLEFINANCE(B762,""price""),"""")"),4.76)</f>
        <v>4.76</v>
      </c>
    </row>
    <row r="763">
      <c r="A763" s="15">
        <v>46072.62546238977</v>
      </c>
      <c r="B763" s="16" t="s">
        <v>5951</v>
      </c>
      <c r="C763" s="16" t="s">
        <v>5952</v>
      </c>
      <c r="D763" s="17">
        <v>46075.0</v>
      </c>
      <c r="E763" s="18">
        <v>9.53</v>
      </c>
      <c r="F763" s="27">
        <v>1.1367</v>
      </c>
      <c r="G763" s="20">
        <v>1.208617E7</v>
      </c>
      <c r="H763" s="16" t="s">
        <v>93</v>
      </c>
      <c r="I763" s="19">
        <v>-1.2435</v>
      </c>
      <c r="J763" s="20">
        <v>3.029061869E9</v>
      </c>
      <c r="K763" s="21">
        <v>4.1397</v>
      </c>
      <c r="L763" s="21">
        <v>2.3021</v>
      </c>
      <c r="M763" s="16" t="s">
        <v>5953</v>
      </c>
      <c r="N763" s="16" t="s">
        <v>5464</v>
      </c>
      <c r="O763" s="21">
        <v>97.6998</v>
      </c>
      <c r="P763" s="21">
        <v>18.3342</v>
      </c>
      <c r="Q763" s="21">
        <v>-2.5135</v>
      </c>
      <c r="R763" s="21">
        <v>2.8012</v>
      </c>
      <c r="S763" s="21">
        <v>0.2436</v>
      </c>
      <c r="T763" s="22">
        <f>IFERROR(__xludf.DUMMYFUNCTION("IFERROR(GOOGLEFINANCE(B763,""price""),"""")"),8.88)</f>
        <v>8.88</v>
      </c>
    </row>
    <row r="764">
      <c r="A764" s="7">
        <v>46072.62546238977</v>
      </c>
      <c r="B764" s="8" t="s">
        <v>5792</v>
      </c>
      <c r="C764" s="8" t="s">
        <v>5793</v>
      </c>
      <c r="D764" s="9">
        <v>46075.0</v>
      </c>
      <c r="E764" s="10">
        <v>10.41</v>
      </c>
      <c r="F764" s="26">
        <v>1.1367</v>
      </c>
      <c r="G764" s="12">
        <v>6669519.0</v>
      </c>
      <c r="H764" s="8" t="s">
        <v>88</v>
      </c>
      <c r="I764" s="11">
        <v>-0.478</v>
      </c>
      <c r="J764" s="12">
        <v>7.539916481E9</v>
      </c>
      <c r="K764" s="23"/>
      <c r="L764" s="13">
        <v>-0.1129</v>
      </c>
      <c r="M764" s="8" t="s">
        <v>5794</v>
      </c>
      <c r="N764" s="8" t="s">
        <v>5429</v>
      </c>
      <c r="O764" s="13">
        <v>-9.3898</v>
      </c>
      <c r="P764" s="13">
        <v>-0.4502</v>
      </c>
      <c r="Q764" s="13">
        <v>24.2671</v>
      </c>
      <c r="R764" s="13">
        <v>0.622</v>
      </c>
      <c r="S764" s="13">
        <v>0.8013</v>
      </c>
      <c r="T764" s="14">
        <f>IFERROR(__xludf.DUMMYFUNCTION("IFERROR(GOOGLEFINANCE(B764,""price""),"""")"),7.14)</f>
        <v>7.14</v>
      </c>
    </row>
    <row r="765">
      <c r="A765" s="15">
        <v>46072.62546238977</v>
      </c>
      <c r="B765" s="16" t="s">
        <v>5533</v>
      </c>
      <c r="C765" s="16" t="s">
        <v>5534</v>
      </c>
      <c r="D765" s="17">
        <v>46075.0</v>
      </c>
      <c r="E765" s="18">
        <v>6.28</v>
      </c>
      <c r="F765" s="27">
        <v>1.0508</v>
      </c>
      <c r="G765" s="20">
        <v>1.3576078E7</v>
      </c>
      <c r="H765" s="16" t="s">
        <v>102</v>
      </c>
      <c r="I765" s="19">
        <v>-2.7864</v>
      </c>
      <c r="J765" s="20">
        <v>1.699197288E9</v>
      </c>
      <c r="K765" s="24"/>
      <c r="L765" s="21">
        <v>-3.7839</v>
      </c>
      <c r="M765" s="16" t="s">
        <v>5535</v>
      </c>
      <c r="N765" s="16" t="s">
        <v>5536</v>
      </c>
      <c r="O765" s="21">
        <v>-55.984</v>
      </c>
      <c r="P765" s="21">
        <v>-31.1477</v>
      </c>
      <c r="Q765" s="24"/>
      <c r="R765" s="21">
        <v>4.5088</v>
      </c>
      <c r="S765" s="21">
        <v>1.1293</v>
      </c>
      <c r="T765" s="22">
        <f>IFERROR(__xludf.DUMMYFUNCTION("IFERROR(GOOGLEFINANCE(B765,""price""),"""")"),4.69)</f>
        <v>4.69</v>
      </c>
    </row>
    <row r="766">
      <c r="A766" s="7">
        <v>46072.62546238977</v>
      </c>
      <c r="B766" s="8" t="s">
        <v>5527</v>
      </c>
      <c r="C766" s="8" t="s">
        <v>5528</v>
      </c>
      <c r="D766" s="9">
        <v>46075.0</v>
      </c>
      <c r="E766" s="10">
        <v>12.78</v>
      </c>
      <c r="F766" s="26">
        <v>1.0469</v>
      </c>
      <c r="G766" s="12">
        <v>1.1670061E7</v>
      </c>
      <c r="H766" s="8" t="s">
        <v>88</v>
      </c>
      <c r="I766" s="11">
        <v>5.7947</v>
      </c>
      <c r="J766" s="12">
        <v>1.525563153E9</v>
      </c>
      <c r="K766" s="23"/>
      <c r="L766" s="23"/>
      <c r="M766" s="8" t="s">
        <v>5529</v>
      </c>
      <c r="N766" s="8" t="s">
        <v>5429</v>
      </c>
      <c r="O766" s="23"/>
      <c r="P766" s="23"/>
      <c r="Q766" s="23"/>
      <c r="R766" s="13">
        <v>0.0885</v>
      </c>
      <c r="S766" s="13">
        <v>10.416</v>
      </c>
      <c r="T766" s="14">
        <f>IFERROR(__xludf.DUMMYFUNCTION("IFERROR(GOOGLEFINANCE(B766,""price""),"""")"),12.37)</f>
        <v>12.37</v>
      </c>
    </row>
    <row r="767">
      <c r="A767" s="15">
        <v>46072.62546238977</v>
      </c>
      <c r="B767" s="16" t="s">
        <v>5934</v>
      </c>
      <c r="C767" s="16" t="s">
        <v>5935</v>
      </c>
      <c r="D767" s="17">
        <v>46075.0</v>
      </c>
      <c r="E767" s="18">
        <v>37.565</v>
      </c>
      <c r="F767" s="27">
        <v>1.0352</v>
      </c>
      <c r="G767" s="20">
        <v>8231460.0</v>
      </c>
      <c r="H767" s="16" t="s">
        <v>137</v>
      </c>
      <c r="I767" s="19">
        <v>-0.4901</v>
      </c>
      <c r="J767" s="20">
        <v>3.6363584907E10</v>
      </c>
      <c r="K767" s="21">
        <v>23.0404</v>
      </c>
      <c r="L767" s="21">
        <v>1.6304</v>
      </c>
      <c r="M767" s="16" t="s">
        <v>5936</v>
      </c>
      <c r="N767" s="16" t="s">
        <v>5937</v>
      </c>
      <c r="O767" s="21">
        <v>18.2217</v>
      </c>
      <c r="P767" s="21">
        <v>36.9706</v>
      </c>
      <c r="Q767" s="21">
        <v>6.6905</v>
      </c>
      <c r="R767" s="21">
        <v>0.0104</v>
      </c>
      <c r="S767" s="21">
        <v>7.788</v>
      </c>
      <c r="T767" s="22">
        <f>IFERROR(__xludf.DUMMYFUNCTION("IFERROR(GOOGLEFINANCE(B767,""price""),"""")"),32.76)</f>
        <v>32.76</v>
      </c>
    </row>
    <row r="768">
      <c r="A768" s="7">
        <v>46072.62546238977</v>
      </c>
      <c r="B768" s="8" t="s">
        <v>5574</v>
      </c>
      <c r="C768" s="8" t="s">
        <v>5575</v>
      </c>
      <c r="D768" s="9">
        <v>46075.0</v>
      </c>
      <c r="E768" s="10">
        <v>21.79</v>
      </c>
      <c r="F768" s="26">
        <v>1.0008</v>
      </c>
      <c r="G768" s="12">
        <v>7981361.0</v>
      </c>
      <c r="H768" s="8" t="s">
        <v>335</v>
      </c>
      <c r="I768" s="11">
        <v>2.1087</v>
      </c>
      <c r="J768" s="12">
        <v>5.170478503E9</v>
      </c>
      <c r="K768" s="23"/>
      <c r="L768" s="13">
        <v>-0.4849</v>
      </c>
      <c r="M768" s="8" t="s">
        <v>5576</v>
      </c>
      <c r="N768" s="8" t="s">
        <v>5506</v>
      </c>
      <c r="O768" s="13">
        <v>-18.1731</v>
      </c>
      <c r="P768" s="13">
        <v>-129.5586</v>
      </c>
      <c r="Q768" s="13">
        <v>103.694</v>
      </c>
      <c r="R768" s="13">
        <v>0.0</v>
      </c>
      <c r="S768" s="13">
        <v>11.4962</v>
      </c>
      <c r="T768" s="14">
        <f>IFERROR(__xludf.DUMMYFUNCTION("IFERROR(GOOGLEFINANCE(B768,""price""),"""")"),18.4)</f>
        <v>18.4</v>
      </c>
    </row>
    <row r="769">
      <c r="A769" s="15">
        <v>46072.62546238977</v>
      </c>
      <c r="B769" s="16" t="s">
        <v>5594</v>
      </c>
      <c r="C769" s="16" t="s">
        <v>5595</v>
      </c>
      <c r="D769" s="17">
        <v>46075.0</v>
      </c>
      <c r="E769" s="18">
        <v>15.3565</v>
      </c>
      <c r="F769" s="27">
        <v>0.9935</v>
      </c>
      <c r="G769" s="20">
        <v>1.942411E7</v>
      </c>
      <c r="H769" s="16" t="s">
        <v>88</v>
      </c>
      <c r="I769" s="19">
        <v>-0.1528</v>
      </c>
      <c r="J769" s="20">
        <v>6.429488412E9</v>
      </c>
      <c r="K769" s="24"/>
      <c r="L769" s="21">
        <v>-1.4167</v>
      </c>
      <c r="M769" s="16" t="s">
        <v>5596</v>
      </c>
      <c r="N769" s="16" t="s">
        <v>5471</v>
      </c>
      <c r="O769" s="21">
        <v>-181.9547</v>
      </c>
      <c r="P769" s="21">
        <v>-69.885</v>
      </c>
      <c r="Q769" s="21">
        <v>30.5825</v>
      </c>
      <c r="R769" s="21">
        <v>4.3877</v>
      </c>
      <c r="S769" s="21">
        <v>1.0329</v>
      </c>
      <c r="T769" s="22">
        <f>IFERROR(__xludf.DUMMYFUNCTION("IFERROR(GOOGLEFINANCE(B769,""price""),"""")"),18.88)</f>
        <v>18.88</v>
      </c>
    </row>
    <row r="770">
      <c r="A770" s="7">
        <v>46072.62546238977</v>
      </c>
      <c r="B770" s="8" t="s">
        <v>5544</v>
      </c>
      <c r="C770" s="8" t="s">
        <v>5545</v>
      </c>
      <c r="D770" s="9">
        <v>46075.0</v>
      </c>
      <c r="E770" s="10">
        <v>15.71</v>
      </c>
      <c r="F770" s="26">
        <v>0.9785</v>
      </c>
      <c r="G770" s="12">
        <v>1.9072252E7</v>
      </c>
      <c r="H770" s="8" t="s">
        <v>88</v>
      </c>
      <c r="I770" s="11">
        <v>1.8807</v>
      </c>
      <c r="J770" s="12">
        <v>6.206896474E9</v>
      </c>
      <c r="K770" s="23"/>
      <c r="L770" s="13">
        <v>-0.1905</v>
      </c>
      <c r="M770" s="8" t="s">
        <v>5546</v>
      </c>
      <c r="N770" s="8" t="s">
        <v>5471</v>
      </c>
      <c r="O770" s="13">
        <v>-9.6935</v>
      </c>
      <c r="P770" s="13">
        <v>-72.0529</v>
      </c>
      <c r="Q770" s="13">
        <v>35.4099</v>
      </c>
      <c r="R770" s="13">
        <v>1.333</v>
      </c>
      <c r="S770" s="13">
        <v>2.4892</v>
      </c>
      <c r="T770" s="14">
        <f>IFERROR(__xludf.DUMMYFUNCTION("IFERROR(GOOGLEFINANCE(B770,""price""),"""")"),16.53)</f>
        <v>16.53</v>
      </c>
    </row>
    <row r="771">
      <c r="A771" s="15">
        <v>46072.62546238977</v>
      </c>
      <c r="B771" s="16" t="s">
        <v>5517</v>
      </c>
      <c r="C771" s="16" t="s">
        <v>5518</v>
      </c>
      <c r="D771" s="17">
        <v>46075.0</v>
      </c>
      <c r="E771" s="18">
        <v>8.515</v>
      </c>
      <c r="F771" s="27">
        <v>0.9316</v>
      </c>
      <c r="G771" s="20">
        <v>1.0382417E7</v>
      </c>
      <c r="H771" s="16" t="s">
        <v>308</v>
      </c>
      <c r="I771" s="19">
        <v>1.369</v>
      </c>
      <c r="J771" s="20">
        <v>1.406258891E9</v>
      </c>
      <c r="K771" s="24"/>
      <c r="L771" s="21">
        <v>-3.1791</v>
      </c>
      <c r="M771" s="16" t="s">
        <v>5519</v>
      </c>
      <c r="N771" s="16" t="s">
        <v>5520</v>
      </c>
      <c r="O771" s="21">
        <v>-50.0822</v>
      </c>
      <c r="P771" s="21">
        <v>-46.1858</v>
      </c>
      <c r="Q771" s="21">
        <v>-0.6305</v>
      </c>
      <c r="R771" s="21">
        <v>0.3596</v>
      </c>
      <c r="S771" s="21">
        <v>1.4082</v>
      </c>
      <c r="T771" s="22">
        <f>IFERROR(__xludf.DUMMYFUNCTION("IFERROR(GOOGLEFINANCE(B771,""price""),"""")"),9.29)</f>
        <v>9.29</v>
      </c>
    </row>
    <row r="772">
      <c r="A772" s="7">
        <v>46072.62546238977</v>
      </c>
      <c r="B772" s="8" t="s">
        <v>5954</v>
      </c>
      <c r="C772" s="8" t="s">
        <v>5955</v>
      </c>
      <c r="D772" s="9">
        <v>46075.0</v>
      </c>
      <c r="E772" s="10">
        <v>23.605</v>
      </c>
      <c r="F772" s="26">
        <v>0.918</v>
      </c>
      <c r="G772" s="12">
        <v>1.0388931E7</v>
      </c>
      <c r="H772" s="8" t="s">
        <v>245</v>
      </c>
      <c r="I772" s="11">
        <v>0.8761</v>
      </c>
      <c r="J772" s="12">
        <v>5.624093221E9</v>
      </c>
      <c r="K772" s="13">
        <v>3.732</v>
      </c>
      <c r="L772" s="13">
        <v>6.3251</v>
      </c>
      <c r="M772" s="8" t="s">
        <v>5956</v>
      </c>
      <c r="N772" s="8" t="s">
        <v>5410</v>
      </c>
      <c r="O772" s="13">
        <v>16.5773</v>
      </c>
      <c r="P772" s="13">
        <v>30.8476</v>
      </c>
      <c r="Q772" s="13">
        <v>34.9251</v>
      </c>
      <c r="R772" s="13">
        <v>0.5756</v>
      </c>
      <c r="S772" s="13">
        <v>0.5575</v>
      </c>
      <c r="T772" s="14">
        <f>IFERROR(__xludf.DUMMYFUNCTION("IFERROR(GOOGLEFINANCE(B772,""price""),"""")"),28.38)</f>
        <v>28.38</v>
      </c>
    </row>
    <row r="773">
      <c r="A773" s="15">
        <v>46072.62546238977</v>
      </c>
      <c r="B773" s="16" t="s">
        <v>5558</v>
      </c>
      <c r="C773" s="16" t="s">
        <v>5559</v>
      </c>
      <c r="D773" s="17">
        <v>46075.0</v>
      </c>
      <c r="E773" s="18">
        <v>11.401</v>
      </c>
      <c r="F773" s="27">
        <v>0.9167</v>
      </c>
      <c r="G773" s="20">
        <v>7152202.0</v>
      </c>
      <c r="H773" s="16" t="s">
        <v>102</v>
      </c>
      <c r="I773" s="19">
        <v>-1.3754</v>
      </c>
      <c r="J773" s="20">
        <v>3.695043428E9</v>
      </c>
      <c r="K773" s="24"/>
      <c r="L773" s="21">
        <v>-8.3559</v>
      </c>
      <c r="M773" s="16" t="s">
        <v>5560</v>
      </c>
      <c r="N773" s="16" t="s">
        <v>5536</v>
      </c>
      <c r="O773" s="24"/>
      <c r="P773" s="21">
        <v>-351.0117</v>
      </c>
      <c r="Q773" s="21">
        <v>324.0994</v>
      </c>
      <c r="R773" s="24"/>
      <c r="S773" s="21">
        <v>1.8261</v>
      </c>
      <c r="T773" s="22">
        <f>IFERROR(__xludf.DUMMYFUNCTION("IFERROR(GOOGLEFINANCE(B773,""price""),"""")"),5.62)</f>
        <v>5.62</v>
      </c>
    </row>
    <row r="774">
      <c r="A774" s="7">
        <v>46072.62546238977</v>
      </c>
      <c r="B774" s="8" t="s">
        <v>5434</v>
      </c>
      <c r="C774" s="8" t="s">
        <v>5435</v>
      </c>
      <c r="D774" s="9">
        <v>46075.0</v>
      </c>
      <c r="E774" s="10">
        <v>11.345</v>
      </c>
      <c r="F774" s="26">
        <v>0.9092</v>
      </c>
      <c r="G774" s="12">
        <v>9.4893054E7</v>
      </c>
      <c r="H774" s="8" t="s">
        <v>308</v>
      </c>
      <c r="I774" s="11">
        <v>2.4842</v>
      </c>
      <c r="J774" s="12">
        <v>5.100296809E9</v>
      </c>
      <c r="K774" s="23"/>
      <c r="L774" s="13">
        <v>-0.4034</v>
      </c>
      <c r="M774" s="8" t="s">
        <v>5436</v>
      </c>
      <c r="N774" s="8" t="s">
        <v>5437</v>
      </c>
      <c r="O774" s="13">
        <v>-17.0422</v>
      </c>
      <c r="P774" s="13">
        <v>-176.0921</v>
      </c>
      <c r="Q774" s="13">
        <v>208.4002</v>
      </c>
      <c r="R774" s="13">
        <v>0.037</v>
      </c>
      <c r="S774" s="13">
        <v>15.2957</v>
      </c>
      <c r="T774" s="14">
        <f>IFERROR(__xludf.DUMMYFUNCTION("IFERROR(GOOGLEFINANCE(B774,""price""),"""")"),9.13)</f>
        <v>9.13</v>
      </c>
    </row>
    <row r="775">
      <c r="A775" s="15">
        <v>46072.62546238977</v>
      </c>
      <c r="B775" s="16" t="s">
        <v>4884</v>
      </c>
      <c r="C775" s="16" t="s">
        <v>4885</v>
      </c>
      <c r="D775" s="17">
        <v>46075.0</v>
      </c>
      <c r="E775" s="18">
        <v>17.975</v>
      </c>
      <c r="F775" s="27">
        <v>0.905</v>
      </c>
      <c r="G775" s="20">
        <v>8968980.0</v>
      </c>
      <c r="H775" s="16" t="s">
        <v>88</v>
      </c>
      <c r="I775" s="19">
        <v>4.0822</v>
      </c>
      <c r="J775" s="20">
        <v>5.573352191E9</v>
      </c>
      <c r="K775" s="21">
        <v>129.038</v>
      </c>
      <c r="L775" s="21">
        <v>0.1393</v>
      </c>
      <c r="M775" s="16" t="s">
        <v>4886</v>
      </c>
      <c r="N775" s="16" t="s">
        <v>5471</v>
      </c>
      <c r="O775" s="24"/>
      <c r="P775" s="21">
        <v>-56.2854</v>
      </c>
      <c r="Q775" s="21">
        <v>-40.0761</v>
      </c>
      <c r="R775" s="24"/>
      <c r="S775" s="21">
        <v>1.584</v>
      </c>
      <c r="T775" s="22">
        <f>IFERROR(__xludf.DUMMYFUNCTION("IFERROR(GOOGLEFINANCE(B775,""price""),"""")"),18.32)</f>
        <v>18.32</v>
      </c>
    </row>
    <row r="776">
      <c r="A776" s="7">
        <v>46072.62546238977</v>
      </c>
      <c r="B776" s="8" t="s">
        <v>5728</v>
      </c>
      <c r="C776" s="8" t="s">
        <v>5729</v>
      </c>
      <c r="D776" s="9">
        <v>46075.0</v>
      </c>
      <c r="E776" s="10">
        <v>6.995</v>
      </c>
      <c r="F776" s="26">
        <v>0.9023</v>
      </c>
      <c r="G776" s="12">
        <v>8014729.0</v>
      </c>
      <c r="H776" s="8" t="s">
        <v>117</v>
      </c>
      <c r="I776" s="11">
        <v>1.6715</v>
      </c>
      <c r="J776" s="12">
        <v>1.52275408E9</v>
      </c>
      <c r="K776" s="23"/>
      <c r="L776" s="13">
        <v>-1.4385</v>
      </c>
      <c r="M776" s="8" t="s">
        <v>5730</v>
      </c>
      <c r="N776" s="8" t="s">
        <v>5491</v>
      </c>
      <c r="O776" s="13">
        <v>-54.8523</v>
      </c>
      <c r="P776" s="13">
        <v>-519.7513</v>
      </c>
      <c r="Q776" s="13">
        <v>-18.4724</v>
      </c>
      <c r="R776" s="13">
        <v>0.1176</v>
      </c>
      <c r="S776" s="13">
        <v>15.3944</v>
      </c>
      <c r="T776" s="14">
        <f>IFERROR(__xludf.DUMMYFUNCTION("IFERROR(GOOGLEFINANCE(B776,""price""),"""")"),8.79)</f>
        <v>8.79</v>
      </c>
    </row>
    <row r="777">
      <c r="A777" s="15">
        <v>46072.62546238977</v>
      </c>
      <c r="B777" s="16" t="s">
        <v>5957</v>
      </c>
      <c r="C777" s="16" t="s">
        <v>5958</v>
      </c>
      <c r="D777" s="17">
        <v>46075.0</v>
      </c>
      <c r="E777" s="18">
        <v>33.772</v>
      </c>
      <c r="F777" s="27">
        <v>0.8984</v>
      </c>
      <c r="G777" s="20">
        <v>1.090341E7</v>
      </c>
      <c r="H777" s="16" t="s">
        <v>117</v>
      </c>
      <c r="I777" s="19">
        <v>-15.1883</v>
      </c>
      <c r="J777" s="20">
        <v>3.552416443E9</v>
      </c>
      <c r="K777" s="21">
        <v>38.5878</v>
      </c>
      <c r="L777" s="21">
        <v>0.8752</v>
      </c>
      <c r="M777" s="16" t="s">
        <v>5959</v>
      </c>
      <c r="N777" s="16" t="s">
        <v>5491</v>
      </c>
      <c r="O777" s="21">
        <v>16.4703</v>
      </c>
      <c r="P777" s="21">
        <v>8.8471</v>
      </c>
      <c r="Q777" s="21">
        <v>17.9168</v>
      </c>
      <c r="R777" s="21">
        <v>0.0101</v>
      </c>
      <c r="S777" s="21">
        <v>3.1413</v>
      </c>
      <c r="T777" s="22">
        <f>IFERROR(__xludf.DUMMYFUNCTION("IFERROR(GOOGLEFINANCE(B777,""price""),"""")"),41.91)</f>
        <v>41.91</v>
      </c>
    </row>
    <row r="778">
      <c r="A778" s="7">
        <v>46072.62546238977</v>
      </c>
      <c r="B778" s="8" t="s">
        <v>5725</v>
      </c>
      <c r="C778" s="8" t="s">
        <v>5726</v>
      </c>
      <c r="D778" s="9">
        <v>46075.0</v>
      </c>
      <c r="E778" s="10">
        <v>26.3601</v>
      </c>
      <c r="F778" s="26">
        <v>0.8978</v>
      </c>
      <c r="G778" s="12">
        <v>6.0030745E7</v>
      </c>
      <c r="H778" s="8" t="s">
        <v>88</v>
      </c>
      <c r="I778" s="11">
        <v>8.9711</v>
      </c>
      <c r="J778" s="12">
        <v>1.3063847107E10</v>
      </c>
      <c r="K778" s="23"/>
      <c r="L778" s="13">
        <v>-2.5614</v>
      </c>
      <c r="M778" s="8" t="s">
        <v>5727</v>
      </c>
      <c r="N778" s="8" t="s">
        <v>5429</v>
      </c>
      <c r="O778" s="13">
        <v>-92.7165</v>
      </c>
      <c r="P778" s="13">
        <v>-122.2269</v>
      </c>
      <c r="Q778" s="13">
        <v>40.9576</v>
      </c>
      <c r="R778" s="13">
        <v>0.0387</v>
      </c>
      <c r="S778" s="13">
        <v>2.5518</v>
      </c>
      <c r="T778" s="14">
        <f>IFERROR(__xludf.DUMMYFUNCTION("IFERROR(GOOGLEFINANCE(B778,""price""),"""")"),18.16)</f>
        <v>18.16</v>
      </c>
    </row>
    <row r="779">
      <c r="A779" s="15">
        <v>46072.62546238977</v>
      </c>
      <c r="B779" s="16" t="s">
        <v>5858</v>
      </c>
      <c r="C779" s="16" t="s">
        <v>5859</v>
      </c>
      <c r="D779" s="17">
        <v>46075.0</v>
      </c>
      <c r="E779" s="18">
        <v>18.06</v>
      </c>
      <c r="F779" s="27">
        <v>0.8965</v>
      </c>
      <c r="G779" s="20">
        <v>2.4867462E7</v>
      </c>
      <c r="H779" s="16" t="s">
        <v>88</v>
      </c>
      <c r="I779" s="19">
        <v>-4.0892</v>
      </c>
      <c r="J779" s="20">
        <v>2.698163879E9</v>
      </c>
      <c r="K779" s="24"/>
      <c r="L779" s="21">
        <v>-0.8329</v>
      </c>
      <c r="M779" s="16" t="s">
        <v>5860</v>
      </c>
      <c r="N779" s="16" t="s">
        <v>5664</v>
      </c>
      <c r="O779" s="21">
        <v>-12.8431</v>
      </c>
      <c r="P779" s="21">
        <v>-18.968</v>
      </c>
      <c r="Q779" s="21">
        <v>14.7776</v>
      </c>
      <c r="R779" s="21">
        <v>0.4628</v>
      </c>
      <c r="S779" s="21">
        <v>2.6119</v>
      </c>
      <c r="T779" s="22">
        <f>IFERROR(__xludf.DUMMYFUNCTION("IFERROR(GOOGLEFINANCE(B779,""price""),"""")"),23.07)</f>
        <v>23.07</v>
      </c>
    </row>
    <row r="780">
      <c r="A780" s="7">
        <v>46072.62546238977</v>
      </c>
      <c r="B780" s="8" t="s">
        <v>5675</v>
      </c>
      <c r="C780" s="8" t="s">
        <v>5676</v>
      </c>
      <c r="D780" s="9">
        <v>46075.0</v>
      </c>
      <c r="E780" s="10">
        <v>11.51</v>
      </c>
      <c r="F780" s="26">
        <v>0.8796</v>
      </c>
      <c r="G780" s="12">
        <v>5.0642377E7</v>
      </c>
      <c r="H780" s="8" t="s">
        <v>93</v>
      </c>
      <c r="I780" s="11">
        <v>-6.4988</v>
      </c>
      <c r="J780" s="12">
        <v>1.7951356805E10</v>
      </c>
      <c r="K780" s="13">
        <v>113.6229</v>
      </c>
      <c r="L780" s="13">
        <v>0.1013</v>
      </c>
      <c r="M780" s="8" t="s">
        <v>5677</v>
      </c>
      <c r="N780" s="8" t="s">
        <v>5678</v>
      </c>
      <c r="O780" s="23"/>
      <c r="P780" s="13">
        <v>17.7694</v>
      </c>
      <c r="Q780" s="13">
        <v>25.039</v>
      </c>
      <c r="R780" s="23"/>
      <c r="S780" s="23"/>
      <c r="T780" s="14">
        <f>IFERROR(__xludf.DUMMYFUNCTION("IFERROR(GOOGLEFINANCE(B780,""price""),"""")"),8.23)</f>
        <v>8.23</v>
      </c>
    </row>
    <row r="781">
      <c r="A781" s="15">
        <v>46072.62546238977</v>
      </c>
      <c r="B781" s="16" t="s">
        <v>2704</v>
      </c>
      <c r="C781" s="16" t="s">
        <v>2705</v>
      </c>
      <c r="D781" s="17">
        <v>46075.0</v>
      </c>
      <c r="E781" s="18">
        <v>31.72</v>
      </c>
      <c r="F781" s="27">
        <v>0.8795</v>
      </c>
      <c r="G781" s="20">
        <v>1.3476865E7</v>
      </c>
      <c r="H781" s="16" t="s">
        <v>88</v>
      </c>
      <c r="I781" s="19">
        <v>-0.5954</v>
      </c>
      <c r="J781" s="20">
        <v>8.868462023E9</v>
      </c>
      <c r="K781" s="24"/>
      <c r="L781" s="21">
        <v>-0.5438</v>
      </c>
      <c r="M781" s="16" t="s">
        <v>2707</v>
      </c>
      <c r="N781" s="16" t="s">
        <v>5471</v>
      </c>
      <c r="O781" s="21">
        <v>-11.4029</v>
      </c>
      <c r="P781" s="21">
        <v>-26.4624</v>
      </c>
      <c r="Q781" s="21">
        <v>33.135</v>
      </c>
      <c r="R781" s="21">
        <v>1.6778</v>
      </c>
      <c r="S781" s="21">
        <v>4.8227</v>
      </c>
      <c r="T781" s="22">
        <f>IFERROR(__xludf.DUMMYFUNCTION("IFERROR(GOOGLEFINANCE(B781,""price""),"""")"),26.24)</f>
        <v>26.24</v>
      </c>
    </row>
    <row r="782">
      <c r="A782" s="7">
        <v>46072.865942917706</v>
      </c>
      <c r="B782" s="8" t="s">
        <v>5754</v>
      </c>
      <c r="C782" s="8" t="s">
        <v>5755</v>
      </c>
      <c r="D782" s="9">
        <v>46075.0</v>
      </c>
      <c r="E782" s="10">
        <v>4.65</v>
      </c>
      <c r="F782" s="26">
        <v>4.0938</v>
      </c>
      <c r="G782" s="12">
        <v>7.5317415E7</v>
      </c>
      <c r="H782" s="8" t="s">
        <v>93</v>
      </c>
      <c r="I782" s="11">
        <v>0.432</v>
      </c>
      <c r="J782" s="12">
        <v>4.435114993E9</v>
      </c>
      <c r="K782" s="23"/>
      <c r="L782" s="13">
        <v>-0.4363</v>
      </c>
      <c r="M782" s="8" t="s">
        <v>5756</v>
      </c>
      <c r="N782" s="8" t="s">
        <v>5757</v>
      </c>
      <c r="O782" s="13">
        <v>-39.33</v>
      </c>
      <c r="P782" s="13">
        <v>-4.1534</v>
      </c>
      <c r="Q782" s="13">
        <v>-4.4543</v>
      </c>
      <c r="R782" s="13">
        <v>2.2035</v>
      </c>
      <c r="S782" s="13">
        <v>2.8304</v>
      </c>
      <c r="T782" s="14">
        <f>IFERROR(__xludf.DUMMYFUNCTION("IFERROR(GOOGLEFINANCE(B782,""price""),"""")"),4.32)</f>
        <v>4.32</v>
      </c>
    </row>
    <row r="783">
      <c r="A783" s="15">
        <v>46072.865942917706</v>
      </c>
      <c r="B783" s="16" t="s">
        <v>5655</v>
      </c>
      <c r="C783" s="16" t="s">
        <v>5656</v>
      </c>
      <c r="D783" s="17">
        <v>46075.0</v>
      </c>
      <c r="E783" s="18">
        <v>5.13</v>
      </c>
      <c r="F783" s="27">
        <v>3.1563</v>
      </c>
      <c r="G783" s="20">
        <v>9884674.0</v>
      </c>
      <c r="H783" s="16" t="s">
        <v>88</v>
      </c>
      <c r="I783" s="19">
        <v>0.1953</v>
      </c>
      <c r="J783" s="20">
        <v>3.287188953E9</v>
      </c>
      <c r="K783" s="24"/>
      <c r="L783" s="21">
        <v>-0.0054</v>
      </c>
      <c r="M783" s="16" t="s">
        <v>5657</v>
      </c>
      <c r="N783" s="16" t="s">
        <v>5429</v>
      </c>
      <c r="O783" s="21">
        <v>-0.1405</v>
      </c>
      <c r="P783" s="21">
        <v>7.955</v>
      </c>
      <c r="Q783" s="21">
        <v>10.644</v>
      </c>
      <c r="R783" s="21">
        <v>0.5124</v>
      </c>
      <c r="S783" s="21">
        <v>1.4114</v>
      </c>
      <c r="T783" s="22">
        <f>IFERROR(__xludf.DUMMYFUNCTION("IFERROR(GOOGLEFINANCE(B783,""price""),"""")"),4.99)</f>
        <v>4.99</v>
      </c>
    </row>
    <row r="784">
      <c r="A784" s="7">
        <v>46072.865942917706</v>
      </c>
      <c r="B784" s="8" t="s">
        <v>5514</v>
      </c>
      <c r="C784" s="8" t="s">
        <v>5515</v>
      </c>
      <c r="D784" s="9">
        <v>46075.0</v>
      </c>
      <c r="E784" s="10">
        <v>8.61</v>
      </c>
      <c r="F784" s="26">
        <v>2.0742</v>
      </c>
      <c r="G784" s="12">
        <v>5.5341947E7</v>
      </c>
      <c r="H784" s="8" t="s">
        <v>117</v>
      </c>
      <c r="I784" s="11">
        <v>0.8197</v>
      </c>
      <c r="J784" s="12">
        <v>8.480550419E9</v>
      </c>
      <c r="K784" s="23"/>
      <c r="L784" s="13">
        <v>-0.4205</v>
      </c>
      <c r="M784" s="8" t="s">
        <v>5516</v>
      </c>
      <c r="N784" s="8" t="s">
        <v>5491</v>
      </c>
      <c r="O784" s="23"/>
      <c r="P784" s="13">
        <v>-315.8428</v>
      </c>
      <c r="Q784" s="13">
        <v>1025.9547</v>
      </c>
      <c r="R784" s="23"/>
      <c r="S784" s="13">
        <v>5.7671</v>
      </c>
      <c r="T784" s="14">
        <f>IFERROR(__xludf.DUMMYFUNCTION("IFERROR(GOOGLEFINANCE(B784,""price""),"""")"),7.28)</f>
        <v>7.28</v>
      </c>
    </row>
    <row r="785">
      <c r="A785" s="15">
        <v>46072.865942917706</v>
      </c>
      <c r="B785" s="16" t="s">
        <v>5778</v>
      </c>
      <c r="C785" s="16" t="s">
        <v>5779</v>
      </c>
      <c r="D785" s="17">
        <v>46075.0</v>
      </c>
      <c r="E785" s="18">
        <v>1.92</v>
      </c>
      <c r="F785" s="27">
        <v>1.9688</v>
      </c>
      <c r="G785" s="20">
        <v>2.5145361E7</v>
      </c>
      <c r="H785" s="16" t="s">
        <v>117</v>
      </c>
      <c r="I785" s="19">
        <v>-1.0309</v>
      </c>
      <c r="J785" s="20">
        <v>1.225642067E9</v>
      </c>
      <c r="K785" s="24"/>
      <c r="L785" s="21">
        <v>-0.1202</v>
      </c>
      <c r="M785" s="16" t="s">
        <v>5780</v>
      </c>
      <c r="N785" s="16" t="s">
        <v>5502</v>
      </c>
      <c r="O785" s="21">
        <v>-29.5717</v>
      </c>
      <c r="P785" s="21">
        <v>-34.4016</v>
      </c>
      <c r="Q785" s="21">
        <v>522.1303</v>
      </c>
      <c r="R785" s="21">
        <v>1.0102</v>
      </c>
      <c r="S785" s="21">
        <v>5.9552</v>
      </c>
      <c r="T785" s="22">
        <f>IFERROR(__xludf.DUMMYFUNCTION("IFERROR(GOOGLEFINANCE(B785,""price""),"""")"),1.67)</f>
        <v>1.67</v>
      </c>
    </row>
    <row r="786">
      <c r="A786" s="7">
        <v>46072.865942917706</v>
      </c>
      <c r="B786" s="8" t="s">
        <v>2107</v>
      </c>
      <c r="C786" s="8" t="s">
        <v>2108</v>
      </c>
      <c r="D786" s="9">
        <v>46075.0</v>
      </c>
      <c r="E786" s="10">
        <v>6.95</v>
      </c>
      <c r="F786" s="26">
        <v>1.8008</v>
      </c>
      <c r="G786" s="12">
        <v>1.3423438E7</v>
      </c>
      <c r="H786" s="8" t="s">
        <v>107</v>
      </c>
      <c r="I786" s="11">
        <v>-10.3226</v>
      </c>
      <c r="J786" s="12">
        <v>1.101938641E9</v>
      </c>
      <c r="K786" s="23"/>
      <c r="L786" s="13">
        <v>-2.9655</v>
      </c>
      <c r="M786" s="8" t="s">
        <v>2109</v>
      </c>
      <c r="N786" s="8" t="s">
        <v>5613</v>
      </c>
      <c r="O786" s="13">
        <v>-29.569</v>
      </c>
      <c r="P786" s="13">
        <v>-3.7612</v>
      </c>
      <c r="Q786" s="13">
        <v>-5.6948</v>
      </c>
      <c r="R786" s="13">
        <v>2.4274</v>
      </c>
      <c r="S786" s="13">
        <v>2.4646</v>
      </c>
      <c r="T786" s="14">
        <f>IFERROR(__xludf.DUMMYFUNCTION("IFERROR(GOOGLEFINANCE(B786,""price""),"""")"),9.08)</f>
        <v>9.08</v>
      </c>
    </row>
    <row r="787">
      <c r="A787" s="15">
        <v>46072.865942917706</v>
      </c>
      <c r="B787" s="16" t="s">
        <v>4936</v>
      </c>
      <c r="C787" s="16" t="s">
        <v>4937</v>
      </c>
      <c r="D787" s="17">
        <v>46075.0</v>
      </c>
      <c r="E787" s="18">
        <v>21.48</v>
      </c>
      <c r="F787" s="27">
        <v>1.7651</v>
      </c>
      <c r="G787" s="20">
        <v>1.0535485E7</v>
      </c>
      <c r="H787" s="16" t="s">
        <v>93</v>
      </c>
      <c r="I787" s="19">
        <v>6.5476</v>
      </c>
      <c r="J787" s="20">
        <v>1.1318717571E10</v>
      </c>
      <c r="K787" s="24"/>
      <c r="L787" s="24"/>
      <c r="M787" s="16" t="s">
        <v>4938</v>
      </c>
      <c r="N787" s="16" t="s">
        <v>5708</v>
      </c>
      <c r="O787" s="21">
        <v>24.5666</v>
      </c>
      <c r="P787" s="21">
        <v>32.3937</v>
      </c>
      <c r="Q787" s="21">
        <v>3.1882</v>
      </c>
      <c r="R787" s="21">
        <v>3.6244</v>
      </c>
      <c r="S787" s="21">
        <v>0.2582</v>
      </c>
      <c r="T787" s="22">
        <f>IFERROR(__xludf.DUMMYFUNCTION("IFERROR(GOOGLEFINANCE(B787,""price""),"""")"),19.99)</f>
        <v>19.99</v>
      </c>
    </row>
    <row r="788">
      <c r="A788" s="7">
        <v>46072.865942917706</v>
      </c>
      <c r="B788" s="8" t="s">
        <v>5960</v>
      </c>
      <c r="C788" s="8" t="s">
        <v>5961</v>
      </c>
      <c r="D788" s="9">
        <v>46075.0</v>
      </c>
      <c r="E788" s="10">
        <v>4.83</v>
      </c>
      <c r="F788" s="26">
        <v>1.6875</v>
      </c>
      <c r="G788" s="12">
        <v>1.0015954E7</v>
      </c>
      <c r="H788" s="8" t="s">
        <v>190</v>
      </c>
      <c r="I788" s="11">
        <v>22.9008</v>
      </c>
      <c r="J788" s="12">
        <v>8.00119112E8</v>
      </c>
      <c r="K788" s="13">
        <v>197.9508</v>
      </c>
      <c r="L788" s="13">
        <v>0.0244</v>
      </c>
      <c r="M788" s="8" t="s">
        <v>5962</v>
      </c>
      <c r="N788" s="8" t="s">
        <v>5747</v>
      </c>
      <c r="O788" s="13">
        <v>6.649</v>
      </c>
      <c r="P788" s="13">
        <v>-0.0503</v>
      </c>
      <c r="Q788" s="13">
        <v>18.3694</v>
      </c>
      <c r="R788" s="23"/>
      <c r="S788" s="13">
        <v>6.3843</v>
      </c>
      <c r="T788" s="14">
        <f>IFERROR(__xludf.DUMMYFUNCTION("IFERROR(GOOGLEFINANCE(B788,""price""),"""")"),5.17)</f>
        <v>5.17</v>
      </c>
    </row>
    <row r="789">
      <c r="A789" s="15">
        <v>46072.865942917706</v>
      </c>
      <c r="B789" s="16" t="s">
        <v>5930</v>
      </c>
      <c r="C789" s="16" t="s">
        <v>5931</v>
      </c>
      <c r="D789" s="17">
        <v>46075.0</v>
      </c>
      <c r="E789" s="18">
        <v>6.36</v>
      </c>
      <c r="F789" s="27">
        <v>1.6641</v>
      </c>
      <c r="G789" s="20">
        <v>6.7266485E7</v>
      </c>
      <c r="H789" s="16" t="s">
        <v>270</v>
      </c>
      <c r="I789" s="19">
        <v>2.2508</v>
      </c>
      <c r="J789" s="20">
        <v>7.005166332E9</v>
      </c>
      <c r="K789" s="24"/>
      <c r="L789" s="21">
        <v>-3.2621</v>
      </c>
      <c r="M789" s="16" t="s">
        <v>5932</v>
      </c>
      <c r="N789" s="16" t="s">
        <v>5933</v>
      </c>
      <c r="O789" s="21">
        <v>-32.0459</v>
      </c>
      <c r="P789" s="21">
        <v>15.5137</v>
      </c>
      <c r="Q789" s="21">
        <v>16.9333</v>
      </c>
      <c r="R789" s="21">
        <v>0.7701</v>
      </c>
      <c r="S789" s="21">
        <v>1.0814</v>
      </c>
      <c r="T789" s="22">
        <f>IFERROR(__xludf.DUMMYFUNCTION("IFERROR(GOOGLEFINANCE(B789,""price""),"""")"),6.52)</f>
        <v>6.52</v>
      </c>
    </row>
    <row r="790">
      <c r="A790" s="7">
        <v>46072.865942917706</v>
      </c>
      <c r="B790" s="8" t="s">
        <v>5938</v>
      </c>
      <c r="C790" s="8" t="s">
        <v>5939</v>
      </c>
      <c r="D790" s="9">
        <v>46075.0</v>
      </c>
      <c r="E790" s="10">
        <v>7.94</v>
      </c>
      <c r="F790" s="26">
        <v>1.6172</v>
      </c>
      <c r="G790" s="12">
        <v>4.5842405E7</v>
      </c>
      <c r="H790" s="8" t="s">
        <v>88</v>
      </c>
      <c r="I790" s="11">
        <v>-17.3777</v>
      </c>
      <c r="J790" s="12">
        <v>1.845300627E9</v>
      </c>
      <c r="K790" s="23"/>
      <c r="L790" s="23"/>
      <c r="M790" s="8" t="s">
        <v>5940</v>
      </c>
      <c r="N790" s="8" t="s">
        <v>5471</v>
      </c>
      <c r="O790" s="13">
        <v>11.4635</v>
      </c>
      <c r="P790" s="13">
        <v>-29.6598</v>
      </c>
      <c r="Q790" s="13">
        <v>77.3256</v>
      </c>
      <c r="R790" s="13">
        <v>1.2667</v>
      </c>
      <c r="S790" s="13">
        <v>0.9119</v>
      </c>
      <c r="T790" s="14">
        <f>IFERROR(__xludf.DUMMYFUNCTION("IFERROR(GOOGLEFINANCE(B790,""price""),"""")"),10.75)</f>
        <v>10.75</v>
      </c>
    </row>
    <row r="791">
      <c r="A791" s="15">
        <v>46072.865942917706</v>
      </c>
      <c r="B791" s="16" t="s">
        <v>5527</v>
      </c>
      <c r="C791" s="16" t="s">
        <v>5528</v>
      </c>
      <c r="D791" s="17">
        <v>46075.0</v>
      </c>
      <c r="E791" s="18">
        <v>12.83</v>
      </c>
      <c r="F791" s="27">
        <v>1.4824</v>
      </c>
      <c r="G791" s="20">
        <v>1.2804003E7</v>
      </c>
      <c r="H791" s="16" t="s">
        <v>88</v>
      </c>
      <c r="I791" s="19">
        <v>6.2086</v>
      </c>
      <c r="J791" s="20">
        <v>1.53153171E9</v>
      </c>
      <c r="K791" s="24"/>
      <c r="L791" s="24"/>
      <c r="M791" s="16" t="s">
        <v>5529</v>
      </c>
      <c r="N791" s="16" t="s">
        <v>5429</v>
      </c>
      <c r="O791" s="24"/>
      <c r="P791" s="24"/>
      <c r="Q791" s="24"/>
      <c r="R791" s="21">
        <v>0.0885</v>
      </c>
      <c r="S791" s="21">
        <v>10.416</v>
      </c>
      <c r="T791" s="22">
        <f>IFERROR(__xludf.DUMMYFUNCTION("IFERROR(GOOGLEFINANCE(B791,""price""),"""")"),12.37)</f>
        <v>12.37</v>
      </c>
    </row>
    <row r="792">
      <c r="A792" s="7">
        <v>46072.865942917706</v>
      </c>
      <c r="B792" s="8" t="s">
        <v>5533</v>
      </c>
      <c r="C792" s="8" t="s">
        <v>5534</v>
      </c>
      <c r="D792" s="9">
        <v>46075.0</v>
      </c>
      <c r="E792" s="10">
        <v>6.31</v>
      </c>
      <c r="F792" s="26">
        <v>1.4688</v>
      </c>
      <c r="G792" s="12">
        <v>1.5246978E7</v>
      </c>
      <c r="H792" s="8" t="s">
        <v>102</v>
      </c>
      <c r="I792" s="11">
        <v>-2.322</v>
      </c>
      <c r="J792" s="12">
        <v>1.707314473E9</v>
      </c>
      <c r="K792" s="23"/>
      <c r="L792" s="13">
        <v>-3.7839</v>
      </c>
      <c r="M792" s="8" t="s">
        <v>5535</v>
      </c>
      <c r="N792" s="8" t="s">
        <v>5536</v>
      </c>
      <c r="O792" s="13">
        <v>-55.984</v>
      </c>
      <c r="P792" s="13">
        <v>-31.1477</v>
      </c>
      <c r="Q792" s="23"/>
      <c r="R792" s="13">
        <v>4.5088</v>
      </c>
      <c r="S792" s="13">
        <v>1.1293</v>
      </c>
      <c r="T792" s="14">
        <f>IFERROR(__xludf.DUMMYFUNCTION("IFERROR(GOOGLEFINANCE(B792,""price""),"""")"),4.69)</f>
        <v>4.69</v>
      </c>
    </row>
    <row r="793">
      <c r="A793" s="15">
        <v>46072.865942917706</v>
      </c>
      <c r="B793" s="16" t="s">
        <v>5728</v>
      </c>
      <c r="C793" s="16" t="s">
        <v>5729</v>
      </c>
      <c r="D793" s="17">
        <v>46075.0</v>
      </c>
      <c r="E793" s="18">
        <v>7.03</v>
      </c>
      <c r="F793" s="27">
        <v>1.4531</v>
      </c>
      <c r="G793" s="20">
        <v>9715433.0</v>
      </c>
      <c r="H793" s="16" t="s">
        <v>117</v>
      </c>
      <c r="I793" s="19">
        <v>2.1802</v>
      </c>
      <c r="J793" s="20">
        <v>1.530373293E9</v>
      </c>
      <c r="K793" s="24"/>
      <c r="L793" s="21">
        <v>-1.4385</v>
      </c>
      <c r="M793" s="16" t="s">
        <v>5730</v>
      </c>
      <c r="N793" s="16" t="s">
        <v>5491</v>
      </c>
      <c r="O793" s="21">
        <v>-54.8523</v>
      </c>
      <c r="P793" s="21">
        <v>-519.7513</v>
      </c>
      <c r="Q793" s="21">
        <v>-18.4724</v>
      </c>
      <c r="R793" s="21">
        <v>0.1176</v>
      </c>
      <c r="S793" s="21">
        <v>15.3944</v>
      </c>
      <c r="T793" s="22">
        <f>IFERROR(__xludf.DUMMYFUNCTION("IFERROR(GOOGLEFINANCE(B793,""price""),"""")"),8.79)</f>
        <v>8.79</v>
      </c>
    </row>
    <row r="794">
      <c r="A794" s="7">
        <v>46072.865942917706</v>
      </c>
      <c r="B794" s="8" t="s">
        <v>5175</v>
      </c>
      <c r="C794" s="8" t="s">
        <v>5176</v>
      </c>
      <c r="D794" s="9">
        <v>46075.0</v>
      </c>
      <c r="E794" s="10">
        <v>4.8</v>
      </c>
      <c r="F794" s="26">
        <v>1.3672</v>
      </c>
      <c r="G794" s="12">
        <v>1.2113621E7</v>
      </c>
      <c r="H794" s="8" t="s">
        <v>93</v>
      </c>
      <c r="I794" s="11">
        <v>-0.2079</v>
      </c>
      <c r="J794" s="12">
        <v>7.840035448E9</v>
      </c>
      <c r="K794" s="23"/>
      <c r="L794" s="13">
        <v>-0.009</v>
      </c>
      <c r="M794" s="8" t="s">
        <v>5177</v>
      </c>
      <c r="N794" s="8" t="s">
        <v>5590</v>
      </c>
      <c r="O794" s="13">
        <v>11.3702</v>
      </c>
      <c r="P794" s="13">
        <v>30.822</v>
      </c>
      <c r="Q794" s="13">
        <v>-8.6628</v>
      </c>
      <c r="R794" s="13">
        <v>81.7577</v>
      </c>
      <c r="S794" s="13">
        <v>0.1285</v>
      </c>
      <c r="T794" s="14">
        <f>IFERROR(__xludf.DUMMYFUNCTION("IFERROR(GOOGLEFINANCE(B794,""price""),"""")"),3.69)</f>
        <v>3.69</v>
      </c>
    </row>
    <row r="795">
      <c r="A795" s="15">
        <v>46072.865942917706</v>
      </c>
      <c r="B795" s="16" t="s">
        <v>5792</v>
      </c>
      <c r="C795" s="16" t="s">
        <v>5793</v>
      </c>
      <c r="D795" s="17">
        <v>46075.0</v>
      </c>
      <c r="E795" s="18">
        <v>10.43</v>
      </c>
      <c r="F795" s="27">
        <v>1.3438</v>
      </c>
      <c r="G795" s="20">
        <v>1.0214759E7</v>
      </c>
      <c r="H795" s="16" t="s">
        <v>88</v>
      </c>
      <c r="I795" s="19">
        <v>-0.2868</v>
      </c>
      <c r="J795" s="20">
        <v>7.554402392E9</v>
      </c>
      <c r="K795" s="24"/>
      <c r="L795" s="21">
        <v>-0.1129</v>
      </c>
      <c r="M795" s="16" t="s">
        <v>5794</v>
      </c>
      <c r="N795" s="16" t="s">
        <v>5429</v>
      </c>
      <c r="O795" s="21">
        <v>-9.3898</v>
      </c>
      <c r="P795" s="21">
        <v>-0.4502</v>
      </c>
      <c r="Q795" s="21">
        <v>24.2671</v>
      </c>
      <c r="R795" s="21">
        <v>0.622</v>
      </c>
      <c r="S795" s="21">
        <v>0.8013</v>
      </c>
      <c r="T795" s="22">
        <f>IFERROR(__xludf.DUMMYFUNCTION("IFERROR(GOOGLEFINANCE(B795,""price""),"""")"),7.14)</f>
        <v>7.14</v>
      </c>
    </row>
    <row r="796">
      <c r="A796" s="7">
        <v>46072.865942917706</v>
      </c>
      <c r="B796" s="8" t="s">
        <v>5517</v>
      </c>
      <c r="C796" s="8" t="s">
        <v>5518</v>
      </c>
      <c r="D796" s="9">
        <v>46075.0</v>
      </c>
      <c r="E796" s="10">
        <v>8.6</v>
      </c>
      <c r="F796" s="26">
        <v>1.3418</v>
      </c>
      <c r="G796" s="12">
        <v>1.245502E7</v>
      </c>
      <c r="H796" s="8" t="s">
        <v>308</v>
      </c>
      <c r="I796" s="11">
        <v>2.381</v>
      </c>
      <c r="J796" s="12">
        <v>1.420296707E9</v>
      </c>
      <c r="K796" s="23"/>
      <c r="L796" s="13">
        <v>-3.1791</v>
      </c>
      <c r="M796" s="8" t="s">
        <v>5519</v>
      </c>
      <c r="N796" s="8" t="s">
        <v>5520</v>
      </c>
      <c r="O796" s="13">
        <v>-50.0822</v>
      </c>
      <c r="P796" s="13">
        <v>-46.1858</v>
      </c>
      <c r="Q796" s="13">
        <v>-0.6305</v>
      </c>
      <c r="R796" s="13">
        <v>0.3596</v>
      </c>
      <c r="S796" s="13">
        <v>1.4082</v>
      </c>
      <c r="T796" s="14">
        <f>IFERROR(__xludf.DUMMYFUNCTION("IFERROR(GOOGLEFINANCE(B796,""price""),"""")"),9.29)</f>
        <v>9.29</v>
      </c>
    </row>
    <row r="797">
      <c r="A797" s="15">
        <v>46072.865942917706</v>
      </c>
      <c r="B797" s="16" t="s">
        <v>4884</v>
      </c>
      <c r="C797" s="16" t="s">
        <v>4885</v>
      </c>
      <c r="D797" s="17">
        <v>46075.0</v>
      </c>
      <c r="E797" s="18">
        <v>17.98</v>
      </c>
      <c r="F797" s="27">
        <v>1.3249</v>
      </c>
      <c r="G797" s="20">
        <v>1.3207354E7</v>
      </c>
      <c r="H797" s="16" t="s">
        <v>88</v>
      </c>
      <c r="I797" s="19">
        <v>4.1112</v>
      </c>
      <c r="J797" s="20">
        <v>5.574902498E9</v>
      </c>
      <c r="K797" s="21">
        <v>129.0739</v>
      </c>
      <c r="L797" s="21">
        <v>0.1393</v>
      </c>
      <c r="M797" s="16" t="s">
        <v>4886</v>
      </c>
      <c r="N797" s="16" t="s">
        <v>5471</v>
      </c>
      <c r="O797" s="24"/>
      <c r="P797" s="21">
        <v>-56.2854</v>
      </c>
      <c r="Q797" s="21">
        <v>-40.0761</v>
      </c>
      <c r="R797" s="24"/>
      <c r="S797" s="21">
        <v>1.584</v>
      </c>
      <c r="T797" s="22">
        <f>IFERROR(__xludf.DUMMYFUNCTION("IFERROR(GOOGLEFINANCE(B797,""price""),"""")"),18.32)</f>
        <v>18.32</v>
      </c>
    </row>
    <row r="798">
      <c r="A798" s="7">
        <v>46072.865942917706</v>
      </c>
      <c r="B798" s="8" t="s">
        <v>5434</v>
      </c>
      <c r="C798" s="8" t="s">
        <v>5435</v>
      </c>
      <c r="D798" s="9">
        <v>46075.0</v>
      </c>
      <c r="E798" s="10">
        <v>11.39</v>
      </c>
      <c r="F798" s="26">
        <v>1.3145</v>
      </c>
      <c r="G798" s="12">
        <v>1.0237475E8</v>
      </c>
      <c r="H798" s="8" t="s">
        <v>308</v>
      </c>
      <c r="I798" s="11">
        <v>2.8907</v>
      </c>
      <c r="J798" s="12">
        <v>5.120527162E9</v>
      </c>
      <c r="K798" s="23"/>
      <c r="L798" s="13">
        <v>-0.4034</v>
      </c>
      <c r="M798" s="8" t="s">
        <v>5436</v>
      </c>
      <c r="N798" s="8" t="s">
        <v>5437</v>
      </c>
      <c r="O798" s="13">
        <v>-17.0422</v>
      </c>
      <c r="P798" s="13">
        <v>-176.0921</v>
      </c>
      <c r="Q798" s="13">
        <v>208.4002</v>
      </c>
      <c r="R798" s="13">
        <v>0.037</v>
      </c>
      <c r="S798" s="13">
        <v>15.2957</v>
      </c>
      <c r="T798" s="14">
        <f>IFERROR(__xludf.DUMMYFUNCTION("IFERROR(GOOGLEFINANCE(B798,""price""),"""")"),9.13)</f>
        <v>9.13</v>
      </c>
    </row>
    <row r="799">
      <c r="A799" s="15">
        <v>46072.865942917706</v>
      </c>
      <c r="B799" s="16" t="s">
        <v>5574</v>
      </c>
      <c r="C799" s="16" t="s">
        <v>5575</v>
      </c>
      <c r="D799" s="17">
        <v>46075.0</v>
      </c>
      <c r="E799" s="18">
        <v>21.97</v>
      </c>
      <c r="F799" s="27">
        <v>1.2949</v>
      </c>
      <c r="G799" s="20">
        <v>9987502.0</v>
      </c>
      <c r="H799" s="16" t="s">
        <v>335</v>
      </c>
      <c r="I799" s="19">
        <v>2.9522</v>
      </c>
      <c r="J799" s="20">
        <v>5.21319012E9</v>
      </c>
      <c r="K799" s="24"/>
      <c r="L799" s="21">
        <v>-0.4849</v>
      </c>
      <c r="M799" s="16" t="s">
        <v>5576</v>
      </c>
      <c r="N799" s="16" t="s">
        <v>5506</v>
      </c>
      <c r="O799" s="21">
        <v>-18.1731</v>
      </c>
      <c r="P799" s="21">
        <v>-129.5586</v>
      </c>
      <c r="Q799" s="21">
        <v>103.694</v>
      </c>
      <c r="R799" s="21">
        <v>0.0</v>
      </c>
      <c r="S799" s="21">
        <v>11.4962</v>
      </c>
      <c r="T799" s="22">
        <f>IFERROR(__xludf.DUMMYFUNCTION("IFERROR(GOOGLEFINANCE(B799,""price""),"""")"),18.4)</f>
        <v>18.4</v>
      </c>
    </row>
    <row r="800">
      <c r="A800" s="7">
        <v>46072.865942917706</v>
      </c>
      <c r="B800" s="8" t="s">
        <v>5934</v>
      </c>
      <c r="C800" s="8" t="s">
        <v>5935</v>
      </c>
      <c r="D800" s="9">
        <v>46075.0</v>
      </c>
      <c r="E800" s="10">
        <v>37.65</v>
      </c>
      <c r="F800" s="26">
        <v>1.2891</v>
      </c>
      <c r="G800" s="12">
        <v>1.1259561E7</v>
      </c>
      <c r="H800" s="8" t="s">
        <v>137</v>
      </c>
      <c r="I800" s="11">
        <v>-0.2649</v>
      </c>
      <c r="J800" s="12">
        <v>3.6445866412E10</v>
      </c>
      <c r="K800" s="13">
        <v>23.0925</v>
      </c>
      <c r="L800" s="13">
        <v>1.6304</v>
      </c>
      <c r="M800" s="8" t="s">
        <v>5936</v>
      </c>
      <c r="N800" s="8" t="s">
        <v>5937</v>
      </c>
      <c r="O800" s="13">
        <v>18.2217</v>
      </c>
      <c r="P800" s="13">
        <v>36.9706</v>
      </c>
      <c r="Q800" s="13">
        <v>6.6905</v>
      </c>
      <c r="R800" s="13">
        <v>0.0104</v>
      </c>
      <c r="S800" s="13">
        <v>7.788</v>
      </c>
      <c r="T800" s="14">
        <f>IFERROR(__xludf.DUMMYFUNCTION("IFERROR(GOOGLEFINANCE(B800,""price""),"""")"),32.76)</f>
        <v>32.76</v>
      </c>
    </row>
    <row r="801">
      <c r="A801" s="15">
        <v>46072.865942917706</v>
      </c>
      <c r="B801" s="16" t="s">
        <v>5594</v>
      </c>
      <c r="C801" s="16" t="s">
        <v>5595</v>
      </c>
      <c r="D801" s="17">
        <v>46075.0</v>
      </c>
      <c r="E801" s="18">
        <v>15.47</v>
      </c>
      <c r="F801" s="27">
        <v>1.2598</v>
      </c>
      <c r="G801" s="20">
        <v>2.3465873E7</v>
      </c>
      <c r="H801" s="16" t="s">
        <v>88</v>
      </c>
      <c r="I801" s="19">
        <v>0.5852</v>
      </c>
      <c r="J801" s="20">
        <v>6.477008806E9</v>
      </c>
      <c r="K801" s="24"/>
      <c r="L801" s="21">
        <v>-1.4167</v>
      </c>
      <c r="M801" s="16" t="s">
        <v>5596</v>
      </c>
      <c r="N801" s="16" t="s">
        <v>5471</v>
      </c>
      <c r="O801" s="21">
        <v>-181.9547</v>
      </c>
      <c r="P801" s="21">
        <v>-69.885</v>
      </c>
      <c r="Q801" s="21">
        <v>30.5825</v>
      </c>
      <c r="R801" s="21">
        <v>4.3877</v>
      </c>
      <c r="S801" s="21">
        <v>1.0329</v>
      </c>
      <c r="T801" s="22">
        <f>IFERROR(__xludf.DUMMYFUNCTION("IFERROR(GOOGLEFINANCE(B801,""price""),"""")"),18.88)</f>
        <v>18.88</v>
      </c>
    </row>
    <row r="802">
      <c r="A802" s="7">
        <v>46072.865942917706</v>
      </c>
      <c r="B802" s="8" t="s">
        <v>2704</v>
      </c>
      <c r="C802" s="8" t="s">
        <v>2705</v>
      </c>
      <c r="D802" s="9">
        <v>46075.0</v>
      </c>
      <c r="E802" s="10">
        <v>31.53</v>
      </c>
      <c r="F802" s="26">
        <v>1.2256</v>
      </c>
      <c r="G802" s="12">
        <v>1.5011667E7</v>
      </c>
      <c r="H802" s="8" t="s">
        <v>88</v>
      </c>
      <c r="I802" s="11">
        <v>-1.1908</v>
      </c>
      <c r="J802" s="12">
        <v>8.815340719E9</v>
      </c>
      <c r="K802" s="23"/>
      <c r="L802" s="13">
        <v>-0.5438</v>
      </c>
      <c r="M802" s="8" t="s">
        <v>2707</v>
      </c>
      <c r="N802" s="8" t="s">
        <v>5471</v>
      </c>
      <c r="O802" s="13">
        <v>-11.4029</v>
      </c>
      <c r="P802" s="13">
        <v>-26.4624</v>
      </c>
      <c r="Q802" s="13">
        <v>33.135</v>
      </c>
      <c r="R802" s="13">
        <v>1.6778</v>
      </c>
      <c r="S802" s="13">
        <v>4.8227</v>
      </c>
      <c r="T802" s="14">
        <f>IFERROR(__xludf.DUMMYFUNCTION("IFERROR(GOOGLEFINANCE(B802,""price""),"""")"),26.24)</f>
        <v>26.24</v>
      </c>
    </row>
    <row r="803">
      <c r="A803" s="15">
        <v>46072.865942917706</v>
      </c>
      <c r="B803" s="16" t="s">
        <v>5561</v>
      </c>
      <c r="C803" s="16" t="s">
        <v>5562</v>
      </c>
      <c r="D803" s="17">
        <v>46075.0</v>
      </c>
      <c r="E803" s="18">
        <v>14.64</v>
      </c>
      <c r="F803" s="27">
        <v>1.2201</v>
      </c>
      <c r="G803" s="20">
        <v>1.9682615E7</v>
      </c>
      <c r="H803" s="16" t="s">
        <v>102</v>
      </c>
      <c r="I803" s="19">
        <v>3.0986</v>
      </c>
      <c r="J803" s="20">
        <v>4.431887709E9</v>
      </c>
      <c r="K803" s="24"/>
      <c r="L803" s="21">
        <v>-2.8582</v>
      </c>
      <c r="M803" s="16" t="s">
        <v>5563</v>
      </c>
      <c r="N803" s="16" t="s">
        <v>5536</v>
      </c>
      <c r="O803" s="21">
        <v>-76.8505</v>
      </c>
      <c r="P803" s="21">
        <v>-983.9643</v>
      </c>
      <c r="Q803" s="21">
        <v>765.6686</v>
      </c>
      <c r="R803" s="21">
        <v>0.0</v>
      </c>
      <c r="S803" s="21">
        <v>1.6153</v>
      </c>
      <c r="T803" s="22">
        <f>IFERROR(__xludf.DUMMYFUNCTION("IFERROR(GOOGLEFINANCE(B803,""price""),"""")"),9.21)</f>
        <v>9.21</v>
      </c>
    </row>
    <row r="804">
      <c r="A804" s="7">
        <v>46072.865942917706</v>
      </c>
      <c r="B804" s="8" t="s">
        <v>5544</v>
      </c>
      <c r="C804" s="8" t="s">
        <v>5545</v>
      </c>
      <c r="D804" s="9">
        <v>46075.0</v>
      </c>
      <c r="E804" s="10">
        <v>15.8</v>
      </c>
      <c r="F804" s="26">
        <v>1.1882</v>
      </c>
      <c r="G804" s="12">
        <v>2.1475972E7</v>
      </c>
      <c r="H804" s="8" t="s">
        <v>88</v>
      </c>
      <c r="I804" s="11">
        <v>2.4643</v>
      </c>
      <c r="J804" s="12">
        <v>6.242454761E9</v>
      </c>
      <c r="K804" s="23"/>
      <c r="L804" s="13">
        <v>-0.1905</v>
      </c>
      <c r="M804" s="8" t="s">
        <v>5546</v>
      </c>
      <c r="N804" s="8" t="s">
        <v>5471</v>
      </c>
      <c r="O804" s="13">
        <v>-9.6935</v>
      </c>
      <c r="P804" s="13">
        <v>-72.0529</v>
      </c>
      <c r="Q804" s="13">
        <v>35.4099</v>
      </c>
      <c r="R804" s="13">
        <v>1.333</v>
      </c>
      <c r="S804" s="13">
        <v>2.4892</v>
      </c>
      <c r="T804" s="14">
        <f>IFERROR(__xludf.DUMMYFUNCTION("IFERROR(GOOGLEFINANCE(B804,""price""),"""")"),16.53)</f>
        <v>16.53</v>
      </c>
    </row>
    <row r="805">
      <c r="A805" s="15">
        <v>46072.865942917706</v>
      </c>
      <c r="B805" s="16" t="s">
        <v>5957</v>
      </c>
      <c r="C805" s="16" t="s">
        <v>5958</v>
      </c>
      <c r="D805" s="17">
        <v>46075.0</v>
      </c>
      <c r="E805" s="18">
        <v>34.24</v>
      </c>
      <c r="F805" s="27">
        <v>1.1797</v>
      </c>
      <c r="G805" s="20">
        <v>1.1764635E7</v>
      </c>
      <c r="H805" s="16" t="s">
        <v>117</v>
      </c>
      <c r="I805" s="19">
        <v>-14.0131</v>
      </c>
      <c r="J805" s="20">
        <v>3.601644528E9</v>
      </c>
      <c r="K805" s="21">
        <v>39.1225</v>
      </c>
      <c r="L805" s="21">
        <v>0.8752</v>
      </c>
      <c r="M805" s="16" t="s">
        <v>5959</v>
      </c>
      <c r="N805" s="16" t="s">
        <v>5491</v>
      </c>
      <c r="O805" s="21">
        <v>16.4703</v>
      </c>
      <c r="P805" s="21">
        <v>8.8471</v>
      </c>
      <c r="Q805" s="21">
        <v>17.9168</v>
      </c>
      <c r="R805" s="21">
        <v>0.0101</v>
      </c>
      <c r="S805" s="21">
        <v>3.1413</v>
      </c>
      <c r="T805" s="22">
        <f>IFERROR(__xludf.DUMMYFUNCTION("IFERROR(GOOGLEFINANCE(B805,""price""),"""")"),41.91)</f>
        <v>41.91</v>
      </c>
    </row>
    <row r="806">
      <c r="A806" s="7">
        <v>46072.865942917706</v>
      </c>
      <c r="B806" s="8" t="s">
        <v>5458</v>
      </c>
      <c r="C806" s="8" t="s">
        <v>5459</v>
      </c>
      <c r="D806" s="9">
        <v>46075.0</v>
      </c>
      <c r="E806" s="10">
        <v>4.19</v>
      </c>
      <c r="F806" s="26">
        <v>1.1719</v>
      </c>
      <c r="G806" s="12">
        <v>3.6351265E7</v>
      </c>
      <c r="H806" s="8" t="s">
        <v>88</v>
      </c>
      <c r="I806" s="11">
        <v>2.445</v>
      </c>
      <c r="J806" s="12">
        <v>1.829149631E9</v>
      </c>
      <c r="K806" s="23"/>
      <c r="L806" s="13">
        <v>-1.4208</v>
      </c>
      <c r="M806" s="8" t="s">
        <v>5460</v>
      </c>
      <c r="N806" s="8" t="s">
        <v>5429</v>
      </c>
      <c r="O806" s="13">
        <v>-111.8268</v>
      </c>
      <c r="P806" s="13">
        <v>-46.2208</v>
      </c>
      <c r="Q806" s="13">
        <v>-6.9516</v>
      </c>
      <c r="R806" s="13">
        <v>0.1851</v>
      </c>
      <c r="S806" s="13">
        <v>3.1313</v>
      </c>
      <c r="T806" s="14">
        <f>IFERROR(__xludf.DUMMYFUNCTION("IFERROR(GOOGLEFINANCE(B806,""price""),"""")"),3.32)</f>
        <v>3.32</v>
      </c>
    </row>
    <row r="807">
      <c r="A807" s="15">
        <v>46072.865942917706</v>
      </c>
      <c r="B807" s="16" t="s">
        <v>5944</v>
      </c>
      <c r="C807" s="16" t="s">
        <v>5945</v>
      </c>
      <c r="D807" s="17">
        <v>46075.0</v>
      </c>
      <c r="E807" s="18">
        <v>18.14</v>
      </c>
      <c r="F807" s="27">
        <v>1.168</v>
      </c>
      <c r="G807" s="20">
        <v>1.2092975E7</v>
      </c>
      <c r="H807" s="16" t="s">
        <v>93</v>
      </c>
      <c r="I807" s="19">
        <v>-0.0551</v>
      </c>
      <c r="J807" s="20">
        <v>6.496597727E9</v>
      </c>
      <c r="K807" s="21">
        <v>11.5851</v>
      </c>
      <c r="L807" s="21">
        <v>1.5658</v>
      </c>
      <c r="M807" s="16" t="s">
        <v>5946</v>
      </c>
      <c r="N807" s="16" t="s">
        <v>5947</v>
      </c>
      <c r="O807" s="21">
        <v>8.6623</v>
      </c>
      <c r="P807" s="21">
        <v>24.8531</v>
      </c>
      <c r="Q807" s="21">
        <v>4.5405</v>
      </c>
      <c r="R807" s="21">
        <v>0.5797</v>
      </c>
      <c r="S807" s="21">
        <v>0.0825</v>
      </c>
      <c r="T807" s="22">
        <f>IFERROR(__xludf.DUMMYFUNCTION("IFERROR(GOOGLEFINANCE(B807,""price""),"""")"),17.69)</f>
        <v>17.69</v>
      </c>
    </row>
    <row r="808">
      <c r="A808" s="7">
        <v>46072.865942917706</v>
      </c>
      <c r="B808" s="8" t="s">
        <v>5649</v>
      </c>
      <c r="C808" s="8" t="s">
        <v>5650</v>
      </c>
      <c r="D808" s="9">
        <v>46075.0</v>
      </c>
      <c r="E808" s="10">
        <v>25.11</v>
      </c>
      <c r="F808" s="26">
        <v>1.166</v>
      </c>
      <c r="G808" s="12">
        <v>1.0857995E7</v>
      </c>
      <c r="H808" s="8" t="s">
        <v>88</v>
      </c>
      <c r="I808" s="11">
        <v>5.7709</v>
      </c>
      <c r="J808" s="12">
        <v>8.37139773E9</v>
      </c>
      <c r="K808" s="23"/>
      <c r="L808" s="13">
        <v>-0.4263</v>
      </c>
      <c r="M808" s="8" t="s">
        <v>5651</v>
      </c>
      <c r="N808" s="8" t="s">
        <v>5429</v>
      </c>
      <c r="O808" s="13">
        <v>-31.8263</v>
      </c>
      <c r="P808" s="13">
        <v>-26.3989</v>
      </c>
      <c r="Q808" s="13">
        <v>16.8876</v>
      </c>
      <c r="R808" s="13">
        <v>1.3198</v>
      </c>
      <c r="S808" s="13">
        <v>3.9903</v>
      </c>
      <c r="T808" s="14">
        <f>IFERROR(__xludf.DUMMYFUNCTION("IFERROR(GOOGLEFINANCE(B808,""price""),"""")"),34.67)</f>
        <v>34.67</v>
      </c>
    </row>
    <row r="809">
      <c r="A809" s="15">
        <v>46072.865942917706</v>
      </c>
      <c r="B809" s="16" t="s">
        <v>5951</v>
      </c>
      <c r="C809" s="16" t="s">
        <v>5952</v>
      </c>
      <c r="D809" s="17">
        <v>46075.0</v>
      </c>
      <c r="E809" s="18">
        <v>9.44</v>
      </c>
      <c r="F809" s="27">
        <v>1.1484</v>
      </c>
      <c r="G809" s="20">
        <v>1.8047983E7</v>
      </c>
      <c r="H809" s="16" t="s">
        <v>93</v>
      </c>
      <c r="I809" s="19">
        <v>-2.1762</v>
      </c>
      <c r="J809" s="20">
        <v>3.000455829E9</v>
      </c>
      <c r="K809" s="21">
        <v>4.1006</v>
      </c>
      <c r="L809" s="21">
        <v>2.3021</v>
      </c>
      <c r="M809" s="16" t="s">
        <v>5953</v>
      </c>
      <c r="N809" s="16" t="s">
        <v>5464</v>
      </c>
      <c r="O809" s="21">
        <v>97.6998</v>
      </c>
      <c r="P809" s="21">
        <v>18.3342</v>
      </c>
      <c r="Q809" s="21">
        <v>-2.5135</v>
      </c>
      <c r="R809" s="21">
        <v>2.8012</v>
      </c>
      <c r="S809" s="21">
        <v>0.2436</v>
      </c>
      <c r="T809" s="22">
        <f>IFERROR(__xludf.DUMMYFUNCTION("IFERROR(GOOGLEFINANCE(B809,""price""),"""")"),8.88)</f>
        <v>8.88</v>
      </c>
    </row>
    <row r="810">
      <c r="A810" s="7">
        <v>46072.865942917706</v>
      </c>
      <c r="B810" s="8" t="s">
        <v>2300</v>
      </c>
      <c r="C810" s="8" t="s">
        <v>2301</v>
      </c>
      <c r="D810" s="9">
        <v>46075.0</v>
      </c>
      <c r="E810" s="10">
        <v>23.33</v>
      </c>
      <c r="F810" s="26">
        <v>1.1339</v>
      </c>
      <c r="G810" s="12">
        <v>1.2577824E7</v>
      </c>
      <c r="H810" s="8" t="s">
        <v>88</v>
      </c>
      <c r="I810" s="11">
        <v>0.8647</v>
      </c>
      <c r="J810" s="12">
        <v>6.838927413E9</v>
      </c>
      <c r="K810" s="23"/>
      <c r="L810" s="13">
        <v>-0.1371</v>
      </c>
      <c r="M810" s="8" t="s">
        <v>2302</v>
      </c>
      <c r="N810" s="8" t="s">
        <v>5429</v>
      </c>
      <c r="O810" s="13">
        <v>-2.5819</v>
      </c>
      <c r="P810" s="13">
        <v>3.8401</v>
      </c>
      <c r="Q810" s="13">
        <v>61.8776</v>
      </c>
      <c r="R810" s="13">
        <v>0.4255</v>
      </c>
      <c r="S810" s="13">
        <v>1.8035</v>
      </c>
      <c r="T810" s="14">
        <f>IFERROR(__xludf.DUMMYFUNCTION("IFERROR(GOOGLEFINANCE(B810,""price""),"""")"),24.0)</f>
        <v>24</v>
      </c>
    </row>
    <row r="811">
      <c r="A811" s="15">
        <v>46072.865942917706</v>
      </c>
      <c r="B811" s="16" t="s">
        <v>5858</v>
      </c>
      <c r="C811" s="16" t="s">
        <v>5859</v>
      </c>
      <c r="D811" s="17">
        <v>46075.0</v>
      </c>
      <c r="E811" s="18">
        <v>18.07</v>
      </c>
      <c r="F811" s="27">
        <v>1.125</v>
      </c>
      <c r="G811" s="20">
        <v>2.844106E7</v>
      </c>
      <c r="H811" s="16" t="s">
        <v>88</v>
      </c>
      <c r="I811" s="19">
        <v>-4.0361</v>
      </c>
      <c r="J811" s="20">
        <v>2.699657879E9</v>
      </c>
      <c r="K811" s="24"/>
      <c r="L811" s="21">
        <v>-0.8329</v>
      </c>
      <c r="M811" s="16" t="s">
        <v>5860</v>
      </c>
      <c r="N811" s="16" t="s">
        <v>5664</v>
      </c>
      <c r="O811" s="21">
        <v>-12.8431</v>
      </c>
      <c r="P811" s="21">
        <v>-18.968</v>
      </c>
      <c r="Q811" s="21">
        <v>14.7776</v>
      </c>
      <c r="R811" s="21">
        <v>0.4628</v>
      </c>
      <c r="S811" s="21">
        <v>2.6119</v>
      </c>
      <c r="T811" s="22">
        <f>IFERROR(__xludf.DUMMYFUNCTION("IFERROR(GOOGLEFINANCE(B811,""price""),"""")"),23.07)</f>
        <v>23.07</v>
      </c>
    </row>
    <row r="812">
      <c r="A812" s="7">
        <v>46072.86759037248</v>
      </c>
      <c r="B812" s="8" t="s">
        <v>5754</v>
      </c>
      <c r="C812" s="8" t="s">
        <v>5755</v>
      </c>
      <c r="D812" s="9">
        <v>46075.0</v>
      </c>
      <c r="E812" s="10">
        <v>4.65</v>
      </c>
      <c r="F812" s="26">
        <v>4.0938</v>
      </c>
      <c r="G812" s="12">
        <v>7.5317415E7</v>
      </c>
      <c r="H812" s="8" t="s">
        <v>93</v>
      </c>
      <c r="I812" s="11">
        <v>0.432</v>
      </c>
      <c r="J812" s="12">
        <v>4.435114993E9</v>
      </c>
      <c r="K812" s="23"/>
      <c r="L812" s="13">
        <v>-0.4363</v>
      </c>
      <c r="M812" s="8" t="s">
        <v>5756</v>
      </c>
      <c r="N812" s="8" t="s">
        <v>5757</v>
      </c>
      <c r="O812" s="13">
        <v>-39.33</v>
      </c>
      <c r="P812" s="13">
        <v>-4.1534</v>
      </c>
      <c r="Q812" s="13">
        <v>-4.4543</v>
      </c>
      <c r="R812" s="13">
        <v>2.2035</v>
      </c>
      <c r="S812" s="13">
        <v>2.8304</v>
      </c>
      <c r="T812" s="14">
        <f>IFERROR(__xludf.DUMMYFUNCTION("IFERROR(GOOGLEFINANCE(B812,""price""),"""")"),4.32)</f>
        <v>4.32</v>
      </c>
    </row>
    <row r="813">
      <c r="A813" s="15">
        <v>46072.86759037248</v>
      </c>
      <c r="B813" s="16" t="s">
        <v>5655</v>
      </c>
      <c r="C813" s="16" t="s">
        <v>5656</v>
      </c>
      <c r="D813" s="17">
        <v>46075.0</v>
      </c>
      <c r="E813" s="18">
        <v>5.13</v>
      </c>
      <c r="F813" s="27">
        <v>3.1563</v>
      </c>
      <c r="G813" s="20">
        <v>9884674.0</v>
      </c>
      <c r="H813" s="16" t="s">
        <v>88</v>
      </c>
      <c r="I813" s="19">
        <v>0.1953</v>
      </c>
      <c r="J813" s="20">
        <v>3.287188953E9</v>
      </c>
      <c r="K813" s="24"/>
      <c r="L813" s="21">
        <v>-0.0054</v>
      </c>
      <c r="M813" s="16" t="s">
        <v>5657</v>
      </c>
      <c r="N813" s="16" t="s">
        <v>5429</v>
      </c>
      <c r="O813" s="21">
        <v>-0.1405</v>
      </c>
      <c r="P813" s="21">
        <v>7.955</v>
      </c>
      <c r="Q813" s="21">
        <v>10.644</v>
      </c>
      <c r="R813" s="21">
        <v>0.5124</v>
      </c>
      <c r="S813" s="21">
        <v>1.4114</v>
      </c>
      <c r="T813" s="22">
        <f>IFERROR(__xludf.DUMMYFUNCTION("IFERROR(GOOGLEFINANCE(B813,""price""),"""")"),4.99)</f>
        <v>4.99</v>
      </c>
    </row>
    <row r="814">
      <c r="A814" s="7">
        <v>46072.86759037248</v>
      </c>
      <c r="B814" s="8" t="s">
        <v>5514</v>
      </c>
      <c r="C814" s="8" t="s">
        <v>5515</v>
      </c>
      <c r="D814" s="9">
        <v>46075.0</v>
      </c>
      <c r="E814" s="10">
        <v>8.61</v>
      </c>
      <c r="F814" s="26">
        <v>2.0742</v>
      </c>
      <c r="G814" s="12">
        <v>5.5341947E7</v>
      </c>
      <c r="H814" s="8" t="s">
        <v>117</v>
      </c>
      <c r="I814" s="11">
        <v>0.8197</v>
      </c>
      <c r="J814" s="12">
        <v>8.480550419E9</v>
      </c>
      <c r="K814" s="23"/>
      <c r="L814" s="13">
        <v>-0.4205</v>
      </c>
      <c r="M814" s="8" t="s">
        <v>5516</v>
      </c>
      <c r="N814" s="8" t="s">
        <v>5491</v>
      </c>
      <c r="O814" s="23"/>
      <c r="P814" s="13">
        <v>-315.8428</v>
      </c>
      <c r="Q814" s="13">
        <v>1025.9547</v>
      </c>
      <c r="R814" s="23"/>
      <c r="S814" s="13">
        <v>5.7671</v>
      </c>
      <c r="T814" s="14">
        <f>IFERROR(__xludf.DUMMYFUNCTION("IFERROR(GOOGLEFINANCE(B814,""price""),"""")"),7.28)</f>
        <v>7.28</v>
      </c>
    </row>
    <row r="815">
      <c r="A815" s="15">
        <v>46072.86759037248</v>
      </c>
      <c r="B815" s="16" t="s">
        <v>5778</v>
      </c>
      <c r="C815" s="16" t="s">
        <v>5779</v>
      </c>
      <c r="D815" s="17">
        <v>46075.0</v>
      </c>
      <c r="E815" s="18">
        <v>1.92</v>
      </c>
      <c r="F815" s="27">
        <v>1.9688</v>
      </c>
      <c r="G815" s="20">
        <v>2.5145361E7</v>
      </c>
      <c r="H815" s="16" t="s">
        <v>117</v>
      </c>
      <c r="I815" s="19">
        <v>-1.0309</v>
      </c>
      <c r="J815" s="20">
        <v>1.225642067E9</v>
      </c>
      <c r="K815" s="24"/>
      <c r="L815" s="21">
        <v>-0.1202</v>
      </c>
      <c r="M815" s="16" t="s">
        <v>5780</v>
      </c>
      <c r="N815" s="16" t="s">
        <v>5502</v>
      </c>
      <c r="O815" s="21">
        <v>-29.5717</v>
      </c>
      <c r="P815" s="21">
        <v>-34.4016</v>
      </c>
      <c r="Q815" s="21">
        <v>522.1303</v>
      </c>
      <c r="R815" s="21">
        <v>1.0102</v>
      </c>
      <c r="S815" s="21">
        <v>5.9552</v>
      </c>
      <c r="T815" s="22">
        <f>IFERROR(__xludf.DUMMYFUNCTION("IFERROR(GOOGLEFINANCE(B815,""price""),"""")"),1.67)</f>
        <v>1.67</v>
      </c>
    </row>
    <row r="816">
      <c r="A816" s="7">
        <v>46072.86759037248</v>
      </c>
      <c r="B816" s="8" t="s">
        <v>2107</v>
      </c>
      <c r="C816" s="8" t="s">
        <v>2108</v>
      </c>
      <c r="D816" s="9">
        <v>46075.0</v>
      </c>
      <c r="E816" s="10">
        <v>6.95</v>
      </c>
      <c r="F816" s="26">
        <v>1.8008</v>
      </c>
      <c r="G816" s="12">
        <v>1.3423438E7</v>
      </c>
      <c r="H816" s="8" t="s">
        <v>107</v>
      </c>
      <c r="I816" s="11">
        <v>-10.3226</v>
      </c>
      <c r="J816" s="12">
        <v>1.101938641E9</v>
      </c>
      <c r="K816" s="23"/>
      <c r="L816" s="13">
        <v>-2.9655</v>
      </c>
      <c r="M816" s="8" t="s">
        <v>2109</v>
      </c>
      <c r="N816" s="8" t="s">
        <v>5613</v>
      </c>
      <c r="O816" s="13">
        <v>-29.569</v>
      </c>
      <c r="P816" s="13">
        <v>-3.7612</v>
      </c>
      <c r="Q816" s="13">
        <v>-5.6948</v>
      </c>
      <c r="R816" s="13">
        <v>2.4274</v>
      </c>
      <c r="S816" s="13">
        <v>2.4646</v>
      </c>
      <c r="T816" s="14">
        <f>IFERROR(__xludf.DUMMYFUNCTION("IFERROR(GOOGLEFINANCE(B816,""price""),"""")"),9.08)</f>
        <v>9.08</v>
      </c>
    </row>
    <row r="817">
      <c r="A817" s="15">
        <v>46072.86759037248</v>
      </c>
      <c r="B817" s="16" t="s">
        <v>4936</v>
      </c>
      <c r="C817" s="16" t="s">
        <v>4937</v>
      </c>
      <c r="D817" s="17">
        <v>46075.0</v>
      </c>
      <c r="E817" s="18">
        <v>21.48</v>
      </c>
      <c r="F817" s="27">
        <v>1.7651</v>
      </c>
      <c r="G817" s="20">
        <v>1.0535485E7</v>
      </c>
      <c r="H817" s="16" t="s">
        <v>93</v>
      </c>
      <c r="I817" s="19">
        <v>6.5476</v>
      </c>
      <c r="J817" s="20">
        <v>1.1318717571E10</v>
      </c>
      <c r="K817" s="24"/>
      <c r="L817" s="24"/>
      <c r="M817" s="16" t="s">
        <v>4938</v>
      </c>
      <c r="N817" s="16" t="s">
        <v>5708</v>
      </c>
      <c r="O817" s="21">
        <v>24.5666</v>
      </c>
      <c r="P817" s="21">
        <v>32.3937</v>
      </c>
      <c r="Q817" s="21">
        <v>3.1882</v>
      </c>
      <c r="R817" s="21">
        <v>3.6244</v>
      </c>
      <c r="S817" s="21">
        <v>0.2582</v>
      </c>
      <c r="T817" s="22">
        <f>IFERROR(__xludf.DUMMYFUNCTION("IFERROR(GOOGLEFINANCE(B817,""price""),"""")"),19.99)</f>
        <v>19.99</v>
      </c>
    </row>
    <row r="818">
      <c r="A818" s="7">
        <v>46072.86759037248</v>
      </c>
      <c r="B818" s="8" t="s">
        <v>5960</v>
      </c>
      <c r="C818" s="8" t="s">
        <v>5961</v>
      </c>
      <c r="D818" s="9">
        <v>46075.0</v>
      </c>
      <c r="E818" s="10">
        <v>4.83</v>
      </c>
      <c r="F818" s="26">
        <v>1.6875</v>
      </c>
      <c r="G818" s="12">
        <v>1.0015954E7</v>
      </c>
      <c r="H818" s="8" t="s">
        <v>190</v>
      </c>
      <c r="I818" s="11">
        <v>22.9008</v>
      </c>
      <c r="J818" s="12">
        <v>8.00119112E8</v>
      </c>
      <c r="K818" s="13">
        <v>197.9508</v>
      </c>
      <c r="L818" s="13">
        <v>0.0244</v>
      </c>
      <c r="M818" s="8" t="s">
        <v>5962</v>
      </c>
      <c r="N818" s="8" t="s">
        <v>5747</v>
      </c>
      <c r="O818" s="13">
        <v>6.649</v>
      </c>
      <c r="P818" s="13">
        <v>-0.0503</v>
      </c>
      <c r="Q818" s="13">
        <v>18.3694</v>
      </c>
      <c r="R818" s="23"/>
      <c r="S818" s="13">
        <v>6.3843</v>
      </c>
      <c r="T818" s="14">
        <f>IFERROR(__xludf.DUMMYFUNCTION("IFERROR(GOOGLEFINANCE(B818,""price""),"""")"),5.17)</f>
        <v>5.17</v>
      </c>
    </row>
    <row r="819">
      <c r="A819" s="15">
        <v>46072.86759037248</v>
      </c>
      <c r="B819" s="16" t="s">
        <v>5930</v>
      </c>
      <c r="C819" s="16" t="s">
        <v>5931</v>
      </c>
      <c r="D819" s="17">
        <v>46075.0</v>
      </c>
      <c r="E819" s="18">
        <v>6.36</v>
      </c>
      <c r="F819" s="27">
        <v>1.6641</v>
      </c>
      <c r="G819" s="20">
        <v>6.7266485E7</v>
      </c>
      <c r="H819" s="16" t="s">
        <v>270</v>
      </c>
      <c r="I819" s="19">
        <v>2.2508</v>
      </c>
      <c r="J819" s="20">
        <v>7.005166332E9</v>
      </c>
      <c r="K819" s="24"/>
      <c r="L819" s="21">
        <v>-3.2621</v>
      </c>
      <c r="M819" s="16" t="s">
        <v>5932</v>
      </c>
      <c r="N819" s="16" t="s">
        <v>5933</v>
      </c>
      <c r="O819" s="21">
        <v>-32.0459</v>
      </c>
      <c r="P819" s="21">
        <v>15.5137</v>
      </c>
      <c r="Q819" s="21">
        <v>16.9333</v>
      </c>
      <c r="R819" s="21">
        <v>0.7701</v>
      </c>
      <c r="S819" s="21">
        <v>1.0814</v>
      </c>
      <c r="T819" s="22">
        <f>IFERROR(__xludf.DUMMYFUNCTION("IFERROR(GOOGLEFINANCE(B819,""price""),"""")"),6.52)</f>
        <v>6.52</v>
      </c>
    </row>
    <row r="820">
      <c r="A820" s="7">
        <v>46072.86759037248</v>
      </c>
      <c r="B820" s="8" t="s">
        <v>5938</v>
      </c>
      <c r="C820" s="8" t="s">
        <v>5939</v>
      </c>
      <c r="D820" s="9">
        <v>46075.0</v>
      </c>
      <c r="E820" s="10">
        <v>7.94</v>
      </c>
      <c r="F820" s="26">
        <v>1.6172</v>
      </c>
      <c r="G820" s="12">
        <v>4.5842405E7</v>
      </c>
      <c r="H820" s="8" t="s">
        <v>88</v>
      </c>
      <c r="I820" s="11">
        <v>-17.3777</v>
      </c>
      <c r="J820" s="12">
        <v>1.845300627E9</v>
      </c>
      <c r="K820" s="23"/>
      <c r="L820" s="23"/>
      <c r="M820" s="8" t="s">
        <v>5940</v>
      </c>
      <c r="N820" s="8" t="s">
        <v>5471</v>
      </c>
      <c r="O820" s="13">
        <v>11.4635</v>
      </c>
      <c r="P820" s="13">
        <v>-29.6598</v>
      </c>
      <c r="Q820" s="13">
        <v>77.3256</v>
      </c>
      <c r="R820" s="13">
        <v>1.2667</v>
      </c>
      <c r="S820" s="13">
        <v>0.9119</v>
      </c>
      <c r="T820" s="14">
        <f>IFERROR(__xludf.DUMMYFUNCTION("IFERROR(GOOGLEFINANCE(B820,""price""),"""")"),10.75)</f>
        <v>10.75</v>
      </c>
    </row>
    <row r="821">
      <c r="A821" s="15">
        <v>46072.86759037248</v>
      </c>
      <c r="B821" s="16" t="s">
        <v>5527</v>
      </c>
      <c r="C821" s="16" t="s">
        <v>5528</v>
      </c>
      <c r="D821" s="17">
        <v>46075.0</v>
      </c>
      <c r="E821" s="18">
        <v>12.83</v>
      </c>
      <c r="F821" s="27">
        <v>1.4824</v>
      </c>
      <c r="G821" s="20">
        <v>1.2804003E7</v>
      </c>
      <c r="H821" s="16" t="s">
        <v>88</v>
      </c>
      <c r="I821" s="19">
        <v>6.2086</v>
      </c>
      <c r="J821" s="20">
        <v>1.53153171E9</v>
      </c>
      <c r="K821" s="24"/>
      <c r="L821" s="24"/>
      <c r="M821" s="16" t="s">
        <v>5529</v>
      </c>
      <c r="N821" s="16" t="s">
        <v>5429</v>
      </c>
      <c r="O821" s="24"/>
      <c r="P821" s="24"/>
      <c r="Q821" s="24"/>
      <c r="R821" s="21">
        <v>0.0885</v>
      </c>
      <c r="S821" s="21">
        <v>10.416</v>
      </c>
      <c r="T821" s="22">
        <f>IFERROR(__xludf.DUMMYFUNCTION("IFERROR(GOOGLEFINANCE(B821,""price""),"""")"),12.37)</f>
        <v>12.37</v>
      </c>
    </row>
    <row r="822">
      <c r="A822" s="7">
        <v>46072.86759037248</v>
      </c>
      <c r="B822" s="8" t="s">
        <v>5533</v>
      </c>
      <c r="C822" s="8" t="s">
        <v>5534</v>
      </c>
      <c r="D822" s="9">
        <v>46075.0</v>
      </c>
      <c r="E822" s="10">
        <v>6.31</v>
      </c>
      <c r="F822" s="26">
        <v>1.4688</v>
      </c>
      <c r="G822" s="12">
        <v>1.5246978E7</v>
      </c>
      <c r="H822" s="8" t="s">
        <v>102</v>
      </c>
      <c r="I822" s="11">
        <v>-2.322</v>
      </c>
      <c r="J822" s="12">
        <v>1.707314473E9</v>
      </c>
      <c r="K822" s="23"/>
      <c r="L822" s="13">
        <v>-3.7839</v>
      </c>
      <c r="M822" s="8" t="s">
        <v>5535</v>
      </c>
      <c r="N822" s="8" t="s">
        <v>5536</v>
      </c>
      <c r="O822" s="13">
        <v>-55.984</v>
      </c>
      <c r="P822" s="13">
        <v>-31.1477</v>
      </c>
      <c r="Q822" s="23"/>
      <c r="R822" s="13">
        <v>4.5088</v>
      </c>
      <c r="S822" s="13">
        <v>1.1293</v>
      </c>
      <c r="T822" s="14">
        <f>IFERROR(__xludf.DUMMYFUNCTION("IFERROR(GOOGLEFINANCE(B822,""price""),"""")"),4.69)</f>
        <v>4.69</v>
      </c>
    </row>
    <row r="823">
      <c r="A823" s="15">
        <v>46072.86759037248</v>
      </c>
      <c r="B823" s="16" t="s">
        <v>5728</v>
      </c>
      <c r="C823" s="16" t="s">
        <v>5729</v>
      </c>
      <c r="D823" s="17">
        <v>46075.0</v>
      </c>
      <c r="E823" s="18">
        <v>7.03</v>
      </c>
      <c r="F823" s="27">
        <v>1.4531</v>
      </c>
      <c r="G823" s="20">
        <v>9715433.0</v>
      </c>
      <c r="H823" s="16" t="s">
        <v>117</v>
      </c>
      <c r="I823" s="19">
        <v>2.1802</v>
      </c>
      <c r="J823" s="20">
        <v>1.530373293E9</v>
      </c>
      <c r="K823" s="24"/>
      <c r="L823" s="21">
        <v>-1.4385</v>
      </c>
      <c r="M823" s="16" t="s">
        <v>5730</v>
      </c>
      <c r="N823" s="16" t="s">
        <v>5491</v>
      </c>
      <c r="O823" s="21">
        <v>-54.8523</v>
      </c>
      <c r="P823" s="21">
        <v>-519.7513</v>
      </c>
      <c r="Q823" s="21">
        <v>-18.4724</v>
      </c>
      <c r="R823" s="21">
        <v>0.1176</v>
      </c>
      <c r="S823" s="21">
        <v>15.3944</v>
      </c>
      <c r="T823" s="22">
        <f>IFERROR(__xludf.DUMMYFUNCTION("IFERROR(GOOGLEFINANCE(B823,""price""),"""")"),8.79)</f>
        <v>8.79</v>
      </c>
    </row>
    <row r="824">
      <c r="A824" s="7">
        <v>46072.86759037248</v>
      </c>
      <c r="B824" s="8" t="s">
        <v>5175</v>
      </c>
      <c r="C824" s="8" t="s">
        <v>5176</v>
      </c>
      <c r="D824" s="9">
        <v>46075.0</v>
      </c>
      <c r="E824" s="10">
        <v>4.8</v>
      </c>
      <c r="F824" s="26">
        <v>1.3672</v>
      </c>
      <c r="G824" s="12">
        <v>1.2113621E7</v>
      </c>
      <c r="H824" s="8" t="s">
        <v>93</v>
      </c>
      <c r="I824" s="11">
        <v>-0.2079</v>
      </c>
      <c r="J824" s="12">
        <v>7.840035448E9</v>
      </c>
      <c r="K824" s="23"/>
      <c r="L824" s="13">
        <v>-0.009</v>
      </c>
      <c r="M824" s="8" t="s">
        <v>5177</v>
      </c>
      <c r="N824" s="8" t="s">
        <v>5590</v>
      </c>
      <c r="O824" s="13">
        <v>11.3702</v>
      </c>
      <c r="P824" s="13">
        <v>30.822</v>
      </c>
      <c r="Q824" s="13">
        <v>-8.6628</v>
      </c>
      <c r="R824" s="13">
        <v>81.7577</v>
      </c>
      <c r="S824" s="13">
        <v>0.1285</v>
      </c>
      <c r="T824" s="14">
        <f>IFERROR(__xludf.DUMMYFUNCTION("IFERROR(GOOGLEFINANCE(B824,""price""),"""")"),3.69)</f>
        <v>3.69</v>
      </c>
    </row>
    <row r="825">
      <c r="A825" s="15">
        <v>46072.86759037248</v>
      </c>
      <c r="B825" s="16" t="s">
        <v>5792</v>
      </c>
      <c r="C825" s="16" t="s">
        <v>5793</v>
      </c>
      <c r="D825" s="17">
        <v>46075.0</v>
      </c>
      <c r="E825" s="18">
        <v>10.43</v>
      </c>
      <c r="F825" s="27">
        <v>1.3438</v>
      </c>
      <c r="G825" s="20">
        <v>1.0214759E7</v>
      </c>
      <c r="H825" s="16" t="s">
        <v>88</v>
      </c>
      <c r="I825" s="19">
        <v>-0.2868</v>
      </c>
      <c r="J825" s="20">
        <v>7.554402392E9</v>
      </c>
      <c r="K825" s="24"/>
      <c r="L825" s="21">
        <v>-0.1129</v>
      </c>
      <c r="M825" s="16" t="s">
        <v>5794</v>
      </c>
      <c r="N825" s="16" t="s">
        <v>5429</v>
      </c>
      <c r="O825" s="21">
        <v>-9.3898</v>
      </c>
      <c r="P825" s="21">
        <v>-0.4502</v>
      </c>
      <c r="Q825" s="21">
        <v>24.2671</v>
      </c>
      <c r="R825" s="21">
        <v>0.622</v>
      </c>
      <c r="S825" s="21">
        <v>0.8013</v>
      </c>
      <c r="T825" s="22">
        <f>IFERROR(__xludf.DUMMYFUNCTION("IFERROR(GOOGLEFINANCE(B825,""price""),"""")"),7.14)</f>
        <v>7.14</v>
      </c>
    </row>
    <row r="826">
      <c r="A826" s="7">
        <v>46072.86759037248</v>
      </c>
      <c r="B826" s="8" t="s">
        <v>5517</v>
      </c>
      <c r="C826" s="8" t="s">
        <v>5518</v>
      </c>
      <c r="D826" s="9">
        <v>46075.0</v>
      </c>
      <c r="E826" s="10">
        <v>8.6</v>
      </c>
      <c r="F826" s="26">
        <v>1.3418</v>
      </c>
      <c r="G826" s="12">
        <v>1.245502E7</v>
      </c>
      <c r="H826" s="8" t="s">
        <v>308</v>
      </c>
      <c r="I826" s="11">
        <v>2.381</v>
      </c>
      <c r="J826" s="12">
        <v>1.420296707E9</v>
      </c>
      <c r="K826" s="23"/>
      <c r="L826" s="13">
        <v>-3.1791</v>
      </c>
      <c r="M826" s="8" t="s">
        <v>5519</v>
      </c>
      <c r="N826" s="8" t="s">
        <v>5520</v>
      </c>
      <c r="O826" s="13">
        <v>-50.0822</v>
      </c>
      <c r="P826" s="13">
        <v>-46.1858</v>
      </c>
      <c r="Q826" s="13">
        <v>-0.6305</v>
      </c>
      <c r="R826" s="13">
        <v>0.3596</v>
      </c>
      <c r="S826" s="13">
        <v>1.4082</v>
      </c>
      <c r="T826" s="14">
        <f>IFERROR(__xludf.DUMMYFUNCTION("IFERROR(GOOGLEFINANCE(B826,""price""),"""")"),9.29)</f>
        <v>9.29</v>
      </c>
    </row>
    <row r="827">
      <c r="A827" s="15">
        <v>46072.86759037248</v>
      </c>
      <c r="B827" s="16" t="s">
        <v>4884</v>
      </c>
      <c r="C827" s="16" t="s">
        <v>4885</v>
      </c>
      <c r="D827" s="17">
        <v>46075.0</v>
      </c>
      <c r="E827" s="18">
        <v>17.98</v>
      </c>
      <c r="F827" s="27">
        <v>1.3249</v>
      </c>
      <c r="G827" s="20">
        <v>1.3207354E7</v>
      </c>
      <c r="H827" s="16" t="s">
        <v>88</v>
      </c>
      <c r="I827" s="19">
        <v>4.1112</v>
      </c>
      <c r="J827" s="20">
        <v>5.574902498E9</v>
      </c>
      <c r="K827" s="21">
        <v>129.0739</v>
      </c>
      <c r="L827" s="21">
        <v>0.1393</v>
      </c>
      <c r="M827" s="16" t="s">
        <v>4886</v>
      </c>
      <c r="N827" s="16" t="s">
        <v>5471</v>
      </c>
      <c r="O827" s="24"/>
      <c r="P827" s="21">
        <v>-56.2854</v>
      </c>
      <c r="Q827" s="21">
        <v>-40.0761</v>
      </c>
      <c r="R827" s="24"/>
      <c r="S827" s="21">
        <v>1.584</v>
      </c>
      <c r="T827" s="22">
        <f>IFERROR(__xludf.DUMMYFUNCTION("IFERROR(GOOGLEFINANCE(B827,""price""),"""")"),18.32)</f>
        <v>18.32</v>
      </c>
    </row>
    <row r="828">
      <c r="A828" s="7">
        <v>46072.86759037248</v>
      </c>
      <c r="B828" s="8" t="s">
        <v>5434</v>
      </c>
      <c r="C828" s="8" t="s">
        <v>5435</v>
      </c>
      <c r="D828" s="9">
        <v>46075.0</v>
      </c>
      <c r="E828" s="10">
        <v>11.39</v>
      </c>
      <c r="F828" s="26">
        <v>1.3145</v>
      </c>
      <c r="G828" s="12">
        <v>1.0237475E8</v>
      </c>
      <c r="H828" s="8" t="s">
        <v>308</v>
      </c>
      <c r="I828" s="11">
        <v>2.8907</v>
      </c>
      <c r="J828" s="12">
        <v>5.120527162E9</v>
      </c>
      <c r="K828" s="23"/>
      <c r="L828" s="13">
        <v>-0.4034</v>
      </c>
      <c r="M828" s="8" t="s">
        <v>5436</v>
      </c>
      <c r="N828" s="8" t="s">
        <v>5437</v>
      </c>
      <c r="O828" s="13">
        <v>-17.0422</v>
      </c>
      <c r="P828" s="13">
        <v>-176.0921</v>
      </c>
      <c r="Q828" s="13">
        <v>208.4002</v>
      </c>
      <c r="R828" s="13">
        <v>0.037</v>
      </c>
      <c r="S828" s="13">
        <v>15.2957</v>
      </c>
      <c r="T828" s="14">
        <f>IFERROR(__xludf.DUMMYFUNCTION("IFERROR(GOOGLEFINANCE(B828,""price""),"""")"),9.13)</f>
        <v>9.13</v>
      </c>
    </row>
    <row r="829">
      <c r="A829" s="15">
        <v>46072.86759037248</v>
      </c>
      <c r="B829" s="16" t="s">
        <v>5574</v>
      </c>
      <c r="C829" s="16" t="s">
        <v>5575</v>
      </c>
      <c r="D829" s="17">
        <v>46075.0</v>
      </c>
      <c r="E829" s="18">
        <v>21.97</v>
      </c>
      <c r="F829" s="27">
        <v>1.2949</v>
      </c>
      <c r="G829" s="20">
        <v>9987502.0</v>
      </c>
      <c r="H829" s="16" t="s">
        <v>335</v>
      </c>
      <c r="I829" s="19">
        <v>2.9522</v>
      </c>
      <c r="J829" s="20">
        <v>5.21319012E9</v>
      </c>
      <c r="K829" s="24"/>
      <c r="L829" s="21">
        <v>-0.4849</v>
      </c>
      <c r="M829" s="16" t="s">
        <v>5576</v>
      </c>
      <c r="N829" s="16" t="s">
        <v>5506</v>
      </c>
      <c r="O829" s="21">
        <v>-18.1731</v>
      </c>
      <c r="P829" s="21">
        <v>-129.5586</v>
      </c>
      <c r="Q829" s="21">
        <v>103.694</v>
      </c>
      <c r="R829" s="21">
        <v>0.0</v>
      </c>
      <c r="S829" s="21">
        <v>11.4962</v>
      </c>
      <c r="T829" s="22">
        <f>IFERROR(__xludf.DUMMYFUNCTION("IFERROR(GOOGLEFINANCE(B829,""price""),"""")"),18.4)</f>
        <v>18.4</v>
      </c>
    </row>
    <row r="830">
      <c r="A830" s="7">
        <v>46072.86759037248</v>
      </c>
      <c r="B830" s="8" t="s">
        <v>5934</v>
      </c>
      <c r="C830" s="8" t="s">
        <v>5935</v>
      </c>
      <c r="D830" s="9">
        <v>46075.0</v>
      </c>
      <c r="E830" s="10">
        <v>37.65</v>
      </c>
      <c r="F830" s="26">
        <v>1.2891</v>
      </c>
      <c r="G830" s="12">
        <v>1.1259561E7</v>
      </c>
      <c r="H830" s="8" t="s">
        <v>137</v>
      </c>
      <c r="I830" s="11">
        <v>-0.2649</v>
      </c>
      <c r="J830" s="12">
        <v>3.6445866412E10</v>
      </c>
      <c r="K830" s="13">
        <v>23.0925</v>
      </c>
      <c r="L830" s="13">
        <v>1.6304</v>
      </c>
      <c r="M830" s="8" t="s">
        <v>5936</v>
      </c>
      <c r="N830" s="8" t="s">
        <v>5937</v>
      </c>
      <c r="O830" s="13">
        <v>18.2217</v>
      </c>
      <c r="P830" s="13">
        <v>36.9706</v>
      </c>
      <c r="Q830" s="13">
        <v>6.6905</v>
      </c>
      <c r="R830" s="13">
        <v>0.0104</v>
      </c>
      <c r="S830" s="13">
        <v>7.788</v>
      </c>
      <c r="T830" s="14">
        <f>IFERROR(__xludf.DUMMYFUNCTION("IFERROR(GOOGLEFINANCE(B830,""price""),"""")"),32.76)</f>
        <v>32.76</v>
      </c>
    </row>
    <row r="831">
      <c r="A831" s="15">
        <v>46072.86759037248</v>
      </c>
      <c r="B831" s="16" t="s">
        <v>5594</v>
      </c>
      <c r="C831" s="16" t="s">
        <v>5595</v>
      </c>
      <c r="D831" s="17">
        <v>46075.0</v>
      </c>
      <c r="E831" s="18">
        <v>15.47</v>
      </c>
      <c r="F831" s="27">
        <v>1.2598</v>
      </c>
      <c r="G831" s="20">
        <v>2.3465873E7</v>
      </c>
      <c r="H831" s="16" t="s">
        <v>88</v>
      </c>
      <c r="I831" s="19">
        <v>0.5852</v>
      </c>
      <c r="J831" s="20">
        <v>6.477008806E9</v>
      </c>
      <c r="K831" s="24"/>
      <c r="L831" s="21">
        <v>-1.4167</v>
      </c>
      <c r="M831" s="16" t="s">
        <v>5596</v>
      </c>
      <c r="N831" s="16" t="s">
        <v>5471</v>
      </c>
      <c r="O831" s="21">
        <v>-181.9547</v>
      </c>
      <c r="P831" s="21">
        <v>-69.885</v>
      </c>
      <c r="Q831" s="21">
        <v>30.5825</v>
      </c>
      <c r="R831" s="21">
        <v>4.3877</v>
      </c>
      <c r="S831" s="21">
        <v>1.0329</v>
      </c>
      <c r="T831" s="22">
        <f>IFERROR(__xludf.DUMMYFUNCTION("IFERROR(GOOGLEFINANCE(B831,""price""),"""")"),18.88)</f>
        <v>18.88</v>
      </c>
    </row>
    <row r="832">
      <c r="A832" s="7">
        <v>46072.86759037248</v>
      </c>
      <c r="B832" s="8" t="s">
        <v>2704</v>
      </c>
      <c r="C832" s="8" t="s">
        <v>2705</v>
      </c>
      <c r="D832" s="9">
        <v>46075.0</v>
      </c>
      <c r="E832" s="10">
        <v>31.53</v>
      </c>
      <c r="F832" s="26">
        <v>1.2256</v>
      </c>
      <c r="G832" s="12">
        <v>1.5011667E7</v>
      </c>
      <c r="H832" s="8" t="s">
        <v>88</v>
      </c>
      <c r="I832" s="11">
        <v>-1.1908</v>
      </c>
      <c r="J832" s="12">
        <v>8.815340719E9</v>
      </c>
      <c r="K832" s="23"/>
      <c r="L832" s="13">
        <v>-0.5438</v>
      </c>
      <c r="M832" s="8" t="s">
        <v>2707</v>
      </c>
      <c r="N832" s="8" t="s">
        <v>5471</v>
      </c>
      <c r="O832" s="13">
        <v>-11.4029</v>
      </c>
      <c r="P832" s="13">
        <v>-26.4624</v>
      </c>
      <c r="Q832" s="13">
        <v>33.135</v>
      </c>
      <c r="R832" s="13">
        <v>1.6778</v>
      </c>
      <c r="S832" s="13">
        <v>4.8227</v>
      </c>
      <c r="T832" s="14">
        <f>IFERROR(__xludf.DUMMYFUNCTION("IFERROR(GOOGLEFINANCE(B832,""price""),"""")"),26.24)</f>
        <v>26.24</v>
      </c>
    </row>
    <row r="833">
      <c r="A833" s="15">
        <v>46072.86759037248</v>
      </c>
      <c r="B833" s="16" t="s">
        <v>5561</v>
      </c>
      <c r="C833" s="16" t="s">
        <v>5562</v>
      </c>
      <c r="D833" s="17">
        <v>46075.0</v>
      </c>
      <c r="E833" s="18">
        <v>14.64</v>
      </c>
      <c r="F833" s="27">
        <v>1.2201</v>
      </c>
      <c r="G833" s="20">
        <v>1.9682615E7</v>
      </c>
      <c r="H833" s="16" t="s">
        <v>102</v>
      </c>
      <c r="I833" s="19">
        <v>3.0986</v>
      </c>
      <c r="J833" s="20">
        <v>4.431887709E9</v>
      </c>
      <c r="K833" s="24"/>
      <c r="L833" s="21">
        <v>-2.8582</v>
      </c>
      <c r="M833" s="16" t="s">
        <v>5563</v>
      </c>
      <c r="N833" s="16" t="s">
        <v>5536</v>
      </c>
      <c r="O833" s="21">
        <v>-76.8505</v>
      </c>
      <c r="P833" s="21">
        <v>-983.9643</v>
      </c>
      <c r="Q833" s="21">
        <v>765.6686</v>
      </c>
      <c r="R833" s="21">
        <v>0.0</v>
      </c>
      <c r="S833" s="21">
        <v>1.6153</v>
      </c>
      <c r="T833" s="22">
        <f>IFERROR(__xludf.DUMMYFUNCTION("IFERROR(GOOGLEFINANCE(B833,""price""),"""")"),9.21)</f>
        <v>9.21</v>
      </c>
    </row>
    <row r="834">
      <c r="A834" s="7">
        <v>46072.86759037248</v>
      </c>
      <c r="B834" s="8" t="s">
        <v>5544</v>
      </c>
      <c r="C834" s="8" t="s">
        <v>5545</v>
      </c>
      <c r="D834" s="9">
        <v>46075.0</v>
      </c>
      <c r="E834" s="10">
        <v>15.8</v>
      </c>
      <c r="F834" s="26">
        <v>1.1882</v>
      </c>
      <c r="G834" s="12">
        <v>2.1475972E7</v>
      </c>
      <c r="H834" s="8" t="s">
        <v>88</v>
      </c>
      <c r="I834" s="11">
        <v>2.4643</v>
      </c>
      <c r="J834" s="12">
        <v>6.242454761E9</v>
      </c>
      <c r="K834" s="23"/>
      <c r="L834" s="13">
        <v>-0.1905</v>
      </c>
      <c r="M834" s="8" t="s">
        <v>5546</v>
      </c>
      <c r="N834" s="8" t="s">
        <v>5471</v>
      </c>
      <c r="O834" s="13">
        <v>-9.6935</v>
      </c>
      <c r="P834" s="13">
        <v>-72.0529</v>
      </c>
      <c r="Q834" s="13">
        <v>35.4099</v>
      </c>
      <c r="R834" s="13">
        <v>1.333</v>
      </c>
      <c r="S834" s="13">
        <v>2.4892</v>
      </c>
      <c r="T834" s="14">
        <f>IFERROR(__xludf.DUMMYFUNCTION("IFERROR(GOOGLEFINANCE(B834,""price""),"""")"),16.53)</f>
        <v>16.53</v>
      </c>
    </row>
    <row r="835">
      <c r="A835" s="15">
        <v>46072.86759037248</v>
      </c>
      <c r="B835" s="16" t="s">
        <v>5957</v>
      </c>
      <c r="C835" s="16" t="s">
        <v>5958</v>
      </c>
      <c r="D835" s="17">
        <v>46075.0</v>
      </c>
      <c r="E835" s="18">
        <v>34.24</v>
      </c>
      <c r="F835" s="27">
        <v>1.1797</v>
      </c>
      <c r="G835" s="20">
        <v>1.1764635E7</v>
      </c>
      <c r="H835" s="16" t="s">
        <v>117</v>
      </c>
      <c r="I835" s="19">
        <v>-14.0131</v>
      </c>
      <c r="J835" s="20">
        <v>3.601644528E9</v>
      </c>
      <c r="K835" s="21">
        <v>39.1225</v>
      </c>
      <c r="L835" s="21">
        <v>0.8752</v>
      </c>
      <c r="M835" s="16" t="s">
        <v>5959</v>
      </c>
      <c r="N835" s="16" t="s">
        <v>5491</v>
      </c>
      <c r="O835" s="21">
        <v>16.4703</v>
      </c>
      <c r="P835" s="21">
        <v>8.8471</v>
      </c>
      <c r="Q835" s="21">
        <v>17.9168</v>
      </c>
      <c r="R835" s="21">
        <v>0.0101</v>
      </c>
      <c r="S835" s="21">
        <v>3.1413</v>
      </c>
      <c r="T835" s="22">
        <f>IFERROR(__xludf.DUMMYFUNCTION("IFERROR(GOOGLEFINANCE(B835,""price""),"""")"),41.91)</f>
        <v>41.91</v>
      </c>
    </row>
    <row r="836">
      <c r="A836" s="7">
        <v>46072.86759037248</v>
      </c>
      <c r="B836" s="8" t="s">
        <v>5458</v>
      </c>
      <c r="C836" s="8" t="s">
        <v>5459</v>
      </c>
      <c r="D836" s="9">
        <v>46075.0</v>
      </c>
      <c r="E836" s="10">
        <v>4.19</v>
      </c>
      <c r="F836" s="26">
        <v>1.1719</v>
      </c>
      <c r="G836" s="12">
        <v>3.6351265E7</v>
      </c>
      <c r="H836" s="8" t="s">
        <v>88</v>
      </c>
      <c r="I836" s="11">
        <v>2.445</v>
      </c>
      <c r="J836" s="12">
        <v>1.829149631E9</v>
      </c>
      <c r="K836" s="23"/>
      <c r="L836" s="13">
        <v>-1.4208</v>
      </c>
      <c r="M836" s="8" t="s">
        <v>5460</v>
      </c>
      <c r="N836" s="8" t="s">
        <v>5429</v>
      </c>
      <c r="O836" s="13">
        <v>-111.8268</v>
      </c>
      <c r="P836" s="13">
        <v>-46.2208</v>
      </c>
      <c r="Q836" s="13">
        <v>-6.9516</v>
      </c>
      <c r="R836" s="13">
        <v>0.1851</v>
      </c>
      <c r="S836" s="13">
        <v>3.1313</v>
      </c>
      <c r="T836" s="14">
        <f>IFERROR(__xludf.DUMMYFUNCTION("IFERROR(GOOGLEFINANCE(B836,""price""),"""")"),3.32)</f>
        <v>3.32</v>
      </c>
    </row>
    <row r="837">
      <c r="A837" s="15">
        <v>46072.86759037248</v>
      </c>
      <c r="B837" s="16" t="s">
        <v>5944</v>
      </c>
      <c r="C837" s="16" t="s">
        <v>5945</v>
      </c>
      <c r="D837" s="17">
        <v>46075.0</v>
      </c>
      <c r="E837" s="18">
        <v>18.14</v>
      </c>
      <c r="F837" s="27">
        <v>1.168</v>
      </c>
      <c r="G837" s="20">
        <v>1.2092975E7</v>
      </c>
      <c r="H837" s="16" t="s">
        <v>93</v>
      </c>
      <c r="I837" s="19">
        <v>-0.0551</v>
      </c>
      <c r="J837" s="20">
        <v>6.496597727E9</v>
      </c>
      <c r="K837" s="21">
        <v>11.5851</v>
      </c>
      <c r="L837" s="21">
        <v>1.5658</v>
      </c>
      <c r="M837" s="16" t="s">
        <v>5946</v>
      </c>
      <c r="N837" s="16" t="s">
        <v>5947</v>
      </c>
      <c r="O837" s="21">
        <v>8.6623</v>
      </c>
      <c r="P837" s="21">
        <v>24.8531</v>
      </c>
      <c r="Q837" s="21">
        <v>4.5405</v>
      </c>
      <c r="R837" s="21">
        <v>0.5797</v>
      </c>
      <c r="S837" s="21">
        <v>0.0825</v>
      </c>
      <c r="T837" s="22">
        <f>IFERROR(__xludf.DUMMYFUNCTION("IFERROR(GOOGLEFINANCE(B837,""price""),"""")"),17.69)</f>
        <v>17.69</v>
      </c>
    </row>
    <row r="838">
      <c r="A838" s="7">
        <v>46072.86759037248</v>
      </c>
      <c r="B838" s="8" t="s">
        <v>5649</v>
      </c>
      <c r="C838" s="8" t="s">
        <v>5650</v>
      </c>
      <c r="D838" s="9">
        <v>46075.0</v>
      </c>
      <c r="E838" s="10">
        <v>25.11</v>
      </c>
      <c r="F838" s="26">
        <v>1.166</v>
      </c>
      <c r="G838" s="12">
        <v>1.0857995E7</v>
      </c>
      <c r="H838" s="8" t="s">
        <v>88</v>
      </c>
      <c r="I838" s="11">
        <v>5.7709</v>
      </c>
      <c r="J838" s="12">
        <v>8.37139773E9</v>
      </c>
      <c r="K838" s="23"/>
      <c r="L838" s="13">
        <v>-0.4263</v>
      </c>
      <c r="M838" s="8" t="s">
        <v>5651</v>
      </c>
      <c r="N838" s="8" t="s">
        <v>5429</v>
      </c>
      <c r="O838" s="13">
        <v>-31.8263</v>
      </c>
      <c r="P838" s="13">
        <v>-26.3989</v>
      </c>
      <c r="Q838" s="13">
        <v>16.8876</v>
      </c>
      <c r="R838" s="13">
        <v>1.3198</v>
      </c>
      <c r="S838" s="13">
        <v>3.9903</v>
      </c>
      <c r="T838" s="14">
        <f>IFERROR(__xludf.DUMMYFUNCTION("IFERROR(GOOGLEFINANCE(B838,""price""),"""")"),34.67)</f>
        <v>34.67</v>
      </c>
    </row>
    <row r="839">
      <c r="A839" s="15">
        <v>46072.86759037248</v>
      </c>
      <c r="B839" s="16" t="s">
        <v>5951</v>
      </c>
      <c r="C839" s="16" t="s">
        <v>5952</v>
      </c>
      <c r="D839" s="17">
        <v>46075.0</v>
      </c>
      <c r="E839" s="18">
        <v>9.44</v>
      </c>
      <c r="F839" s="27">
        <v>1.1484</v>
      </c>
      <c r="G839" s="20">
        <v>1.8047983E7</v>
      </c>
      <c r="H839" s="16" t="s">
        <v>93</v>
      </c>
      <c r="I839" s="19">
        <v>-2.1762</v>
      </c>
      <c r="J839" s="20">
        <v>3.000455829E9</v>
      </c>
      <c r="K839" s="21">
        <v>4.1006</v>
      </c>
      <c r="L839" s="21">
        <v>2.3021</v>
      </c>
      <c r="M839" s="16" t="s">
        <v>5953</v>
      </c>
      <c r="N839" s="16" t="s">
        <v>5464</v>
      </c>
      <c r="O839" s="21">
        <v>97.6998</v>
      </c>
      <c r="P839" s="21">
        <v>18.3342</v>
      </c>
      <c r="Q839" s="21">
        <v>-2.5135</v>
      </c>
      <c r="R839" s="21">
        <v>2.8012</v>
      </c>
      <c r="S839" s="21">
        <v>0.2436</v>
      </c>
      <c r="T839" s="22">
        <f>IFERROR(__xludf.DUMMYFUNCTION("IFERROR(GOOGLEFINANCE(B839,""price""),"""")"),8.88)</f>
        <v>8.88</v>
      </c>
    </row>
    <row r="840">
      <c r="A840" s="7">
        <v>46072.86759037248</v>
      </c>
      <c r="B840" s="8" t="s">
        <v>2300</v>
      </c>
      <c r="C840" s="8" t="s">
        <v>2301</v>
      </c>
      <c r="D840" s="9">
        <v>46075.0</v>
      </c>
      <c r="E840" s="10">
        <v>23.33</v>
      </c>
      <c r="F840" s="26">
        <v>1.1339</v>
      </c>
      <c r="G840" s="12">
        <v>1.2577824E7</v>
      </c>
      <c r="H840" s="8" t="s">
        <v>88</v>
      </c>
      <c r="I840" s="11">
        <v>0.8647</v>
      </c>
      <c r="J840" s="12">
        <v>6.838927413E9</v>
      </c>
      <c r="K840" s="23"/>
      <c r="L840" s="13">
        <v>-0.1371</v>
      </c>
      <c r="M840" s="8" t="s">
        <v>2302</v>
      </c>
      <c r="N840" s="8" t="s">
        <v>5429</v>
      </c>
      <c r="O840" s="13">
        <v>-2.5819</v>
      </c>
      <c r="P840" s="13">
        <v>3.8401</v>
      </c>
      <c r="Q840" s="13">
        <v>61.8776</v>
      </c>
      <c r="R840" s="13">
        <v>0.4255</v>
      </c>
      <c r="S840" s="13">
        <v>1.8035</v>
      </c>
      <c r="T840" s="14">
        <f>IFERROR(__xludf.DUMMYFUNCTION("IFERROR(GOOGLEFINANCE(B840,""price""),"""")"),24.0)</f>
        <v>24</v>
      </c>
    </row>
    <row r="841">
      <c r="A841" s="15">
        <v>46072.86759037248</v>
      </c>
      <c r="B841" s="16" t="s">
        <v>5858</v>
      </c>
      <c r="C841" s="16" t="s">
        <v>5859</v>
      </c>
      <c r="D841" s="17">
        <v>46075.0</v>
      </c>
      <c r="E841" s="18">
        <v>18.07</v>
      </c>
      <c r="F841" s="27">
        <v>1.125</v>
      </c>
      <c r="G841" s="20">
        <v>2.844106E7</v>
      </c>
      <c r="H841" s="16" t="s">
        <v>88</v>
      </c>
      <c r="I841" s="19">
        <v>-4.0361</v>
      </c>
      <c r="J841" s="20">
        <v>2.699657879E9</v>
      </c>
      <c r="K841" s="24"/>
      <c r="L841" s="21">
        <v>-0.8329</v>
      </c>
      <c r="M841" s="16" t="s">
        <v>5860</v>
      </c>
      <c r="N841" s="16" t="s">
        <v>5664</v>
      </c>
      <c r="O841" s="21">
        <v>-12.8431</v>
      </c>
      <c r="P841" s="21">
        <v>-18.968</v>
      </c>
      <c r="Q841" s="21">
        <v>14.7776</v>
      </c>
      <c r="R841" s="21">
        <v>0.4628</v>
      </c>
      <c r="S841" s="21">
        <v>2.6119</v>
      </c>
      <c r="T841" s="22">
        <f>IFERROR(__xludf.DUMMYFUNCTION("IFERROR(GOOGLEFINANCE(B841,""price""),"""")"),23.07)</f>
        <v>23.07</v>
      </c>
    </row>
    <row r="842">
      <c r="A842" s="7">
        <v>46072.869670855325</v>
      </c>
      <c r="B842" s="8" t="s">
        <v>5754</v>
      </c>
      <c r="C842" s="8" t="s">
        <v>5755</v>
      </c>
      <c r="D842" s="9">
        <v>46075.0</v>
      </c>
      <c r="E842" s="10">
        <v>4.65</v>
      </c>
      <c r="F842" s="26">
        <v>4.0938</v>
      </c>
      <c r="G842" s="12">
        <v>7.5317415E7</v>
      </c>
      <c r="H842" s="8" t="s">
        <v>93</v>
      </c>
      <c r="I842" s="11">
        <v>0.432</v>
      </c>
      <c r="J842" s="12">
        <v>4.435114993E9</v>
      </c>
      <c r="K842" s="23"/>
      <c r="L842" s="13">
        <v>-0.4363</v>
      </c>
      <c r="M842" s="8" t="s">
        <v>5756</v>
      </c>
      <c r="N842" s="8" t="s">
        <v>5757</v>
      </c>
      <c r="O842" s="13">
        <v>-39.33</v>
      </c>
      <c r="P842" s="13">
        <v>-4.1534</v>
      </c>
      <c r="Q842" s="13">
        <v>-4.4543</v>
      </c>
      <c r="R842" s="13">
        <v>2.2035</v>
      </c>
      <c r="S842" s="13">
        <v>2.8304</v>
      </c>
      <c r="T842" s="14">
        <f>IFERROR(__xludf.DUMMYFUNCTION("IFERROR(GOOGLEFINANCE(B842,""price""),"""")"),4.32)</f>
        <v>4.32</v>
      </c>
    </row>
    <row r="843">
      <c r="A843" s="15">
        <v>46072.869670855325</v>
      </c>
      <c r="B843" s="16" t="s">
        <v>5655</v>
      </c>
      <c r="C843" s="16" t="s">
        <v>5656</v>
      </c>
      <c r="D843" s="17">
        <v>46075.0</v>
      </c>
      <c r="E843" s="18">
        <v>5.13</v>
      </c>
      <c r="F843" s="27">
        <v>3.1563</v>
      </c>
      <c r="G843" s="20">
        <v>9884674.0</v>
      </c>
      <c r="H843" s="16" t="s">
        <v>88</v>
      </c>
      <c r="I843" s="19">
        <v>0.1953</v>
      </c>
      <c r="J843" s="20">
        <v>3.287188953E9</v>
      </c>
      <c r="K843" s="24"/>
      <c r="L843" s="21">
        <v>-0.0054</v>
      </c>
      <c r="M843" s="16" t="s">
        <v>5657</v>
      </c>
      <c r="N843" s="16" t="s">
        <v>5429</v>
      </c>
      <c r="O843" s="21">
        <v>-0.1405</v>
      </c>
      <c r="P843" s="21">
        <v>7.955</v>
      </c>
      <c r="Q843" s="21">
        <v>10.644</v>
      </c>
      <c r="R843" s="21">
        <v>0.5124</v>
      </c>
      <c r="S843" s="21">
        <v>1.4114</v>
      </c>
      <c r="T843" s="22">
        <f>IFERROR(__xludf.DUMMYFUNCTION("IFERROR(GOOGLEFINANCE(B843,""price""),"""")"),4.99)</f>
        <v>4.99</v>
      </c>
    </row>
    <row r="844">
      <c r="A844" s="7">
        <v>46072.869670855325</v>
      </c>
      <c r="B844" s="8" t="s">
        <v>5514</v>
      </c>
      <c r="C844" s="8" t="s">
        <v>5515</v>
      </c>
      <c r="D844" s="9">
        <v>46075.0</v>
      </c>
      <c r="E844" s="10">
        <v>8.61</v>
      </c>
      <c r="F844" s="26">
        <v>2.0742</v>
      </c>
      <c r="G844" s="12">
        <v>5.5341947E7</v>
      </c>
      <c r="H844" s="8" t="s">
        <v>117</v>
      </c>
      <c r="I844" s="11">
        <v>0.8197</v>
      </c>
      <c r="J844" s="12">
        <v>8.480550419E9</v>
      </c>
      <c r="K844" s="23"/>
      <c r="L844" s="13">
        <v>-0.4205</v>
      </c>
      <c r="M844" s="8" t="s">
        <v>5516</v>
      </c>
      <c r="N844" s="8" t="s">
        <v>5491</v>
      </c>
      <c r="O844" s="23"/>
      <c r="P844" s="13">
        <v>-315.8428</v>
      </c>
      <c r="Q844" s="13">
        <v>1025.9547</v>
      </c>
      <c r="R844" s="23"/>
      <c r="S844" s="13">
        <v>5.7671</v>
      </c>
      <c r="T844" s="14">
        <f>IFERROR(__xludf.DUMMYFUNCTION("IFERROR(GOOGLEFINANCE(B844,""price""),"""")"),7.28)</f>
        <v>7.28</v>
      </c>
    </row>
    <row r="845">
      <c r="A845" s="15">
        <v>46072.869670855325</v>
      </c>
      <c r="B845" s="16" t="s">
        <v>5778</v>
      </c>
      <c r="C845" s="16" t="s">
        <v>5779</v>
      </c>
      <c r="D845" s="17">
        <v>46075.0</v>
      </c>
      <c r="E845" s="18">
        <v>1.92</v>
      </c>
      <c r="F845" s="27">
        <v>1.9688</v>
      </c>
      <c r="G845" s="20">
        <v>2.5145361E7</v>
      </c>
      <c r="H845" s="16" t="s">
        <v>117</v>
      </c>
      <c r="I845" s="19">
        <v>-1.0309</v>
      </c>
      <c r="J845" s="20">
        <v>1.225642067E9</v>
      </c>
      <c r="K845" s="24"/>
      <c r="L845" s="21">
        <v>-0.1202</v>
      </c>
      <c r="M845" s="16" t="s">
        <v>5780</v>
      </c>
      <c r="N845" s="16" t="s">
        <v>5502</v>
      </c>
      <c r="O845" s="21">
        <v>-29.5717</v>
      </c>
      <c r="P845" s="21">
        <v>-34.4016</v>
      </c>
      <c r="Q845" s="21">
        <v>522.1303</v>
      </c>
      <c r="R845" s="21">
        <v>1.0102</v>
      </c>
      <c r="S845" s="21">
        <v>5.9552</v>
      </c>
      <c r="T845" s="22">
        <f>IFERROR(__xludf.DUMMYFUNCTION("IFERROR(GOOGLEFINANCE(B845,""price""),"""")"),1.67)</f>
        <v>1.67</v>
      </c>
    </row>
    <row r="846">
      <c r="A846" s="7">
        <v>46072.869670855325</v>
      </c>
      <c r="B846" s="8" t="s">
        <v>2107</v>
      </c>
      <c r="C846" s="8" t="s">
        <v>2108</v>
      </c>
      <c r="D846" s="9">
        <v>46075.0</v>
      </c>
      <c r="E846" s="10">
        <v>6.95</v>
      </c>
      <c r="F846" s="26">
        <v>1.8008</v>
      </c>
      <c r="G846" s="12">
        <v>1.3423438E7</v>
      </c>
      <c r="H846" s="8" t="s">
        <v>107</v>
      </c>
      <c r="I846" s="11">
        <v>-10.3226</v>
      </c>
      <c r="J846" s="12">
        <v>1.101938641E9</v>
      </c>
      <c r="K846" s="23"/>
      <c r="L846" s="13">
        <v>-2.9655</v>
      </c>
      <c r="M846" s="8" t="s">
        <v>2109</v>
      </c>
      <c r="N846" s="8" t="s">
        <v>5613</v>
      </c>
      <c r="O846" s="13">
        <v>-29.569</v>
      </c>
      <c r="P846" s="13">
        <v>-3.7612</v>
      </c>
      <c r="Q846" s="13">
        <v>-5.6948</v>
      </c>
      <c r="R846" s="13">
        <v>2.4274</v>
      </c>
      <c r="S846" s="13">
        <v>2.4646</v>
      </c>
      <c r="T846" s="14">
        <f>IFERROR(__xludf.DUMMYFUNCTION("IFERROR(GOOGLEFINANCE(B846,""price""),"""")"),9.08)</f>
        <v>9.08</v>
      </c>
    </row>
    <row r="847">
      <c r="A847" s="15">
        <v>46072.869670855325</v>
      </c>
      <c r="B847" s="16" t="s">
        <v>4936</v>
      </c>
      <c r="C847" s="16" t="s">
        <v>4937</v>
      </c>
      <c r="D847" s="17">
        <v>46075.0</v>
      </c>
      <c r="E847" s="18">
        <v>21.48</v>
      </c>
      <c r="F847" s="27">
        <v>1.7651</v>
      </c>
      <c r="G847" s="20">
        <v>1.0535485E7</v>
      </c>
      <c r="H847" s="16" t="s">
        <v>93</v>
      </c>
      <c r="I847" s="19">
        <v>6.5476</v>
      </c>
      <c r="J847" s="20">
        <v>1.1318717571E10</v>
      </c>
      <c r="K847" s="24"/>
      <c r="L847" s="24"/>
      <c r="M847" s="16" t="s">
        <v>4938</v>
      </c>
      <c r="N847" s="16" t="s">
        <v>5708</v>
      </c>
      <c r="O847" s="21">
        <v>24.5666</v>
      </c>
      <c r="P847" s="21">
        <v>32.3937</v>
      </c>
      <c r="Q847" s="21">
        <v>3.1882</v>
      </c>
      <c r="R847" s="21">
        <v>3.6244</v>
      </c>
      <c r="S847" s="21">
        <v>0.2582</v>
      </c>
      <c r="T847" s="22">
        <f>IFERROR(__xludf.DUMMYFUNCTION("IFERROR(GOOGLEFINANCE(B847,""price""),"""")"),19.99)</f>
        <v>19.99</v>
      </c>
    </row>
    <row r="848">
      <c r="A848" s="7">
        <v>46072.869670855325</v>
      </c>
      <c r="B848" s="8" t="s">
        <v>5960</v>
      </c>
      <c r="C848" s="8" t="s">
        <v>5961</v>
      </c>
      <c r="D848" s="9">
        <v>46075.0</v>
      </c>
      <c r="E848" s="10">
        <v>4.83</v>
      </c>
      <c r="F848" s="26">
        <v>1.6875</v>
      </c>
      <c r="G848" s="12">
        <v>1.0015954E7</v>
      </c>
      <c r="H848" s="8" t="s">
        <v>190</v>
      </c>
      <c r="I848" s="11">
        <v>22.9008</v>
      </c>
      <c r="J848" s="12">
        <v>8.00119112E8</v>
      </c>
      <c r="K848" s="13">
        <v>197.9508</v>
      </c>
      <c r="L848" s="13">
        <v>0.0244</v>
      </c>
      <c r="M848" s="8" t="s">
        <v>5962</v>
      </c>
      <c r="N848" s="8" t="s">
        <v>5747</v>
      </c>
      <c r="O848" s="13">
        <v>6.649</v>
      </c>
      <c r="P848" s="13">
        <v>-0.0503</v>
      </c>
      <c r="Q848" s="13">
        <v>18.3694</v>
      </c>
      <c r="R848" s="23"/>
      <c r="S848" s="13">
        <v>6.3843</v>
      </c>
      <c r="T848" s="14">
        <f>IFERROR(__xludf.DUMMYFUNCTION("IFERROR(GOOGLEFINANCE(B848,""price""),"""")"),5.17)</f>
        <v>5.17</v>
      </c>
    </row>
    <row r="849">
      <c r="A849" s="15">
        <v>46072.869670855325</v>
      </c>
      <c r="B849" s="16" t="s">
        <v>5930</v>
      </c>
      <c r="C849" s="16" t="s">
        <v>5931</v>
      </c>
      <c r="D849" s="17">
        <v>46075.0</v>
      </c>
      <c r="E849" s="18">
        <v>6.36</v>
      </c>
      <c r="F849" s="27">
        <v>1.6641</v>
      </c>
      <c r="G849" s="20">
        <v>6.7266485E7</v>
      </c>
      <c r="H849" s="16" t="s">
        <v>270</v>
      </c>
      <c r="I849" s="19">
        <v>2.2508</v>
      </c>
      <c r="J849" s="20">
        <v>7.005166332E9</v>
      </c>
      <c r="K849" s="24"/>
      <c r="L849" s="21">
        <v>-3.2621</v>
      </c>
      <c r="M849" s="16" t="s">
        <v>5932</v>
      </c>
      <c r="N849" s="16" t="s">
        <v>5933</v>
      </c>
      <c r="O849" s="21">
        <v>-32.0459</v>
      </c>
      <c r="P849" s="21">
        <v>15.5137</v>
      </c>
      <c r="Q849" s="21">
        <v>16.9333</v>
      </c>
      <c r="R849" s="21">
        <v>0.7701</v>
      </c>
      <c r="S849" s="21">
        <v>1.0814</v>
      </c>
      <c r="T849" s="22">
        <f>IFERROR(__xludf.DUMMYFUNCTION("IFERROR(GOOGLEFINANCE(B849,""price""),"""")"),6.52)</f>
        <v>6.52</v>
      </c>
    </row>
    <row r="850">
      <c r="A850" s="7">
        <v>46072.869670855325</v>
      </c>
      <c r="B850" s="8" t="s">
        <v>5938</v>
      </c>
      <c r="C850" s="8" t="s">
        <v>5939</v>
      </c>
      <c r="D850" s="9">
        <v>46075.0</v>
      </c>
      <c r="E850" s="10">
        <v>7.94</v>
      </c>
      <c r="F850" s="26">
        <v>1.6172</v>
      </c>
      <c r="G850" s="12">
        <v>4.5842405E7</v>
      </c>
      <c r="H850" s="8" t="s">
        <v>88</v>
      </c>
      <c r="I850" s="11">
        <v>-17.3777</v>
      </c>
      <c r="J850" s="12">
        <v>1.845300627E9</v>
      </c>
      <c r="K850" s="23"/>
      <c r="L850" s="23"/>
      <c r="M850" s="8" t="s">
        <v>5940</v>
      </c>
      <c r="N850" s="8" t="s">
        <v>5471</v>
      </c>
      <c r="O850" s="13">
        <v>11.4635</v>
      </c>
      <c r="P850" s="13">
        <v>-29.6598</v>
      </c>
      <c r="Q850" s="13">
        <v>77.3256</v>
      </c>
      <c r="R850" s="13">
        <v>1.2667</v>
      </c>
      <c r="S850" s="13">
        <v>0.9119</v>
      </c>
      <c r="T850" s="14">
        <f>IFERROR(__xludf.DUMMYFUNCTION("IFERROR(GOOGLEFINANCE(B850,""price""),"""")"),10.75)</f>
        <v>10.75</v>
      </c>
    </row>
    <row r="851">
      <c r="A851" s="15">
        <v>46072.869670855325</v>
      </c>
      <c r="B851" s="16" t="s">
        <v>5527</v>
      </c>
      <c r="C851" s="16" t="s">
        <v>5528</v>
      </c>
      <c r="D851" s="17">
        <v>46075.0</v>
      </c>
      <c r="E851" s="18">
        <v>12.83</v>
      </c>
      <c r="F851" s="27">
        <v>1.4824</v>
      </c>
      <c r="G851" s="20">
        <v>1.2804003E7</v>
      </c>
      <c r="H851" s="16" t="s">
        <v>88</v>
      </c>
      <c r="I851" s="19">
        <v>6.2086</v>
      </c>
      <c r="J851" s="20">
        <v>1.53153171E9</v>
      </c>
      <c r="K851" s="24"/>
      <c r="L851" s="24"/>
      <c r="M851" s="16" t="s">
        <v>5529</v>
      </c>
      <c r="N851" s="16" t="s">
        <v>5429</v>
      </c>
      <c r="O851" s="24"/>
      <c r="P851" s="24"/>
      <c r="Q851" s="24"/>
      <c r="R851" s="21">
        <v>0.0885</v>
      </c>
      <c r="S851" s="21">
        <v>10.416</v>
      </c>
      <c r="T851" s="22">
        <f>IFERROR(__xludf.DUMMYFUNCTION("IFERROR(GOOGLEFINANCE(B851,""price""),"""")"),12.37)</f>
        <v>12.37</v>
      </c>
    </row>
    <row r="852">
      <c r="A852" s="7">
        <v>46072.869670855325</v>
      </c>
      <c r="B852" s="8" t="s">
        <v>5533</v>
      </c>
      <c r="C852" s="8" t="s">
        <v>5534</v>
      </c>
      <c r="D852" s="9">
        <v>46075.0</v>
      </c>
      <c r="E852" s="10">
        <v>6.31</v>
      </c>
      <c r="F852" s="26">
        <v>1.4688</v>
      </c>
      <c r="G852" s="12">
        <v>1.5246978E7</v>
      </c>
      <c r="H852" s="8" t="s">
        <v>102</v>
      </c>
      <c r="I852" s="11">
        <v>-2.322</v>
      </c>
      <c r="J852" s="12">
        <v>1.707314473E9</v>
      </c>
      <c r="K852" s="23"/>
      <c r="L852" s="13">
        <v>-3.7839</v>
      </c>
      <c r="M852" s="8" t="s">
        <v>5535</v>
      </c>
      <c r="N852" s="8" t="s">
        <v>5536</v>
      </c>
      <c r="O852" s="13">
        <v>-55.984</v>
      </c>
      <c r="P852" s="13">
        <v>-31.1477</v>
      </c>
      <c r="Q852" s="23"/>
      <c r="R852" s="13">
        <v>4.5088</v>
      </c>
      <c r="S852" s="13">
        <v>1.1293</v>
      </c>
      <c r="T852" s="14">
        <f>IFERROR(__xludf.DUMMYFUNCTION("IFERROR(GOOGLEFINANCE(B852,""price""),"""")"),4.69)</f>
        <v>4.69</v>
      </c>
    </row>
    <row r="853">
      <c r="A853" s="15">
        <v>46072.869670855325</v>
      </c>
      <c r="B853" s="16" t="s">
        <v>5728</v>
      </c>
      <c r="C853" s="16" t="s">
        <v>5729</v>
      </c>
      <c r="D853" s="17">
        <v>46075.0</v>
      </c>
      <c r="E853" s="18">
        <v>7.03</v>
      </c>
      <c r="F853" s="27">
        <v>1.4531</v>
      </c>
      <c r="G853" s="20">
        <v>9715433.0</v>
      </c>
      <c r="H853" s="16" t="s">
        <v>117</v>
      </c>
      <c r="I853" s="19">
        <v>2.1802</v>
      </c>
      <c r="J853" s="20">
        <v>1.530373293E9</v>
      </c>
      <c r="K853" s="24"/>
      <c r="L853" s="21">
        <v>-1.4385</v>
      </c>
      <c r="M853" s="16" t="s">
        <v>5730</v>
      </c>
      <c r="N853" s="16" t="s">
        <v>5491</v>
      </c>
      <c r="O853" s="21">
        <v>-54.8523</v>
      </c>
      <c r="P853" s="21">
        <v>-519.7513</v>
      </c>
      <c r="Q853" s="21">
        <v>-18.4724</v>
      </c>
      <c r="R853" s="21">
        <v>0.1176</v>
      </c>
      <c r="S853" s="21">
        <v>15.3944</v>
      </c>
      <c r="T853" s="22">
        <f>IFERROR(__xludf.DUMMYFUNCTION("IFERROR(GOOGLEFINANCE(B853,""price""),"""")"),8.79)</f>
        <v>8.79</v>
      </c>
    </row>
    <row r="854">
      <c r="A854" s="7">
        <v>46072.869670855325</v>
      </c>
      <c r="B854" s="8" t="s">
        <v>5175</v>
      </c>
      <c r="C854" s="8" t="s">
        <v>5176</v>
      </c>
      <c r="D854" s="9">
        <v>46075.0</v>
      </c>
      <c r="E854" s="10">
        <v>4.8</v>
      </c>
      <c r="F854" s="26">
        <v>1.3672</v>
      </c>
      <c r="G854" s="12">
        <v>1.2113621E7</v>
      </c>
      <c r="H854" s="8" t="s">
        <v>93</v>
      </c>
      <c r="I854" s="11">
        <v>-0.2079</v>
      </c>
      <c r="J854" s="12">
        <v>7.840035448E9</v>
      </c>
      <c r="K854" s="23"/>
      <c r="L854" s="13">
        <v>-0.009</v>
      </c>
      <c r="M854" s="8" t="s">
        <v>5177</v>
      </c>
      <c r="N854" s="8" t="s">
        <v>5590</v>
      </c>
      <c r="O854" s="13">
        <v>11.3702</v>
      </c>
      <c r="P854" s="13">
        <v>30.822</v>
      </c>
      <c r="Q854" s="13">
        <v>-8.6628</v>
      </c>
      <c r="R854" s="13">
        <v>81.7577</v>
      </c>
      <c r="S854" s="13">
        <v>0.1285</v>
      </c>
      <c r="T854" s="14">
        <f>IFERROR(__xludf.DUMMYFUNCTION("IFERROR(GOOGLEFINANCE(B854,""price""),"""")"),3.69)</f>
        <v>3.69</v>
      </c>
    </row>
    <row r="855">
      <c r="A855" s="15">
        <v>46072.869670855325</v>
      </c>
      <c r="B855" s="16" t="s">
        <v>5792</v>
      </c>
      <c r="C855" s="16" t="s">
        <v>5793</v>
      </c>
      <c r="D855" s="17">
        <v>46075.0</v>
      </c>
      <c r="E855" s="18">
        <v>10.43</v>
      </c>
      <c r="F855" s="27">
        <v>1.3438</v>
      </c>
      <c r="G855" s="20">
        <v>1.0214759E7</v>
      </c>
      <c r="H855" s="16" t="s">
        <v>88</v>
      </c>
      <c r="I855" s="19">
        <v>-0.2868</v>
      </c>
      <c r="J855" s="20">
        <v>7.554402392E9</v>
      </c>
      <c r="K855" s="24"/>
      <c r="L855" s="21">
        <v>-0.1129</v>
      </c>
      <c r="M855" s="16" t="s">
        <v>5794</v>
      </c>
      <c r="N855" s="16" t="s">
        <v>5429</v>
      </c>
      <c r="O855" s="21">
        <v>-9.3898</v>
      </c>
      <c r="P855" s="21">
        <v>-0.4502</v>
      </c>
      <c r="Q855" s="21">
        <v>24.2671</v>
      </c>
      <c r="R855" s="21">
        <v>0.622</v>
      </c>
      <c r="S855" s="21">
        <v>0.8013</v>
      </c>
      <c r="T855" s="22">
        <f>IFERROR(__xludf.DUMMYFUNCTION("IFERROR(GOOGLEFINANCE(B855,""price""),"""")"),7.14)</f>
        <v>7.14</v>
      </c>
    </row>
    <row r="856">
      <c r="A856" s="7">
        <v>46072.869670855325</v>
      </c>
      <c r="B856" s="8" t="s">
        <v>5517</v>
      </c>
      <c r="C856" s="8" t="s">
        <v>5518</v>
      </c>
      <c r="D856" s="9">
        <v>46075.0</v>
      </c>
      <c r="E856" s="10">
        <v>8.6</v>
      </c>
      <c r="F856" s="26">
        <v>1.3418</v>
      </c>
      <c r="G856" s="12">
        <v>1.245502E7</v>
      </c>
      <c r="H856" s="8" t="s">
        <v>308</v>
      </c>
      <c r="I856" s="11">
        <v>2.381</v>
      </c>
      <c r="J856" s="12">
        <v>1.420296707E9</v>
      </c>
      <c r="K856" s="23"/>
      <c r="L856" s="13">
        <v>-3.1791</v>
      </c>
      <c r="M856" s="8" t="s">
        <v>5519</v>
      </c>
      <c r="N856" s="8" t="s">
        <v>5520</v>
      </c>
      <c r="O856" s="13">
        <v>-50.0822</v>
      </c>
      <c r="P856" s="13">
        <v>-46.1858</v>
      </c>
      <c r="Q856" s="13">
        <v>-0.6305</v>
      </c>
      <c r="R856" s="13">
        <v>0.3596</v>
      </c>
      <c r="S856" s="13">
        <v>1.4082</v>
      </c>
      <c r="T856" s="14">
        <f>IFERROR(__xludf.DUMMYFUNCTION("IFERROR(GOOGLEFINANCE(B856,""price""),"""")"),9.29)</f>
        <v>9.29</v>
      </c>
    </row>
    <row r="857">
      <c r="A857" s="15">
        <v>46072.869670855325</v>
      </c>
      <c r="B857" s="16" t="s">
        <v>4884</v>
      </c>
      <c r="C857" s="16" t="s">
        <v>4885</v>
      </c>
      <c r="D857" s="17">
        <v>46075.0</v>
      </c>
      <c r="E857" s="18">
        <v>17.98</v>
      </c>
      <c r="F857" s="27">
        <v>1.3249</v>
      </c>
      <c r="G857" s="20">
        <v>1.3207354E7</v>
      </c>
      <c r="H857" s="16" t="s">
        <v>88</v>
      </c>
      <c r="I857" s="19">
        <v>4.1112</v>
      </c>
      <c r="J857" s="20">
        <v>5.574902498E9</v>
      </c>
      <c r="K857" s="21">
        <v>129.0739</v>
      </c>
      <c r="L857" s="21">
        <v>0.1393</v>
      </c>
      <c r="M857" s="16" t="s">
        <v>4886</v>
      </c>
      <c r="N857" s="16" t="s">
        <v>5471</v>
      </c>
      <c r="O857" s="24"/>
      <c r="P857" s="21">
        <v>-56.2854</v>
      </c>
      <c r="Q857" s="21">
        <v>-40.0761</v>
      </c>
      <c r="R857" s="24"/>
      <c r="S857" s="21">
        <v>1.584</v>
      </c>
      <c r="T857" s="22">
        <f>IFERROR(__xludf.DUMMYFUNCTION("IFERROR(GOOGLEFINANCE(B857,""price""),"""")"),18.32)</f>
        <v>18.32</v>
      </c>
    </row>
    <row r="858">
      <c r="A858" s="7">
        <v>46072.869670855325</v>
      </c>
      <c r="B858" s="8" t="s">
        <v>5434</v>
      </c>
      <c r="C858" s="8" t="s">
        <v>5435</v>
      </c>
      <c r="D858" s="9">
        <v>46075.0</v>
      </c>
      <c r="E858" s="10">
        <v>11.39</v>
      </c>
      <c r="F858" s="26">
        <v>1.3145</v>
      </c>
      <c r="G858" s="12">
        <v>1.0237475E8</v>
      </c>
      <c r="H858" s="8" t="s">
        <v>308</v>
      </c>
      <c r="I858" s="11">
        <v>2.8907</v>
      </c>
      <c r="J858" s="12">
        <v>5.120527162E9</v>
      </c>
      <c r="K858" s="23"/>
      <c r="L858" s="13">
        <v>-0.4034</v>
      </c>
      <c r="M858" s="8" t="s">
        <v>5436</v>
      </c>
      <c r="N858" s="8" t="s">
        <v>5437</v>
      </c>
      <c r="O858" s="13">
        <v>-17.0422</v>
      </c>
      <c r="P858" s="13">
        <v>-176.0921</v>
      </c>
      <c r="Q858" s="13">
        <v>208.4002</v>
      </c>
      <c r="R858" s="13">
        <v>0.037</v>
      </c>
      <c r="S858" s="13">
        <v>15.2957</v>
      </c>
      <c r="T858" s="14">
        <f>IFERROR(__xludf.DUMMYFUNCTION("IFERROR(GOOGLEFINANCE(B858,""price""),"""")"),9.13)</f>
        <v>9.13</v>
      </c>
    </row>
    <row r="859">
      <c r="A859" s="15">
        <v>46072.869670855325</v>
      </c>
      <c r="B859" s="16" t="s">
        <v>5574</v>
      </c>
      <c r="C859" s="16" t="s">
        <v>5575</v>
      </c>
      <c r="D859" s="17">
        <v>46075.0</v>
      </c>
      <c r="E859" s="18">
        <v>21.97</v>
      </c>
      <c r="F859" s="27">
        <v>1.2949</v>
      </c>
      <c r="G859" s="20">
        <v>9987502.0</v>
      </c>
      <c r="H859" s="16" t="s">
        <v>335</v>
      </c>
      <c r="I859" s="19">
        <v>2.9522</v>
      </c>
      <c r="J859" s="20">
        <v>5.21319012E9</v>
      </c>
      <c r="K859" s="24"/>
      <c r="L859" s="21">
        <v>-0.4849</v>
      </c>
      <c r="M859" s="16" t="s">
        <v>5576</v>
      </c>
      <c r="N859" s="16" t="s">
        <v>5506</v>
      </c>
      <c r="O859" s="21">
        <v>-18.1731</v>
      </c>
      <c r="P859" s="21">
        <v>-129.5586</v>
      </c>
      <c r="Q859" s="21">
        <v>103.694</v>
      </c>
      <c r="R859" s="21">
        <v>0.0</v>
      </c>
      <c r="S859" s="21">
        <v>11.4962</v>
      </c>
      <c r="T859" s="22">
        <f>IFERROR(__xludf.DUMMYFUNCTION("IFERROR(GOOGLEFINANCE(B859,""price""),"""")"),18.4)</f>
        <v>18.4</v>
      </c>
    </row>
    <row r="860">
      <c r="A860" s="7">
        <v>46072.869670855325</v>
      </c>
      <c r="B860" s="8" t="s">
        <v>5934</v>
      </c>
      <c r="C860" s="8" t="s">
        <v>5935</v>
      </c>
      <c r="D860" s="9">
        <v>46075.0</v>
      </c>
      <c r="E860" s="10">
        <v>37.65</v>
      </c>
      <c r="F860" s="26">
        <v>1.2891</v>
      </c>
      <c r="G860" s="12">
        <v>1.1259561E7</v>
      </c>
      <c r="H860" s="8" t="s">
        <v>137</v>
      </c>
      <c r="I860" s="11">
        <v>-0.2649</v>
      </c>
      <c r="J860" s="12">
        <v>3.6445866412E10</v>
      </c>
      <c r="K860" s="13">
        <v>23.0925</v>
      </c>
      <c r="L860" s="13">
        <v>1.6304</v>
      </c>
      <c r="M860" s="8" t="s">
        <v>5936</v>
      </c>
      <c r="N860" s="8" t="s">
        <v>5937</v>
      </c>
      <c r="O860" s="13">
        <v>18.2217</v>
      </c>
      <c r="P860" s="13">
        <v>36.9706</v>
      </c>
      <c r="Q860" s="13">
        <v>6.6905</v>
      </c>
      <c r="R860" s="13">
        <v>0.0104</v>
      </c>
      <c r="S860" s="13">
        <v>7.788</v>
      </c>
      <c r="T860" s="14">
        <f>IFERROR(__xludf.DUMMYFUNCTION("IFERROR(GOOGLEFINANCE(B860,""price""),"""")"),32.76)</f>
        <v>32.76</v>
      </c>
    </row>
    <row r="861">
      <c r="A861" s="15">
        <v>46072.869670855325</v>
      </c>
      <c r="B861" s="16" t="s">
        <v>5594</v>
      </c>
      <c r="C861" s="16" t="s">
        <v>5595</v>
      </c>
      <c r="D861" s="17">
        <v>46075.0</v>
      </c>
      <c r="E861" s="18">
        <v>15.47</v>
      </c>
      <c r="F861" s="27">
        <v>1.2598</v>
      </c>
      <c r="G861" s="20">
        <v>2.3465873E7</v>
      </c>
      <c r="H861" s="16" t="s">
        <v>88</v>
      </c>
      <c r="I861" s="19">
        <v>0.5852</v>
      </c>
      <c r="J861" s="20">
        <v>6.477008806E9</v>
      </c>
      <c r="K861" s="24"/>
      <c r="L861" s="21">
        <v>-1.4167</v>
      </c>
      <c r="M861" s="16" t="s">
        <v>5596</v>
      </c>
      <c r="N861" s="16" t="s">
        <v>5471</v>
      </c>
      <c r="O861" s="21">
        <v>-181.9547</v>
      </c>
      <c r="P861" s="21">
        <v>-69.885</v>
      </c>
      <c r="Q861" s="21">
        <v>30.5825</v>
      </c>
      <c r="R861" s="21">
        <v>4.3877</v>
      </c>
      <c r="S861" s="21">
        <v>1.0329</v>
      </c>
      <c r="T861" s="22">
        <f>IFERROR(__xludf.DUMMYFUNCTION("IFERROR(GOOGLEFINANCE(B861,""price""),"""")"),18.88)</f>
        <v>18.88</v>
      </c>
    </row>
    <row r="862">
      <c r="A862" s="7">
        <v>46072.869670855325</v>
      </c>
      <c r="B862" s="8" t="s">
        <v>2704</v>
      </c>
      <c r="C862" s="8" t="s">
        <v>2705</v>
      </c>
      <c r="D862" s="9">
        <v>46075.0</v>
      </c>
      <c r="E862" s="10">
        <v>31.53</v>
      </c>
      <c r="F862" s="26">
        <v>1.2256</v>
      </c>
      <c r="G862" s="12">
        <v>1.5011667E7</v>
      </c>
      <c r="H862" s="8" t="s">
        <v>88</v>
      </c>
      <c r="I862" s="11">
        <v>-1.1908</v>
      </c>
      <c r="J862" s="12">
        <v>8.815340719E9</v>
      </c>
      <c r="K862" s="23"/>
      <c r="L862" s="13">
        <v>-0.5438</v>
      </c>
      <c r="M862" s="8" t="s">
        <v>2707</v>
      </c>
      <c r="N862" s="8" t="s">
        <v>5471</v>
      </c>
      <c r="O862" s="13">
        <v>-11.4029</v>
      </c>
      <c r="P862" s="13">
        <v>-26.4624</v>
      </c>
      <c r="Q862" s="13">
        <v>33.135</v>
      </c>
      <c r="R862" s="13">
        <v>1.6778</v>
      </c>
      <c r="S862" s="13">
        <v>4.8227</v>
      </c>
      <c r="T862" s="14">
        <f>IFERROR(__xludf.DUMMYFUNCTION("IFERROR(GOOGLEFINANCE(B862,""price""),"""")"),26.24)</f>
        <v>26.24</v>
      </c>
    </row>
    <row r="863">
      <c r="A863" s="15">
        <v>46072.869670855325</v>
      </c>
      <c r="B863" s="16" t="s">
        <v>5561</v>
      </c>
      <c r="C863" s="16" t="s">
        <v>5562</v>
      </c>
      <c r="D863" s="17">
        <v>46075.0</v>
      </c>
      <c r="E863" s="18">
        <v>14.64</v>
      </c>
      <c r="F863" s="27">
        <v>1.2201</v>
      </c>
      <c r="G863" s="20">
        <v>1.9682615E7</v>
      </c>
      <c r="H863" s="16" t="s">
        <v>102</v>
      </c>
      <c r="I863" s="19">
        <v>3.0986</v>
      </c>
      <c r="J863" s="20">
        <v>4.431887709E9</v>
      </c>
      <c r="K863" s="24"/>
      <c r="L863" s="21">
        <v>-2.8582</v>
      </c>
      <c r="M863" s="16" t="s">
        <v>5563</v>
      </c>
      <c r="N863" s="16" t="s">
        <v>5536</v>
      </c>
      <c r="O863" s="21">
        <v>-76.8505</v>
      </c>
      <c r="P863" s="21">
        <v>-983.9643</v>
      </c>
      <c r="Q863" s="21">
        <v>765.6686</v>
      </c>
      <c r="R863" s="21">
        <v>0.0</v>
      </c>
      <c r="S863" s="21">
        <v>1.6153</v>
      </c>
      <c r="T863" s="22">
        <f>IFERROR(__xludf.DUMMYFUNCTION("IFERROR(GOOGLEFINANCE(B863,""price""),"""")"),9.21)</f>
        <v>9.21</v>
      </c>
    </row>
    <row r="864">
      <c r="A864" s="7">
        <v>46072.869670855325</v>
      </c>
      <c r="B864" s="8" t="s">
        <v>5544</v>
      </c>
      <c r="C864" s="8" t="s">
        <v>5545</v>
      </c>
      <c r="D864" s="9">
        <v>46075.0</v>
      </c>
      <c r="E864" s="10">
        <v>15.8</v>
      </c>
      <c r="F864" s="26">
        <v>1.1882</v>
      </c>
      <c r="G864" s="12">
        <v>2.1475972E7</v>
      </c>
      <c r="H864" s="8" t="s">
        <v>88</v>
      </c>
      <c r="I864" s="11">
        <v>2.4643</v>
      </c>
      <c r="J864" s="12">
        <v>6.242454761E9</v>
      </c>
      <c r="K864" s="23"/>
      <c r="L864" s="13">
        <v>-0.1905</v>
      </c>
      <c r="M864" s="8" t="s">
        <v>5546</v>
      </c>
      <c r="N864" s="8" t="s">
        <v>5471</v>
      </c>
      <c r="O864" s="13">
        <v>-9.6935</v>
      </c>
      <c r="P864" s="13">
        <v>-72.0529</v>
      </c>
      <c r="Q864" s="13">
        <v>35.4099</v>
      </c>
      <c r="R864" s="13">
        <v>1.333</v>
      </c>
      <c r="S864" s="13">
        <v>2.4892</v>
      </c>
      <c r="T864" s="14">
        <f>IFERROR(__xludf.DUMMYFUNCTION("IFERROR(GOOGLEFINANCE(B864,""price""),"""")"),16.53)</f>
        <v>16.53</v>
      </c>
    </row>
    <row r="865">
      <c r="A865" s="15">
        <v>46072.869670855325</v>
      </c>
      <c r="B865" s="16" t="s">
        <v>5957</v>
      </c>
      <c r="C865" s="16" t="s">
        <v>5958</v>
      </c>
      <c r="D865" s="17">
        <v>46075.0</v>
      </c>
      <c r="E865" s="18">
        <v>34.24</v>
      </c>
      <c r="F865" s="27">
        <v>1.1797</v>
      </c>
      <c r="G865" s="20">
        <v>1.1764635E7</v>
      </c>
      <c r="H865" s="16" t="s">
        <v>117</v>
      </c>
      <c r="I865" s="19">
        <v>-14.0131</v>
      </c>
      <c r="J865" s="20">
        <v>3.601644528E9</v>
      </c>
      <c r="K865" s="21">
        <v>39.1225</v>
      </c>
      <c r="L865" s="21">
        <v>0.8752</v>
      </c>
      <c r="M865" s="16" t="s">
        <v>5959</v>
      </c>
      <c r="N865" s="16" t="s">
        <v>5491</v>
      </c>
      <c r="O865" s="21">
        <v>16.4703</v>
      </c>
      <c r="P865" s="21">
        <v>8.8471</v>
      </c>
      <c r="Q865" s="21">
        <v>17.9168</v>
      </c>
      <c r="R865" s="21">
        <v>0.0101</v>
      </c>
      <c r="S865" s="21">
        <v>3.1413</v>
      </c>
      <c r="T865" s="22">
        <f>IFERROR(__xludf.DUMMYFUNCTION("IFERROR(GOOGLEFINANCE(B865,""price""),"""")"),41.91)</f>
        <v>41.91</v>
      </c>
    </row>
    <row r="866">
      <c r="A866" s="7">
        <v>46072.869670855325</v>
      </c>
      <c r="B866" s="8" t="s">
        <v>5458</v>
      </c>
      <c r="C866" s="8" t="s">
        <v>5459</v>
      </c>
      <c r="D866" s="9">
        <v>46075.0</v>
      </c>
      <c r="E866" s="10">
        <v>4.19</v>
      </c>
      <c r="F866" s="26">
        <v>1.1719</v>
      </c>
      <c r="G866" s="12">
        <v>3.6351265E7</v>
      </c>
      <c r="H866" s="8" t="s">
        <v>88</v>
      </c>
      <c r="I866" s="11">
        <v>2.445</v>
      </c>
      <c r="J866" s="12">
        <v>1.829149631E9</v>
      </c>
      <c r="K866" s="23"/>
      <c r="L866" s="13">
        <v>-1.4208</v>
      </c>
      <c r="M866" s="8" t="s">
        <v>5460</v>
      </c>
      <c r="N866" s="8" t="s">
        <v>5429</v>
      </c>
      <c r="O866" s="13">
        <v>-111.8268</v>
      </c>
      <c r="P866" s="13">
        <v>-46.2208</v>
      </c>
      <c r="Q866" s="13">
        <v>-6.9516</v>
      </c>
      <c r="R866" s="13">
        <v>0.1851</v>
      </c>
      <c r="S866" s="13">
        <v>3.1313</v>
      </c>
      <c r="T866" s="14">
        <f>IFERROR(__xludf.DUMMYFUNCTION("IFERROR(GOOGLEFINANCE(B866,""price""),"""")"),3.32)</f>
        <v>3.32</v>
      </c>
    </row>
    <row r="867">
      <c r="A867" s="15">
        <v>46072.869670855325</v>
      </c>
      <c r="B867" s="16" t="s">
        <v>5944</v>
      </c>
      <c r="C867" s="16" t="s">
        <v>5945</v>
      </c>
      <c r="D867" s="17">
        <v>46075.0</v>
      </c>
      <c r="E867" s="18">
        <v>18.14</v>
      </c>
      <c r="F867" s="27">
        <v>1.168</v>
      </c>
      <c r="G867" s="20">
        <v>1.2092975E7</v>
      </c>
      <c r="H867" s="16" t="s">
        <v>93</v>
      </c>
      <c r="I867" s="19">
        <v>-0.0551</v>
      </c>
      <c r="J867" s="20">
        <v>6.496597727E9</v>
      </c>
      <c r="K867" s="21">
        <v>11.5851</v>
      </c>
      <c r="L867" s="21">
        <v>1.5658</v>
      </c>
      <c r="M867" s="16" t="s">
        <v>5946</v>
      </c>
      <c r="N867" s="16" t="s">
        <v>5947</v>
      </c>
      <c r="O867" s="21">
        <v>8.6623</v>
      </c>
      <c r="P867" s="21">
        <v>24.8531</v>
      </c>
      <c r="Q867" s="21">
        <v>4.5405</v>
      </c>
      <c r="R867" s="21">
        <v>0.5797</v>
      </c>
      <c r="S867" s="21">
        <v>0.0825</v>
      </c>
      <c r="T867" s="22">
        <f>IFERROR(__xludf.DUMMYFUNCTION("IFERROR(GOOGLEFINANCE(B867,""price""),"""")"),17.69)</f>
        <v>17.69</v>
      </c>
    </row>
    <row r="868">
      <c r="A868" s="7">
        <v>46072.869670855325</v>
      </c>
      <c r="B868" s="8" t="s">
        <v>5649</v>
      </c>
      <c r="C868" s="8" t="s">
        <v>5650</v>
      </c>
      <c r="D868" s="9">
        <v>46075.0</v>
      </c>
      <c r="E868" s="10">
        <v>25.11</v>
      </c>
      <c r="F868" s="26">
        <v>1.166</v>
      </c>
      <c r="G868" s="12">
        <v>1.0857995E7</v>
      </c>
      <c r="H868" s="8" t="s">
        <v>88</v>
      </c>
      <c r="I868" s="11">
        <v>5.7709</v>
      </c>
      <c r="J868" s="12">
        <v>8.37139773E9</v>
      </c>
      <c r="K868" s="23"/>
      <c r="L868" s="13">
        <v>-0.4263</v>
      </c>
      <c r="M868" s="8" t="s">
        <v>5651</v>
      </c>
      <c r="N868" s="8" t="s">
        <v>5429</v>
      </c>
      <c r="O868" s="13">
        <v>-31.8263</v>
      </c>
      <c r="P868" s="13">
        <v>-26.3989</v>
      </c>
      <c r="Q868" s="13">
        <v>16.8876</v>
      </c>
      <c r="R868" s="13">
        <v>1.3198</v>
      </c>
      <c r="S868" s="13">
        <v>3.9903</v>
      </c>
      <c r="T868" s="14">
        <f>IFERROR(__xludf.DUMMYFUNCTION("IFERROR(GOOGLEFINANCE(B868,""price""),"""")"),34.67)</f>
        <v>34.67</v>
      </c>
    </row>
    <row r="869">
      <c r="A869" s="15">
        <v>46072.869670855325</v>
      </c>
      <c r="B869" s="16" t="s">
        <v>5951</v>
      </c>
      <c r="C869" s="16" t="s">
        <v>5952</v>
      </c>
      <c r="D869" s="17">
        <v>46075.0</v>
      </c>
      <c r="E869" s="18">
        <v>9.44</v>
      </c>
      <c r="F869" s="27">
        <v>1.1484</v>
      </c>
      <c r="G869" s="20">
        <v>1.8047983E7</v>
      </c>
      <c r="H869" s="16" t="s">
        <v>93</v>
      </c>
      <c r="I869" s="19">
        <v>-2.1762</v>
      </c>
      <c r="J869" s="20">
        <v>3.000455829E9</v>
      </c>
      <c r="K869" s="21">
        <v>4.1006</v>
      </c>
      <c r="L869" s="21">
        <v>2.3021</v>
      </c>
      <c r="M869" s="16" t="s">
        <v>5953</v>
      </c>
      <c r="N869" s="16" t="s">
        <v>5464</v>
      </c>
      <c r="O869" s="21">
        <v>97.6998</v>
      </c>
      <c r="P869" s="21">
        <v>18.3342</v>
      </c>
      <c r="Q869" s="21">
        <v>-2.5135</v>
      </c>
      <c r="R869" s="21">
        <v>2.8012</v>
      </c>
      <c r="S869" s="21">
        <v>0.2436</v>
      </c>
      <c r="T869" s="22">
        <f>IFERROR(__xludf.DUMMYFUNCTION("IFERROR(GOOGLEFINANCE(B869,""price""),"""")"),8.88)</f>
        <v>8.88</v>
      </c>
    </row>
    <row r="870">
      <c r="A870" s="7">
        <v>46072.869670855325</v>
      </c>
      <c r="B870" s="8" t="s">
        <v>2300</v>
      </c>
      <c r="C870" s="8" t="s">
        <v>2301</v>
      </c>
      <c r="D870" s="9">
        <v>46075.0</v>
      </c>
      <c r="E870" s="10">
        <v>23.33</v>
      </c>
      <c r="F870" s="26">
        <v>1.1339</v>
      </c>
      <c r="G870" s="12">
        <v>1.2577824E7</v>
      </c>
      <c r="H870" s="8" t="s">
        <v>88</v>
      </c>
      <c r="I870" s="11">
        <v>0.8647</v>
      </c>
      <c r="J870" s="12">
        <v>6.838927413E9</v>
      </c>
      <c r="K870" s="23"/>
      <c r="L870" s="13">
        <v>-0.1371</v>
      </c>
      <c r="M870" s="8" t="s">
        <v>2302</v>
      </c>
      <c r="N870" s="8" t="s">
        <v>5429</v>
      </c>
      <c r="O870" s="13">
        <v>-2.5819</v>
      </c>
      <c r="P870" s="13">
        <v>3.8401</v>
      </c>
      <c r="Q870" s="13">
        <v>61.8776</v>
      </c>
      <c r="R870" s="13">
        <v>0.4255</v>
      </c>
      <c r="S870" s="13">
        <v>1.8035</v>
      </c>
      <c r="T870" s="14">
        <f>IFERROR(__xludf.DUMMYFUNCTION("IFERROR(GOOGLEFINANCE(B870,""price""),"""")"),24.0)</f>
        <v>24</v>
      </c>
    </row>
    <row r="871">
      <c r="A871" s="15">
        <v>46072.869670855325</v>
      </c>
      <c r="B871" s="16" t="s">
        <v>5858</v>
      </c>
      <c r="C871" s="16" t="s">
        <v>5859</v>
      </c>
      <c r="D871" s="17">
        <v>46075.0</v>
      </c>
      <c r="E871" s="18">
        <v>18.07</v>
      </c>
      <c r="F871" s="27">
        <v>1.125</v>
      </c>
      <c r="G871" s="20">
        <v>2.844106E7</v>
      </c>
      <c r="H871" s="16" t="s">
        <v>88</v>
      </c>
      <c r="I871" s="19">
        <v>-4.0361</v>
      </c>
      <c r="J871" s="20">
        <v>2.699657879E9</v>
      </c>
      <c r="K871" s="24"/>
      <c r="L871" s="21">
        <v>-0.8329</v>
      </c>
      <c r="M871" s="16" t="s">
        <v>5860</v>
      </c>
      <c r="N871" s="16" t="s">
        <v>5664</v>
      </c>
      <c r="O871" s="21">
        <v>-12.8431</v>
      </c>
      <c r="P871" s="21">
        <v>-18.968</v>
      </c>
      <c r="Q871" s="21">
        <v>14.7776</v>
      </c>
      <c r="R871" s="21">
        <v>0.4628</v>
      </c>
      <c r="S871" s="21">
        <v>2.6119</v>
      </c>
      <c r="T871" s="22">
        <f>IFERROR(__xludf.DUMMYFUNCTION("IFERROR(GOOGLEFINANCE(B871,""price""),"""")"),23.07)</f>
        <v>23.07</v>
      </c>
    </row>
    <row r="872">
      <c r="A872" s="7">
        <v>46072.87177257238</v>
      </c>
      <c r="B872" s="8" t="s">
        <v>5754</v>
      </c>
      <c r="C872" s="8" t="s">
        <v>5755</v>
      </c>
      <c r="D872" s="9">
        <v>46075.0</v>
      </c>
      <c r="E872" s="10">
        <v>4.65</v>
      </c>
      <c r="F872" s="26">
        <v>4.0938</v>
      </c>
      <c r="G872" s="12">
        <v>7.5317415E7</v>
      </c>
      <c r="H872" s="8" t="s">
        <v>93</v>
      </c>
      <c r="I872" s="11">
        <v>0.432</v>
      </c>
      <c r="J872" s="12">
        <v>4.435114993E9</v>
      </c>
      <c r="K872" s="23"/>
      <c r="L872" s="13">
        <v>-0.4363</v>
      </c>
      <c r="M872" s="8" t="s">
        <v>5756</v>
      </c>
      <c r="N872" s="8" t="s">
        <v>5757</v>
      </c>
      <c r="O872" s="13">
        <v>-39.33</v>
      </c>
      <c r="P872" s="13">
        <v>-4.1534</v>
      </c>
      <c r="Q872" s="13">
        <v>-4.4543</v>
      </c>
      <c r="R872" s="13">
        <v>2.2035</v>
      </c>
      <c r="S872" s="13">
        <v>2.8304</v>
      </c>
      <c r="T872" s="14">
        <f>IFERROR(__xludf.DUMMYFUNCTION("IFERROR(GOOGLEFINANCE(B872,""price""),"""")"),4.32)</f>
        <v>4.32</v>
      </c>
    </row>
    <row r="873">
      <c r="A873" s="15">
        <v>46072.87177257238</v>
      </c>
      <c r="B873" s="16" t="s">
        <v>5655</v>
      </c>
      <c r="C873" s="16" t="s">
        <v>5656</v>
      </c>
      <c r="D873" s="17">
        <v>46075.0</v>
      </c>
      <c r="E873" s="18">
        <v>5.13</v>
      </c>
      <c r="F873" s="27">
        <v>3.1563</v>
      </c>
      <c r="G873" s="20">
        <v>9884674.0</v>
      </c>
      <c r="H873" s="16" t="s">
        <v>88</v>
      </c>
      <c r="I873" s="19">
        <v>0.1953</v>
      </c>
      <c r="J873" s="20">
        <v>3.287188953E9</v>
      </c>
      <c r="K873" s="24"/>
      <c r="L873" s="21">
        <v>-0.0054</v>
      </c>
      <c r="M873" s="16" t="s">
        <v>5657</v>
      </c>
      <c r="N873" s="16" t="s">
        <v>5429</v>
      </c>
      <c r="O873" s="21">
        <v>-0.1405</v>
      </c>
      <c r="P873" s="21">
        <v>7.955</v>
      </c>
      <c r="Q873" s="21">
        <v>10.644</v>
      </c>
      <c r="R873" s="21">
        <v>0.5124</v>
      </c>
      <c r="S873" s="21">
        <v>1.4114</v>
      </c>
      <c r="T873" s="22">
        <f>IFERROR(__xludf.DUMMYFUNCTION("IFERROR(GOOGLEFINANCE(B873,""price""),"""")"),4.99)</f>
        <v>4.99</v>
      </c>
    </row>
    <row r="874">
      <c r="A874" s="7">
        <v>46072.87177257238</v>
      </c>
      <c r="B874" s="8" t="s">
        <v>5514</v>
      </c>
      <c r="C874" s="8" t="s">
        <v>5515</v>
      </c>
      <c r="D874" s="9">
        <v>46075.0</v>
      </c>
      <c r="E874" s="10">
        <v>8.61</v>
      </c>
      <c r="F874" s="26">
        <v>2.0742</v>
      </c>
      <c r="G874" s="12">
        <v>5.5341947E7</v>
      </c>
      <c r="H874" s="8" t="s">
        <v>117</v>
      </c>
      <c r="I874" s="11">
        <v>0.8197</v>
      </c>
      <c r="J874" s="12">
        <v>8.480550419E9</v>
      </c>
      <c r="K874" s="23"/>
      <c r="L874" s="13">
        <v>-0.4205</v>
      </c>
      <c r="M874" s="8" t="s">
        <v>5516</v>
      </c>
      <c r="N874" s="8" t="s">
        <v>5491</v>
      </c>
      <c r="O874" s="23"/>
      <c r="P874" s="13">
        <v>-315.8428</v>
      </c>
      <c r="Q874" s="13">
        <v>1025.9547</v>
      </c>
      <c r="R874" s="23"/>
      <c r="S874" s="13">
        <v>5.7671</v>
      </c>
      <c r="T874" s="14">
        <f>IFERROR(__xludf.DUMMYFUNCTION("IFERROR(GOOGLEFINANCE(B874,""price""),"""")"),7.28)</f>
        <v>7.28</v>
      </c>
    </row>
    <row r="875">
      <c r="A875" s="15">
        <v>46072.87177257238</v>
      </c>
      <c r="B875" s="16" t="s">
        <v>5778</v>
      </c>
      <c r="C875" s="16" t="s">
        <v>5779</v>
      </c>
      <c r="D875" s="17">
        <v>46075.0</v>
      </c>
      <c r="E875" s="18">
        <v>1.92</v>
      </c>
      <c r="F875" s="27">
        <v>1.9688</v>
      </c>
      <c r="G875" s="20">
        <v>2.5145361E7</v>
      </c>
      <c r="H875" s="16" t="s">
        <v>117</v>
      </c>
      <c r="I875" s="19">
        <v>-1.0309</v>
      </c>
      <c r="J875" s="20">
        <v>1.225642067E9</v>
      </c>
      <c r="K875" s="24"/>
      <c r="L875" s="21">
        <v>-0.1202</v>
      </c>
      <c r="M875" s="16" t="s">
        <v>5780</v>
      </c>
      <c r="N875" s="16" t="s">
        <v>5502</v>
      </c>
      <c r="O875" s="21">
        <v>-29.5717</v>
      </c>
      <c r="P875" s="21">
        <v>-34.4016</v>
      </c>
      <c r="Q875" s="21">
        <v>522.1303</v>
      </c>
      <c r="R875" s="21">
        <v>1.0102</v>
      </c>
      <c r="S875" s="21">
        <v>5.9552</v>
      </c>
      <c r="T875" s="22">
        <f>IFERROR(__xludf.DUMMYFUNCTION("IFERROR(GOOGLEFINANCE(B875,""price""),"""")"),1.67)</f>
        <v>1.67</v>
      </c>
    </row>
    <row r="876">
      <c r="A876" s="7">
        <v>46072.87177257238</v>
      </c>
      <c r="B876" s="8" t="s">
        <v>2107</v>
      </c>
      <c r="C876" s="8" t="s">
        <v>2108</v>
      </c>
      <c r="D876" s="9">
        <v>46075.0</v>
      </c>
      <c r="E876" s="10">
        <v>6.95</v>
      </c>
      <c r="F876" s="26">
        <v>1.8008</v>
      </c>
      <c r="G876" s="12">
        <v>1.3423438E7</v>
      </c>
      <c r="H876" s="8" t="s">
        <v>107</v>
      </c>
      <c r="I876" s="11">
        <v>-10.3226</v>
      </c>
      <c r="J876" s="12">
        <v>1.101938641E9</v>
      </c>
      <c r="K876" s="23"/>
      <c r="L876" s="13">
        <v>-2.9655</v>
      </c>
      <c r="M876" s="8" t="s">
        <v>2109</v>
      </c>
      <c r="N876" s="8" t="s">
        <v>5613</v>
      </c>
      <c r="O876" s="13">
        <v>-29.569</v>
      </c>
      <c r="P876" s="13">
        <v>-3.7612</v>
      </c>
      <c r="Q876" s="13">
        <v>-5.6948</v>
      </c>
      <c r="R876" s="13">
        <v>2.4274</v>
      </c>
      <c r="S876" s="13">
        <v>2.4646</v>
      </c>
      <c r="T876" s="14">
        <f>IFERROR(__xludf.DUMMYFUNCTION("IFERROR(GOOGLEFINANCE(B876,""price""),"""")"),9.08)</f>
        <v>9.08</v>
      </c>
    </row>
    <row r="877">
      <c r="A877" s="15">
        <v>46072.87177257238</v>
      </c>
      <c r="B877" s="16" t="s">
        <v>4936</v>
      </c>
      <c r="C877" s="16" t="s">
        <v>4937</v>
      </c>
      <c r="D877" s="17">
        <v>46075.0</v>
      </c>
      <c r="E877" s="18">
        <v>21.48</v>
      </c>
      <c r="F877" s="27">
        <v>1.7651</v>
      </c>
      <c r="G877" s="20">
        <v>1.0535485E7</v>
      </c>
      <c r="H877" s="16" t="s">
        <v>93</v>
      </c>
      <c r="I877" s="19">
        <v>6.5476</v>
      </c>
      <c r="J877" s="20">
        <v>1.1318717571E10</v>
      </c>
      <c r="K877" s="24"/>
      <c r="L877" s="24"/>
      <c r="M877" s="16" t="s">
        <v>4938</v>
      </c>
      <c r="N877" s="16" t="s">
        <v>5708</v>
      </c>
      <c r="O877" s="21">
        <v>24.5666</v>
      </c>
      <c r="P877" s="21">
        <v>32.3937</v>
      </c>
      <c r="Q877" s="21">
        <v>3.1882</v>
      </c>
      <c r="R877" s="21">
        <v>3.6244</v>
      </c>
      <c r="S877" s="21">
        <v>0.2582</v>
      </c>
      <c r="T877" s="22">
        <f>IFERROR(__xludf.DUMMYFUNCTION("IFERROR(GOOGLEFINANCE(B877,""price""),"""")"),19.99)</f>
        <v>19.99</v>
      </c>
    </row>
    <row r="878">
      <c r="A878" s="7">
        <v>46072.87177257238</v>
      </c>
      <c r="B878" s="8" t="s">
        <v>5960</v>
      </c>
      <c r="C878" s="8" t="s">
        <v>5961</v>
      </c>
      <c r="D878" s="9">
        <v>46075.0</v>
      </c>
      <c r="E878" s="10">
        <v>4.83</v>
      </c>
      <c r="F878" s="26">
        <v>1.6875</v>
      </c>
      <c r="G878" s="12">
        <v>1.0015954E7</v>
      </c>
      <c r="H878" s="8" t="s">
        <v>190</v>
      </c>
      <c r="I878" s="11">
        <v>22.9008</v>
      </c>
      <c r="J878" s="12">
        <v>8.00119112E8</v>
      </c>
      <c r="K878" s="13">
        <v>197.9508</v>
      </c>
      <c r="L878" s="13">
        <v>0.0244</v>
      </c>
      <c r="M878" s="8" t="s">
        <v>5962</v>
      </c>
      <c r="N878" s="8" t="s">
        <v>5747</v>
      </c>
      <c r="O878" s="13">
        <v>6.649</v>
      </c>
      <c r="P878" s="13">
        <v>-0.0503</v>
      </c>
      <c r="Q878" s="13">
        <v>18.3694</v>
      </c>
      <c r="R878" s="23"/>
      <c r="S878" s="13">
        <v>6.3843</v>
      </c>
      <c r="T878" s="14">
        <f>IFERROR(__xludf.DUMMYFUNCTION("IFERROR(GOOGLEFINANCE(B878,""price""),"""")"),5.17)</f>
        <v>5.17</v>
      </c>
    </row>
    <row r="879">
      <c r="A879" s="15">
        <v>46072.87177257238</v>
      </c>
      <c r="B879" s="16" t="s">
        <v>5930</v>
      </c>
      <c r="C879" s="16" t="s">
        <v>5931</v>
      </c>
      <c r="D879" s="17">
        <v>46075.0</v>
      </c>
      <c r="E879" s="18">
        <v>6.36</v>
      </c>
      <c r="F879" s="27">
        <v>1.6641</v>
      </c>
      <c r="G879" s="20">
        <v>6.7266485E7</v>
      </c>
      <c r="H879" s="16" t="s">
        <v>270</v>
      </c>
      <c r="I879" s="19">
        <v>2.2508</v>
      </c>
      <c r="J879" s="20">
        <v>7.005166332E9</v>
      </c>
      <c r="K879" s="24"/>
      <c r="L879" s="21">
        <v>-3.2621</v>
      </c>
      <c r="M879" s="16" t="s">
        <v>5932</v>
      </c>
      <c r="N879" s="16" t="s">
        <v>5933</v>
      </c>
      <c r="O879" s="21">
        <v>-32.0459</v>
      </c>
      <c r="P879" s="21">
        <v>15.5137</v>
      </c>
      <c r="Q879" s="21">
        <v>16.9333</v>
      </c>
      <c r="R879" s="21">
        <v>0.7701</v>
      </c>
      <c r="S879" s="21">
        <v>1.0814</v>
      </c>
      <c r="T879" s="22">
        <f>IFERROR(__xludf.DUMMYFUNCTION("IFERROR(GOOGLEFINANCE(B879,""price""),"""")"),6.52)</f>
        <v>6.52</v>
      </c>
    </row>
    <row r="880">
      <c r="A880" s="7">
        <v>46072.87177257238</v>
      </c>
      <c r="B880" s="8" t="s">
        <v>5938</v>
      </c>
      <c r="C880" s="8" t="s">
        <v>5939</v>
      </c>
      <c r="D880" s="9">
        <v>46075.0</v>
      </c>
      <c r="E880" s="10">
        <v>7.94</v>
      </c>
      <c r="F880" s="26">
        <v>1.6172</v>
      </c>
      <c r="G880" s="12">
        <v>4.5842405E7</v>
      </c>
      <c r="H880" s="8" t="s">
        <v>88</v>
      </c>
      <c r="I880" s="11">
        <v>-17.3777</v>
      </c>
      <c r="J880" s="12">
        <v>1.845300627E9</v>
      </c>
      <c r="K880" s="23"/>
      <c r="L880" s="23"/>
      <c r="M880" s="8" t="s">
        <v>5940</v>
      </c>
      <c r="N880" s="8" t="s">
        <v>5471</v>
      </c>
      <c r="O880" s="13">
        <v>11.4635</v>
      </c>
      <c r="P880" s="13">
        <v>-29.6598</v>
      </c>
      <c r="Q880" s="13">
        <v>77.3256</v>
      </c>
      <c r="R880" s="13">
        <v>1.2667</v>
      </c>
      <c r="S880" s="13">
        <v>0.9119</v>
      </c>
      <c r="T880" s="14">
        <f>IFERROR(__xludf.DUMMYFUNCTION("IFERROR(GOOGLEFINANCE(B880,""price""),"""")"),10.75)</f>
        <v>10.75</v>
      </c>
    </row>
    <row r="881">
      <c r="A881" s="15">
        <v>46072.87177257238</v>
      </c>
      <c r="B881" s="16" t="s">
        <v>5527</v>
      </c>
      <c r="C881" s="16" t="s">
        <v>5528</v>
      </c>
      <c r="D881" s="17">
        <v>46075.0</v>
      </c>
      <c r="E881" s="18">
        <v>12.83</v>
      </c>
      <c r="F881" s="27">
        <v>1.4824</v>
      </c>
      <c r="G881" s="20">
        <v>1.2804003E7</v>
      </c>
      <c r="H881" s="16" t="s">
        <v>88</v>
      </c>
      <c r="I881" s="19">
        <v>6.2086</v>
      </c>
      <c r="J881" s="20">
        <v>1.53153171E9</v>
      </c>
      <c r="K881" s="24"/>
      <c r="L881" s="24"/>
      <c r="M881" s="16" t="s">
        <v>5529</v>
      </c>
      <c r="N881" s="16" t="s">
        <v>5429</v>
      </c>
      <c r="O881" s="24"/>
      <c r="P881" s="24"/>
      <c r="Q881" s="24"/>
      <c r="R881" s="21">
        <v>0.0885</v>
      </c>
      <c r="S881" s="21">
        <v>10.416</v>
      </c>
      <c r="T881" s="22">
        <f>IFERROR(__xludf.DUMMYFUNCTION("IFERROR(GOOGLEFINANCE(B881,""price""),"""")"),12.37)</f>
        <v>12.37</v>
      </c>
    </row>
    <row r="882">
      <c r="A882" s="7">
        <v>46072.87177257238</v>
      </c>
      <c r="B882" s="8" t="s">
        <v>5533</v>
      </c>
      <c r="C882" s="8" t="s">
        <v>5534</v>
      </c>
      <c r="D882" s="9">
        <v>46075.0</v>
      </c>
      <c r="E882" s="10">
        <v>6.31</v>
      </c>
      <c r="F882" s="26">
        <v>1.4688</v>
      </c>
      <c r="G882" s="12">
        <v>1.5246978E7</v>
      </c>
      <c r="H882" s="8" t="s">
        <v>102</v>
      </c>
      <c r="I882" s="11">
        <v>-2.322</v>
      </c>
      <c r="J882" s="12">
        <v>1.707314473E9</v>
      </c>
      <c r="K882" s="23"/>
      <c r="L882" s="13">
        <v>-3.7839</v>
      </c>
      <c r="M882" s="8" t="s">
        <v>5535</v>
      </c>
      <c r="N882" s="8" t="s">
        <v>5536</v>
      </c>
      <c r="O882" s="13">
        <v>-55.984</v>
      </c>
      <c r="P882" s="13">
        <v>-31.1477</v>
      </c>
      <c r="Q882" s="23"/>
      <c r="R882" s="13">
        <v>4.5088</v>
      </c>
      <c r="S882" s="13">
        <v>1.1293</v>
      </c>
      <c r="T882" s="14">
        <f>IFERROR(__xludf.DUMMYFUNCTION("IFERROR(GOOGLEFINANCE(B882,""price""),"""")"),4.69)</f>
        <v>4.69</v>
      </c>
    </row>
    <row r="883">
      <c r="A883" s="15">
        <v>46072.87177257238</v>
      </c>
      <c r="B883" s="16" t="s">
        <v>5728</v>
      </c>
      <c r="C883" s="16" t="s">
        <v>5729</v>
      </c>
      <c r="D883" s="17">
        <v>46075.0</v>
      </c>
      <c r="E883" s="18">
        <v>7.03</v>
      </c>
      <c r="F883" s="27">
        <v>1.4531</v>
      </c>
      <c r="G883" s="20">
        <v>9715433.0</v>
      </c>
      <c r="H883" s="16" t="s">
        <v>117</v>
      </c>
      <c r="I883" s="19">
        <v>2.1802</v>
      </c>
      <c r="J883" s="20">
        <v>1.530373293E9</v>
      </c>
      <c r="K883" s="24"/>
      <c r="L883" s="21">
        <v>-1.4385</v>
      </c>
      <c r="M883" s="16" t="s">
        <v>5730</v>
      </c>
      <c r="N883" s="16" t="s">
        <v>5491</v>
      </c>
      <c r="O883" s="21">
        <v>-54.8523</v>
      </c>
      <c r="P883" s="21">
        <v>-519.7513</v>
      </c>
      <c r="Q883" s="21">
        <v>-18.4724</v>
      </c>
      <c r="R883" s="21">
        <v>0.1176</v>
      </c>
      <c r="S883" s="21">
        <v>15.3944</v>
      </c>
      <c r="T883" s="22">
        <f>IFERROR(__xludf.DUMMYFUNCTION("IFERROR(GOOGLEFINANCE(B883,""price""),"""")"),8.79)</f>
        <v>8.79</v>
      </c>
    </row>
    <row r="884">
      <c r="A884" s="7">
        <v>46072.87177257238</v>
      </c>
      <c r="B884" s="8" t="s">
        <v>5175</v>
      </c>
      <c r="C884" s="8" t="s">
        <v>5176</v>
      </c>
      <c r="D884" s="9">
        <v>46075.0</v>
      </c>
      <c r="E884" s="10">
        <v>4.8</v>
      </c>
      <c r="F884" s="26">
        <v>1.3672</v>
      </c>
      <c r="G884" s="12">
        <v>1.2113621E7</v>
      </c>
      <c r="H884" s="8" t="s">
        <v>93</v>
      </c>
      <c r="I884" s="11">
        <v>-0.2079</v>
      </c>
      <c r="J884" s="12">
        <v>7.840035448E9</v>
      </c>
      <c r="K884" s="23"/>
      <c r="L884" s="13">
        <v>-0.009</v>
      </c>
      <c r="M884" s="8" t="s">
        <v>5177</v>
      </c>
      <c r="N884" s="8" t="s">
        <v>5590</v>
      </c>
      <c r="O884" s="13">
        <v>11.3702</v>
      </c>
      <c r="P884" s="13">
        <v>30.822</v>
      </c>
      <c r="Q884" s="13">
        <v>-8.6628</v>
      </c>
      <c r="R884" s="13">
        <v>81.7577</v>
      </c>
      <c r="S884" s="13">
        <v>0.1285</v>
      </c>
      <c r="T884" s="14">
        <f>IFERROR(__xludf.DUMMYFUNCTION("IFERROR(GOOGLEFINANCE(B884,""price""),"""")"),3.69)</f>
        <v>3.69</v>
      </c>
    </row>
    <row r="885">
      <c r="A885" s="15">
        <v>46072.87177257238</v>
      </c>
      <c r="B885" s="16" t="s">
        <v>5792</v>
      </c>
      <c r="C885" s="16" t="s">
        <v>5793</v>
      </c>
      <c r="D885" s="17">
        <v>46075.0</v>
      </c>
      <c r="E885" s="18">
        <v>10.43</v>
      </c>
      <c r="F885" s="27">
        <v>1.3438</v>
      </c>
      <c r="G885" s="20">
        <v>1.0214759E7</v>
      </c>
      <c r="H885" s="16" t="s">
        <v>88</v>
      </c>
      <c r="I885" s="19">
        <v>-0.2868</v>
      </c>
      <c r="J885" s="20">
        <v>7.554402392E9</v>
      </c>
      <c r="K885" s="24"/>
      <c r="L885" s="21">
        <v>-0.1129</v>
      </c>
      <c r="M885" s="16" t="s">
        <v>5794</v>
      </c>
      <c r="N885" s="16" t="s">
        <v>5429</v>
      </c>
      <c r="O885" s="21">
        <v>-9.3898</v>
      </c>
      <c r="P885" s="21">
        <v>-0.4502</v>
      </c>
      <c r="Q885" s="21">
        <v>24.2671</v>
      </c>
      <c r="R885" s="21">
        <v>0.622</v>
      </c>
      <c r="S885" s="21">
        <v>0.8013</v>
      </c>
      <c r="T885" s="22">
        <f>IFERROR(__xludf.DUMMYFUNCTION("IFERROR(GOOGLEFINANCE(B885,""price""),"""")"),7.14)</f>
        <v>7.14</v>
      </c>
    </row>
    <row r="886">
      <c r="A886" s="7">
        <v>46072.87177257238</v>
      </c>
      <c r="B886" s="8" t="s">
        <v>5517</v>
      </c>
      <c r="C886" s="8" t="s">
        <v>5518</v>
      </c>
      <c r="D886" s="9">
        <v>46075.0</v>
      </c>
      <c r="E886" s="10">
        <v>8.6</v>
      </c>
      <c r="F886" s="26">
        <v>1.3418</v>
      </c>
      <c r="G886" s="12">
        <v>1.245502E7</v>
      </c>
      <c r="H886" s="8" t="s">
        <v>308</v>
      </c>
      <c r="I886" s="11">
        <v>2.381</v>
      </c>
      <c r="J886" s="12">
        <v>1.420296707E9</v>
      </c>
      <c r="K886" s="23"/>
      <c r="L886" s="13">
        <v>-3.1791</v>
      </c>
      <c r="M886" s="8" t="s">
        <v>5519</v>
      </c>
      <c r="N886" s="8" t="s">
        <v>5520</v>
      </c>
      <c r="O886" s="13">
        <v>-50.0822</v>
      </c>
      <c r="P886" s="13">
        <v>-46.1858</v>
      </c>
      <c r="Q886" s="13">
        <v>-0.6305</v>
      </c>
      <c r="R886" s="13">
        <v>0.3596</v>
      </c>
      <c r="S886" s="13">
        <v>1.4082</v>
      </c>
      <c r="T886" s="14">
        <f>IFERROR(__xludf.DUMMYFUNCTION("IFERROR(GOOGLEFINANCE(B886,""price""),"""")"),9.29)</f>
        <v>9.29</v>
      </c>
    </row>
    <row r="887">
      <c r="A887" s="15">
        <v>46072.87177257238</v>
      </c>
      <c r="B887" s="16" t="s">
        <v>4884</v>
      </c>
      <c r="C887" s="16" t="s">
        <v>4885</v>
      </c>
      <c r="D887" s="17">
        <v>46075.0</v>
      </c>
      <c r="E887" s="18">
        <v>17.98</v>
      </c>
      <c r="F887" s="27">
        <v>1.3249</v>
      </c>
      <c r="G887" s="20">
        <v>1.3207354E7</v>
      </c>
      <c r="H887" s="16" t="s">
        <v>88</v>
      </c>
      <c r="I887" s="19">
        <v>4.1112</v>
      </c>
      <c r="J887" s="20">
        <v>5.574902498E9</v>
      </c>
      <c r="K887" s="21">
        <v>129.0739</v>
      </c>
      <c r="L887" s="21">
        <v>0.1393</v>
      </c>
      <c r="M887" s="16" t="s">
        <v>4886</v>
      </c>
      <c r="N887" s="16" t="s">
        <v>5471</v>
      </c>
      <c r="O887" s="24"/>
      <c r="P887" s="21">
        <v>-56.2854</v>
      </c>
      <c r="Q887" s="21">
        <v>-40.0761</v>
      </c>
      <c r="R887" s="24"/>
      <c r="S887" s="21">
        <v>1.584</v>
      </c>
      <c r="T887" s="22">
        <f>IFERROR(__xludf.DUMMYFUNCTION("IFERROR(GOOGLEFINANCE(B887,""price""),"""")"),18.32)</f>
        <v>18.32</v>
      </c>
    </row>
    <row r="888">
      <c r="A888" s="7">
        <v>46072.87177257238</v>
      </c>
      <c r="B888" s="8" t="s">
        <v>5434</v>
      </c>
      <c r="C888" s="8" t="s">
        <v>5435</v>
      </c>
      <c r="D888" s="9">
        <v>46075.0</v>
      </c>
      <c r="E888" s="10">
        <v>11.39</v>
      </c>
      <c r="F888" s="26">
        <v>1.3145</v>
      </c>
      <c r="G888" s="12">
        <v>1.0237475E8</v>
      </c>
      <c r="H888" s="8" t="s">
        <v>308</v>
      </c>
      <c r="I888" s="11">
        <v>2.8907</v>
      </c>
      <c r="J888" s="12">
        <v>5.120527162E9</v>
      </c>
      <c r="K888" s="23"/>
      <c r="L888" s="13">
        <v>-0.4034</v>
      </c>
      <c r="M888" s="8" t="s">
        <v>5436</v>
      </c>
      <c r="N888" s="8" t="s">
        <v>5437</v>
      </c>
      <c r="O888" s="13">
        <v>-17.0422</v>
      </c>
      <c r="P888" s="13">
        <v>-176.0921</v>
      </c>
      <c r="Q888" s="13">
        <v>208.4002</v>
      </c>
      <c r="R888" s="13">
        <v>0.037</v>
      </c>
      <c r="S888" s="13">
        <v>15.2957</v>
      </c>
      <c r="T888" s="14">
        <f>IFERROR(__xludf.DUMMYFUNCTION("IFERROR(GOOGLEFINANCE(B888,""price""),"""")"),9.13)</f>
        <v>9.13</v>
      </c>
    </row>
    <row r="889">
      <c r="A889" s="15">
        <v>46072.87177257238</v>
      </c>
      <c r="B889" s="16" t="s">
        <v>5574</v>
      </c>
      <c r="C889" s="16" t="s">
        <v>5575</v>
      </c>
      <c r="D889" s="17">
        <v>46075.0</v>
      </c>
      <c r="E889" s="18">
        <v>21.97</v>
      </c>
      <c r="F889" s="27">
        <v>1.2949</v>
      </c>
      <c r="G889" s="20">
        <v>9987502.0</v>
      </c>
      <c r="H889" s="16" t="s">
        <v>335</v>
      </c>
      <c r="I889" s="19">
        <v>2.9522</v>
      </c>
      <c r="J889" s="20">
        <v>5.21319012E9</v>
      </c>
      <c r="K889" s="24"/>
      <c r="L889" s="21">
        <v>-0.4849</v>
      </c>
      <c r="M889" s="16" t="s">
        <v>5576</v>
      </c>
      <c r="N889" s="16" t="s">
        <v>5506</v>
      </c>
      <c r="O889" s="21">
        <v>-18.1731</v>
      </c>
      <c r="P889" s="21">
        <v>-129.5586</v>
      </c>
      <c r="Q889" s="21">
        <v>103.694</v>
      </c>
      <c r="R889" s="21">
        <v>0.0</v>
      </c>
      <c r="S889" s="21">
        <v>11.4962</v>
      </c>
      <c r="T889" s="22">
        <f>IFERROR(__xludf.DUMMYFUNCTION("IFERROR(GOOGLEFINANCE(B889,""price""),"""")"),18.4)</f>
        <v>18.4</v>
      </c>
    </row>
    <row r="890">
      <c r="A890" s="7">
        <v>46072.87177257238</v>
      </c>
      <c r="B890" s="8" t="s">
        <v>5934</v>
      </c>
      <c r="C890" s="8" t="s">
        <v>5935</v>
      </c>
      <c r="D890" s="9">
        <v>46075.0</v>
      </c>
      <c r="E890" s="10">
        <v>37.65</v>
      </c>
      <c r="F890" s="26">
        <v>1.2891</v>
      </c>
      <c r="G890" s="12">
        <v>1.1259561E7</v>
      </c>
      <c r="H890" s="8" t="s">
        <v>137</v>
      </c>
      <c r="I890" s="11">
        <v>-0.2649</v>
      </c>
      <c r="J890" s="12">
        <v>3.6445866412E10</v>
      </c>
      <c r="K890" s="13">
        <v>23.0925</v>
      </c>
      <c r="L890" s="13">
        <v>1.6304</v>
      </c>
      <c r="M890" s="8" t="s">
        <v>5936</v>
      </c>
      <c r="N890" s="8" t="s">
        <v>5937</v>
      </c>
      <c r="O890" s="13">
        <v>18.2217</v>
      </c>
      <c r="P890" s="13">
        <v>36.9706</v>
      </c>
      <c r="Q890" s="13">
        <v>6.6905</v>
      </c>
      <c r="R890" s="13">
        <v>0.0104</v>
      </c>
      <c r="S890" s="13">
        <v>7.788</v>
      </c>
      <c r="T890" s="14">
        <f>IFERROR(__xludf.DUMMYFUNCTION("IFERROR(GOOGLEFINANCE(B890,""price""),"""")"),32.76)</f>
        <v>32.76</v>
      </c>
    </row>
    <row r="891">
      <c r="A891" s="15">
        <v>46072.87177257238</v>
      </c>
      <c r="B891" s="16" t="s">
        <v>5594</v>
      </c>
      <c r="C891" s="16" t="s">
        <v>5595</v>
      </c>
      <c r="D891" s="17">
        <v>46075.0</v>
      </c>
      <c r="E891" s="18">
        <v>15.47</v>
      </c>
      <c r="F891" s="27">
        <v>1.2598</v>
      </c>
      <c r="G891" s="20">
        <v>2.3465873E7</v>
      </c>
      <c r="H891" s="16" t="s">
        <v>88</v>
      </c>
      <c r="I891" s="19">
        <v>0.5852</v>
      </c>
      <c r="J891" s="20">
        <v>6.477008806E9</v>
      </c>
      <c r="K891" s="24"/>
      <c r="L891" s="21">
        <v>-1.4167</v>
      </c>
      <c r="M891" s="16" t="s">
        <v>5596</v>
      </c>
      <c r="N891" s="16" t="s">
        <v>5471</v>
      </c>
      <c r="O891" s="21">
        <v>-181.9547</v>
      </c>
      <c r="P891" s="21">
        <v>-69.885</v>
      </c>
      <c r="Q891" s="21">
        <v>30.5825</v>
      </c>
      <c r="R891" s="21">
        <v>4.3877</v>
      </c>
      <c r="S891" s="21">
        <v>1.0329</v>
      </c>
      <c r="T891" s="22">
        <f>IFERROR(__xludf.DUMMYFUNCTION("IFERROR(GOOGLEFINANCE(B891,""price""),"""")"),18.88)</f>
        <v>18.88</v>
      </c>
    </row>
    <row r="892">
      <c r="A892" s="7">
        <v>46072.87177257238</v>
      </c>
      <c r="B892" s="8" t="s">
        <v>2704</v>
      </c>
      <c r="C892" s="8" t="s">
        <v>2705</v>
      </c>
      <c r="D892" s="9">
        <v>46075.0</v>
      </c>
      <c r="E892" s="10">
        <v>31.53</v>
      </c>
      <c r="F892" s="26">
        <v>1.2256</v>
      </c>
      <c r="G892" s="12">
        <v>1.5011667E7</v>
      </c>
      <c r="H892" s="8" t="s">
        <v>88</v>
      </c>
      <c r="I892" s="11">
        <v>-1.1908</v>
      </c>
      <c r="J892" s="12">
        <v>8.815340719E9</v>
      </c>
      <c r="K892" s="23"/>
      <c r="L892" s="13">
        <v>-0.5438</v>
      </c>
      <c r="M892" s="8" t="s">
        <v>2707</v>
      </c>
      <c r="N892" s="8" t="s">
        <v>5471</v>
      </c>
      <c r="O892" s="13">
        <v>-11.4029</v>
      </c>
      <c r="P892" s="13">
        <v>-26.4624</v>
      </c>
      <c r="Q892" s="13">
        <v>33.135</v>
      </c>
      <c r="R892" s="13">
        <v>1.6778</v>
      </c>
      <c r="S892" s="13">
        <v>4.8227</v>
      </c>
      <c r="T892" s="14">
        <f>IFERROR(__xludf.DUMMYFUNCTION("IFERROR(GOOGLEFINANCE(B892,""price""),"""")"),26.24)</f>
        <v>26.24</v>
      </c>
    </row>
    <row r="893">
      <c r="A893" s="15">
        <v>46072.87177257238</v>
      </c>
      <c r="B893" s="16" t="s">
        <v>5561</v>
      </c>
      <c r="C893" s="16" t="s">
        <v>5562</v>
      </c>
      <c r="D893" s="17">
        <v>46075.0</v>
      </c>
      <c r="E893" s="18">
        <v>14.64</v>
      </c>
      <c r="F893" s="27">
        <v>1.2201</v>
      </c>
      <c r="G893" s="20">
        <v>1.9682615E7</v>
      </c>
      <c r="H893" s="16" t="s">
        <v>102</v>
      </c>
      <c r="I893" s="19">
        <v>3.0986</v>
      </c>
      <c r="J893" s="20">
        <v>4.431887709E9</v>
      </c>
      <c r="K893" s="24"/>
      <c r="L893" s="21">
        <v>-2.8582</v>
      </c>
      <c r="M893" s="16" t="s">
        <v>5563</v>
      </c>
      <c r="N893" s="16" t="s">
        <v>5536</v>
      </c>
      <c r="O893" s="21">
        <v>-76.8505</v>
      </c>
      <c r="P893" s="21">
        <v>-983.9643</v>
      </c>
      <c r="Q893" s="21">
        <v>765.6686</v>
      </c>
      <c r="R893" s="21">
        <v>0.0</v>
      </c>
      <c r="S893" s="21">
        <v>1.6153</v>
      </c>
      <c r="T893" s="22">
        <f>IFERROR(__xludf.DUMMYFUNCTION("IFERROR(GOOGLEFINANCE(B893,""price""),"""")"),9.21)</f>
        <v>9.21</v>
      </c>
    </row>
    <row r="894">
      <c r="A894" s="7">
        <v>46072.87177257238</v>
      </c>
      <c r="B894" s="8" t="s">
        <v>5544</v>
      </c>
      <c r="C894" s="8" t="s">
        <v>5545</v>
      </c>
      <c r="D894" s="9">
        <v>46075.0</v>
      </c>
      <c r="E894" s="10">
        <v>15.8</v>
      </c>
      <c r="F894" s="26">
        <v>1.1882</v>
      </c>
      <c r="G894" s="12">
        <v>2.1475972E7</v>
      </c>
      <c r="H894" s="8" t="s">
        <v>88</v>
      </c>
      <c r="I894" s="11">
        <v>2.4643</v>
      </c>
      <c r="J894" s="12">
        <v>6.242454761E9</v>
      </c>
      <c r="K894" s="23"/>
      <c r="L894" s="13">
        <v>-0.1905</v>
      </c>
      <c r="M894" s="8" t="s">
        <v>5546</v>
      </c>
      <c r="N894" s="8" t="s">
        <v>5471</v>
      </c>
      <c r="O894" s="13">
        <v>-9.6935</v>
      </c>
      <c r="P894" s="13">
        <v>-72.0529</v>
      </c>
      <c r="Q894" s="13">
        <v>35.4099</v>
      </c>
      <c r="R894" s="13">
        <v>1.333</v>
      </c>
      <c r="S894" s="13">
        <v>2.4892</v>
      </c>
      <c r="T894" s="14">
        <f>IFERROR(__xludf.DUMMYFUNCTION("IFERROR(GOOGLEFINANCE(B894,""price""),"""")"),16.53)</f>
        <v>16.53</v>
      </c>
    </row>
    <row r="895">
      <c r="A895" s="15">
        <v>46072.87177257238</v>
      </c>
      <c r="B895" s="16" t="s">
        <v>5957</v>
      </c>
      <c r="C895" s="16" t="s">
        <v>5958</v>
      </c>
      <c r="D895" s="17">
        <v>46075.0</v>
      </c>
      <c r="E895" s="18">
        <v>34.24</v>
      </c>
      <c r="F895" s="27">
        <v>1.1797</v>
      </c>
      <c r="G895" s="20">
        <v>1.1764635E7</v>
      </c>
      <c r="H895" s="16" t="s">
        <v>117</v>
      </c>
      <c r="I895" s="19">
        <v>-14.0131</v>
      </c>
      <c r="J895" s="20">
        <v>3.601644528E9</v>
      </c>
      <c r="K895" s="21">
        <v>39.1225</v>
      </c>
      <c r="L895" s="21">
        <v>0.8752</v>
      </c>
      <c r="M895" s="16" t="s">
        <v>5959</v>
      </c>
      <c r="N895" s="16" t="s">
        <v>5491</v>
      </c>
      <c r="O895" s="21">
        <v>16.4703</v>
      </c>
      <c r="P895" s="21">
        <v>8.8471</v>
      </c>
      <c r="Q895" s="21">
        <v>17.9168</v>
      </c>
      <c r="R895" s="21">
        <v>0.0101</v>
      </c>
      <c r="S895" s="21">
        <v>3.1413</v>
      </c>
      <c r="T895" s="22">
        <f>IFERROR(__xludf.DUMMYFUNCTION("IFERROR(GOOGLEFINANCE(B895,""price""),"""")"),41.91)</f>
        <v>41.91</v>
      </c>
    </row>
    <row r="896">
      <c r="A896" s="7">
        <v>46072.87177257238</v>
      </c>
      <c r="B896" s="8" t="s">
        <v>5458</v>
      </c>
      <c r="C896" s="8" t="s">
        <v>5459</v>
      </c>
      <c r="D896" s="9">
        <v>46075.0</v>
      </c>
      <c r="E896" s="10">
        <v>4.19</v>
      </c>
      <c r="F896" s="26">
        <v>1.1719</v>
      </c>
      <c r="G896" s="12">
        <v>3.6351265E7</v>
      </c>
      <c r="H896" s="8" t="s">
        <v>88</v>
      </c>
      <c r="I896" s="11">
        <v>2.445</v>
      </c>
      <c r="J896" s="12">
        <v>1.829149631E9</v>
      </c>
      <c r="K896" s="23"/>
      <c r="L896" s="13">
        <v>-1.4208</v>
      </c>
      <c r="M896" s="8" t="s">
        <v>5460</v>
      </c>
      <c r="N896" s="8" t="s">
        <v>5429</v>
      </c>
      <c r="O896" s="13">
        <v>-111.8268</v>
      </c>
      <c r="P896" s="13">
        <v>-46.2208</v>
      </c>
      <c r="Q896" s="13">
        <v>-6.9516</v>
      </c>
      <c r="R896" s="13">
        <v>0.1851</v>
      </c>
      <c r="S896" s="13">
        <v>3.1313</v>
      </c>
      <c r="T896" s="14">
        <f>IFERROR(__xludf.DUMMYFUNCTION("IFERROR(GOOGLEFINANCE(B896,""price""),"""")"),3.32)</f>
        <v>3.32</v>
      </c>
    </row>
    <row r="897">
      <c r="A897" s="15">
        <v>46072.87177257238</v>
      </c>
      <c r="B897" s="16" t="s">
        <v>5944</v>
      </c>
      <c r="C897" s="16" t="s">
        <v>5945</v>
      </c>
      <c r="D897" s="17">
        <v>46075.0</v>
      </c>
      <c r="E897" s="18">
        <v>18.14</v>
      </c>
      <c r="F897" s="27">
        <v>1.168</v>
      </c>
      <c r="G897" s="20">
        <v>1.2092975E7</v>
      </c>
      <c r="H897" s="16" t="s">
        <v>93</v>
      </c>
      <c r="I897" s="19">
        <v>-0.0551</v>
      </c>
      <c r="J897" s="20">
        <v>6.496597727E9</v>
      </c>
      <c r="K897" s="21">
        <v>11.5851</v>
      </c>
      <c r="L897" s="21">
        <v>1.5658</v>
      </c>
      <c r="M897" s="16" t="s">
        <v>5946</v>
      </c>
      <c r="N897" s="16" t="s">
        <v>5947</v>
      </c>
      <c r="O897" s="21">
        <v>8.6623</v>
      </c>
      <c r="P897" s="21">
        <v>24.8531</v>
      </c>
      <c r="Q897" s="21">
        <v>4.5405</v>
      </c>
      <c r="R897" s="21">
        <v>0.5797</v>
      </c>
      <c r="S897" s="21">
        <v>0.0825</v>
      </c>
      <c r="T897" s="22">
        <f>IFERROR(__xludf.DUMMYFUNCTION("IFERROR(GOOGLEFINANCE(B897,""price""),"""")"),17.69)</f>
        <v>17.69</v>
      </c>
    </row>
    <row r="898">
      <c r="A898" s="7">
        <v>46072.87177257238</v>
      </c>
      <c r="B898" s="8" t="s">
        <v>5649</v>
      </c>
      <c r="C898" s="8" t="s">
        <v>5650</v>
      </c>
      <c r="D898" s="9">
        <v>46075.0</v>
      </c>
      <c r="E898" s="10">
        <v>25.11</v>
      </c>
      <c r="F898" s="26">
        <v>1.166</v>
      </c>
      <c r="G898" s="12">
        <v>1.0857995E7</v>
      </c>
      <c r="H898" s="8" t="s">
        <v>88</v>
      </c>
      <c r="I898" s="11">
        <v>5.7709</v>
      </c>
      <c r="J898" s="12">
        <v>8.37139773E9</v>
      </c>
      <c r="K898" s="23"/>
      <c r="L898" s="13">
        <v>-0.4263</v>
      </c>
      <c r="M898" s="8" t="s">
        <v>5651</v>
      </c>
      <c r="N898" s="8" t="s">
        <v>5429</v>
      </c>
      <c r="O898" s="13">
        <v>-31.8263</v>
      </c>
      <c r="P898" s="13">
        <v>-26.3989</v>
      </c>
      <c r="Q898" s="13">
        <v>16.8876</v>
      </c>
      <c r="R898" s="13">
        <v>1.3198</v>
      </c>
      <c r="S898" s="13">
        <v>3.9903</v>
      </c>
      <c r="T898" s="14">
        <f>IFERROR(__xludf.DUMMYFUNCTION("IFERROR(GOOGLEFINANCE(B898,""price""),"""")"),34.67)</f>
        <v>34.67</v>
      </c>
    </row>
    <row r="899">
      <c r="A899" s="15">
        <v>46072.87177257238</v>
      </c>
      <c r="B899" s="16" t="s">
        <v>5951</v>
      </c>
      <c r="C899" s="16" t="s">
        <v>5952</v>
      </c>
      <c r="D899" s="17">
        <v>46075.0</v>
      </c>
      <c r="E899" s="18">
        <v>9.44</v>
      </c>
      <c r="F899" s="27">
        <v>1.1484</v>
      </c>
      <c r="G899" s="20">
        <v>1.8047983E7</v>
      </c>
      <c r="H899" s="16" t="s">
        <v>93</v>
      </c>
      <c r="I899" s="19">
        <v>-2.1762</v>
      </c>
      <c r="J899" s="20">
        <v>3.000455829E9</v>
      </c>
      <c r="K899" s="21">
        <v>4.1006</v>
      </c>
      <c r="L899" s="21">
        <v>2.3021</v>
      </c>
      <c r="M899" s="16" t="s">
        <v>5953</v>
      </c>
      <c r="N899" s="16" t="s">
        <v>5464</v>
      </c>
      <c r="O899" s="21">
        <v>97.6998</v>
      </c>
      <c r="P899" s="21">
        <v>18.3342</v>
      </c>
      <c r="Q899" s="21">
        <v>-2.5135</v>
      </c>
      <c r="R899" s="21">
        <v>2.8012</v>
      </c>
      <c r="S899" s="21">
        <v>0.2436</v>
      </c>
      <c r="T899" s="22">
        <f>IFERROR(__xludf.DUMMYFUNCTION("IFERROR(GOOGLEFINANCE(B899,""price""),"""")"),8.88)</f>
        <v>8.88</v>
      </c>
    </row>
    <row r="900">
      <c r="A900" s="7">
        <v>46072.87177257238</v>
      </c>
      <c r="B900" s="8" t="s">
        <v>2300</v>
      </c>
      <c r="C900" s="8" t="s">
        <v>2301</v>
      </c>
      <c r="D900" s="9">
        <v>46075.0</v>
      </c>
      <c r="E900" s="10">
        <v>23.33</v>
      </c>
      <c r="F900" s="26">
        <v>1.1339</v>
      </c>
      <c r="G900" s="12">
        <v>1.2577824E7</v>
      </c>
      <c r="H900" s="8" t="s">
        <v>88</v>
      </c>
      <c r="I900" s="11">
        <v>0.8647</v>
      </c>
      <c r="J900" s="12">
        <v>6.838927413E9</v>
      </c>
      <c r="K900" s="23"/>
      <c r="L900" s="13">
        <v>-0.1371</v>
      </c>
      <c r="M900" s="8" t="s">
        <v>2302</v>
      </c>
      <c r="N900" s="8" t="s">
        <v>5429</v>
      </c>
      <c r="O900" s="13">
        <v>-2.5819</v>
      </c>
      <c r="P900" s="13">
        <v>3.8401</v>
      </c>
      <c r="Q900" s="13">
        <v>61.8776</v>
      </c>
      <c r="R900" s="13">
        <v>0.4255</v>
      </c>
      <c r="S900" s="13">
        <v>1.8035</v>
      </c>
      <c r="T900" s="14">
        <f>IFERROR(__xludf.DUMMYFUNCTION("IFERROR(GOOGLEFINANCE(B900,""price""),"""")"),24.0)</f>
        <v>24</v>
      </c>
    </row>
    <row r="901">
      <c r="A901" s="15">
        <v>46072.87177257238</v>
      </c>
      <c r="B901" s="16" t="s">
        <v>5858</v>
      </c>
      <c r="C901" s="16" t="s">
        <v>5859</v>
      </c>
      <c r="D901" s="17">
        <v>46075.0</v>
      </c>
      <c r="E901" s="18">
        <v>18.07</v>
      </c>
      <c r="F901" s="27">
        <v>1.125</v>
      </c>
      <c r="G901" s="20">
        <v>2.844106E7</v>
      </c>
      <c r="H901" s="16" t="s">
        <v>88</v>
      </c>
      <c r="I901" s="19">
        <v>-4.0361</v>
      </c>
      <c r="J901" s="20">
        <v>2.699657879E9</v>
      </c>
      <c r="K901" s="24"/>
      <c r="L901" s="21">
        <v>-0.8329</v>
      </c>
      <c r="M901" s="16" t="s">
        <v>5860</v>
      </c>
      <c r="N901" s="16" t="s">
        <v>5664</v>
      </c>
      <c r="O901" s="21">
        <v>-12.8431</v>
      </c>
      <c r="P901" s="21">
        <v>-18.968</v>
      </c>
      <c r="Q901" s="21">
        <v>14.7776</v>
      </c>
      <c r="R901" s="21">
        <v>0.4628</v>
      </c>
      <c r="S901" s="21">
        <v>2.6119</v>
      </c>
      <c r="T901" s="22">
        <f>IFERROR(__xludf.DUMMYFUNCTION("IFERROR(GOOGLEFINANCE(B901,""price""),"""")"),23.07)</f>
        <v>23.07</v>
      </c>
    </row>
    <row r="902">
      <c r="A902" s="7">
        <v>46073.62860711011</v>
      </c>
      <c r="B902" s="8" t="s">
        <v>4936</v>
      </c>
      <c r="C902" s="8" t="s">
        <v>4937</v>
      </c>
      <c r="D902" s="9">
        <v>46075.0</v>
      </c>
      <c r="E902" s="10">
        <v>22.82</v>
      </c>
      <c r="F902" s="26">
        <v>4.21</v>
      </c>
      <c r="G902" s="12">
        <v>1.0160981E7</v>
      </c>
      <c r="H902" s="8" t="s">
        <v>93</v>
      </c>
      <c r="I902" s="11">
        <v>6.2384</v>
      </c>
      <c r="J902" s="12">
        <v>1.2024819898E10</v>
      </c>
      <c r="K902" s="23"/>
      <c r="L902" s="23"/>
      <c r="M902" s="8" t="s">
        <v>4938</v>
      </c>
      <c r="N902" s="8" t="s">
        <v>5708</v>
      </c>
      <c r="O902" s="13">
        <v>24.5666</v>
      </c>
      <c r="P902" s="13">
        <v>32.3937</v>
      </c>
      <c r="Q902" s="13">
        <v>3.1882</v>
      </c>
      <c r="R902" s="13">
        <v>3.6244</v>
      </c>
      <c r="S902" s="13">
        <v>0.2582</v>
      </c>
      <c r="T902" s="14">
        <f>IFERROR(__xludf.DUMMYFUNCTION("IFERROR(GOOGLEFINANCE(B902,""price""),"""")"),19.99)</f>
        <v>19.99</v>
      </c>
    </row>
    <row r="903">
      <c r="A903" s="15">
        <v>46073.62860711011</v>
      </c>
      <c r="B903" s="16" t="s">
        <v>5499</v>
      </c>
      <c r="C903" s="16" t="s">
        <v>5500</v>
      </c>
      <c r="D903" s="17">
        <v>46075.0</v>
      </c>
      <c r="E903" s="18">
        <v>2.8639</v>
      </c>
      <c r="F903" s="27">
        <v>3.0938</v>
      </c>
      <c r="G903" s="20">
        <v>6988734.0</v>
      </c>
      <c r="H903" s="16" t="s">
        <v>117</v>
      </c>
      <c r="I903" s="19">
        <v>0.4877</v>
      </c>
      <c r="J903" s="20">
        <v>1.136876492E9</v>
      </c>
      <c r="K903" s="24"/>
      <c r="L903" s="21">
        <v>-1.2019</v>
      </c>
      <c r="M903" s="16" t="s">
        <v>5501</v>
      </c>
      <c r="N903" s="16" t="s">
        <v>5502</v>
      </c>
      <c r="O903" s="21">
        <v>-53.8892</v>
      </c>
      <c r="P903" s="21">
        <v>-164.2524</v>
      </c>
      <c r="Q903" s="21">
        <v>175.6224</v>
      </c>
      <c r="R903" s="21">
        <v>0.0747</v>
      </c>
      <c r="S903" s="21">
        <v>3.4113</v>
      </c>
      <c r="T903" s="22">
        <f>IFERROR(__xludf.DUMMYFUNCTION("IFERROR(GOOGLEFINANCE(B903,""price""),"""")"),3.7)</f>
        <v>3.7</v>
      </c>
    </row>
    <row r="904">
      <c r="A904" s="7">
        <v>46073.62860711011</v>
      </c>
      <c r="B904" s="8" t="s">
        <v>5963</v>
      </c>
      <c r="C904" s="8" t="s">
        <v>5964</v>
      </c>
      <c r="D904" s="9">
        <v>46075.0</v>
      </c>
      <c r="E904" s="10">
        <v>44.22</v>
      </c>
      <c r="F904" s="26">
        <v>1.3919</v>
      </c>
      <c r="G904" s="12">
        <v>7807345.0</v>
      </c>
      <c r="H904" s="8" t="s">
        <v>93</v>
      </c>
      <c r="I904" s="11">
        <v>-0.8075</v>
      </c>
      <c r="J904" s="12">
        <v>1.7009355694E10</v>
      </c>
      <c r="K904" s="13">
        <v>99.148</v>
      </c>
      <c r="L904" s="13">
        <v>0.446</v>
      </c>
      <c r="M904" s="8" t="s">
        <v>5965</v>
      </c>
      <c r="N904" s="8" t="s">
        <v>5678</v>
      </c>
      <c r="O904" s="13">
        <v>13.1354</v>
      </c>
      <c r="P904" s="13">
        <v>14.7262</v>
      </c>
      <c r="Q904" s="13">
        <v>33.5599</v>
      </c>
      <c r="R904" s="13">
        <v>2.0379</v>
      </c>
      <c r="S904" s="13">
        <v>1.4723</v>
      </c>
      <c r="T904" s="14">
        <f>IFERROR(__xludf.DUMMYFUNCTION("IFERROR(GOOGLEFINANCE(B904,""price""),"""")"),38.29)</f>
        <v>38.29</v>
      </c>
    </row>
    <row r="905">
      <c r="A905" s="15">
        <v>46073.62860711011</v>
      </c>
      <c r="B905" s="16" t="s">
        <v>5966</v>
      </c>
      <c r="C905" s="16" t="s">
        <v>5967</v>
      </c>
      <c r="D905" s="17">
        <v>46075.0</v>
      </c>
      <c r="E905" s="18">
        <v>5.675</v>
      </c>
      <c r="F905" s="27">
        <v>1.3281</v>
      </c>
      <c r="G905" s="20">
        <v>1.2355523E7</v>
      </c>
      <c r="H905" s="16" t="s">
        <v>117</v>
      </c>
      <c r="I905" s="19">
        <v>-15.8012</v>
      </c>
      <c r="J905" s="20">
        <v>1.378879216E9</v>
      </c>
      <c r="K905" s="24"/>
      <c r="L905" s="21">
        <v>-0.2369</v>
      </c>
      <c r="M905" s="16" t="s">
        <v>5968</v>
      </c>
      <c r="N905" s="16" t="s">
        <v>5491</v>
      </c>
      <c r="O905" s="21">
        <v>-36.1812</v>
      </c>
      <c r="P905" s="21">
        <v>-9.5298</v>
      </c>
      <c r="Q905" s="21">
        <v>58.1241</v>
      </c>
      <c r="R905" s="21">
        <v>1.3457</v>
      </c>
      <c r="S905" s="21">
        <v>4.4129</v>
      </c>
      <c r="T905" s="22">
        <f>IFERROR(__xludf.DUMMYFUNCTION("IFERROR(GOOGLEFINANCE(B905,""price""),"""")"),6.18)</f>
        <v>6.18</v>
      </c>
    </row>
    <row r="906">
      <c r="A906" s="7">
        <v>46073.62860711011</v>
      </c>
      <c r="B906" s="8" t="s">
        <v>5623</v>
      </c>
      <c r="C906" s="8" t="s">
        <v>5624</v>
      </c>
      <c r="D906" s="9">
        <v>46075.0</v>
      </c>
      <c r="E906" s="10">
        <v>4.74</v>
      </c>
      <c r="F906" s="26">
        <v>1.2734</v>
      </c>
      <c r="G906" s="12">
        <v>1.4738826E7</v>
      </c>
      <c r="H906" s="8" t="s">
        <v>88</v>
      </c>
      <c r="I906" s="11">
        <v>-2.4691</v>
      </c>
      <c r="J906" s="12">
        <v>9.237374737E9</v>
      </c>
      <c r="K906" s="23"/>
      <c r="L906" s="13">
        <v>-0.4446</v>
      </c>
      <c r="M906" s="8" t="s">
        <v>5625</v>
      </c>
      <c r="N906" s="8" t="s">
        <v>5429</v>
      </c>
      <c r="O906" s="13">
        <v>-40.6476</v>
      </c>
      <c r="P906" s="13">
        <v>-30033.3333</v>
      </c>
      <c r="Q906" s="23"/>
      <c r="R906" s="13">
        <v>0.0393</v>
      </c>
      <c r="S906" s="13">
        <v>11.8649</v>
      </c>
      <c r="T906" s="14">
        <f>IFERROR(__xludf.DUMMYFUNCTION("IFERROR(GOOGLEFINANCE(B906,""price""),"""")"),4.15)</f>
        <v>4.15</v>
      </c>
    </row>
    <row r="907">
      <c r="A907" s="15">
        <v>46073.62860711011</v>
      </c>
      <c r="B907" s="16" t="s">
        <v>5175</v>
      </c>
      <c r="C907" s="16" t="s">
        <v>5176</v>
      </c>
      <c r="D907" s="17">
        <v>46075.0</v>
      </c>
      <c r="E907" s="18">
        <v>4.63</v>
      </c>
      <c r="F907" s="27">
        <v>1.2031</v>
      </c>
      <c r="G907" s="20">
        <v>1.2766283E7</v>
      </c>
      <c r="H907" s="16" t="s">
        <v>93</v>
      </c>
      <c r="I907" s="19">
        <v>-3.5417</v>
      </c>
      <c r="J907" s="20">
        <v>7.562367916E9</v>
      </c>
      <c r="K907" s="24"/>
      <c r="L907" s="21">
        <v>-0.009</v>
      </c>
      <c r="M907" s="16" t="s">
        <v>5177</v>
      </c>
      <c r="N907" s="16" t="s">
        <v>5590</v>
      </c>
      <c r="O907" s="21">
        <v>11.3702</v>
      </c>
      <c r="P907" s="21">
        <v>30.822</v>
      </c>
      <c r="Q907" s="21">
        <v>-8.6628</v>
      </c>
      <c r="R907" s="21">
        <v>81.7577</v>
      </c>
      <c r="S907" s="21">
        <v>0.1285</v>
      </c>
      <c r="T907" s="22">
        <f>IFERROR(__xludf.DUMMYFUNCTION("IFERROR(GOOGLEFINANCE(B907,""price""),"""")"),3.69)</f>
        <v>3.69</v>
      </c>
    </row>
    <row r="908">
      <c r="A908" s="7">
        <v>46073.62860711011</v>
      </c>
      <c r="B908" s="8" t="s">
        <v>5969</v>
      </c>
      <c r="C908" s="8" t="s">
        <v>5970</v>
      </c>
      <c r="D908" s="9">
        <v>46075.0</v>
      </c>
      <c r="E908" s="10">
        <v>26.51</v>
      </c>
      <c r="F908" s="26">
        <v>1.1945</v>
      </c>
      <c r="G908" s="12">
        <v>1.0616044E7</v>
      </c>
      <c r="H908" s="8" t="s">
        <v>88</v>
      </c>
      <c r="I908" s="11">
        <v>-7.7592</v>
      </c>
      <c r="J908" s="12">
        <v>4.464284045E9</v>
      </c>
      <c r="K908" s="23"/>
      <c r="L908" s="13">
        <v>-0.2596</v>
      </c>
      <c r="M908" s="8" t="s">
        <v>5971</v>
      </c>
      <c r="N908" s="8" t="s">
        <v>5429</v>
      </c>
      <c r="O908" s="13">
        <v>-5.1687</v>
      </c>
      <c r="P908" s="13">
        <v>-8.3118</v>
      </c>
      <c r="Q908" s="13">
        <v>27.3548</v>
      </c>
      <c r="R908" s="13">
        <v>0.0</v>
      </c>
      <c r="S908" s="13">
        <v>2.5988</v>
      </c>
      <c r="T908" s="14">
        <f>IFERROR(__xludf.DUMMYFUNCTION("IFERROR(GOOGLEFINANCE(B908,""price""),"""")"),19.42)</f>
        <v>19.42</v>
      </c>
    </row>
    <row r="909">
      <c r="A909" s="15">
        <v>46073.62860711011</v>
      </c>
      <c r="B909" s="16" t="s">
        <v>5551</v>
      </c>
      <c r="C909" s="16" t="s">
        <v>5552</v>
      </c>
      <c r="D909" s="17">
        <v>46075.0</v>
      </c>
      <c r="E909" s="18">
        <v>1.0066</v>
      </c>
      <c r="F909" s="27">
        <v>1.1875</v>
      </c>
      <c r="G909" s="20">
        <v>1.3068392E7</v>
      </c>
      <c r="H909" s="16" t="s">
        <v>88</v>
      </c>
      <c r="I909" s="19">
        <v>-1.3137</v>
      </c>
      <c r="J909" s="20">
        <v>9.33727175E8</v>
      </c>
      <c r="K909" s="24"/>
      <c r="L909" s="21">
        <v>-0.7493</v>
      </c>
      <c r="M909" s="16" t="s">
        <v>5553</v>
      </c>
      <c r="N909" s="16" t="s">
        <v>5471</v>
      </c>
      <c r="O909" s="21">
        <v>-2.7528</v>
      </c>
      <c r="P909" s="21">
        <v>7.0352</v>
      </c>
      <c r="Q909" s="21">
        <v>623.0875</v>
      </c>
      <c r="R909" s="21">
        <v>0.3226</v>
      </c>
      <c r="S909" s="21">
        <v>0.0737</v>
      </c>
      <c r="T909" s="22">
        <f>IFERROR(__xludf.DUMMYFUNCTION("IFERROR(GOOGLEFINANCE(B909,""price""),"""")"),0.95)</f>
        <v>0.95</v>
      </c>
    </row>
    <row r="910">
      <c r="A910" s="7">
        <v>46073.62860711011</v>
      </c>
      <c r="B910" s="8" t="s">
        <v>5972</v>
      </c>
      <c r="C910" s="8" t="s">
        <v>5973</v>
      </c>
      <c r="D910" s="9">
        <v>46075.0</v>
      </c>
      <c r="E910" s="10">
        <v>12.755</v>
      </c>
      <c r="F910" s="26">
        <v>1.1289</v>
      </c>
      <c r="G910" s="12">
        <v>8254718.0</v>
      </c>
      <c r="H910" s="8" t="s">
        <v>245</v>
      </c>
      <c r="I910" s="11">
        <v>-10.3024</v>
      </c>
      <c r="J910" s="12">
        <v>1.547967871E9</v>
      </c>
      <c r="K910" s="13">
        <v>61.8274</v>
      </c>
      <c r="L910" s="13">
        <v>0.2063</v>
      </c>
      <c r="M910" s="8" t="s">
        <v>5974</v>
      </c>
      <c r="N910" s="8" t="s">
        <v>5410</v>
      </c>
      <c r="O910" s="13">
        <v>2.6543</v>
      </c>
      <c r="P910" s="13">
        <v>2.9509</v>
      </c>
      <c r="Q910" s="13">
        <v>-3.0805</v>
      </c>
      <c r="R910" s="13">
        <v>0.4401</v>
      </c>
      <c r="S910" s="13">
        <v>1.5702</v>
      </c>
      <c r="T910" s="14">
        <f>IFERROR(__xludf.DUMMYFUNCTION("IFERROR(GOOGLEFINANCE(B910,""price""),"""")"),15.16)</f>
        <v>15.16</v>
      </c>
    </row>
    <row r="911">
      <c r="A911" s="15">
        <v>46073.62860711011</v>
      </c>
      <c r="B911" s="16" t="s">
        <v>832</v>
      </c>
      <c r="C911" s="16" t="s">
        <v>833</v>
      </c>
      <c r="D911" s="17">
        <v>46075.0</v>
      </c>
      <c r="E911" s="18">
        <v>3.55</v>
      </c>
      <c r="F911" s="27">
        <v>1.125</v>
      </c>
      <c r="G911" s="20">
        <v>8694915.0</v>
      </c>
      <c r="H911" s="16" t="s">
        <v>308</v>
      </c>
      <c r="I911" s="19">
        <v>3.4985</v>
      </c>
      <c r="J911" s="20">
        <v>7.79695386E8</v>
      </c>
      <c r="K911" s="24"/>
      <c r="L911" s="21">
        <v>-0.7304</v>
      </c>
      <c r="M911" s="16" t="s">
        <v>834</v>
      </c>
      <c r="N911" s="16" t="s">
        <v>5414</v>
      </c>
      <c r="O911" s="21">
        <v>-37.1683</v>
      </c>
      <c r="P911" s="21">
        <v>-66.5787</v>
      </c>
      <c r="Q911" s="21">
        <v>0.3286</v>
      </c>
      <c r="R911" s="21">
        <v>1.027</v>
      </c>
      <c r="S911" s="21">
        <v>3.6716</v>
      </c>
      <c r="T911" s="22">
        <f>IFERROR(__xludf.DUMMYFUNCTION("IFERROR(GOOGLEFINANCE(B911,""price""),"""")"),2.91)</f>
        <v>2.91</v>
      </c>
    </row>
    <row r="912">
      <c r="A912" s="7">
        <v>46073.62860711011</v>
      </c>
      <c r="B912" s="8" t="s">
        <v>5640</v>
      </c>
      <c r="C912" s="8" t="s">
        <v>5641</v>
      </c>
      <c r="D912" s="9">
        <v>46075.0</v>
      </c>
      <c r="E912" s="10">
        <v>29.4304</v>
      </c>
      <c r="F912" s="26">
        <v>1.1182</v>
      </c>
      <c r="G912" s="12">
        <v>1.3260499E7</v>
      </c>
      <c r="H912" s="8" t="s">
        <v>308</v>
      </c>
      <c r="I912" s="11">
        <v>23.6052</v>
      </c>
      <c r="J912" s="12">
        <v>1.626740557E9</v>
      </c>
      <c r="K912" s="23"/>
      <c r="L912" s="13">
        <v>-0.4882</v>
      </c>
      <c r="M912" s="8" t="s">
        <v>5642</v>
      </c>
      <c r="N912" s="8" t="s">
        <v>5433</v>
      </c>
      <c r="O912" s="13">
        <v>-9.1233</v>
      </c>
      <c r="P912" s="13">
        <v>-24.8806</v>
      </c>
      <c r="Q912" s="13">
        <v>-11.106</v>
      </c>
      <c r="R912" s="13">
        <v>0.2351</v>
      </c>
      <c r="S912" s="13">
        <v>2.7231</v>
      </c>
      <c r="T912" s="14">
        <f>IFERROR(__xludf.DUMMYFUNCTION("IFERROR(GOOGLEFINANCE(B912,""price""),"""")"),64.18)</f>
        <v>64.18</v>
      </c>
    </row>
    <row r="913">
      <c r="A913" s="15">
        <v>46073.62860711011</v>
      </c>
      <c r="B913" s="16" t="s">
        <v>5537</v>
      </c>
      <c r="C913" s="16" t="s">
        <v>5538</v>
      </c>
      <c r="D913" s="17">
        <v>46075.0</v>
      </c>
      <c r="E913" s="18">
        <v>2.65</v>
      </c>
      <c r="F913" s="27">
        <v>1.0781</v>
      </c>
      <c r="G913" s="20">
        <v>1.2213651E7</v>
      </c>
      <c r="H913" s="16" t="s">
        <v>112</v>
      </c>
      <c r="I913" s="19">
        <v>-4.6763</v>
      </c>
      <c r="J913" s="20">
        <v>5.92529297E8</v>
      </c>
      <c r="K913" s="24"/>
      <c r="L913" s="21">
        <v>-0.135</v>
      </c>
      <c r="M913" s="16" t="s">
        <v>5539</v>
      </c>
      <c r="N913" s="16" t="s">
        <v>5540</v>
      </c>
      <c r="O913" s="21">
        <v>-10.5751</v>
      </c>
      <c r="P913" s="21">
        <v>-523.9108</v>
      </c>
      <c r="Q913" s="21">
        <v>12.4146</v>
      </c>
      <c r="R913" s="21">
        <v>0.0018</v>
      </c>
      <c r="S913" s="21">
        <v>35.7348</v>
      </c>
      <c r="T913" s="22">
        <f>IFERROR(__xludf.DUMMYFUNCTION("IFERROR(GOOGLEFINANCE(B913,""price""),"""")"),2.01)</f>
        <v>2.01</v>
      </c>
    </row>
    <row r="914">
      <c r="A914" s="7">
        <v>46073.62860711011</v>
      </c>
      <c r="B914" s="8" t="s">
        <v>5975</v>
      </c>
      <c r="C914" s="8" t="s">
        <v>5976</v>
      </c>
      <c r="D914" s="9">
        <v>46075.0</v>
      </c>
      <c r="E914" s="10">
        <v>19.415</v>
      </c>
      <c r="F914" s="26">
        <v>0.9883</v>
      </c>
      <c r="G914" s="12">
        <v>6936342.0</v>
      </c>
      <c r="H914" s="8" t="s">
        <v>88</v>
      </c>
      <c r="I914" s="11">
        <v>13.0093</v>
      </c>
      <c r="J914" s="12">
        <v>1.51856477E9</v>
      </c>
      <c r="K914" s="13">
        <v>42.6329</v>
      </c>
      <c r="L914" s="13">
        <v>0.4554</v>
      </c>
      <c r="M914" s="8" t="s">
        <v>5977</v>
      </c>
      <c r="N914" s="8" t="s">
        <v>5429</v>
      </c>
      <c r="O914" s="13">
        <v>5.5988</v>
      </c>
      <c r="P914" s="13">
        <v>2.8667</v>
      </c>
      <c r="Q914" s="13">
        <v>10.2837</v>
      </c>
      <c r="R914" s="13">
        <v>1.0245</v>
      </c>
      <c r="S914" s="13">
        <v>4.0891</v>
      </c>
      <c r="T914" s="14">
        <f>IFERROR(__xludf.DUMMYFUNCTION("IFERROR(GOOGLEFINANCE(B914,""price""),"""")"),13.61)</f>
        <v>13.61</v>
      </c>
    </row>
    <row r="915">
      <c r="A915" s="15">
        <v>46073.62860711011</v>
      </c>
      <c r="B915" s="16" t="s">
        <v>5944</v>
      </c>
      <c r="C915" s="16" t="s">
        <v>5945</v>
      </c>
      <c r="D915" s="17">
        <v>46075.0</v>
      </c>
      <c r="E915" s="18">
        <v>18.312</v>
      </c>
      <c r="F915" s="27">
        <v>0.9883</v>
      </c>
      <c r="G915" s="20">
        <v>1.0645527E7</v>
      </c>
      <c r="H915" s="16" t="s">
        <v>93</v>
      </c>
      <c r="I915" s="19">
        <v>0.9482</v>
      </c>
      <c r="J915" s="20">
        <v>6.558197138E9</v>
      </c>
      <c r="K915" s="21">
        <v>11.695</v>
      </c>
      <c r="L915" s="21">
        <v>1.5658</v>
      </c>
      <c r="M915" s="16" t="s">
        <v>5946</v>
      </c>
      <c r="N915" s="16" t="s">
        <v>5947</v>
      </c>
      <c r="O915" s="21">
        <v>8.6623</v>
      </c>
      <c r="P915" s="21">
        <v>24.8531</v>
      </c>
      <c r="Q915" s="21">
        <v>4.5405</v>
      </c>
      <c r="R915" s="21">
        <v>0.5797</v>
      </c>
      <c r="S915" s="21">
        <v>0.0825</v>
      </c>
      <c r="T915" s="22">
        <f>IFERROR(__xludf.DUMMYFUNCTION("IFERROR(GOOGLEFINANCE(B915,""price""),"""")"),17.69)</f>
        <v>17.69</v>
      </c>
    </row>
    <row r="916">
      <c r="A916" s="7">
        <v>46073.62860711011</v>
      </c>
      <c r="B916" s="8" t="s">
        <v>2016</v>
      </c>
      <c r="C916" s="8" t="s">
        <v>2017</v>
      </c>
      <c r="D916" s="9">
        <v>46075.0</v>
      </c>
      <c r="E916" s="10">
        <v>17.17</v>
      </c>
      <c r="F916" s="26">
        <v>0.9232</v>
      </c>
      <c r="G916" s="12">
        <v>9789400.0</v>
      </c>
      <c r="H916" s="8" t="s">
        <v>107</v>
      </c>
      <c r="I916" s="11">
        <v>-15.8746</v>
      </c>
      <c r="J916" s="12">
        <v>2.573644805E9</v>
      </c>
      <c r="K916" s="23"/>
      <c r="L916" s="13">
        <v>-2.4771</v>
      </c>
      <c r="M916" s="8" t="s">
        <v>2018</v>
      </c>
      <c r="N916" s="8" t="s">
        <v>5613</v>
      </c>
      <c r="O916" s="13">
        <v>-87.1194</v>
      </c>
      <c r="P916" s="23"/>
      <c r="Q916" s="13">
        <v>-0.0865</v>
      </c>
      <c r="R916" s="13">
        <v>17.328</v>
      </c>
      <c r="S916" s="13">
        <v>1.78</v>
      </c>
      <c r="T916" s="14">
        <f>IFERROR(__xludf.DUMMYFUNCTION("IFERROR(GOOGLEFINANCE(B916,""price""),"""")"),22.71)</f>
        <v>22.71</v>
      </c>
    </row>
    <row r="917">
      <c r="A917" s="15">
        <v>46073.62860711011</v>
      </c>
      <c r="B917" s="16" t="s">
        <v>5978</v>
      </c>
      <c r="C917" s="16" t="s">
        <v>5979</v>
      </c>
      <c r="D917" s="17">
        <v>46075.0</v>
      </c>
      <c r="E917" s="18">
        <v>17.1</v>
      </c>
      <c r="F917" s="27">
        <v>0.8984</v>
      </c>
      <c r="G917" s="20">
        <v>6989920.0</v>
      </c>
      <c r="H917" s="16" t="s">
        <v>186</v>
      </c>
      <c r="I917" s="19">
        <v>-0.2334</v>
      </c>
      <c r="J917" s="20">
        <v>3.602189914E9</v>
      </c>
      <c r="K917" s="21">
        <v>54.5107</v>
      </c>
      <c r="L917" s="21">
        <v>0.3137</v>
      </c>
      <c r="M917" s="16" t="s">
        <v>5980</v>
      </c>
      <c r="N917" s="16" t="s">
        <v>5573</v>
      </c>
      <c r="O917" s="21">
        <v>8.8555</v>
      </c>
      <c r="P917" s="21">
        <v>4.9933</v>
      </c>
      <c r="Q917" s="21">
        <v>29.3667</v>
      </c>
      <c r="R917" s="21">
        <v>0.2211</v>
      </c>
      <c r="S917" s="21">
        <v>3.2977</v>
      </c>
      <c r="T917" s="22">
        <f>IFERROR(__xludf.DUMMYFUNCTION("IFERROR(GOOGLEFINANCE(B917,""price""),"""")"),16.86)</f>
        <v>16.86</v>
      </c>
    </row>
    <row r="918">
      <c r="A918" s="7">
        <v>46073.62860711011</v>
      </c>
      <c r="B918" s="8" t="s">
        <v>5938</v>
      </c>
      <c r="C918" s="8" t="s">
        <v>5939</v>
      </c>
      <c r="D918" s="9">
        <v>46075.0</v>
      </c>
      <c r="E918" s="10">
        <v>7.875</v>
      </c>
      <c r="F918" s="26">
        <v>0.8906</v>
      </c>
      <c r="G918" s="12">
        <v>2.8928684E7</v>
      </c>
      <c r="H918" s="8" t="s">
        <v>88</v>
      </c>
      <c r="I918" s="11">
        <v>-0.8186</v>
      </c>
      <c r="J918" s="12">
        <v>1.83019434E9</v>
      </c>
      <c r="K918" s="23"/>
      <c r="L918" s="23"/>
      <c r="M918" s="8" t="s">
        <v>5940</v>
      </c>
      <c r="N918" s="8" t="s">
        <v>5471</v>
      </c>
      <c r="O918" s="13">
        <v>11.4635</v>
      </c>
      <c r="P918" s="13">
        <v>-29.6598</v>
      </c>
      <c r="Q918" s="13">
        <v>77.3256</v>
      </c>
      <c r="R918" s="13">
        <v>1.2667</v>
      </c>
      <c r="S918" s="13">
        <v>0.9119</v>
      </c>
      <c r="T918" s="14">
        <f>IFERROR(__xludf.DUMMYFUNCTION("IFERROR(GOOGLEFINANCE(B918,""price""),"""")"),10.75)</f>
        <v>10.75</v>
      </c>
    </row>
    <row r="919">
      <c r="A919" s="15">
        <v>46073.62860711011</v>
      </c>
      <c r="B919" s="16" t="s">
        <v>5981</v>
      </c>
      <c r="C919" s="16" t="s">
        <v>5982</v>
      </c>
      <c r="D919" s="17">
        <v>46075.0</v>
      </c>
      <c r="E919" s="18">
        <v>28.835</v>
      </c>
      <c r="F919" s="27">
        <v>0.869</v>
      </c>
      <c r="G919" s="20">
        <v>7539188.0</v>
      </c>
      <c r="H919" s="16" t="s">
        <v>137</v>
      </c>
      <c r="I919" s="19">
        <v>2.1793</v>
      </c>
      <c r="J919" s="20">
        <v>1.0724363484E10</v>
      </c>
      <c r="K919" s="21">
        <v>12.9149</v>
      </c>
      <c r="L919" s="21">
        <v>2.2327</v>
      </c>
      <c r="M919" s="16" t="s">
        <v>5983</v>
      </c>
      <c r="N919" s="16" t="s">
        <v>5984</v>
      </c>
      <c r="O919" s="21">
        <v>25.0958</v>
      </c>
      <c r="P919" s="21">
        <v>7.363</v>
      </c>
      <c r="Q919" s="21">
        <v>0.2888</v>
      </c>
      <c r="R919" s="21">
        <v>1.5125</v>
      </c>
      <c r="S919" s="21">
        <v>1.72</v>
      </c>
      <c r="T919" s="22">
        <f>IFERROR(__xludf.DUMMYFUNCTION("IFERROR(GOOGLEFINANCE(B919,""price""),"""")"),26.3)</f>
        <v>26.3</v>
      </c>
    </row>
    <row r="920">
      <c r="A920" s="7">
        <v>46073.62860711011</v>
      </c>
      <c r="B920" s="8" t="s">
        <v>1322</v>
      </c>
      <c r="C920" s="8" t="s">
        <v>1323</v>
      </c>
      <c r="D920" s="9">
        <v>46075.0</v>
      </c>
      <c r="E920" s="10">
        <v>13.375</v>
      </c>
      <c r="F920" s="26">
        <v>0.8418</v>
      </c>
      <c r="G920" s="12">
        <v>8104234.0</v>
      </c>
      <c r="H920" s="8" t="s">
        <v>93</v>
      </c>
      <c r="I920" s="11">
        <v>1.6337</v>
      </c>
      <c r="J920" s="12">
        <v>7.458375516E9</v>
      </c>
      <c r="K920" s="13">
        <v>13.2873</v>
      </c>
      <c r="L920" s="13">
        <v>1.0066</v>
      </c>
      <c r="M920" s="8" t="s">
        <v>1324</v>
      </c>
      <c r="N920" s="8" t="s">
        <v>5947</v>
      </c>
      <c r="O920" s="13">
        <v>7.8461</v>
      </c>
      <c r="P920" s="13">
        <v>21.3397</v>
      </c>
      <c r="Q920" s="13">
        <v>-2.4049</v>
      </c>
      <c r="R920" s="13">
        <v>0.4393</v>
      </c>
      <c r="S920" s="13">
        <v>0.1492</v>
      </c>
      <c r="T920" s="14">
        <f>IFERROR(__xludf.DUMMYFUNCTION("IFERROR(GOOGLEFINANCE(B920,""price""),"""")"),13.06)</f>
        <v>13.06</v>
      </c>
    </row>
    <row r="921">
      <c r="A921" s="15">
        <v>46073.62860711011</v>
      </c>
      <c r="B921" s="16" t="s">
        <v>2818</v>
      </c>
      <c r="C921" s="16" t="s">
        <v>2819</v>
      </c>
      <c r="D921" s="17">
        <v>46075.0</v>
      </c>
      <c r="E921" s="18">
        <v>64.771</v>
      </c>
      <c r="F921" s="27">
        <v>0.8247</v>
      </c>
      <c r="G921" s="20">
        <v>7184321.0</v>
      </c>
      <c r="H921" s="16" t="s">
        <v>88</v>
      </c>
      <c r="I921" s="19">
        <v>-0.337</v>
      </c>
      <c r="J921" s="20">
        <v>3.0976530089E10</v>
      </c>
      <c r="K921" s="21">
        <v>14.2123</v>
      </c>
      <c r="L921" s="21">
        <v>4.5574</v>
      </c>
      <c r="M921" s="16" t="s">
        <v>2821</v>
      </c>
      <c r="N921" s="16" t="s">
        <v>5664</v>
      </c>
      <c r="O921" s="21">
        <v>15.1582</v>
      </c>
      <c r="P921" s="21">
        <v>15.8944</v>
      </c>
      <c r="Q921" s="21">
        <v>6.9518</v>
      </c>
      <c r="R921" s="21">
        <v>0.0775</v>
      </c>
      <c r="S921" s="21">
        <v>2.1366</v>
      </c>
      <c r="T921" s="22">
        <f>IFERROR(__xludf.DUMMYFUNCTION("IFERROR(GOOGLEFINANCE(B921,""price""),"""")"),57.92)</f>
        <v>57.92</v>
      </c>
    </row>
    <row r="922">
      <c r="A922" s="7">
        <v>46073.62860711011</v>
      </c>
      <c r="B922" s="8" t="s">
        <v>5985</v>
      </c>
      <c r="C922" s="8" t="s">
        <v>5986</v>
      </c>
      <c r="D922" s="9">
        <v>46075.0</v>
      </c>
      <c r="E922" s="10">
        <v>24.745</v>
      </c>
      <c r="F922" s="26">
        <v>0.8057</v>
      </c>
      <c r="G922" s="12">
        <v>1.1253225E7</v>
      </c>
      <c r="H922" s="8" t="s">
        <v>117</v>
      </c>
      <c r="I922" s="11">
        <v>33.6123</v>
      </c>
      <c r="J922" s="12">
        <v>1.677769453E9</v>
      </c>
      <c r="K922" s="23"/>
      <c r="L922" s="13">
        <v>-3.0691</v>
      </c>
      <c r="M922" s="8" t="s">
        <v>5987</v>
      </c>
      <c r="N922" s="8" t="s">
        <v>5418</v>
      </c>
      <c r="O922" s="13">
        <v>-97.8846</v>
      </c>
      <c r="P922" s="13">
        <v>-8.7992</v>
      </c>
      <c r="Q922" s="13">
        <v>7.9273</v>
      </c>
      <c r="R922" s="13">
        <v>2.896</v>
      </c>
      <c r="S922" s="13">
        <v>2.5467</v>
      </c>
      <c r="T922" s="14">
        <f>IFERROR(__xludf.DUMMYFUNCTION("IFERROR(GOOGLEFINANCE(B922,""price""),"""")"),19.18)</f>
        <v>19.18</v>
      </c>
    </row>
    <row r="923">
      <c r="A923" s="15">
        <v>46073.62860711011</v>
      </c>
      <c r="B923" s="16" t="s">
        <v>5783</v>
      </c>
      <c r="C923" s="16" t="s">
        <v>5784</v>
      </c>
      <c r="D923" s="17">
        <v>46075.0</v>
      </c>
      <c r="E923" s="18">
        <v>75.68</v>
      </c>
      <c r="F923" s="27">
        <v>0.8037</v>
      </c>
      <c r="G923" s="20">
        <v>8020165.0</v>
      </c>
      <c r="H923" s="16" t="s">
        <v>88</v>
      </c>
      <c r="I923" s="19">
        <v>-5.7065</v>
      </c>
      <c r="J923" s="20">
        <v>2.0030922796E10</v>
      </c>
      <c r="K923" s="24"/>
      <c r="L923" s="21">
        <v>-0.7194</v>
      </c>
      <c r="M923" s="16" t="s">
        <v>5785</v>
      </c>
      <c r="N923" s="16" t="s">
        <v>5429</v>
      </c>
      <c r="O923" s="21">
        <v>-13.466</v>
      </c>
      <c r="P923" s="21">
        <v>-1.9872</v>
      </c>
      <c r="Q923" s="21">
        <v>20.1246</v>
      </c>
      <c r="R923" s="21">
        <v>0.7638</v>
      </c>
      <c r="S923" s="21">
        <v>0.8905</v>
      </c>
      <c r="T923" s="22">
        <f>IFERROR(__xludf.DUMMYFUNCTION("IFERROR(GOOGLEFINANCE(B923,""price""),"""")"),57.15)</f>
        <v>57.15</v>
      </c>
    </row>
    <row r="924">
      <c r="A924" s="7">
        <v>46073.62860711011</v>
      </c>
      <c r="B924" s="8" t="s">
        <v>5533</v>
      </c>
      <c r="C924" s="8" t="s">
        <v>5534</v>
      </c>
      <c r="D924" s="9">
        <v>46075.0</v>
      </c>
      <c r="E924" s="10">
        <v>6.2134</v>
      </c>
      <c r="F924" s="26">
        <v>0.7852</v>
      </c>
      <c r="G924" s="12">
        <v>1.5857345E7</v>
      </c>
      <c r="H924" s="8" t="s">
        <v>102</v>
      </c>
      <c r="I924" s="11">
        <v>-1.5309</v>
      </c>
      <c r="J924" s="12">
        <v>1.681177113E9</v>
      </c>
      <c r="K924" s="23"/>
      <c r="L924" s="13">
        <v>-3.7839</v>
      </c>
      <c r="M924" s="8" t="s">
        <v>5535</v>
      </c>
      <c r="N924" s="8" t="s">
        <v>5536</v>
      </c>
      <c r="O924" s="13">
        <v>-55.984</v>
      </c>
      <c r="P924" s="13">
        <v>-31.1477</v>
      </c>
      <c r="Q924" s="23"/>
      <c r="R924" s="13">
        <v>4.5088</v>
      </c>
      <c r="S924" s="13">
        <v>1.1293</v>
      </c>
      <c r="T924" s="14">
        <f>IFERROR(__xludf.DUMMYFUNCTION("IFERROR(GOOGLEFINANCE(B924,""price""),"""")"),4.69)</f>
        <v>4.69</v>
      </c>
    </row>
    <row r="925">
      <c r="A925" s="15">
        <v>46073.62860711011</v>
      </c>
      <c r="B925" s="16" t="s">
        <v>5941</v>
      </c>
      <c r="C925" s="16" t="s">
        <v>5942</v>
      </c>
      <c r="D925" s="17">
        <v>46075.0</v>
      </c>
      <c r="E925" s="18">
        <v>80.85</v>
      </c>
      <c r="F925" s="27">
        <v>0.7809</v>
      </c>
      <c r="G925" s="20">
        <v>7092945.0</v>
      </c>
      <c r="H925" s="16" t="s">
        <v>137</v>
      </c>
      <c r="I925" s="19">
        <v>1.6086</v>
      </c>
      <c r="J925" s="20">
        <v>1.0418176234E10</v>
      </c>
      <c r="K925" s="24"/>
      <c r="L925" s="21">
        <v>-2.4273</v>
      </c>
      <c r="M925" s="16" t="s">
        <v>5943</v>
      </c>
      <c r="N925" s="16" t="s">
        <v>5937</v>
      </c>
      <c r="O925" s="24"/>
      <c r="P925" s="21">
        <v>0.7466</v>
      </c>
      <c r="Q925" s="21">
        <v>5.1135</v>
      </c>
      <c r="R925" s="24"/>
      <c r="S925" s="21">
        <v>0.923</v>
      </c>
      <c r="T925" s="22">
        <f>IFERROR(__xludf.DUMMYFUNCTION("IFERROR(GOOGLEFINANCE(B925,""price""),"""")"),71.68)</f>
        <v>71.68</v>
      </c>
    </row>
    <row r="926">
      <c r="A926" s="7">
        <v>46073.62860711011</v>
      </c>
      <c r="B926" s="8" t="s">
        <v>5514</v>
      </c>
      <c r="C926" s="8" t="s">
        <v>5515</v>
      </c>
      <c r="D926" s="9">
        <v>46075.0</v>
      </c>
      <c r="E926" s="10">
        <v>8.675</v>
      </c>
      <c r="F926" s="26">
        <v>0.75</v>
      </c>
      <c r="G926" s="12">
        <v>4.1341639E7</v>
      </c>
      <c r="H926" s="8" t="s">
        <v>117</v>
      </c>
      <c r="I926" s="11">
        <v>0.7549</v>
      </c>
      <c r="J926" s="12">
        <v>8.544572856E9</v>
      </c>
      <c r="K926" s="23"/>
      <c r="L926" s="13">
        <v>-0.4205</v>
      </c>
      <c r="M926" s="8" t="s">
        <v>5516</v>
      </c>
      <c r="N926" s="8" t="s">
        <v>5491</v>
      </c>
      <c r="O926" s="23"/>
      <c r="P926" s="13">
        <v>-315.8428</v>
      </c>
      <c r="Q926" s="13">
        <v>1025.9547</v>
      </c>
      <c r="R926" s="23"/>
      <c r="S926" s="13">
        <v>5.7671</v>
      </c>
      <c r="T926" s="14">
        <f>IFERROR(__xludf.DUMMYFUNCTION("IFERROR(GOOGLEFINANCE(B926,""price""),"""")"),7.28)</f>
        <v>7.28</v>
      </c>
    </row>
    <row r="927">
      <c r="A927" s="15">
        <v>46073.62860711011</v>
      </c>
      <c r="B927" s="16" t="s">
        <v>5564</v>
      </c>
      <c r="C927" s="16" t="s">
        <v>5565</v>
      </c>
      <c r="D927" s="17">
        <v>46075.0</v>
      </c>
      <c r="E927" s="18">
        <v>24.7166</v>
      </c>
      <c r="F927" s="27">
        <v>0.7496</v>
      </c>
      <c r="G927" s="20">
        <v>2.3265909E7</v>
      </c>
      <c r="H927" s="16" t="s">
        <v>335</v>
      </c>
      <c r="I927" s="19">
        <v>2.729</v>
      </c>
      <c r="J927" s="20">
        <v>1.5870467561E10</v>
      </c>
      <c r="K927" s="21">
        <v>26.8484</v>
      </c>
      <c r="L927" s="21">
        <v>0.9206</v>
      </c>
      <c r="M927" s="16" t="s">
        <v>5566</v>
      </c>
      <c r="N927" s="16" t="s">
        <v>5445</v>
      </c>
      <c r="O927" s="21">
        <v>26.4126</v>
      </c>
      <c r="P927" s="21">
        <v>36.2825</v>
      </c>
      <c r="Q927" s="21">
        <v>99.5473</v>
      </c>
      <c r="R927" s="21">
        <v>0.1083</v>
      </c>
      <c r="S927" s="21">
        <v>2.472</v>
      </c>
      <c r="T927" s="22">
        <f>IFERROR(__xludf.DUMMYFUNCTION("IFERROR(GOOGLEFINANCE(B927,""price""),"""")"),20.24)</f>
        <v>20.24</v>
      </c>
    </row>
    <row r="928">
      <c r="A928" s="7">
        <v>46073.62860711011</v>
      </c>
      <c r="B928" s="8" t="s">
        <v>5988</v>
      </c>
      <c r="C928" s="8" t="s">
        <v>5989</v>
      </c>
      <c r="D928" s="9">
        <v>46075.0</v>
      </c>
      <c r="E928" s="10">
        <v>13.155</v>
      </c>
      <c r="F928" s="26">
        <v>0.7266</v>
      </c>
      <c r="G928" s="12">
        <v>1.2543068E7</v>
      </c>
      <c r="H928" s="8" t="s">
        <v>102</v>
      </c>
      <c r="I928" s="11">
        <v>1.3482</v>
      </c>
      <c r="J928" s="12">
        <v>1.6396452764E10</v>
      </c>
      <c r="K928" s="13">
        <v>32.2901</v>
      </c>
      <c r="L928" s="13">
        <v>0.4074</v>
      </c>
      <c r="M928" s="8" t="s">
        <v>5990</v>
      </c>
      <c r="N928" s="8" t="s">
        <v>5991</v>
      </c>
      <c r="O928" s="13">
        <v>6.6135</v>
      </c>
      <c r="P928" s="13">
        <v>15.6388</v>
      </c>
      <c r="Q928" s="13">
        <v>-8.8133</v>
      </c>
      <c r="R928" s="13">
        <v>3.4434</v>
      </c>
      <c r="S928" s="13">
        <v>342.6374</v>
      </c>
      <c r="T928" s="14">
        <f>IFERROR(__xludf.DUMMYFUNCTION("IFERROR(GOOGLEFINANCE(B928,""price""),"""")"),11.57)</f>
        <v>11.57</v>
      </c>
    </row>
    <row r="929">
      <c r="A929" s="15">
        <v>46073.62860711011</v>
      </c>
      <c r="B929" s="16" t="s">
        <v>5789</v>
      </c>
      <c r="C929" s="16" t="s">
        <v>5790</v>
      </c>
      <c r="D929" s="17">
        <v>46075.0</v>
      </c>
      <c r="E929" s="18">
        <v>18.65</v>
      </c>
      <c r="F929" s="27">
        <v>0.7192</v>
      </c>
      <c r="G929" s="20">
        <v>1.4647122E7</v>
      </c>
      <c r="H929" s="16" t="s">
        <v>137</v>
      </c>
      <c r="I929" s="19">
        <v>1.084</v>
      </c>
      <c r="J929" s="20">
        <v>3.406697677E10</v>
      </c>
      <c r="K929" s="21">
        <v>88.2631</v>
      </c>
      <c r="L929" s="21">
        <v>0.2113</v>
      </c>
      <c r="M929" s="16" t="s">
        <v>5791</v>
      </c>
      <c r="N929" s="16" t="s">
        <v>5743</v>
      </c>
      <c r="O929" s="21">
        <v>8.7346</v>
      </c>
      <c r="P929" s="21">
        <v>1.9873</v>
      </c>
      <c r="Q929" s="21">
        <v>16.6297</v>
      </c>
      <c r="R929" s="21">
        <v>1.0439</v>
      </c>
      <c r="S929" s="21">
        <v>1.0601</v>
      </c>
      <c r="T929" s="22">
        <f>IFERROR(__xludf.DUMMYFUNCTION("IFERROR(GOOGLEFINANCE(B929,""price""),"""")"),19.76)</f>
        <v>19.76</v>
      </c>
    </row>
    <row r="930">
      <c r="A930" s="7">
        <v>46073.62860711011</v>
      </c>
      <c r="B930" s="8" t="s">
        <v>3463</v>
      </c>
      <c r="C930" s="8" t="s">
        <v>3464</v>
      </c>
      <c r="D930" s="9">
        <v>46075.0</v>
      </c>
      <c r="E930" s="10">
        <v>60.325</v>
      </c>
      <c r="F930" s="26">
        <v>0.7039</v>
      </c>
      <c r="G930" s="12">
        <v>9842850.0</v>
      </c>
      <c r="H930" s="8" t="s">
        <v>245</v>
      </c>
      <c r="I930" s="11">
        <v>0.9286</v>
      </c>
      <c r="J930" s="12">
        <v>3.7659328543E10</v>
      </c>
      <c r="K930" s="13">
        <v>18.2047</v>
      </c>
      <c r="L930" s="13">
        <v>3.3137</v>
      </c>
      <c r="M930" s="8" t="s">
        <v>3466</v>
      </c>
      <c r="N930" s="8" t="s">
        <v>5776</v>
      </c>
      <c r="O930" s="13">
        <v>9.1961</v>
      </c>
      <c r="P930" s="13">
        <v>35.6577</v>
      </c>
      <c r="Q930" s="13">
        <v>59.9561</v>
      </c>
      <c r="R930" s="13">
        <v>0.3357</v>
      </c>
      <c r="S930" s="13">
        <v>0.7627</v>
      </c>
      <c r="T930" s="14">
        <f>IFERROR(__xludf.DUMMYFUNCTION("IFERROR(GOOGLEFINANCE(B930,""price""),"""")"),58.68)</f>
        <v>58.68</v>
      </c>
    </row>
    <row r="931">
      <c r="A931" s="15">
        <v>46073.62860711011</v>
      </c>
      <c r="B931" s="16" t="s">
        <v>2654</v>
      </c>
      <c r="C931" s="16" t="s">
        <v>2655</v>
      </c>
      <c r="D931" s="17">
        <v>46075.0</v>
      </c>
      <c r="E931" s="18">
        <v>42.88</v>
      </c>
      <c r="F931" s="27">
        <v>0.6928</v>
      </c>
      <c r="G931" s="20">
        <v>8226844.0</v>
      </c>
      <c r="H931" s="16" t="s">
        <v>917</v>
      </c>
      <c r="I931" s="19">
        <v>0.5629</v>
      </c>
      <c r="J931" s="20">
        <v>2.7994989092E10</v>
      </c>
      <c r="K931" s="21">
        <v>26.6617</v>
      </c>
      <c r="L931" s="21">
        <v>1.6083</v>
      </c>
      <c r="M931" s="16" t="s">
        <v>2657</v>
      </c>
      <c r="N931" s="16" t="s">
        <v>5883</v>
      </c>
      <c r="O931" s="21">
        <v>9.643</v>
      </c>
      <c r="P931" s="21">
        <v>22.55</v>
      </c>
      <c r="Q931" s="21">
        <v>8.261</v>
      </c>
      <c r="R931" s="21">
        <v>2.1166</v>
      </c>
      <c r="S931" s="21">
        <v>0.9107</v>
      </c>
      <c r="T931" s="22">
        <f>IFERROR(__xludf.DUMMYFUNCTION("IFERROR(GOOGLEFINANCE(B931,""price""),"""")"),43.39)</f>
        <v>43.39</v>
      </c>
    </row>
    <row r="932">
      <c r="A932" s="7">
        <v>46073.77923580069</v>
      </c>
      <c r="B932" s="8" t="s">
        <v>5465</v>
      </c>
      <c r="C932" s="8" t="s">
        <v>5466</v>
      </c>
      <c r="D932" s="9">
        <v>46075.0</v>
      </c>
      <c r="E932" s="10">
        <v>89.25</v>
      </c>
      <c r="F932" s="26">
        <v>1.6447</v>
      </c>
      <c r="G932" s="12">
        <v>4.6321949E7</v>
      </c>
      <c r="H932" s="8" t="s">
        <v>88</v>
      </c>
      <c r="I932" s="11">
        <v>-8.1223</v>
      </c>
      <c r="J932" s="12">
        <v>4.6521855492E10</v>
      </c>
      <c r="K932" s="23"/>
      <c r="L932" s="13">
        <v>-1.8177</v>
      </c>
      <c r="M932" s="8" t="s">
        <v>5467</v>
      </c>
      <c r="N932" s="8" t="s">
        <v>5429</v>
      </c>
      <c r="O932" s="13">
        <v>-29.1701</v>
      </c>
      <c r="P932" s="13">
        <v>3.6285</v>
      </c>
      <c r="Q932" s="13">
        <v>235.401</v>
      </c>
      <c r="R932" s="13">
        <v>4.85</v>
      </c>
      <c r="S932" s="13">
        <v>0.487</v>
      </c>
      <c r="T932" s="14">
        <f>IFERROR(__xludf.DUMMYFUNCTION("IFERROR(GOOGLEFINANCE(B932,""price""),"""")"),102.0)</f>
        <v>102</v>
      </c>
    </row>
    <row r="933">
      <c r="A933" s="15">
        <v>46073.77923580069</v>
      </c>
      <c r="B933" s="16" t="s">
        <v>5558</v>
      </c>
      <c r="C933" s="16" t="s">
        <v>5559</v>
      </c>
      <c r="D933" s="17">
        <v>46075.0</v>
      </c>
      <c r="E933" s="18">
        <v>10.7</v>
      </c>
      <c r="F933" s="27">
        <v>1.561</v>
      </c>
      <c r="G933" s="20">
        <v>1.1216512E7</v>
      </c>
      <c r="H933" s="16" t="s">
        <v>102</v>
      </c>
      <c r="I933" s="19">
        <v>-6.5502</v>
      </c>
      <c r="J933" s="20">
        <v>3.467850415E9</v>
      </c>
      <c r="K933" s="24"/>
      <c r="L933" s="21">
        <v>-8.3559</v>
      </c>
      <c r="M933" s="16" t="s">
        <v>5560</v>
      </c>
      <c r="N933" s="16" t="s">
        <v>5536</v>
      </c>
      <c r="O933" s="24"/>
      <c r="P933" s="21">
        <v>-351.0117</v>
      </c>
      <c r="Q933" s="21">
        <v>324.0994</v>
      </c>
      <c r="R933" s="24"/>
      <c r="S933" s="21">
        <v>1.8261</v>
      </c>
      <c r="T933" s="22">
        <f>IFERROR(__xludf.DUMMYFUNCTION("IFERROR(GOOGLEFINANCE(B933,""price""),"""")"),5.62)</f>
        <v>5.62</v>
      </c>
    </row>
    <row r="934">
      <c r="A934" s="7">
        <v>46073.77923580069</v>
      </c>
      <c r="B934" s="8" t="s">
        <v>5514</v>
      </c>
      <c r="C934" s="8" t="s">
        <v>5515</v>
      </c>
      <c r="D934" s="9">
        <v>46075.0</v>
      </c>
      <c r="E934" s="10">
        <v>8.7</v>
      </c>
      <c r="F934" s="26">
        <v>1.541</v>
      </c>
      <c r="G934" s="12">
        <v>4.5383292E7</v>
      </c>
      <c r="H934" s="8" t="s">
        <v>117</v>
      </c>
      <c r="I934" s="11">
        <v>1.0453</v>
      </c>
      <c r="J934" s="12">
        <v>8.569196985E9</v>
      </c>
      <c r="K934" s="23"/>
      <c r="L934" s="13">
        <v>-0.4205</v>
      </c>
      <c r="M934" s="8" t="s">
        <v>5516</v>
      </c>
      <c r="N934" s="8" t="s">
        <v>5491</v>
      </c>
      <c r="O934" s="23"/>
      <c r="P934" s="13">
        <v>-315.8428</v>
      </c>
      <c r="Q934" s="13">
        <v>1025.9547</v>
      </c>
      <c r="R934" s="23"/>
      <c r="S934" s="13">
        <v>5.7671</v>
      </c>
      <c r="T934" s="14">
        <f>IFERROR(__xludf.DUMMYFUNCTION("IFERROR(GOOGLEFINANCE(B934,""price""),"""")"),7.28)</f>
        <v>7.28</v>
      </c>
    </row>
    <row r="935">
      <c r="A935" s="15">
        <v>46073.77923580069</v>
      </c>
      <c r="B935" s="16" t="s">
        <v>5640</v>
      </c>
      <c r="C935" s="16" t="s">
        <v>5641</v>
      </c>
      <c r="D935" s="17">
        <v>46075.0</v>
      </c>
      <c r="E935" s="18">
        <v>29.68</v>
      </c>
      <c r="F935" s="27">
        <v>1.512</v>
      </c>
      <c r="G935" s="20">
        <v>1.4456015E7</v>
      </c>
      <c r="H935" s="16" t="s">
        <v>308</v>
      </c>
      <c r="I935" s="19">
        <v>24.6535</v>
      </c>
      <c r="J935" s="20">
        <v>1.640536987E9</v>
      </c>
      <c r="K935" s="24"/>
      <c r="L935" s="21">
        <v>-0.4882</v>
      </c>
      <c r="M935" s="16" t="s">
        <v>5642</v>
      </c>
      <c r="N935" s="16" t="s">
        <v>5433</v>
      </c>
      <c r="O935" s="21">
        <v>-9.1233</v>
      </c>
      <c r="P935" s="21">
        <v>-24.8806</v>
      </c>
      <c r="Q935" s="21">
        <v>-11.106</v>
      </c>
      <c r="R935" s="21">
        <v>0.2351</v>
      </c>
      <c r="S935" s="21">
        <v>2.7231</v>
      </c>
      <c r="T935" s="22">
        <f>IFERROR(__xludf.DUMMYFUNCTION("IFERROR(GOOGLEFINANCE(B935,""price""),"""")"),64.18)</f>
        <v>64.18</v>
      </c>
    </row>
    <row r="936">
      <c r="A936" s="7">
        <v>46073.77923580069</v>
      </c>
      <c r="B936" s="8" t="s">
        <v>5517</v>
      </c>
      <c r="C936" s="8" t="s">
        <v>5518</v>
      </c>
      <c r="D936" s="9">
        <v>46075.0</v>
      </c>
      <c r="E936" s="10">
        <v>7.99</v>
      </c>
      <c r="F936" s="26">
        <v>1.4727</v>
      </c>
      <c r="G936" s="12">
        <v>1.3492275E7</v>
      </c>
      <c r="H936" s="8" t="s">
        <v>308</v>
      </c>
      <c r="I936" s="11">
        <v>-7.093</v>
      </c>
      <c r="J936" s="12">
        <v>1.319554849E9</v>
      </c>
      <c r="K936" s="23"/>
      <c r="L936" s="13">
        <v>-3.1791</v>
      </c>
      <c r="M936" s="8" t="s">
        <v>5519</v>
      </c>
      <c r="N936" s="8" t="s">
        <v>5520</v>
      </c>
      <c r="O936" s="13">
        <v>-50.0822</v>
      </c>
      <c r="P936" s="13">
        <v>-46.1858</v>
      </c>
      <c r="Q936" s="13">
        <v>-0.6305</v>
      </c>
      <c r="R936" s="13">
        <v>0.3596</v>
      </c>
      <c r="S936" s="13">
        <v>1.4082</v>
      </c>
      <c r="T936" s="14">
        <f>IFERROR(__xludf.DUMMYFUNCTION("IFERROR(GOOGLEFINANCE(B936,""price""),"""")"),9.29)</f>
        <v>9.29</v>
      </c>
    </row>
    <row r="937">
      <c r="A937" s="15">
        <v>46073.77923580069</v>
      </c>
      <c r="B937" s="16" t="s">
        <v>5544</v>
      </c>
      <c r="C937" s="16" t="s">
        <v>5545</v>
      </c>
      <c r="D937" s="17">
        <v>46075.0</v>
      </c>
      <c r="E937" s="18">
        <v>14.65</v>
      </c>
      <c r="F937" s="27">
        <v>1.4225</v>
      </c>
      <c r="G937" s="20">
        <v>2.6992803E7</v>
      </c>
      <c r="H937" s="16" t="s">
        <v>88</v>
      </c>
      <c r="I937" s="19">
        <v>-7.2785</v>
      </c>
      <c r="J937" s="20">
        <v>5.788098918E9</v>
      </c>
      <c r="K937" s="24"/>
      <c r="L937" s="21">
        <v>-0.1905</v>
      </c>
      <c r="M937" s="16" t="s">
        <v>5546</v>
      </c>
      <c r="N937" s="16" t="s">
        <v>5471</v>
      </c>
      <c r="O937" s="21">
        <v>-9.6935</v>
      </c>
      <c r="P937" s="21">
        <v>-72.0529</v>
      </c>
      <c r="Q937" s="21">
        <v>35.4099</v>
      </c>
      <c r="R937" s="21">
        <v>1.333</v>
      </c>
      <c r="S937" s="21">
        <v>2.4892</v>
      </c>
      <c r="T937" s="22">
        <f>IFERROR(__xludf.DUMMYFUNCTION("IFERROR(GOOGLEFINANCE(B937,""price""),"""")"),16.53)</f>
        <v>16.53</v>
      </c>
    </row>
    <row r="938">
      <c r="A938" s="7">
        <v>46073.77923580069</v>
      </c>
      <c r="B938" s="8" t="s">
        <v>5992</v>
      </c>
      <c r="C938" s="8" t="s">
        <v>5993</v>
      </c>
      <c r="D938" s="9">
        <v>46075.0</v>
      </c>
      <c r="E938" s="10">
        <v>25.1</v>
      </c>
      <c r="F938" s="26">
        <v>1.4169</v>
      </c>
      <c r="G938" s="12">
        <v>1.5336116E7</v>
      </c>
      <c r="H938" s="8" t="s">
        <v>88</v>
      </c>
      <c r="I938" s="11">
        <v>-0.5547</v>
      </c>
      <c r="J938" s="12">
        <v>1.2138232864E10</v>
      </c>
      <c r="K938" s="13">
        <v>28.6366</v>
      </c>
      <c r="L938" s="13">
        <v>0.8765</v>
      </c>
      <c r="M938" s="8" t="s">
        <v>5994</v>
      </c>
      <c r="N938" s="8" t="s">
        <v>5429</v>
      </c>
      <c r="O938" s="13">
        <v>16.7829</v>
      </c>
      <c r="P938" s="13">
        <v>18.9126</v>
      </c>
      <c r="Q938" s="13">
        <v>20.8212</v>
      </c>
      <c r="R938" s="13">
        <v>0.1446</v>
      </c>
      <c r="S938" s="13">
        <v>1.7097</v>
      </c>
      <c r="T938" s="14">
        <f>IFERROR(__xludf.DUMMYFUNCTION("IFERROR(GOOGLEFINANCE(B938,""price""),"""")"),20.09)</f>
        <v>20.09</v>
      </c>
    </row>
    <row r="939">
      <c r="A939" s="15">
        <v>46073.77923580069</v>
      </c>
      <c r="B939" s="16" t="s">
        <v>5744</v>
      </c>
      <c r="C939" s="16" t="s">
        <v>5745</v>
      </c>
      <c r="D939" s="17">
        <v>46075.0</v>
      </c>
      <c r="E939" s="18">
        <v>15.63</v>
      </c>
      <c r="F939" s="27">
        <v>1.4043</v>
      </c>
      <c r="G939" s="20">
        <v>2.5312342E7</v>
      </c>
      <c r="H939" s="16" t="s">
        <v>190</v>
      </c>
      <c r="I939" s="19">
        <v>-1.201</v>
      </c>
      <c r="J939" s="20">
        <v>3.558146178E9</v>
      </c>
      <c r="K939" s="21">
        <v>28.8963</v>
      </c>
      <c r="L939" s="21">
        <v>0.5409</v>
      </c>
      <c r="M939" s="16" t="s">
        <v>5746</v>
      </c>
      <c r="N939" s="16" t="s">
        <v>5747</v>
      </c>
      <c r="O939" s="21">
        <v>26.2066</v>
      </c>
      <c r="P939" s="21">
        <v>5.9617</v>
      </c>
      <c r="Q939" s="21">
        <v>78.0168</v>
      </c>
      <c r="R939" s="21">
        <v>1.9244</v>
      </c>
      <c r="S939" s="21">
        <v>1.8751</v>
      </c>
      <c r="T939" s="22">
        <f>IFERROR(__xludf.DUMMYFUNCTION("IFERROR(GOOGLEFINANCE(B939,""price""),"""")"),19.43)</f>
        <v>19.43</v>
      </c>
    </row>
    <row r="940">
      <c r="A940" s="7">
        <v>46073.77923580069</v>
      </c>
      <c r="B940" s="8" t="s">
        <v>4884</v>
      </c>
      <c r="C940" s="8" t="s">
        <v>4885</v>
      </c>
      <c r="D940" s="9">
        <v>46075.0</v>
      </c>
      <c r="E940" s="10">
        <v>17.3</v>
      </c>
      <c r="F940" s="26">
        <v>1.4001</v>
      </c>
      <c r="G940" s="12">
        <v>1.1328407E7</v>
      </c>
      <c r="H940" s="8" t="s">
        <v>88</v>
      </c>
      <c r="I940" s="11">
        <v>-3.782</v>
      </c>
      <c r="J940" s="12">
        <v>5.364060524E9</v>
      </c>
      <c r="K940" s="13">
        <v>124.1924</v>
      </c>
      <c r="L940" s="13">
        <v>0.1393</v>
      </c>
      <c r="M940" s="8" t="s">
        <v>4886</v>
      </c>
      <c r="N940" s="8" t="s">
        <v>5471</v>
      </c>
      <c r="O940" s="23"/>
      <c r="P940" s="13">
        <v>-56.2854</v>
      </c>
      <c r="Q940" s="13">
        <v>-40.0761</v>
      </c>
      <c r="R940" s="23"/>
      <c r="S940" s="13">
        <v>1.584</v>
      </c>
      <c r="T940" s="14">
        <f>IFERROR(__xludf.DUMMYFUNCTION("IFERROR(GOOGLEFINANCE(B940,""price""),"""")"),18.32)</f>
        <v>18.32</v>
      </c>
    </row>
    <row r="941">
      <c r="A941" s="15">
        <v>46073.77923580069</v>
      </c>
      <c r="B941" s="16" t="s">
        <v>5561</v>
      </c>
      <c r="C941" s="16" t="s">
        <v>5562</v>
      </c>
      <c r="D941" s="17">
        <v>46075.0</v>
      </c>
      <c r="E941" s="18">
        <v>13.44</v>
      </c>
      <c r="F941" s="27">
        <v>1.3984</v>
      </c>
      <c r="G941" s="20">
        <v>2.5521996E7</v>
      </c>
      <c r="H941" s="16" t="s">
        <v>102</v>
      </c>
      <c r="I941" s="19">
        <v>-8.1967</v>
      </c>
      <c r="J941" s="20">
        <v>4.068618374E9</v>
      </c>
      <c r="K941" s="24"/>
      <c r="L941" s="21">
        <v>-2.8582</v>
      </c>
      <c r="M941" s="16" t="s">
        <v>5563</v>
      </c>
      <c r="N941" s="16" t="s">
        <v>5536</v>
      </c>
      <c r="O941" s="21">
        <v>-76.8505</v>
      </c>
      <c r="P941" s="21">
        <v>-983.9643</v>
      </c>
      <c r="Q941" s="21">
        <v>765.6686</v>
      </c>
      <c r="R941" s="21">
        <v>0.0</v>
      </c>
      <c r="S941" s="21">
        <v>1.6153</v>
      </c>
      <c r="T941" s="22">
        <f>IFERROR(__xludf.DUMMYFUNCTION("IFERROR(GOOGLEFINANCE(B941,""price""),"""")"),9.21)</f>
        <v>9.21</v>
      </c>
    </row>
    <row r="942">
      <c r="A942" s="7">
        <v>46073.77923580069</v>
      </c>
      <c r="B942" s="8" t="s">
        <v>5594</v>
      </c>
      <c r="C942" s="8" t="s">
        <v>5595</v>
      </c>
      <c r="D942" s="9">
        <v>46075.0</v>
      </c>
      <c r="E942" s="10">
        <v>15.01</v>
      </c>
      <c r="F942" s="26">
        <v>1.3662</v>
      </c>
      <c r="G942" s="12">
        <v>2.7149689E7</v>
      </c>
      <c r="H942" s="8" t="s">
        <v>88</v>
      </c>
      <c r="I942" s="11">
        <v>-2.9735</v>
      </c>
      <c r="J942" s="12">
        <v>6.284415199E9</v>
      </c>
      <c r="K942" s="23"/>
      <c r="L942" s="13">
        <v>-1.4167</v>
      </c>
      <c r="M942" s="8" t="s">
        <v>5596</v>
      </c>
      <c r="N942" s="8" t="s">
        <v>5471</v>
      </c>
      <c r="O942" s="13">
        <v>-181.9547</v>
      </c>
      <c r="P942" s="13">
        <v>-69.885</v>
      </c>
      <c r="Q942" s="13">
        <v>30.5825</v>
      </c>
      <c r="R942" s="13">
        <v>4.3877</v>
      </c>
      <c r="S942" s="13">
        <v>1.0329</v>
      </c>
      <c r="T942" s="14">
        <f>IFERROR(__xludf.DUMMYFUNCTION("IFERROR(GOOGLEFINANCE(B942,""price""),"""")"),18.88)</f>
        <v>18.88</v>
      </c>
    </row>
    <row r="943">
      <c r="A943" s="15">
        <v>46073.77923580069</v>
      </c>
      <c r="B943" s="16" t="s">
        <v>5995</v>
      </c>
      <c r="C943" s="16" t="s">
        <v>5996</v>
      </c>
      <c r="D943" s="17">
        <v>46075.0</v>
      </c>
      <c r="E943" s="18">
        <v>7.82</v>
      </c>
      <c r="F943" s="27">
        <v>1.3584</v>
      </c>
      <c r="G943" s="20">
        <v>1.9360956E7</v>
      </c>
      <c r="H943" s="16" t="s">
        <v>88</v>
      </c>
      <c r="I943" s="19">
        <v>-0.1277</v>
      </c>
      <c r="J943" s="20">
        <v>3.285149381E9</v>
      </c>
      <c r="K943" s="24"/>
      <c r="L943" s="21">
        <v>-0.8347</v>
      </c>
      <c r="M943" s="16" t="s">
        <v>5997</v>
      </c>
      <c r="N943" s="16" t="s">
        <v>5429</v>
      </c>
      <c r="O943" s="21">
        <v>-90.1486</v>
      </c>
      <c r="P943" s="21">
        <v>-117.3976</v>
      </c>
      <c r="Q943" s="21">
        <v>120.521</v>
      </c>
      <c r="R943" s="21">
        <v>0.0121</v>
      </c>
      <c r="S943" s="21">
        <v>5.149</v>
      </c>
      <c r="T943" s="22">
        <f>IFERROR(__xludf.DUMMYFUNCTION("IFERROR(GOOGLEFINANCE(B943,""price""),"""")"),6.43)</f>
        <v>6.43</v>
      </c>
    </row>
    <row r="944">
      <c r="A944" s="7">
        <v>46073.77923580069</v>
      </c>
      <c r="B944" s="8" t="s">
        <v>5679</v>
      </c>
      <c r="C944" s="8" t="s">
        <v>5680</v>
      </c>
      <c r="D944" s="9">
        <v>46075.0</v>
      </c>
      <c r="E944" s="10">
        <v>18.06</v>
      </c>
      <c r="F944" s="26">
        <v>1.3164</v>
      </c>
      <c r="G944" s="12">
        <v>2.6594937E7</v>
      </c>
      <c r="H944" s="8" t="s">
        <v>308</v>
      </c>
      <c r="I944" s="11">
        <v>-6.8111</v>
      </c>
      <c r="J944" s="12">
        <v>6.740576574E9</v>
      </c>
      <c r="K944" s="23"/>
      <c r="L944" s="13">
        <v>-1.351</v>
      </c>
      <c r="M944" s="8" t="s">
        <v>5681</v>
      </c>
      <c r="N944" s="8" t="s">
        <v>5674</v>
      </c>
      <c r="O944" s="13">
        <v>-122.0285</v>
      </c>
      <c r="P944" s="13">
        <v>-355.2063</v>
      </c>
      <c r="Q944" s="13">
        <v>156.1969</v>
      </c>
      <c r="R944" s="13">
        <v>0.0593</v>
      </c>
      <c r="S944" s="13">
        <v>54.6763</v>
      </c>
      <c r="T944" s="14">
        <f>IFERROR(__xludf.DUMMYFUNCTION("IFERROR(GOOGLEFINANCE(B944,""price""),"""")"),14.25)</f>
        <v>14.25</v>
      </c>
    </row>
    <row r="945">
      <c r="A945" s="15">
        <v>46073.77923580069</v>
      </c>
      <c r="B945" s="16" t="s">
        <v>5998</v>
      </c>
      <c r="C945" s="16" t="s">
        <v>5999</v>
      </c>
      <c r="D945" s="17">
        <v>46075.0</v>
      </c>
      <c r="E945" s="18">
        <v>20.28</v>
      </c>
      <c r="F945" s="27">
        <v>1.2815</v>
      </c>
      <c r="G945" s="20">
        <v>9558864.0</v>
      </c>
      <c r="H945" s="16" t="s">
        <v>308</v>
      </c>
      <c r="I945" s="19">
        <v>1.1976</v>
      </c>
      <c r="J945" s="20">
        <v>4.705808412E9</v>
      </c>
      <c r="K945" s="24"/>
      <c r="L945" s="21">
        <v>-11.177</v>
      </c>
      <c r="M945" s="16" t="s">
        <v>6000</v>
      </c>
      <c r="N945" s="16" t="s">
        <v>5414</v>
      </c>
      <c r="O945" s="21">
        <v>-59.6838</v>
      </c>
      <c r="P945" s="21">
        <v>-15.7502</v>
      </c>
      <c r="Q945" s="21">
        <v>13.7949</v>
      </c>
      <c r="R945" s="21">
        <v>4.9321</v>
      </c>
      <c r="S945" s="21">
        <v>1.4573</v>
      </c>
      <c r="T945" s="22">
        <f>IFERROR(__xludf.DUMMYFUNCTION("IFERROR(GOOGLEFINANCE(B945,""price""),"""")"),13.28)</f>
        <v>13.28</v>
      </c>
    </row>
    <row r="946">
      <c r="A946" s="7">
        <v>46073.77923580069</v>
      </c>
      <c r="B946" s="8" t="s">
        <v>5734</v>
      </c>
      <c r="C946" s="8" t="s">
        <v>5735</v>
      </c>
      <c r="D946" s="9">
        <v>46075.0</v>
      </c>
      <c r="E946" s="10">
        <v>31.9</v>
      </c>
      <c r="F946" s="26">
        <v>1.2436</v>
      </c>
      <c r="G946" s="12">
        <v>1.5796322E7</v>
      </c>
      <c r="H946" s="8" t="s">
        <v>308</v>
      </c>
      <c r="I946" s="11">
        <v>-4.5767</v>
      </c>
      <c r="J946" s="12">
        <v>1.1301519409E10</v>
      </c>
      <c r="K946" s="23"/>
      <c r="L946" s="13">
        <v>-5.3543</v>
      </c>
      <c r="M946" s="8" t="s">
        <v>5736</v>
      </c>
      <c r="N946" s="8" t="s">
        <v>5674</v>
      </c>
      <c r="O946" s="13">
        <v>-108.2332</v>
      </c>
      <c r="P946" s="13">
        <v>-564.3908</v>
      </c>
      <c r="Q946" s="13">
        <v>113.0721</v>
      </c>
      <c r="R946" s="13">
        <v>0.0125</v>
      </c>
      <c r="S946" s="13">
        <v>8.7256</v>
      </c>
      <c r="T946" s="14">
        <f>IFERROR(__xludf.DUMMYFUNCTION("IFERROR(GOOGLEFINANCE(B946,""price""),"""")"),28.79)</f>
        <v>28.79</v>
      </c>
    </row>
    <row r="947">
      <c r="A947" s="15">
        <v>46073.77923580069</v>
      </c>
      <c r="B947" s="16" t="s">
        <v>5591</v>
      </c>
      <c r="C947" s="16" t="s">
        <v>5592</v>
      </c>
      <c r="D947" s="17">
        <v>46075.0</v>
      </c>
      <c r="E947" s="18">
        <v>7.88</v>
      </c>
      <c r="F947" s="27">
        <v>1.2363</v>
      </c>
      <c r="G947" s="20">
        <v>1.3280024E7</v>
      </c>
      <c r="H947" s="16" t="s">
        <v>308</v>
      </c>
      <c r="I947" s="19">
        <v>-2.4752</v>
      </c>
      <c r="J947" s="20">
        <v>1.816309923E9</v>
      </c>
      <c r="K947" s="24"/>
      <c r="L947" s="21">
        <v>-0.6396</v>
      </c>
      <c r="M947" s="16" t="s">
        <v>5593</v>
      </c>
      <c r="N947" s="16" t="s">
        <v>5414</v>
      </c>
      <c r="O947" s="21">
        <v>-33.2524</v>
      </c>
      <c r="P947" s="21">
        <v>-181.4004</v>
      </c>
      <c r="Q947" s="21">
        <v>-38.0644</v>
      </c>
      <c r="R947" s="21">
        <v>0.0241</v>
      </c>
      <c r="S947" s="21">
        <v>7.9353</v>
      </c>
      <c r="T947" s="22">
        <f>IFERROR(__xludf.DUMMYFUNCTION("IFERROR(GOOGLEFINANCE(B947,""price""),"""")"),9.54)</f>
        <v>9.54</v>
      </c>
    </row>
    <row r="948">
      <c r="A948" s="7">
        <v>46073.77923580069</v>
      </c>
      <c r="B948" s="8" t="s">
        <v>5527</v>
      </c>
      <c r="C948" s="8" t="s">
        <v>5528</v>
      </c>
      <c r="D948" s="9">
        <v>46075.0</v>
      </c>
      <c r="E948" s="10">
        <v>12.47</v>
      </c>
      <c r="F948" s="26">
        <v>1.1999</v>
      </c>
      <c r="G948" s="12">
        <v>1.4679081E7</v>
      </c>
      <c r="H948" s="8" t="s">
        <v>88</v>
      </c>
      <c r="I948" s="11">
        <v>-2.8059</v>
      </c>
      <c r="J948" s="12">
        <v>1.488558101E9</v>
      </c>
      <c r="K948" s="23"/>
      <c r="L948" s="23"/>
      <c r="M948" s="8" t="s">
        <v>5529</v>
      </c>
      <c r="N948" s="8" t="s">
        <v>5429</v>
      </c>
      <c r="O948" s="23"/>
      <c r="P948" s="23"/>
      <c r="Q948" s="23"/>
      <c r="R948" s="13">
        <v>0.0885</v>
      </c>
      <c r="S948" s="13">
        <v>10.416</v>
      </c>
      <c r="T948" s="14">
        <f>IFERROR(__xludf.DUMMYFUNCTION("IFERROR(GOOGLEFINANCE(B948,""price""),"""")"),12.37)</f>
        <v>12.37</v>
      </c>
    </row>
    <row r="949">
      <c r="A949" s="15">
        <v>46073.77923580069</v>
      </c>
      <c r="B949" s="16" t="s">
        <v>6001</v>
      </c>
      <c r="C949" s="16" t="s">
        <v>6002</v>
      </c>
      <c r="D949" s="17">
        <v>46075.0</v>
      </c>
      <c r="E949" s="18">
        <v>70.86</v>
      </c>
      <c r="F949" s="27">
        <v>1.1695</v>
      </c>
      <c r="G949" s="20">
        <v>1.8237682E7</v>
      </c>
      <c r="H949" s="16" t="s">
        <v>308</v>
      </c>
      <c r="I949" s="19">
        <v>-7.4693</v>
      </c>
      <c r="J949" s="20">
        <v>3.7850317105E10</v>
      </c>
      <c r="K949" s="24"/>
      <c r="L949" s="21">
        <v>-0.3877</v>
      </c>
      <c r="M949" s="16" t="s">
        <v>6003</v>
      </c>
      <c r="N949" s="16" t="s">
        <v>5520</v>
      </c>
      <c r="O949" s="21">
        <v>-23.2396</v>
      </c>
      <c r="P949" s="21">
        <v>-41.3581</v>
      </c>
      <c r="Q949" s="21">
        <v>52.4214</v>
      </c>
      <c r="R949" s="21">
        <v>0.4033</v>
      </c>
      <c r="S949" s="21">
        <v>3.1763</v>
      </c>
      <c r="T949" s="22">
        <f>IFERROR(__xludf.DUMMYFUNCTION("IFERROR(GOOGLEFINANCE(B949,""price""),"""")"),68.05)</f>
        <v>68.05</v>
      </c>
    </row>
    <row r="950">
      <c r="A950" s="7">
        <v>46073.77923580069</v>
      </c>
      <c r="B950" s="8" t="s">
        <v>2704</v>
      </c>
      <c r="C950" s="8" t="s">
        <v>2705</v>
      </c>
      <c r="D950" s="9">
        <v>46075.0</v>
      </c>
      <c r="E950" s="10">
        <v>29.04</v>
      </c>
      <c r="F950" s="26">
        <v>1.1653</v>
      </c>
      <c r="G950" s="12">
        <v>2.3846254E7</v>
      </c>
      <c r="H950" s="8" t="s">
        <v>88</v>
      </c>
      <c r="I950" s="11">
        <v>-7.8972</v>
      </c>
      <c r="J950" s="12">
        <v>8.119172256E9</v>
      </c>
      <c r="K950" s="23"/>
      <c r="L950" s="13">
        <v>-0.5438</v>
      </c>
      <c r="M950" s="8" t="s">
        <v>2707</v>
      </c>
      <c r="N950" s="8" t="s">
        <v>5471</v>
      </c>
      <c r="O950" s="13">
        <v>-11.4029</v>
      </c>
      <c r="P950" s="13">
        <v>-26.4624</v>
      </c>
      <c r="Q950" s="13">
        <v>33.135</v>
      </c>
      <c r="R950" s="13">
        <v>1.6778</v>
      </c>
      <c r="S950" s="13">
        <v>4.8227</v>
      </c>
      <c r="T950" s="14">
        <f>IFERROR(__xludf.DUMMYFUNCTION("IFERROR(GOOGLEFINANCE(B950,""price""),"""")"),26.24)</f>
        <v>26.24</v>
      </c>
    </row>
    <row r="951">
      <c r="A951" s="15">
        <v>46073.77923580069</v>
      </c>
      <c r="B951" s="16" t="s">
        <v>5533</v>
      </c>
      <c r="C951" s="16" t="s">
        <v>5534</v>
      </c>
      <c r="D951" s="17">
        <v>46075.0</v>
      </c>
      <c r="E951" s="18">
        <v>6.21</v>
      </c>
      <c r="F951" s="27">
        <v>1.1621</v>
      </c>
      <c r="G951" s="20">
        <v>1.73342E7</v>
      </c>
      <c r="H951" s="16" t="s">
        <v>102</v>
      </c>
      <c r="I951" s="19">
        <v>-1.5848</v>
      </c>
      <c r="J951" s="20">
        <v>1.680257166E9</v>
      </c>
      <c r="K951" s="24"/>
      <c r="L951" s="21">
        <v>-3.7839</v>
      </c>
      <c r="M951" s="16" t="s">
        <v>5535</v>
      </c>
      <c r="N951" s="16" t="s">
        <v>5536</v>
      </c>
      <c r="O951" s="21">
        <v>-55.984</v>
      </c>
      <c r="P951" s="21">
        <v>-31.1477</v>
      </c>
      <c r="Q951" s="24"/>
      <c r="R951" s="21">
        <v>4.5088</v>
      </c>
      <c r="S951" s="21">
        <v>1.1293</v>
      </c>
      <c r="T951" s="22">
        <f>IFERROR(__xludf.DUMMYFUNCTION("IFERROR(GOOGLEFINANCE(B951,""price""),"""")"),4.69)</f>
        <v>4.69</v>
      </c>
    </row>
    <row r="952">
      <c r="A952" s="7">
        <v>46073.77923580069</v>
      </c>
      <c r="B952" s="8" t="s">
        <v>6004</v>
      </c>
      <c r="C952" s="8" t="s">
        <v>6005</v>
      </c>
      <c r="D952" s="9">
        <v>46075.0</v>
      </c>
      <c r="E952" s="10">
        <v>29.12</v>
      </c>
      <c r="F952" s="26">
        <v>1.1404</v>
      </c>
      <c r="G952" s="12">
        <v>9950644.0</v>
      </c>
      <c r="H952" s="8" t="s">
        <v>93</v>
      </c>
      <c r="I952" s="11">
        <v>-11.57</v>
      </c>
      <c r="J952" s="12">
        <v>6.279053702E9</v>
      </c>
      <c r="K952" s="23"/>
      <c r="L952" s="23"/>
      <c r="M952" s="8" t="s">
        <v>6006</v>
      </c>
      <c r="N952" s="8" t="s">
        <v>5590</v>
      </c>
      <c r="O952" s="23"/>
      <c r="P952" s="23"/>
      <c r="Q952" s="23"/>
      <c r="R952" s="13">
        <v>0.6928</v>
      </c>
      <c r="S952" s="13">
        <v>1.7614</v>
      </c>
      <c r="T952" s="14">
        <f>IFERROR(__xludf.DUMMYFUNCTION("IFERROR(GOOGLEFINANCE(B952,""price""),"""")"),34.08)</f>
        <v>34.08</v>
      </c>
    </row>
    <row r="953">
      <c r="A953" s="15">
        <v>46073.77923580069</v>
      </c>
      <c r="B953" s="16" t="s">
        <v>6007</v>
      </c>
      <c r="C953" s="16" t="s">
        <v>6008</v>
      </c>
      <c r="D953" s="17">
        <v>46075.0</v>
      </c>
      <c r="E953" s="18">
        <v>9.87</v>
      </c>
      <c r="F953" s="27">
        <v>1.1162</v>
      </c>
      <c r="G953" s="20">
        <v>1.9281328E7</v>
      </c>
      <c r="H953" s="16" t="s">
        <v>308</v>
      </c>
      <c r="I953" s="19">
        <v>-3.7073</v>
      </c>
      <c r="J953" s="20">
        <v>9.521062006E9</v>
      </c>
      <c r="K953" s="24"/>
      <c r="L953" s="21">
        <v>-1.3261</v>
      </c>
      <c r="M953" s="16" t="s">
        <v>6009</v>
      </c>
      <c r="N953" s="16" t="s">
        <v>5520</v>
      </c>
      <c r="O953" s="21">
        <v>-125.7334</v>
      </c>
      <c r="P953" s="21">
        <v>-2900.9451</v>
      </c>
      <c r="Q953" s="21">
        <v>1934.5013</v>
      </c>
      <c r="R953" s="21">
        <v>0.0509</v>
      </c>
      <c r="S953" s="21">
        <v>13.6072</v>
      </c>
      <c r="T953" s="22">
        <f>IFERROR(__xludf.DUMMYFUNCTION("IFERROR(GOOGLEFINANCE(B953,""price""),"""")"),8.34)</f>
        <v>8.34</v>
      </c>
    </row>
    <row r="954">
      <c r="A954" s="7">
        <v>46073.77923580069</v>
      </c>
      <c r="B954" s="8" t="s">
        <v>5574</v>
      </c>
      <c r="C954" s="8" t="s">
        <v>5575</v>
      </c>
      <c r="D954" s="9">
        <v>46075.0</v>
      </c>
      <c r="E954" s="10">
        <v>21.35</v>
      </c>
      <c r="F954" s="26">
        <v>1.1127</v>
      </c>
      <c r="G954" s="12">
        <v>9469801.0</v>
      </c>
      <c r="H954" s="8" t="s">
        <v>335</v>
      </c>
      <c r="I954" s="11">
        <v>-2.822</v>
      </c>
      <c r="J954" s="12">
        <v>5.066072134E9</v>
      </c>
      <c r="K954" s="23"/>
      <c r="L954" s="13">
        <v>-0.4849</v>
      </c>
      <c r="M954" s="8" t="s">
        <v>5576</v>
      </c>
      <c r="N954" s="8" t="s">
        <v>5506</v>
      </c>
      <c r="O954" s="13">
        <v>-18.1731</v>
      </c>
      <c r="P954" s="13">
        <v>-129.5586</v>
      </c>
      <c r="Q954" s="13">
        <v>103.694</v>
      </c>
      <c r="R954" s="13">
        <v>0.0</v>
      </c>
      <c r="S954" s="13">
        <v>11.4962</v>
      </c>
      <c r="T954" s="14">
        <f>IFERROR(__xludf.DUMMYFUNCTION("IFERROR(GOOGLEFINANCE(B954,""price""),"""")"),18.4)</f>
        <v>18.4</v>
      </c>
    </row>
    <row r="955">
      <c r="A955" s="15">
        <v>46073.77923580069</v>
      </c>
      <c r="B955" s="16" t="s">
        <v>5567</v>
      </c>
      <c r="C955" s="16" t="s">
        <v>5568</v>
      </c>
      <c r="D955" s="17">
        <v>46075.0</v>
      </c>
      <c r="E955" s="18">
        <v>147.55</v>
      </c>
      <c r="F955" s="27">
        <v>1.1088</v>
      </c>
      <c r="G955" s="20">
        <v>1.017691E7</v>
      </c>
      <c r="H955" s="16" t="s">
        <v>308</v>
      </c>
      <c r="I955" s="19">
        <v>-7.2013</v>
      </c>
      <c r="J955" s="20">
        <v>4.1394889532E10</v>
      </c>
      <c r="K955" s="24"/>
      <c r="L955" s="21">
        <v>-0.3809</v>
      </c>
      <c r="M955" s="16" t="s">
        <v>5569</v>
      </c>
      <c r="N955" s="16" t="s">
        <v>5433</v>
      </c>
      <c r="O955" s="21">
        <v>-13.2874</v>
      </c>
      <c r="P955" s="21">
        <v>5.4633</v>
      </c>
      <c r="Q955" s="21">
        <v>37.3263</v>
      </c>
      <c r="R955" s="21">
        <v>3.8975</v>
      </c>
      <c r="S955" s="21">
        <v>5.9285</v>
      </c>
      <c r="T955" s="22">
        <f>IFERROR(__xludf.DUMMYFUNCTION("IFERROR(GOOGLEFINANCE(B955,""price""),"""")"),166.7)</f>
        <v>166.7</v>
      </c>
    </row>
    <row r="956">
      <c r="A956" s="7">
        <v>46073.77923580069</v>
      </c>
      <c r="B956" s="8" t="s">
        <v>5434</v>
      </c>
      <c r="C956" s="8" t="s">
        <v>5435</v>
      </c>
      <c r="D956" s="9">
        <v>46075.0</v>
      </c>
      <c r="E956" s="10">
        <v>10.03</v>
      </c>
      <c r="F956" s="26">
        <v>1.1006</v>
      </c>
      <c r="G956" s="12">
        <v>1.11453526E8</v>
      </c>
      <c r="H956" s="8" t="s">
        <v>308</v>
      </c>
      <c r="I956" s="11">
        <v>-11.9403</v>
      </c>
      <c r="J956" s="12">
        <v>4.509121193E9</v>
      </c>
      <c r="K956" s="23"/>
      <c r="L956" s="13">
        <v>-0.4034</v>
      </c>
      <c r="M956" s="8" t="s">
        <v>5436</v>
      </c>
      <c r="N956" s="8" t="s">
        <v>5437</v>
      </c>
      <c r="O956" s="13">
        <v>-17.0422</v>
      </c>
      <c r="P956" s="13">
        <v>-176.0921</v>
      </c>
      <c r="Q956" s="13">
        <v>208.4002</v>
      </c>
      <c r="R956" s="13">
        <v>0.037</v>
      </c>
      <c r="S956" s="13">
        <v>15.2957</v>
      </c>
      <c r="T956" s="14">
        <f>IFERROR(__xludf.DUMMYFUNCTION("IFERROR(GOOGLEFINANCE(B956,""price""),"""")"),9.13)</f>
        <v>9.13</v>
      </c>
    </row>
    <row r="957">
      <c r="A957" s="15">
        <v>46073.77923580069</v>
      </c>
      <c r="B957" s="16" t="s">
        <v>5728</v>
      </c>
      <c r="C957" s="16" t="s">
        <v>5729</v>
      </c>
      <c r="D957" s="17">
        <v>46075.0</v>
      </c>
      <c r="E957" s="18">
        <v>7.78</v>
      </c>
      <c r="F957" s="27">
        <v>1.0918</v>
      </c>
      <c r="G957" s="20">
        <v>1.3000471E7</v>
      </c>
      <c r="H957" s="16" t="s">
        <v>117</v>
      </c>
      <c r="I957" s="19">
        <v>10.6686</v>
      </c>
      <c r="J957" s="20">
        <v>1.693642159E9</v>
      </c>
      <c r="K957" s="24"/>
      <c r="L957" s="21">
        <v>-1.4385</v>
      </c>
      <c r="M957" s="16" t="s">
        <v>5730</v>
      </c>
      <c r="N957" s="16" t="s">
        <v>5491</v>
      </c>
      <c r="O957" s="21">
        <v>-54.8523</v>
      </c>
      <c r="P957" s="21">
        <v>-519.7513</v>
      </c>
      <c r="Q957" s="21">
        <v>-18.4724</v>
      </c>
      <c r="R957" s="21">
        <v>0.1176</v>
      </c>
      <c r="S957" s="21">
        <v>15.3944</v>
      </c>
      <c r="T957" s="22">
        <f>IFERROR(__xludf.DUMMYFUNCTION("IFERROR(GOOGLEFINANCE(B957,""price""),"""")"),8.79)</f>
        <v>8.79</v>
      </c>
    </row>
    <row r="958">
      <c r="A958" s="7">
        <v>46073.77923580069</v>
      </c>
      <c r="B958" s="8" t="s">
        <v>5938</v>
      </c>
      <c r="C958" s="8" t="s">
        <v>5939</v>
      </c>
      <c r="D958" s="9">
        <v>46075.0</v>
      </c>
      <c r="E958" s="10">
        <v>7.78</v>
      </c>
      <c r="F958" s="26">
        <v>1.0898</v>
      </c>
      <c r="G958" s="12">
        <v>3.347577E7</v>
      </c>
      <c r="H958" s="8" t="s">
        <v>88</v>
      </c>
      <c r="I958" s="11">
        <v>-2.0151</v>
      </c>
      <c r="J958" s="12">
        <v>1.808115805E9</v>
      </c>
      <c r="K958" s="23"/>
      <c r="L958" s="23"/>
      <c r="M958" s="8" t="s">
        <v>5940</v>
      </c>
      <c r="N958" s="8" t="s">
        <v>5471</v>
      </c>
      <c r="O958" s="13">
        <v>11.4635</v>
      </c>
      <c r="P958" s="13">
        <v>-29.6598</v>
      </c>
      <c r="Q958" s="13">
        <v>77.3256</v>
      </c>
      <c r="R958" s="13">
        <v>1.2667</v>
      </c>
      <c r="S958" s="13">
        <v>0.9119</v>
      </c>
      <c r="T958" s="14">
        <f>IFERROR(__xludf.DUMMYFUNCTION("IFERROR(GOOGLEFINANCE(B958,""price""),"""")"),10.75)</f>
        <v>10.75</v>
      </c>
    </row>
    <row r="959">
      <c r="A959" s="15">
        <v>46073.77923580069</v>
      </c>
      <c r="B959" s="16" t="s">
        <v>5484</v>
      </c>
      <c r="C959" s="16" t="s">
        <v>5485</v>
      </c>
      <c r="D959" s="17">
        <v>46075.0</v>
      </c>
      <c r="E959" s="18">
        <v>39.98</v>
      </c>
      <c r="F959" s="27">
        <v>1.0829</v>
      </c>
      <c r="G959" s="20">
        <v>4.1910933E7</v>
      </c>
      <c r="H959" s="16" t="s">
        <v>88</v>
      </c>
      <c r="I959" s="19">
        <v>-7.6461</v>
      </c>
      <c r="J959" s="20">
        <v>1.3263732608E10</v>
      </c>
      <c r="K959" s="21">
        <v>45.8066</v>
      </c>
      <c r="L959" s="21">
        <v>0.8728</v>
      </c>
      <c r="M959" s="16" t="s">
        <v>5486</v>
      </c>
      <c r="N959" s="16" t="s">
        <v>5471</v>
      </c>
      <c r="O959" s="21">
        <v>22.5116</v>
      </c>
      <c r="P959" s="21">
        <v>-13.85</v>
      </c>
      <c r="Q959" s="21">
        <v>123.3192</v>
      </c>
      <c r="R959" s="21">
        <v>1.5302</v>
      </c>
      <c r="S959" s="21">
        <v>4.9601</v>
      </c>
      <c r="T959" s="22">
        <f>IFERROR(__xludf.DUMMYFUNCTION("IFERROR(GOOGLEFINANCE(B959,""price""),"""")"),39.32)</f>
        <v>39.32</v>
      </c>
    </row>
    <row r="960">
      <c r="A960" s="7">
        <v>46073.77923580069</v>
      </c>
      <c r="B960" s="8" t="s">
        <v>5652</v>
      </c>
      <c r="C960" s="8" t="s">
        <v>5653</v>
      </c>
      <c r="D960" s="9">
        <v>46075.0</v>
      </c>
      <c r="E960" s="10">
        <v>3.42</v>
      </c>
      <c r="F960" s="26">
        <v>1.0586</v>
      </c>
      <c r="G960" s="12">
        <v>1.8911142E7</v>
      </c>
      <c r="H960" s="8" t="s">
        <v>117</v>
      </c>
      <c r="I960" s="11">
        <v>-8.0645</v>
      </c>
      <c r="J960" s="12">
        <v>1.77996364E9</v>
      </c>
      <c r="K960" s="23"/>
      <c r="L960" s="13">
        <v>-1.81</v>
      </c>
      <c r="M960" s="8" t="s">
        <v>5654</v>
      </c>
      <c r="N960" s="8" t="s">
        <v>5502</v>
      </c>
      <c r="O960" s="13">
        <v>-91.0646</v>
      </c>
      <c r="P960" s="13">
        <v>-1656.172</v>
      </c>
      <c r="Q960" s="13">
        <v>-32.9759</v>
      </c>
      <c r="R960" s="13">
        <v>0.0787</v>
      </c>
      <c r="S960" s="13">
        <v>4.6041</v>
      </c>
      <c r="T960" s="14">
        <f>IFERROR(__xludf.DUMMYFUNCTION("IFERROR(GOOGLEFINANCE(B960,""price""),"""")"),3.28)</f>
        <v>3.28</v>
      </c>
    </row>
    <row r="961">
      <c r="A961" s="15">
        <v>46073.77923580069</v>
      </c>
      <c r="B961" s="16" t="s">
        <v>5554</v>
      </c>
      <c r="C961" s="16" t="s">
        <v>5555</v>
      </c>
      <c r="D961" s="17">
        <v>46075.0</v>
      </c>
      <c r="E961" s="18">
        <v>80.2</v>
      </c>
      <c r="F961" s="27">
        <v>1.0421</v>
      </c>
      <c r="G961" s="20">
        <v>1.0199567E7</v>
      </c>
      <c r="H961" s="16" t="s">
        <v>873</v>
      </c>
      <c r="I961" s="19">
        <v>-7.1759</v>
      </c>
      <c r="J961" s="20">
        <v>2.9465584403E10</v>
      </c>
      <c r="K961" s="24"/>
      <c r="L961" s="21">
        <v>-1.2452</v>
      </c>
      <c r="M961" s="16" t="s">
        <v>5556</v>
      </c>
      <c r="N961" s="16" t="s">
        <v>5557</v>
      </c>
      <c r="O961" s="21">
        <v>-39.2195</v>
      </c>
      <c r="P961" s="21">
        <v>-1479.4668</v>
      </c>
      <c r="Q961" s="21">
        <v>641.24</v>
      </c>
      <c r="R961" s="21">
        <v>0.5824</v>
      </c>
      <c r="S961" s="21">
        <v>9.5602</v>
      </c>
      <c r="T961" s="22">
        <f>IFERROR(__xludf.DUMMYFUNCTION("IFERROR(GOOGLEFINANCE(B961,""price""),"""")"),94.9)</f>
        <v>94.9</v>
      </c>
    </row>
    <row r="962">
      <c r="A962" s="7">
        <v>46076.49581095913</v>
      </c>
      <c r="B962" s="8" t="s">
        <v>5604</v>
      </c>
      <c r="C962" s="8" t="s">
        <v>5605</v>
      </c>
      <c r="D962" s="9">
        <v>46082.0</v>
      </c>
      <c r="E962" s="10">
        <v>52.93</v>
      </c>
      <c r="F962" s="26">
        <v>2.065</v>
      </c>
      <c r="G962" s="12">
        <v>4253745.0</v>
      </c>
      <c r="H962" s="8" t="s">
        <v>308</v>
      </c>
      <c r="I962" s="11">
        <v>2.4187</v>
      </c>
      <c r="J962" s="12">
        <v>3.614054703E9</v>
      </c>
      <c r="K962" s="23"/>
      <c r="L962" s="13">
        <v>-3.2256</v>
      </c>
      <c r="M962" s="8" t="s">
        <v>5606</v>
      </c>
      <c r="N962" s="8" t="s">
        <v>5414</v>
      </c>
      <c r="O962" s="13">
        <v>-40.4315</v>
      </c>
      <c r="P962" s="13">
        <v>-11.7552</v>
      </c>
      <c r="Q962" s="13">
        <v>101.2494</v>
      </c>
      <c r="R962" s="13">
        <v>0.4206</v>
      </c>
      <c r="S962" s="13">
        <v>2.3092</v>
      </c>
      <c r="T962" s="14">
        <f>IFERROR(__xludf.DUMMYFUNCTION("IFERROR(GOOGLEFINANCE(B962,""price""),"""")"),150.6)</f>
        <v>150.6</v>
      </c>
    </row>
    <row r="963">
      <c r="A963" s="15">
        <v>46076.49581095913</v>
      </c>
      <c r="B963" s="16" t="s">
        <v>5517</v>
      </c>
      <c r="C963" s="16" t="s">
        <v>5518</v>
      </c>
      <c r="D963" s="17">
        <v>46082.0</v>
      </c>
      <c r="E963" s="18">
        <v>7.77</v>
      </c>
      <c r="F963" s="27">
        <v>1.7852</v>
      </c>
      <c r="G963" s="20">
        <v>5851389.0</v>
      </c>
      <c r="H963" s="16" t="s">
        <v>308</v>
      </c>
      <c r="I963" s="19">
        <v>-2.7534</v>
      </c>
      <c r="J963" s="20">
        <v>1.283221581E9</v>
      </c>
      <c r="K963" s="24"/>
      <c r="L963" s="21">
        <v>-3.1791</v>
      </c>
      <c r="M963" s="16" t="s">
        <v>5519</v>
      </c>
      <c r="N963" s="16" t="s">
        <v>5520</v>
      </c>
      <c r="O963" s="21">
        <v>-50.0822</v>
      </c>
      <c r="P963" s="21">
        <v>-46.1858</v>
      </c>
      <c r="Q963" s="21">
        <v>-0.6305</v>
      </c>
      <c r="R963" s="21">
        <v>0.3596</v>
      </c>
      <c r="S963" s="21">
        <v>1.4082</v>
      </c>
      <c r="T963" s="22">
        <f>IFERROR(__xludf.DUMMYFUNCTION("IFERROR(GOOGLEFINANCE(B963,""price""),"""")"),9.29)</f>
        <v>9.29</v>
      </c>
    </row>
    <row r="964">
      <c r="A964" s="7">
        <v>46076.49581095913</v>
      </c>
      <c r="B964" s="8" t="s">
        <v>5465</v>
      </c>
      <c r="C964" s="8" t="s">
        <v>5466</v>
      </c>
      <c r="D964" s="9">
        <v>46082.0</v>
      </c>
      <c r="E964" s="10">
        <v>91.29</v>
      </c>
      <c r="F964" s="26">
        <v>1.7835</v>
      </c>
      <c r="G964" s="12">
        <v>1.4546809E7</v>
      </c>
      <c r="H964" s="8" t="s">
        <v>88</v>
      </c>
      <c r="I964" s="11">
        <v>2.2857</v>
      </c>
      <c r="J964" s="12">
        <v>4.7585212488E10</v>
      </c>
      <c r="K964" s="23"/>
      <c r="L964" s="13">
        <v>-1.8177</v>
      </c>
      <c r="M964" s="8" t="s">
        <v>5467</v>
      </c>
      <c r="N964" s="8" t="s">
        <v>5429</v>
      </c>
      <c r="O964" s="13">
        <v>-29.1701</v>
      </c>
      <c r="P964" s="13">
        <v>3.6285</v>
      </c>
      <c r="Q964" s="13">
        <v>235.401</v>
      </c>
      <c r="R964" s="13">
        <v>4.85</v>
      </c>
      <c r="S964" s="13">
        <v>0.487</v>
      </c>
      <c r="T964" s="14">
        <f>IFERROR(__xludf.DUMMYFUNCTION("IFERROR(GOOGLEFINANCE(B964,""price""),"""")"),102.0)</f>
        <v>102</v>
      </c>
    </row>
    <row r="965">
      <c r="A965" s="15">
        <v>46076.49581095913</v>
      </c>
      <c r="B965" s="16" t="s">
        <v>5558</v>
      </c>
      <c r="C965" s="16" t="s">
        <v>5559</v>
      </c>
      <c r="D965" s="17">
        <v>46082.0</v>
      </c>
      <c r="E965" s="18">
        <v>9.94</v>
      </c>
      <c r="F965" s="27">
        <v>1.7334</v>
      </c>
      <c r="G965" s="20">
        <v>6999557.0</v>
      </c>
      <c r="H965" s="16" t="s">
        <v>102</v>
      </c>
      <c r="I965" s="19">
        <v>-7.1028</v>
      </c>
      <c r="J965" s="20">
        <v>3.221535802E9</v>
      </c>
      <c r="K965" s="24"/>
      <c r="L965" s="21">
        <v>-8.3559</v>
      </c>
      <c r="M965" s="16" t="s">
        <v>5560</v>
      </c>
      <c r="N965" s="16" t="s">
        <v>5536</v>
      </c>
      <c r="O965" s="21"/>
      <c r="P965" s="21">
        <v>-351.0117</v>
      </c>
      <c r="Q965" s="21">
        <v>324.0994</v>
      </c>
      <c r="R965" s="21"/>
      <c r="S965" s="21">
        <v>1.8261</v>
      </c>
      <c r="T965" s="22">
        <f>IFERROR(__xludf.DUMMYFUNCTION("IFERROR(GOOGLEFINANCE(B965,""price""),"""")"),5.62)</f>
        <v>5.62</v>
      </c>
    </row>
    <row r="966">
      <c r="A966" s="7">
        <v>46076.49581095913</v>
      </c>
      <c r="B966" s="8" t="s">
        <v>5992</v>
      </c>
      <c r="C966" s="8" t="s">
        <v>5993</v>
      </c>
      <c r="D966" s="9">
        <v>46082.0</v>
      </c>
      <c r="E966" s="10">
        <v>24.075</v>
      </c>
      <c r="F966" s="26">
        <v>1.6966</v>
      </c>
      <c r="G966" s="12">
        <v>5604242.0</v>
      </c>
      <c r="H966" s="8" t="s">
        <v>88</v>
      </c>
      <c r="I966" s="11">
        <v>-4.0837</v>
      </c>
      <c r="J966" s="12">
        <v>1.1642548339E10</v>
      </c>
      <c r="K966" s="13">
        <v>27.4672</v>
      </c>
      <c r="L966" s="13">
        <v>0.8765</v>
      </c>
      <c r="M966" s="8" t="s">
        <v>5994</v>
      </c>
      <c r="N966" s="8" t="s">
        <v>5429</v>
      </c>
      <c r="O966" s="13">
        <v>16.7829</v>
      </c>
      <c r="P966" s="13">
        <v>18.9126</v>
      </c>
      <c r="Q966" s="13">
        <v>20.8212</v>
      </c>
      <c r="R966" s="13">
        <v>0.1446</v>
      </c>
      <c r="S966" s="13">
        <v>1.7097</v>
      </c>
      <c r="T966" s="14">
        <f>IFERROR(__xludf.DUMMYFUNCTION("IFERROR(GOOGLEFINANCE(B966,""price""),"""")"),20.09)</f>
        <v>20.09</v>
      </c>
    </row>
    <row r="967">
      <c r="A967" s="15">
        <v>46076.49581095913</v>
      </c>
      <c r="B967" s="16" t="s">
        <v>5948</v>
      </c>
      <c r="C967" s="16" t="s">
        <v>5949</v>
      </c>
      <c r="D967" s="17">
        <v>46082.0</v>
      </c>
      <c r="E967" s="18">
        <v>4.615</v>
      </c>
      <c r="F967" s="27">
        <v>1.6953</v>
      </c>
      <c r="G967" s="20">
        <v>7553173.0</v>
      </c>
      <c r="H967" s="16" t="s">
        <v>117</v>
      </c>
      <c r="I967" s="19">
        <v>11.2048</v>
      </c>
      <c r="J967" s="20">
        <v>6.57370908E8</v>
      </c>
      <c r="K967" s="24"/>
      <c r="L967" s="21">
        <v>-0.2869</v>
      </c>
      <c r="M967" s="16" t="s">
        <v>5950</v>
      </c>
      <c r="N967" s="16" t="s">
        <v>5491</v>
      </c>
      <c r="O967" s="21">
        <v>-84.3341</v>
      </c>
      <c r="P967" s="21"/>
      <c r="Q967" s="21"/>
      <c r="R967" s="21">
        <v>0.0131</v>
      </c>
      <c r="S967" s="21">
        <v>8.2786</v>
      </c>
      <c r="T967" s="22">
        <f>IFERROR(__xludf.DUMMYFUNCTION("IFERROR(GOOGLEFINANCE(B967,""price""),"""")"),4.76)</f>
        <v>4.76</v>
      </c>
    </row>
    <row r="968">
      <c r="A968" s="7">
        <v>46076.49581095913</v>
      </c>
      <c r="B968" s="8" t="s">
        <v>5744</v>
      </c>
      <c r="C968" s="8" t="s">
        <v>5745</v>
      </c>
      <c r="D968" s="9">
        <v>46082.0</v>
      </c>
      <c r="E968" s="10">
        <v>15.345</v>
      </c>
      <c r="F968" s="26">
        <v>1.6416</v>
      </c>
      <c r="G968" s="12">
        <v>1.2334419E7</v>
      </c>
      <c r="H968" s="8" t="s">
        <v>190</v>
      </c>
      <c r="I968" s="11">
        <v>-1.8234</v>
      </c>
      <c r="J968" s="12">
        <v>3.493266447E9</v>
      </c>
      <c r="K968" s="13">
        <v>28.3694</v>
      </c>
      <c r="L968" s="13">
        <v>0.5409</v>
      </c>
      <c r="M968" s="8" t="s">
        <v>5746</v>
      </c>
      <c r="N968" s="8" t="s">
        <v>5747</v>
      </c>
      <c r="O968" s="13">
        <v>26.2066</v>
      </c>
      <c r="P968" s="13">
        <v>5.9617</v>
      </c>
      <c r="Q968" s="13">
        <v>78.0168</v>
      </c>
      <c r="R968" s="13">
        <v>1.9244</v>
      </c>
      <c r="S968" s="13">
        <v>1.8751</v>
      </c>
      <c r="T968" s="14">
        <f>IFERROR(__xludf.DUMMYFUNCTION("IFERROR(GOOGLEFINANCE(B968,""price""),"""")"),19.43)</f>
        <v>19.43</v>
      </c>
    </row>
    <row r="969">
      <c r="A969" s="15">
        <v>46076.49581095913</v>
      </c>
      <c r="B969" s="16" t="s">
        <v>5561</v>
      </c>
      <c r="C969" s="16" t="s">
        <v>5562</v>
      </c>
      <c r="D969" s="17">
        <v>46082.0</v>
      </c>
      <c r="E969" s="18">
        <v>12.12</v>
      </c>
      <c r="F969" s="27">
        <v>1.623</v>
      </c>
      <c r="G969" s="20">
        <v>1.6743321E7</v>
      </c>
      <c r="H969" s="16" t="s">
        <v>102</v>
      </c>
      <c r="I969" s="19">
        <v>-9.8214</v>
      </c>
      <c r="J969" s="20">
        <v>3.669021726E9</v>
      </c>
      <c r="K969" s="24"/>
      <c r="L969" s="21">
        <v>-2.8582</v>
      </c>
      <c r="M969" s="16" t="s">
        <v>5563</v>
      </c>
      <c r="N969" s="16" t="s">
        <v>5536</v>
      </c>
      <c r="O969" s="21">
        <v>-76.8505</v>
      </c>
      <c r="P969" s="21">
        <v>-983.9643</v>
      </c>
      <c r="Q969" s="21">
        <v>765.6686</v>
      </c>
      <c r="R969" s="21">
        <v>0.0</v>
      </c>
      <c r="S969" s="21">
        <v>1.6153</v>
      </c>
      <c r="T969" s="22">
        <f>IFERROR(__xludf.DUMMYFUNCTION("IFERROR(GOOGLEFINANCE(B969,""price""),"""")"),9.21)</f>
        <v>9.21</v>
      </c>
    </row>
    <row r="970">
      <c r="A970" s="7">
        <v>46076.49581095913</v>
      </c>
      <c r="B970" s="8" t="s">
        <v>5514</v>
      </c>
      <c r="C970" s="8" t="s">
        <v>5515</v>
      </c>
      <c r="D970" s="9">
        <v>46082.0</v>
      </c>
      <c r="E970" s="10">
        <v>9.875</v>
      </c>
      <c r="F970" s="26">
        <v>1.6172</v>
      </c>
      <c r="G970" s="12">
        <v>6.6063094E7</v>
      </c>
      <c r="H970" s="8" t="s">
        <v>117</v>
      </c>
      <c r="I970" s="11">
        <v>13.5057</v>
      </c>
      <c r="J970" s="12">
        <v>9.726531235E9</v>
      </c>
      <c r="K970" s="23"/>
      <c r="L970" s="13">
        <v>-0.4205</v>
      </c>
      <c r="M970" s="8" t="s">
        <v>5516</v>
      </c>
      <c r="N970" s="8" t="s">
        <v>5491</v>
      </c>
      <c r="O970" s="13"/>
      <c r="P970" s="13">
        <v>-315.8428</v>
      </c>
      <c r="Q970" s="13">
        <v>1025.9547</v>
      </c>
      <c r="R970" s="13"/>
      <c r="S970" s="13">
        <v>5.7671</v>
      </c>
      <c r="T970" s="14">
        <f>IFERROR(__xludf.DUMMYFUNCTION("IFERROR(GOOGLEFINANCE(B970,""price""),"""")"),7.28)</f>
        <v>7.28</v>
      </c>
    </row>
    <row r="971">
      <c r="A971" s="15">
        <v>46076.49581095913</v>
      </c>
      <c r="B971" s="16" t="s">
        <v>6010</v>
      </c>
      <c r="C971" s="16" t="s">
        <v>6011</v>
      </c>
      <c r="D971" s="17">
        <v>46082.0</v>
      </c>
      <c r="E971" s="18">
        <v>14.765</v>
      </c>
      <c r="F971" s="27">
        <v>1.6009</v>
      </c>
      <c r="G971" s="20">
        <v>5247884.0</v>
      </c>
      <c r="H971" s="16" t="s">
        <v>88</v>
      </c>
      <c r="I971" s="19">
        <v>-9.4727</v>
      </c>
      <c r="J971" s="20">
        <v>3.631825034E9</v>
      </c>
      <c r="K971" s="24"/>
      <c r="L971" s="21">
        <v>-0.1161</v>
      </c>
      <c r="M971" s="16" t="s">
        <v>6012</v>
      </c>
      <c r="N971" s="16" t="s">
        <v>5429</v>
      </c>
      <c r="O971" s="21">
        <v>-3.9193</v>
      </c>
      <c r="P971" s="21">
        <v>0.6317</v>
      </c>
      <c r="Q971" s="21">
        <v>35.8666</v>
      </c>
      <c r="R971" s="21">
        <v>0.2857</v>
      </c>
      <c r="S971" s="21">
        <v>3.0115</v>
      </c>
      <c r="T971" s="22">
        <f>IFERROR(__xludf.DUMMYFUNCTION("IFERROR(GOOGLEFINANCE(B971,""price""),"""")"),14.61)</f>
        <v>14.61</v>
      </c>
    </row>
    <row r="972">
      <c r="A972" s="7">
        <v>46076.49581095913</v>
      </c>
      <c r="B972" s="8" t="s">
        <v>5594</v>
      </c>
      <c r="C972" s="8" t="s">
        <v>5595</v>
      </c>
      <c r="D972" s="9">
        <v>46082.0</v>
      </c>
      <c r="E972" s="10">
        <v>15.01</v>
      </c>
      <c r="F972" s="26">
        <v>1.5905</v>
      </c>
      <c r="G972" s="12">
        <v>1.1797164E7</v>
      </c>
      <c r="H972" s="8" t="s">
        <v>88</v>
      </c>
      <c r="I972" s="11">
        <v>0.0</v>
      </c>
      <c r="J972" s="12">
        <v>6.284415186E9</v>
      </c>
      <c r="K972" s="23"/>
      <c r="L972" s="13">
        <v>-1.4167</v>
      </c>
      <c r="M972" s="8" t="s">
        <v>5596</v>
      </c>
      <c r="N972" s="8" t="s">
        <v>5471</v>
      </c>
      <c r="O972" s="13">
        <v>-181.9547</v>
      </c>
      <c r="P972" s="13">
        <v>-69.885</v>
      </c>
      <c r="Q972" s="13">
        <v>30.5825</v>
      </c>
      <c r="R972" s="13">
        <v>4.3877</v>
      </c>
      <c r="S972" s="13">
        <v>1.0329</v>
      </c>
      <c r="T972" s="14">
        <f>IFERROR(__xludf.DUMMYFUNCTION("IFERROR(GOOGLEFINANCE(B972,""price""),"""")"),18.88)</f>
        <v>18.88</v>
      </c>
    </row>
    <row r="973">
      <c r="A973" s="15">
        <v>46076.49581095913</v>
      </c>
      <c r="B973" s="16" t="s">
        <v>5544</v>
      </c>
      <c r="C973" s="16" t="s">
        <v>5545</v>
      </c>
      <c r="D973" s="17">
        <v>46082.0</v>
      </c>
      <c r="E973" s="18">
        <v>14.81</v>
      </c>
      <c r="F973" s="27">
        <v>1.5615</v>
      </c>
      <c r="G973" s="20">
        <v>1.1875911E7</v>
      </c>
      <c r="H973" s="16" t="s">
        <v>88</v>
      </c>
      <c r="I973" s="19">
        <v>1.0922</v>
      </c>
      <c r="J973" s="20">
        <v>5.851313427E9</v>
      </c>
      <c r="K973" s="24"/>
      <c r="L973" s="21">
        <v>-0.1905</v>
      </c>
      <c r="M973" s="16" t="s">
        <v>5546</v>
      </c>
      <c r="N973" s="16" t="s">
        <v>5471</v>
      </c>
      <c r="O973" s="21">
        <v>-9.6935</v>
      </c>
      <c r="P973" s="21">
        <v>-72.0529</v>
      </c>
      <c r="Q973" s="21">
        <v>35.4099</v>
      </c>
      <c r="R973" s="21">
        <v>1.333</v>
      </c>
      <c r="S973" s="21">
        <v>2.4892</v>
      </c>
      <c r="T973" s="22">
        <f>IFERROR(__xludf.DUMMYFUNCTION("IFERROR(GOOGLEFINANCE(B973,""price""),"""")"),16.53)</f>
        <v>16.53</v>
      </c>
    </row>
    <row r="974">
      <c r="A974" s="7">
        <v>46076.49581095913</v>
      </c>
      <c r="B974" s="8" t="s">
        <v>5995</v>
      </c>
      <c r="C974" s="8" t="s">
        <v>5996</v>
      </c>
      <c r="D974" s="9">
        <v>46082.0</v>
      </c>
      <c r="E974" s="10">
        <v>7.625</v>
      </c>
      <c r="F974" s="26">
        <v>1.5508</v>
      </c>
      <c r="G974" s="12">
        <v>1.2508486E7</v>
      </c>
      <c r="H974" s="8" t="s">
        <v>88</v>
      </c>
      <c r="I974" s="11">
        <v>-2.4936</v>
      </c>
      <c r="J974" s="12">
        <v>3.203230796E9</v>
      </c>
      <c r="K974" s="23"/>
      <c r="L974" s="13">
        <v>-0.8347</v>
      </c>
      <c r="M974" s="8" t="s">
        <v>5997</v>
      </c>
      <c r="N974" s="8" t="s">
        <v>5429</v>
      </c>
      <c r="O974" s="13">
        <v>-90.1486</v>
      </c>
      <c r="P974" s="13">
        <v>-117.3976</v>
      </c>
      <c r="Q974" s="13">
        <v>120.521</v>
      </c>
      <c r="R974" s="13">
        <v>0.0121</v>
      </c>
      <c r="S974" s="13">
        <v>5.149</v>
      </c>
      <c r="T974" s="14">
        <f>IFERROR(__xludf.DUMMYFUNCTION("IFERROR(GOOGLEFINANCE(B974,""price""),"""")"),6.43)</f>
        <v>6.43</v>
      </c>
    </row>
    <row r="975">
      <c r="A975" s="15">
        <v>46076.49581095913</v>
      </c>
      <c r="B975" s="16" t="s">
        <v>6013</v>
      </c>
      <c r="C975" s="16" t="s">
        <v>6014</v>
      </c>
      <c r="D975" s="17">
        <v>46082.0</v>
      </c>
      <c r="E975" s="18">
        <v>9.152</v>
      </c>
      <c r="F975" s="27">
        <v>1.5068</v>
      </c>
      <c r="G975" s="20">
        <v>4207588.0</v>
      </c>
      <c r="H975" s="16" t="s">
        <v>112</v>
      </c>
      <c r="I975" s="19">
        <v>-4.1675</v>
      </c>
      <c r="J975" s="20">
        <v>2.966789778E9</v>
      </c>
      <c r="K975" s="24"/>
      <c r="L975" s="21">
        <v>-10.761</v>
      </c>
      <c r="M975" s="16" t="s">
        <v>6015</v>
      </c>
      <c r="N975" s="16" t="s">
        <v>5453</v>
      </c>
      <c r="O975" s="21">
        <v>-61.1188</v>
      </c>
      <c r="P975" s="21">
        <v>-297.4989</v>
      </c>
      <c r="Q975" s="21">
        <v>45.8615</v>
      </c>
      <c r="R975" s="21">
        <v>0.7561</v>
      </c>
      <c r="S975" s="21">
        <v>1.8053</v>
      </c>
      <c r="T975" s="22">
        <f>IFERROR(__xludf.DUMMYFUNCTION("IFERROR(GOOGLEFINANCE(B975,""price""),"""")"),8.58)</f>
        <v>8.58</v>
      </c>
    </row>
    <row r="976">
      <c r="A976" s="7">
        <v>46076.49581095913</v>
      </c>
      <c r="B976" s="8" t="s">
        <v>5679</v>
      </c>
      <c r="C976" s="8" t="s">
        <v>5680</v>
      </c>
      <c r="D976" s="9">
        <v>46082.0</v>
      </c>
      <c r="E976" s="10">
        <v>17.71</v>
      </c>
      <c r="F976" s="26">
        <v>1.4567</v>
      </c>
      <c r="G976" s="12">
        <v>9494063.0</v>
      </c>
      <c r="H976" s="8" t="s">
        <v>308</v>
      </c>
      <c r="I976" s="11">
        <v>-1.938</v>
      </c>
      <c r="J976" s="12">
        <v>6.609945336E9</v>
      </c>
      <c r="K976" s="23"/>
      <c r="L976" s="13">
        <v>-1.351</v>
      </c>
      <c r="M976" s="8" t="s">
        <v>5681</v>
      </c>
      <c r="N976" s="8" t="s">
        <v>5674</v>
      </c>
      <c r="O976" s="13">
        <v>-122.0285</v>
      </c>
      <c r="P976" s="13">
        <v>-355.2063</v>
      </c>
      <c r="Q976" s="13">
        <v>156.1969</v>
      </c>
      <c r="R976" s="13">
        <v>0.0593</v>
      </c>
      <c r="S976" s="13">
        <v>54.6763</v>
      </c>
      <c r="T976" s="14">
        <f>IFERROR(__xludf.DUMMYFUNCTION("IFERROR(GOOGLEFINANCE(B976,""price""),"""")"),14.25)</f>
        <v>14.25</v>
      </c>
    </row>
    <row r="977">
      <c r="A977" s="15">
        <v>46076.49581095913</v>
      </c>
      <c r="B977" s="16" t="s">
        <v>6016</v>
      </c>
      <c r="C977" s="16" t="s">
        <v>6017</v>
      </c>
      <c r="D977" s="17">
        <v>46082.0</v>
      </c>
      <c r="E977" s="18">
        <v>155.77</v>
      </c>
      <c r="F977" s="27">
        <v>1.448</v>
      </c>
      <c r="G977" s="20">
        <v>5778161.0</v>
      </c>
      <c r="H977" s="16" t="s">
        <v>88</v>
      </c>
      <c r="I977" s="19">
        <v>-9.6986</v>
      </c>
      <c r="J977" s="20">
        <v>5.3304495902E10</v>
      </c>
      <c r="K977" s="24"/>
      <c r="L977" s="21">
        <v>-4.0355</v>
      </c>
      <c r="M977" s="16" t="s">
        <v>6018</v>
      </c>
      <c r="N977" s="16" t="s">
        <v>5429</v>
      </c>
      <c r="O977" s="21">
        <v>-53.3164</v>
      </c>
      <c r="P977" s="21">
        <v>-31.7447</v>
      </c>
      <c r="Q977" s="21">
        <v>28.4799</v>
      </c>
      <c r="R977" s="21">
        <v>1.2591</v>
      </c>
      <c r="S977" s="21">
        <v>1.3169</v>
      </c>
      <c r="T977" s="22">
        <f>IFERROR(__xludf.DUMMYFUNCTION("IFERROR(GOOGLEFINANCE(B977,""price""),"""")"),121.11)</f>
        <v>121.11</v>
      </c>
    </row>
    <row r="978">
      <c r="A978" s="7">
        <v>46076.49581095913</v>
      </c>
      <c r="B978" s="8" t="s">
        <v>5591</v>
      </c>
      <c r="C978" s="8" t="s">
        <v>5592</v>
      </c>
      <c r="D978" s="9">
        <v>46082.0</v>
      </c>
      <c r="E978" s="10">
        <v>7.895</v>
      </c>
      <c r="F978" s="26">
        <v>1.3906</v>
      </c>
      <c r="G978" s="12">
        <v>6468927.0</v>
      </c>
      <c r="H978" s="8" t="s">
        <v>308</v>
      </c>
      <c r="I978" s="11">
        <v>0.1904</v>
      </c>
      <c r="J978" s="12">
        <v>1.81976741E9</v>
      </c>
      <c r="K978" s="23"/>
      <c r="L978" s="13">
        <v>-0.6396</v>
      </c>
      <c r="M978" s="8" t="s">
        <v>5593</v>
      </c>
      <c r="N978" s="8" t="s">
        <v>5414</v>
      </c>
      <c r="O978" s="13">
        <v>-33.2524</v>
      </c>
      <c r="P978" s="13">
        <v>-181.4004</v>
      </c>
      <c r="Q978" s="13">
        <v>-38.0644</v>
      </c>
      <c r="R978" s="13">
        <v>0.0241</v>
      </c>
      <c r="S978" s="13">
        <v>7.9353</v>
      </c>
      <c r="T978" s="14">
        <f>IFERROR(__xludf.DUMMYFUNCTION("IFERROR(GOOGLEFINANCE(B978,""price""),"""")"),9.54)</f>
        <v>9.54</v>
      </c>
    </row>
    <row r="979">
      <c r="A979" s="15">
        <v>46076.49581095913</v>
      </c>
      <c r="B979" s="16" t="s">
        <v>5527</v>
      </c>
      <c r="C979" s="16" t="s">
        <v>5528</v>
      </c>
      <c r="D979" s="17">
        <v>46082.0</v>
      </c>
      <c r="E979" s="18">
        <v>12.205</v>
      </c>
      <c r="F979" s="27">
        <v>1.36</v>
      </c>
      <c r="G979" s="20">
        <v>4425399.0</v>
      </c>
      <c r="H979" s="16" t="s">
        <v>88</v>
      </c>
      <c r="I979" s="19">
        <v>-2.1251</v>
      </c>
      <c r="J979" s="20">
        <v>1.456924789E9</v>
      </c>
      <c r="K979" s="24"/>
      <c r="L979" s="21"/>
      <c r="M979" s="16" t="s">
        <v>5529</v>
      </c>
      <c r="N979" s="16" t="s">
        <v>5429</v>
      </c>
      <c r="O979" s="21"/>
      <c r="P979" s="21"/>
      <c r="Q979" s="21"/>
      <c r="R979" s="21">
        <v>0.0885</v>
      </c>
      <c r="S979" s="21">
        <v>10.416</v>
      </c>
      <c r="T979" s="22">
        <f>IFERROR(__xludf.DUMMYFUNCTION("IFERROR(GOOGLEFINANCE(B979,""price""),"""")"),12.37)</f>
        <v>12.37</v>
      </c>
    </row>
    <row r="980">
      <c r="A980" s="7">
        <v>46076.49581095913</v>
      </c>
      <c r="B980" s="8" t="s">
        <v>5503</v>
      </c>
      <c r="C980" s="8" t="s">
        <v>5504</v>
      </c>
      <c r="D980" s="9">
        <v>46082.0</v>
      </c>
      <c r="E980" s="10">
        <v>9.715</v>
      </c>
      <c r="F980" s="26">
        <v>1.3477</v>
      </c>
      <c r="G980" s="12">
        <v>5599281.0</v>
      </c>
      <c r="H980" s="8" t="s">
        <v>335</v>
      </c>
      <c r="I980" s="11">
        <v>7.2296</v>
      </c>
      <c r="J980" s="12">
        <v>1.145442373E9</v>
      </c>
      <c r="K980" s="23"/>
      <c r="L980" s="13">
        <v>-0.5583</v>
      </c>
      <c r="M980" s="8" t="s">
        <v>5505</v>
      </c>
      <c r="N980" s="8" t="s">
        <v>5445</v>
      </c>
      <c r="O980" s="13">
        <v>-128.3047</v>
      </c>
      <c r="P980" s="13"/>
      <c r="Q980" s="13"/>
      <c r="R980" s="13">
        <v>0.064</v>
      </c>
      <c r="S980" s="13">
        <v>0.1282</v>
      </c>
      <c r="T980" s="14">
        <f>IFERROR(__xludf.DUMMYFUNCTION("IFERROR(GOOGLEFINANCE(B980,""price""),"""")"),8.87)</f>
        <v>8.87</v>
      </c>
    </row>
    <row r="981">
      <c r="A981" s="15">
        <v>46076.49581095913</v>
      </c>
      <c r="B981" s="16" t="s">
        <v>6001</v>
      </c>
      <c r="C981" s="16" t="s">
        <v>6002</v>
      </c>
      <c r="D981" s="17">
        <v>46082.0</v>
      </c>
      <c r="E981" s="18">
        <v>69.1</v>
      </c>
      <c r="F981" s="27">
        <v>1.3326</v>
      </c>
      <c r="G981" s="20">
        <v>6895747.0</v>
      </c>
      <c r="H981" s="16" t="s">
        <v>308</v>
      </c>
      <c r="I981" s="19">
        <v>-2.4838</v>
      </c>
      <c r="J981" s="20">
        <v>3.691020141E10</v>
      </c>
      <c r="K981" s="24"/>
      <c r="L981" s="21">
        <v>-0.3877</v>
      </c>
      <c r="M981" s="16" t="s">
        <v>6003</v>
      </c>
      <c r="N981" s="16" t="s">
        <v>5520</v>
      </c>
      <c r="O981" s="21">
        <v>-23.2396</v>
      </c>
      <c r="P981" s="21">
        <v>-41.3581</v>
      </c>
      <c r="Q981" s="21">
        <v>52.4214</v>
      </c>
      <c r="R981" s="21">
        <v>0.4033</v>
      </c>
      <c r="S981" s="21">
        <v>3.1763</v>
      </c>
      <c r="T981" s="22">
        <f>IFERROR(__xludf.DUMMYFUNCTION("IFERROR(GOOGLEFINANCE(B981,""price""),"""")"),68.05)</f>
        <v>68.05</v>
      </c>
    </row>
    <row r="982">
      <c r="A982" s="7">
        <v>46076.49581095913</v>
      </c>
      <c r="B982" s="8" t="s">
        <v>5734</v>
      </c>
      <c r="C982" s="8" t="s">
        <v>5735</v>
      </c>
      <c r="D982" s="9">
        <v>46082.0</v>
      </c>
      <c r="E982" s="10">
        <v>30.23</v>
      </c>
      <c r="F982" s="26">
        <v>1.3243</v>
      </c>
      <c r="G982" s="12">
        <v>7436732.0</v>
      </c>
      <c r="H982" s="8" t="s">
        <v>308</v>
      </c>
      <c r="I982" s="11">
        <v>-5.2351</v>
      </c>
      <c r="J982" s="12">
        <v>1.0709872242E10</v>
      </c>
      <c r="K982" s="23"/>
      <c r="L982" s="13">
        <v>-5.3543</v>
      </c>
      <c r="M982" s="8" t="s">
        <v>5736</v>
      </c>
      <c r="N982" s="8" t="s">
        <v>5674</v>
      </c>
      <c r="O982" s="13">
        <v>-108.2332</v>
      </c>
      <c r="P982" s="13">
        <v>-564.3908</v>
      </c>
      <c r="Q982" s="13">
        <v>113.0721</v>
      </c>
      <c r="R982" s="13">
        <v>0.0125</v>
      </c>
      <c r="S982" s="13">
        <v>8.7256</v>
      </c>
      <c r="T982" s="14">
        <f>IFERROR(__xludf.DUMMYFUNCTION("IFERROR(GOOGLEFINANCE(B982,""price""),"""")"),28.79)</f>
        <v>28.79</v>
      </c>
    </row>
    <row r="983">
      <c r="A983" s="15">
        <v>46076.49581095913</v>
      </c>
      <c r="B983" s="16" t="s">
        <v>4884</v>
      </c>
      <c r="C983" s="16" t="s">
        <v>4885</v>
      </c>
      <c r="D983" s="17">
        <v>46082.0</v>
      </c>
      <c r="E983" s="18">
        <v>16.71</v>
      </c>
      <c r="F983" s="27">
        <v>1.271</v>
      </c>
      <c r="G983" s="20">
        <v>4137232.0</v>
      </c>
      <c r="H983" s="16" t="s">
        <v>88</v>
      </c>
      <c r="I983" s="19">
        <v>-3.4104</v>
      </c>
      <c r="J983" s="20">
        <v>5.181124258E9</v>
      </c>
      <c r="K983" s="21">
        <v>119.9569</v>
      </c>
      <c r="L983" s="21">
        <v>0.1393</v>
      </c>
      <c r="M983" s="16" t="s">
        <v>4886</v>
      </c>
      <c r="N983" s="16" t="s">
        <v>5471</v>
      </c>
      <c r="O983" s="21"/>
      <c r="P983" s="21">
        <v>-56.2854</v>
      </c>
      <c r="Q983" s="21">
        <v>-40.0761</v>
      </c>
      <c r="R983" s="21"/>
      <c r="S983" s="21">
        <v>1.584</v>
      </c>
      <c r="T983" s="22">
        <f>IFERROR(__xludf.DUMMYFUNCTION("IFERROR(GOOGLEFINANCE(B983,""price""),"""")"),18.32)</f>
        <v>18.32</v>
      </c>
    </row>
    <row r="984">
      <c r="A984" s="7">
        <v>46076.49581095913</v>
      </c>
      <c r="B984" s="8" t="s">
        <v>5938</v>
      </c>
      <c r="C984" s="8" t="s">
        <v>5939</v>
      </c>
      <c r="D984" s="9">
        <v>46082.0</v>
      </c>
      <c r="E984" s="10">
        <v>7.7</v>
      </c>
      <c r="F984" s="26">
        <v>1.2705</v>
      </c>
      <c r="G984" s="12">
        <v>4260406.0</v>
      </c>
      <c r="H984" s="8" t="s">
        <v>88</v>
      </c>
      <c r="I984" s="11">
        <v>-1.0283</v>
      </c>
      <c r="J984" s="12">
        <v>1.813751085E9</v>
      </c>
      <c r="K984" s="23"/>
      <c r="L984" s="13"/>
      <c r="M984" s="8" t="s">
        <v>5940</v>
      </c>
      <c r="N984" s="8" t="s">
        <v>5471</v>
      </c>
      <c r="O984" s="13">
        <v>11.4635</v>
      </c>
      <c r="P984" s="13">
        <v>-29.6598</v>
      </c>
      <c r="Q984" s="13">
        <v>77.3256</v>
      </c>
      <c r="R984" s="13">
        <v>1.2667</v>
      </c>
      <c r="S984" s="13">
        <v>0.9119</v>
      </c>
      <c r="T984" s="14">
        <f>IFERROR(__xludf.DUMMYFUNCTION("IFERROR(GOOGLEFINANCE(B984,""price""),"""")"),10.75)</f>
        <v>10.75</v>
      </c>
    </row>
    <row r="985">
      <c r="A985" s="15">
        <v>46076.49581095913</v>
      </c>
      <c r="B985" s="16" t="s">
        <v>6007</v>
      </c>
      <c r="C985" s="16" t="s">
        <v>6008</v>
      </c>
      <c r="D985" s="17">
        <v>46082.0</v>
      </c>
      <c r="E985" s="18">
        <v>9.32</v>
      </c>
      <c r="F985" s="27">
        <v>1.2627</v>
      </c>
      <c r="G985" s="20">
        <v>9664871.0</v>
      </c>
      <c r="H985" s="16" t="s">
        <v>308</v>
      </c>
      <c r="I985" s="19">
        <v>-5.5724</v>
      </c>
      <c r="J985" s="20">
        <v>8.990506268E9</v>
      </c>
      <c r="K985" s="24"/>
      <c r="L985" s="21">
        <v>-1.3261</v>
      </c>
      <c r="M985" s="16" t="s">
        <v>6009</v>
      </c>
      <c r="N985" s="16" t="s">
        <v>5520</v>
      </c>
      <c r="O985" s="21">
        <v>-125.7334</v>
      </c>
      <c r="P985" s="21">
        <v>-2900.9451</v>
      </c>
      <c r="Q985" s="21">
        <v>1934.5013</v>
      </c>
      <c r="R985" s="21">
        <v>0.0509</v>
      </c>
      <c r="S985" s="21">
        <v>13.6072</v>
      </c>
      <c r="T985" s="22">
        <f>IFERROR(__xludf.DUMMYFUNCTION("IFERROR(GOOGLEFINANCE(B985,""price""),"""")"),8.34)</f>
        <v>8.34</v>
      </c>
    </row>
    <row r="986">
      <c r="A986" s="7">
        <v>46076.49581095913</v>
      </c>
      <c r="B986" s="8" t="s">
        <v>6019</v>
      </c>
      <c r="C986" s="8" t="s">
        <v>6020</v>
      </c>
      <c r="D986" s="9">
        <v>46082.0</v>
      </c>
      <c r="E986" s="10">
        <v>50.99</v>
      </c>
      <c r="F986" s="26">
        <v>1.2587</v>
      </c>
      <c r="G986" s="12">
        <v>7919444.0</v>
      </c>
      <c r="H986" s="8" t="s">
        <v>186</v>
      </c>
      <c r="I986" s="11">
        <v>-4.1902</v>
      </c>
      <c r="J986" s="12">
        <v>3.0984991632E10</v>
      </c>
      <c r="K986" s="13">
        <v>10.2594</v>
      </c>
      <c r="L986" s="13">
        <v>4.9701</v>
      </c>
      <c r="M986" s="8" t="s">
        <v>6021</v>
      </c>
      <c r="N986" s="8" t="s">
        <v>5573</v>
      </c>
      <c r="O986" s="13">
        <v>14.7821</v>
      </c>
      <c r="P986" s="13">
        <v>10.4825</v>
      </c>
      <c r="Q986" s="13">
        <v>0.4703</v>
      </c>
      <c r="R986" s="13">
        <v>0.3599</v>
      </c>
      <c r="S986" s="13">
        <v>2.1832</v>
      </c>
      <c r="T986" s="14">
        <f>IFERROR(__xludf.DUMMYFUNCTION("IFERROR(GOOGLEFINANCE(B986,""price""),"""")"),62.2)</f>
        <v>62.2</v>
      </c>
    </row>
    <row r="987">
      <c r="A987" s="15">
        <v>46076.49581095913</v>
      </c>
      <c r="B987" s="16" t="s">
        <v>5607</v>
      </c>
      <c r="C987" s="16" t="s">
        <v>5608</v>
      </c>
      <c r="D987" s="17">
        <v>46082.0</v>
      </c>
      <c r="E987" s="18">
        <v>17.532</v>
      </c>
      <c r="F987" s="27">
        <v>1.2581</v>
      </c>
      <c r="G987" s="20">
        <v>4547968.0</v>
      </c>
      <c r="H987" s="16" t="s">
        <v>308</v>
      </c>
      <c r="I987" s="19">
        <v>-0.1026</v>
      </c>
      <c r="J987" s="20">
        <v>3.562678797E9</v>
      </c>
      <c r="K987" s="24"/>
      <c r="L987" s="21">
        <v>-1.8673</v>
      </c>
      <c r="M987" s="16" t="s">
        <v>5609</v>
      </c>
      <c r="N987" s="16" t="s">
        <v>5520</v>
      </c>
      <c r="O987" s="21"/>
      <c r="P987" s="21">
        <v>-30.7058</v>
      </c>
      <c r="Q987" s="21">
        <v>8.0687</v>
      </c>
      <c r="R987" s="21"/>
      <c r="S987" s="21">
        <v>6.2531</v>
      </c>
      <c r="T987" s="22">
        <f>IFERROR(__xludf.DUMMYFUNCTION("IFERROR(GOOGLEFINANCE(B987,""price""),"""")"),23.57)</f>
        <v>23.57</v>
      </c>
    </row>
    <row r="988">
      <c r="A988" s="7">
        <v>46076.49581095913</v>
      </c>
      <c r="B988" s="8" t="s">
        <v>2704</v>
      </c>
      <c r="C988" s="8" t="s">
        <v>2705</v>
      </c>
      <c r="D988" s="9">
        <v>46082.0</v>
      </c>
      <c r="E988" s="10">
        <v>28.805</v>
      </c>
      <c r="F988" s="26">
        <v>1.2522</v>
      </c>
      <c r="G988" s="12">
        <v>7336398.0</v>
      </c>
      <c r="H988" s="8" t="s">
        <v>88</v>
      </c>
      <c r="I988" s="11">
        <v>-0.8092</v>
      </c>
      <c r="J988" s="12">
        <v>8.053469667E9</v>
      </c>
      <c r="K988" s="23"/>
      <c r="L988" s="13">
        <v>-0.5438</v>
      </c>
      <c r="M988" s="8" t="s">
        <v>2707</v>
      </c>
      <c r="N988" s="8" t="s">
        <v>5471</v>
      </c>
      <c r="O988" s="13">
        <v>-11.4029</v>
      </c>
      <c r="P988" s="13">
        <v>-26.4624</v>
      </c>
      <c r="Q988" s="13">
        <v>33.135</v>
      </c>
      <c r="R988" s="13">
        <v>1.6778</v>
      </c>
      <c r="S988" s="13">
        <v>4.8227</v>
      </c>
      <c r="T988" s="14">
        <f>IFERROR(__xludf.DUMMYFUNCTION("IFERROR(GOOGLEFINANCE(B988,""price""),"""")"),26.24)</f>
        <v>26.24</v>
      </c>
    </row>
    <row r="989">
      <c r="A989" s="15">
        <v>46076.49581095913</v>
      </c>
      <c r="B989" s="16" t="s">
        <v>5533</v>
      </c>
      <c r="C989" s="16" t="s">
        <v>5534</v>
      </c>
      <c r="D989" s="17">
        <v>46082.0</v>
      </c>
      <c r="E989" s="18">
        <v>6.115</v>
      </c>
      <c r="F989" s="27">
        <v>1.2422</v>
      </c>
      <c r="G989" s="20">
        <v>4852541.0</v>
      </c>
      <c r="H989" s="16" t="s">
        <v>102</v>
      </c>
      <c r="I989" s="19">
        <v>-1.5298</v>
      </c>
      <c r="J989" s="20">
        <v>1.654552773E9</v>
      </c>
      <c r="K989" s="24"/>
      <c r="L989" s="21">
        <v>-3.7839</v>
      </c>
      <c r="M989" s="16" t="s">
        <v>5535</v>
      </c>
      <c r="N989" s="16" t="s">
        <v>5536</v>
      </c>
      <c r="O989" s="21">
        <v>-55.984</v>
      </c>
      <c r="P989" s="21">
        <v>-31.1477</v>
      </c>
      <c r="Q989" s="21"/>
      <c r="R989" s="21">
        <v>4.5088</v>
      </c>
      <c r="S989" s="21">
        <v>1.1293</v>
      </c>
      <c r="T989" s="22">
        <f>IFERROR(__xludf.DUMMYFUNCTION("IFERROR(GOOGLEFINANCE(B989,""price""),"""")"),4.69)</f>
        <v>4.69</v>
      </c>
    </row>
    <row r="990">
      <c r="A990" s="7">
        <v>46076.49581095913</v>
      </c>
      <c r="B990" s="8" t="s">
        <v>5574</v>
      </c>
      <c r="C990" s="8" t="s">
        <v>5575</v>
      </c>
      <c r="D990" s="9">
        <v>46082.0</v>
      </c>
      <c r="E990" s="10">
        <v>20.0199</v>
      </c>
      <c r="F990" s="26">
        <v>1.217</v>
      </c>
      <c r="G990" s="12">
        <v>4558219.0</v>
      </c>
      <c r="H990" s="8" t="s">
        <v>335</v>
      </c>
      <c r="I990" s="11">
        <v>-6.23</v>
      </c>
      <c r="J990" s="12">
        <v>4.75045726E9</v>
      </c>
      <c r="K990" s="23"/>
      <c r="L990" s="13">
        <v>-0.4849</v>
      </c>
      <c r="M990" s="8" t="s">
        <v>5576</v>
      </c>
      <c r="N990" s="8" t="s">
        <v>5506</v>
      </c>
      <c r="O990" s="13">
        <v>-18.1731</v>
      </c>
      <c r="P990" s="13">
        <v>-129.5586</v>
      </c>
      <c r="Q990" s="13">
        <v>103.694</v>
      </c>
      <c r="R990" s="13">
        <v>0.0</v>
      </c>
      <c r="S990" s="13">
        <v>11.4962</v>
      </c>
      <c r="T990" s="14">
        <f>IFERROR(__xludf.DUMMYFUNCTION("IFERROR(GOOGLEFINANCE(B990,""price""),"""")"),18.4)</f>
        <v>18.4</v>
      </c>
    </row>
    <row r="991">
      <c r="A991" s="15">
        <v>46076.49581095913</v>
      </c>
      <c r="B991" s="16" t="s">
        <v>5434</v>
      </c>
      <c r="C991" s="16" t="s">
        <v>5435</v>
      </c>
      <c r="D991" s="17">
        <v>46082.0</v>
      </c>
      <c r="E991" s="18">
        <v>9.921</v>
      </c>
      <c r="F991" s="27">
        <v>1.21</v>
      </c>
      <c r="G991" s="20">
        <v>4.0048799E7</v>
      </c>
      <c r="H991" s="16" t="s">
        <v>308</v>
      </c>
      <c r="I991" s="19">
        <v>-1.0867</v>
      </c>
      <c r="J991" s="20">
        <v>4.460118527E9</v>
      </c>
      <c r="K991" s="24"/>
      <c r="L991" s="21">
        <v>-0.4034</v>
      </c>
      <c r="M991" s="16" t="s">
        <v>5436</v>
      </c>
      <c r="N991" s="16" t="s">
        <v>5437</v>
      </c>
      <c r="O991" s="21">
        <v>-17.0422</v>
      </c>
      <c r="P991" s="21">
        <v>-176.0921</v>
      </c>
      <c r="Q991" s="21">
        <v>208.4002</v>
      </c>
      <c r="R991" s="21">
        <v>0.037</v>
      </c>
      <c r="S991" s="21">
        <v>15.2957</v>
      </c>
      <c r="T991" s="22">
        <f>IFERROR(__xludf.DUMMYFUNCTION("IFERROR(GOOGLEFINANCE(B991,""price""),"""")"),9.13)</f>
        <v>9.13</v>
      </c>
    </row>
    <row r="992">
      <c r="A992" s="7">
        <v>46076.62720360086</v>
      </c>
      <c r="B992" s="8" t="s">
        <v>6022</v>
      </c>
      <c r="C992" s="8" t="s">
        <v>6023</v>
      </c>
      <c r="D992" s="9">
        <v>46082.0</v>
      </c>
      <c r="E992" s="10">
        <v>1.555</v>
      </c>
      <c r="F992" s="26">
        <v>2.7305</v>
      </c>
      <c r="G992" s="12">
        <v>8.9771327E7</v>
      </c>
      <c r="H992" s="8" t="s">
        <v>88</v>
      </c>
      <c r="I992" s="11">
        <v>-7.4405</v>
      </c>
      <c r="J992" s="12">
        <v>3.78785754E8</v>
      </c>
      <c r="K992" s="23"/>
      <c r="L992" s="13">
        <v>-1.0812</v>
      </c>
      <c r="M992" s="8" t="s">
        <v>6024</v>
      </c>
      <c r="N992" s="8" t="s">
        <v>5471</v>
      </c>
      <c r="O992" s="13"/>
      <c r="P992" s="13">
        <v>-3.0761</v>
      </c>
      <c r="Q992" s="13">
        <v>-2.9843</v>
      </c>
      <c r="R992" s="13"/>
      <c r="S992" s="13">
        <v>0.706</v>
      </c>
      <c r="T992" s="14">
        <f>IFERROR(__xludf.DUMMYFUNCTION("IFERROR(GOOGLEFINANCE(B992,""price""),"""")"),1.32)</f>
        <v>1.32</v>
      </c>
    </row>
    <row r="993">
      <c r="A993" s="15">
        <v>46076.62720360086</v>
      </c>
      <c r="B993" s="16" t="s">
        <v>5499</v>
      </c>
      <c r="C993" s="16" t="s">
        <v>5500</v>
      </c>
      <c r="D993" s="17">
        <v>46082.0</v>
      </c>
      <c r="E993" s="18">
        <v>2.87</v>
      </c>
      <c r="F993" s="27">
        <v>2.2578</v>
      </c>
      <c r="G993" s="20">
        <v>1.0286973E7</v>
      </c>
      <c r="H993" s="16" t="s">
        <v>117</v>
      </c>
      <c r="I993" s="19">
        <v>0.0</v>
      </c>
      <c r="J993" s="20">
        <v>1.13929799E9</v>
      </c>
      <c r="K993" s="24"/>
      <c r="L993" s="21">
        <v>-1.2019</v>
      </c>
      <c r="M993" s="16" t="s">
        <v>5501</v>
      </c>
      <c r="N993" s="16" t="s">
        <v>5502</v>
      </c>
      <c r="O993" s="21">
        <v>-53.8892</v>
      </c>
      <c r="P993" s="21">
        <v>-164.2524</v>
      </c>
      <c r="Q993" s="21">
        <v>175.6224</v>
      </c>
      <c r="R993" s="21">
        <v>0.0747</v>
      </c>
      <c r="S993" s="21">
        <v>3.4113</v>
      </c>
      <c r="T993" s="22">
        <f>IFERROR(__xludf.DUMMYFUNCTION("IFERROR(GOOGLEFINANCE(B993,""price""),"""")"),3.7)</f>
        <v>3.7</v>
      </c>
    </row>
    <row r="994">
      <c r="A994" s="7">
        <v>46076.62720360086</v>
      </c>
      <c r="B994" s="8" t="s">
        <v>5465</v>
      </c>
      <c r="C994" s="8" t="s">
        <v>5466</v>
      </c>
      <c r="D994" s="9">
        <v>46082.0</v>
      </c>
      <c r="E994" s="10">
        <v>90.755</v>
      </c>
      <c r="F994" s="26">
        <v>1.8435</v>
      </c>
      <c r="G994" s="12">
        <v>2.005123E7</v>
      </c>
      <c r="H994" s="8" t="s">
        <v>88</v>
      </c>
      <c r="I994" s="11">
        <v>1.6863</v>
      </c>
      <c r="J994" s="12">
        <v>4.730634198E10</v>
      </c>
      <c r="K994" s="23"/>
      <c r="L994" s="13">
        <v>-1.8177</v>
      </c>
      <c r="M994" s="8" t="s">
        <v>5467</v>
      </c>
      <c r="N994" s="8" t="s">
        <v>5429</v>
      </c>
      <c r="O994" s="13">
        <v>-29.1701</v>
      </c>
      <c r="P994" s="13">
        <v>3.6285</v>
      </c>
      <c r="Q994" s="13">
        <v>235.401</v>
      </c>
      <c r="R994" s="13">
        <v>4.85</v>
      </c>
      <c r="S994" s="13">
        <v>0.487</v>
      </c>
      <c r="T994" s="14">
        <f>IFERROR(__xludf.DUMMYFUNCTION("IFERROR(GOOGLEFINANCE(B994,""price""),"""")"),102.0)</f>
        <v>102</v>
      </c>
    </row>
    <row r="995">
      <c r="A995" s="15">
        <v>46076.62720360086</v>
      </c>
      <c r="B995" s="16" t="s">
        <v>5558</v>
      </c>
      <c r="C995" s="16" t="s">
        <v>5559</v>
      </c>
      <c r="D995" s="17">
        <v>46082.0</v>
      </c>
      <c r="E995" s="18">
        <v>10.415</v>
      </c>
      <c r="F995" s="27">
        <v>1.708</v>
      </c>
      <c r="G995" s="20">
        <v>1.1911954E7</v>
      </c>
      <c r="H995" s="16" t="s">
        <v>102</v>
      </c>
      <c r="I995" s="19">
        <v>-2.6636</v>
      </c>
      <c r="J995" s="20">
        <v>3.375482433E9</v>
      </c>
      <c r="K995" s="24"/>
      <c r="L995" s="21">
        <v>-8.3559</v>
      </c>
      <c r="M995" s="16" t="s">
        <v>5560</v>
      </c>
      <c r="N995" s="16" t="s">
        <v>5536</v>
      </c>
      <c r="O995" s="21"/>
      <c r="P995" s="21">
        <v>-351.0117</v>
      </c>
      <c r="Q995" s="21">
        <v>324.0994</v>
      </c>
      <c r="R995" s="21"/>
      <c r="S995" s="21">
        <v>1.8261</v>
      </c>
      <c r="T995" s="22">
        <f>IFERROR(__xludf.DUMMYFUNCTION("IFERROR(GOOGLEFINANCE(B995,""price""),"""")"),5.62)</f>
        <v>5.62</v>
      </c>
    </row>
    <row r="996">
      <c r="A996" s="7">
        <v>46076.62720360086</v>
      </c>
      <c r="B996" s="8" t="s">
        <v>5744</v>
      </c>
      <c r="C996" s="8" t="s">
        <v>5745</v>
      </c>
      <c r="D996" s="9">
        <v>46082.0</v>
      </c>
      <c r="E996" s="10">
        <v>15.5842</v>
      </c>
      <c r="F996" s="26">
        <v>1.7025</v>
      </c>
      <c r="G996" s="12">
        <v>2.4168188E7</v>
      </c>
      <c r="H996" s="8" t="s">
        <v>190</v>
      </c>
      <c r="I996" s="11">
        <v>-0.293</v>
      </c>
      <c r="J996" s="12">
        <v>3.547719971E9</v>
      </c>
      <c r="K996" s="13">
        <v>28.8116</v>
      </c>
      <c r="L996" s="13">
        <v>0.5409</v>
      </c>
      <c r="M996" s="8" t="s">
        <v>5746</v>
      </c>
      <c r="N996" s="8" t="s">
        <v>5747</v>
      </c>
      <c r="O996" s="13">
        <v>26.2066</v>
      </c>
      <c r="P996" s="13">
        <v>5.9617</v>
      </c>
      <c r="Q996" s="13">
        <v>78.0168</v>
      </c>
      <c r="R996" s="13">
        <v>1.9244</v>
      </c>
      <c r="S996" s="13">
        <v>1.8751</v>
      </c>
      <c r="T996" s="14">
        <f>IFERROR(__xludf.DUMMYFUNCTION("IFERROR(GOOGLEFINANCE(B996,""price""),"""")"),19.43)</f>
        <v>19.43</v>
      </c>
    </row>
    <row r="997">
      <c r="A997" s="15">
        <v>46076.62720360086</v>
      </c>
      <c r="B997" s="16" t="s">
        <v>5517</v>
      </c>
      <c r="C997" s="16" t="s">
        <v>5518</v>
      </c>
      <c r="D997" s="17">
        <v>46082.0</v>
      </c>
      <c r="E997" s="18">
        <v>8.1293</v>
      </c>
      <c r="F997" s="27">
        <v>1.6943</v>
      </c>
      <c r="G997" s="20">
        <v>8565889.0</v>
      </c>
      <c r="H997" s="16" t="s">
        <v>308</v>
      </c>
      <c r="I997" s="19">
        <v>1.7434</v>
      </c>
      <c r="J997" s="20">
        <v>1.342560257E9</v>
      </c>
      <c r="K997" s="24"/>
      <c r="L997" s="21">
        <v>-3.1791</v>
      </c>
      <c r="M997" s="16" t="s">
        <v>5519</v>
      </c>
      <c r="N997" s="16" t="s">
        <v>5520</v>
      </c>
      <c r="O997" s="21">
        <v>-50.0822</v>
      </c>
      <c r="P997" s="21">
        <v>-46.1858</v>
      </c>
      <c r="Q997" s="21">
        <v>-0.6305</v>
      </c>
      <c r="R997" s="21">
        <v>0.3596</v>
      </c>
      <c r="S997" s="21">
        <v>1.4082</v>
      </c>
      <c r="T997" s="22">
        <f>IFERROR(__xludf.DUMMYFUNCTION("IFERROR(GOOGLEFINANCE(B997,""price""),"""")"),9.29)</f>
        <v>9.29</v>
      </c>
    </row>
    <row r="998">
      <c r="A998" s="7">
        <v>46076.62720360086</v>
      </c>
      <c r="B998" s="8" t="s">
        <v>5992</v>
      </c>
      <c r="C998" s="8" t="s">
        <v>5993</v>
      </c>
      <c r="D998" s="9">
        <v>46082.0</v>
      </c>
      <c r="E998" s="10">
        <v>24.225</v>
      </c>
      <c r="F998" s="26">
        <v>1.6511</v>
      </c>
      <c r="G998" s="12">
        <v>1.0212573E7</v>
      </c>
      <c r="H998" s="8" t="s">
        <v>88</v>
      </c>
      <c r="I998" s="11">
        <v>-3.4861</v>
      </c>
      <c r="J998" s="12">
        <v>1.1715087581E10</v>
      </c>
      <c r="K998" s="13">
        <v>27.6383</v>
      </c>
      <c r="L998" s="13">
        <v>0.8765</v>
      </c>
      <c r="M998" s="8" t="s">
        <v>5994</v>
      </c>
      <c r="N998" s="8" t="s">
        <v>5429</v>
      </c>
      <c r="O998" s="13">
        <v>16.7829</v>
      </c>
      <c r="P998" s="13">
        <v>18.9126</v>
      </c>
      <c r="Q998" s="13">
        <v>20.8212</v>
      </c>
      <c r="R998" s="13">
        <v>0.1446</v>
      </c>
      <c r="S998" s="13">
        <v>1.7097</v>
      </c>
      <c r="T998" s="14">
        <f>IFERROR(__xludf.DUMMYFUNCTION("IFERROR(GOOGLEFINANCE(B998,""price""),"""")"),20.09)</f>
        <v>20.09</v>
      </c>
    </row>
    <row r="999">
      <c r="A999" s="15">
        <v>46076.62720360086</v>
      </c>
      <c r="B999" s="16" t="s">
        <v>5561</v>
      </c>
      <c r="C999" s="16" t="s">
        <v>5562</v>
      </c>
      <c r="D999" s="17">
        <v>46082.0</v>
      </c>
      <c r="E999" s="18">
        <v>12.695</v>
      </c>
      <c r="F999" s="27">
        <v>1.6136</v>
      </c>
      <c r="G999" s="20">
        <v>2.500087E7</v>
      </c>
      <c r="H999" s="16" t="s">
        <v>102</v>
      </c>
      <c r="I999" s="19">
        <v>-5.5432</v>
      </c>
      <c r="J999" s="20">
        <v>3.843088351E9</v>
      </c>
      <c r="K999" s="24"/>
      <c r="L999" s="21">
        <v>-2.8582</v>
      </c>
      <c r="M999" s="16" t="s">
        <v>5563</v>
      </c>
      <c r="N999" s="16" t="s">
        <v>5536</v>
      </c>
      <c r="O999" s="21">
        <v>-76.8505</v>
      </c>
      <c r="P999" s="21">
        <v>-983.9643</v>
      </c>
      <c r="Q999" s="21">
        <v>765.6686</v>
      </c>
      <c r="R999" s="21">
        <v>0.0</v>
      </c>
      <c r="S999" s="21">
        <v>1.6153</v>
      </c>
      <c r="T999" s="22">
        <f>IFERROR(__xludf.DUMMYFUNCTION("IFERROR(GOOGLEFINANCE(B999,""price""),"""")"),9.21)</f>
        <v>9.21</v>
      </c>
    </row>
    <row r="1000">
      <c r="A1000" s="7">
        <v>46076.62720360086</v>
      </c>
      <c r="B1000" s="8" t="s">
        <v>6010</v>
      </c>
      <c r="C1000" s="8" t="s">
        <v>6011</v>
      </c>
      <c r="D1000" s="9">
        <v>46082.0</v>
      </c>
      <c r="E1000" s="10">
        <v>14.906</v>
      </c>
      <c r="F1000" s="26">
        <v>1.6081</v>
      </c>
      <c r="G1000" s="12">
        <v>9218364.0</v>
      </c>
      <c r="H1000" s="8" t="s">
        <v>88</v>
      </c>
      <c r="I1000" s="11">
        <v>-8.6082</v>
      </c>
      <c r="J1000" s="12">
        <v>3.666507549E9</v>
      </c>
      <c r="K1000" s="23"/>
      <c r="L1000" s="13">
        <v>-0.1161</v>
      </c>
      <c r="M1000" s="8" t="s">
        <v>6012</v>
      </c>
      <c r="N1000" s="8" t="s">
        <v>5429</v>
      </c>
      <c r="O1000" s="13">
        <v>-3.9193</v>
      </c>
      <c r="P1000" s="13">
        <v>0.6317</v>
      </c>
      <c r="Q1000" s="13">
        <v>35.8666</v>
      </c>
      <c r="R1000" s="13">
        <v>0.2857</v>
      </c>
      <c r="S1000" s="13">
        <v>3.0115</v>
      </c>
      <c r="T1000" s="14">
        <f>IFERROR(__xludf.DUMMYFUNCTION("IFERROR(GOOGLEFINANCE(B1000,""price""),"""")"),14.61)</f>
        <v>14.61</v>
      </c>
    </row>
    <row r="1001">
      <c r="A1001" s="15">
        <v>46076.62720360086</v>
      </c>
      <c r="B1001" s="16" t="s">
        <v>5544</v>
      </c>
      <c r="C1001" s="16" t="s">
        <v>5545</v>
      </c>
      <c r="D1001" s="17">
        <v>46082.0</v>
      </c>
      <c r="E1001" s="18">
        <v>15.135</v>
      </c>
      <c r="F1001" s="27">
        <v>1.6022</v>
      </c>
      <c r="G1001" s="20">
        <v>1.9836108E7</v>
      </c>
      <c r="H1001" s="16" t="s">
        <v>88</v>
      </c>
      <c r="I1001" s="19">
        <v>3.3106</v>
      </c>
      <c r="J1001" s="20">
        <v>5.979718347E9</v>
      </c>
      <c r="K1001" s="24"/>
      <c r="L1001" s="21">
        <v>-0.1905</v>
      </c>
      <c r="M1001" s="16" t="s">
        <v>5546</v>
      </c>
      <c r="N1001" s="16" t="s">
        <v>5471</v>
      </c>
      <c r="O1001" s="21">
        <v>-9.6935</v>
      </c>
      <c r="P1001" s="21">
        <v>-72.0529</v>
      </c>
      <c r="Q1001" s="21">
        <v>35.4099</v>
      </c>
      <c r="R1001" s="21">
        <v>1.333</v>
      </c>
      <c r="S1001" s="21">
        <v>2.4892</v>
      </c>
      <c r="T1001" s="22">
        <f>IFERROR(__xludf.DUMMYFUNCTION("IFERROR(GOOGLEFINANCE(B1001,""price""),"""")"),16.53)</f>
        <v>16.53</v>
      </c>
    </row>
    <row r="1002">
      <c r="A1002" s="7">
        <v>46076.62720360086</v>
      </c>
      <c r="B1002" s="8" t="s">
        <v>5995</v>
      </c>
      <c r="C1002" s="8" t="s">
        <v>5996</v>
      </c>
      <c r="D1002" s="9">
        <v>46082.0</v>
      </c>
      <c r="E1002" s="10">
        <v>7.8826</v>
      </c>
      <c r="F1002" s="26">
        <v>1.5605</v>
      </c>
      <c r="G1002" s="12">
        <v>2.62739E7</v>
      </c>
      <c r="H1002" s="8" t="s">
        <v>88</v>
      </c>
      <c r="I1002" s="11">
        <v>0.8005</v>
      </c>
      <c r="J1002" s="12">
        <v>3.311447485E9</v>
      </c>
      <c r="K1002" s="23"/>
      <c r="L1002" s="13">
        <v>-0.8347</v>
      </c>
      <c r="M1002" s="8" t="s">
        <v>5997</v>
      </c>
      <c r="N1002" s="8" t="s">
        <v>5429</v>
      </c>
      <c r="O1002" s="13">
        <v>-90.1486</v>
      </c>
      <c r="P1002" s="13">
        <v>-117.3976</v>
      </c>
      <c r="Q1002" s="13">
        <v>120.521</v>
      </c>
      <c r="R1002" s="13">
        <v>0.0121</v>
      </c>
      <c r="S1002" s="13">
        <v>5.149</v>
      </c>
      <c r="T1002" s="14">
        <f>IFERROR(__xludf.DUMMYFUNCTION("IFERROR(GOOGLEFINANCE(B1002,""price""),"""")"),6.43)</f>
        <v>6.43</v>
      </c>
    </row>
    <row r="1003">
      <c r="A1003" s="15">
        <v>46076.62720360086</v>
      </c>
      <c r="B1003" s="16" t="s">
        <v>5514</v>
      </c>
      <c r="C1003" s="16" t="s">
        <v>5515</v>
      </c>
      <c r="D1003" s="17">
        <v>46082.0</v>
      </c>
      <c r="E1003" s="18">
        <v>9.725</v>
      </c>
      <c r="F1003" s="27">
        <v>1.5605</v>
      </c>
      <c r="G1003" s="20">
        <v>8.1843267E7</v>
      </c>
      <c r="H1003" s="16" t="s">
        <v>117</v>
      </c>
      <c r="I1003" s="19">
        <v>11.7816</v>
      </c>
      <c r="J1003" s="20">
        <v>9.578786457E9</v>
      </c>
      <c r="K1003" s="24"/>
      <c r="L1003" s="21">
        <v>-0.4205</v>
      </c>
      <c r="M1003" s="16" t="s">
        <v>5516</v>
      </c>
      <c r="N1003" s="16" t="s">
        <v>5491</v>
      </c>
      <c r="O1003" s="21"/>
      <c r="P1003" s="21">
        <v>-315.8428</v>
      </c>
      <c r="Q1003" s="21">
        <v>1025.9547</v>
      </c>
      <c r="R1003" s="21"/>
      <c r="S1003" s="21">
        <v>5.7671</v>
      </c>
      <c r="T1003" s="22">
        <f>IFERROR(__xludf.DUMMYFUNCTION("IFERROR(GOOGLEFINANCE(B1003,""price""),"""")"),7.28)</f>
        <v>7.28</v>
      </c>
    </row>
    <row r="1004">
      <c r="A1004" s="7">
        <v>46076.62720360086</v>
      </c>
      <c r="B1004" s="8" t="s">
        <v>5594</v>
      </c>
      <c r="C1004" s="8" t="s">
        <v>5595</v>
      </c>
      <c r="D1004" s="9">
        <v>46082.0</v>
      </c>
      <c r="E1004" s="10">
        <v>15.535</v>
      </c>
      <c r="F1004" s="26">
        <v>1.5378</v>
      </c>
      <c r="G1004" s="12">
        <v>2.1553646E7</v>
      </c>
      <c r="H1004" s="8" t="s">
        <v>88</v>
      </c>
      <c r="I1004" s="11">
        <v>3.4977</v>
      </c>
      <c r="J1004" s="12">
        <v>6.504223179E9</v>
      </c>
      <c r="K1004" s="23"/>
      <c r="L1004" s="13">
        <v>-1.4167</v>
      </c>
      <c r="M1004" s="8" t="s">
        <v>5596</v>
      </c>
      <c r="N1004" s="8" t="s">
        <v>5471</v>
      </c>
      <c r="O1004" s="13">
        <v>-181.9547</v>
      </c>
      <c r="P1004" s="13">
        <v>-69.885</v>
      </c>
      <c r="Q1004" s="13">
        <v>30.5825</v>
      </c>
      <c r="R1004" s="13">
        <v>4.3877</v>
      </c>
      <c r="S1004" s="13">
        <v>1.0329</v>
      </c>
      <c r="T1004" s="14">
        <f>IFERROR(__xludf.DUMMYFUNCTION("IFERROR(GOOGLEFINANCE(B1004,""price""),"""")"),18.88)</f>
        <v>18.88</v>
      </c>
    </row>
    <row r="1005">
      <c r="A1005" s="15">
        <v>46076.62720360086</v>
      </c>
      <c r="B1005" s="16" t="s">
        <v>5679</v>
      </c>
      <c r="C1005" s="16" t="s">
        <v>5680</v>
      </c>
      <c r="D1005" s="17">
        <v>46082.0</v>
      </c>
      <c r="E1005" s="18">
        <v>18.085</v>
      </c>
      <c r="F1005" s="27">
        <v>1.4766</v>
      </c>
      <c r="G1005" s="20">
        <v>1.6334625E7</v>
      </c>
      <c r="H1005" s="16" t="s">
        <v>308</v>
      </c>
      <c r="I1005" s="19">
        <v>0.1384</v>
      </c>
      <c r="J1005" s="20">
        <v>6.749907476E9</v>
      </c>
      <c r="K1005" s="24"/>
      <c r="L1005" s="21">
        <v>-1.351</v>
      </c>
      <c r="M1005" s="16" t="s">
        <v>5681</v>
      </c>
      <c r="N1005" s="16" t="s">
        <v>5674</v>
      </c>
      <c r="O1005" s="21">
        <v>-122.0285</v>
      </c>
      <c r="P1005" s="21">
        <v>-355.2063</v>
      </c>
      <c r="Q1005" s="21">
        <v>156.1969</v>
      </c>
      <c r="R1005" s="21">
        <v>0.0593</v>
      </c>
      <c r="S1005" s="21">
        <v>54.6763</v>
      </c>
      <c r="T1005" s="22">
        <f>IFERROR(__xludf.DUMMYFUNCTION("IFERROR(GOOGLEFINANCE(B1005,""price""),"""")"),14.25)</f>
        <v>14.25</v>
      </c>
    </row>
    <row r="1006">
      <c r="A1006" s="7">
        <v>46076.62720360086</v>
      </c>
      <c r="B1006" s="8" t="s">
        <v>5591</v>
      </c>
      <c r="C1006" s="8" t="s">
        <v>5592</v>
      </c>
      <c r="D1006" s="9">
        <v>46082.0</v>
      </c>
      <c r="E1006" s="10">
        <v>8.0665</v>
      </c>
      <c r="F1006" s="26">
        <v>1.4541</v>
      </c>
      <c r="G1006" s="12">
        <v>1.0911775E7</v>
      </c>
      <c r="H1006" s="8" t="s">
        <v>308</v>
      </c>
      <c r="I1006" s="11">
        <v>2.3668</v>
      </c>
      <c r="J1006" s="12">
        <v>1.859297506E9</v>
      </c>
      <c r="K1006" s="23"/>
      <c r="L1006" s="13">
        <v>-0.6396</v>
      </c>
      <c r="M1006" s="8" t="s">
        <v>5593</v>
      </c>
      <c r="N1006" s="8" t="s">
        <v>5414</v>
      </c>
      <c r="O1006" s="13">
        <v>-33.2524</v>
      </c>
      <c r="P1006" s="13">
        <v>-181.4004</v>
      </c>
      <c r="Q1006" s="13">
        <v>-38.0644</v>
      </c>
      <c r="R1006" s="13">
        <v>0.0241</v>
      </c>
      <c r="S1006" s="13">
        <v>7.9353</v>
      </c>
      <c r="T1006" s="14">
        <f>IFERROR(__xludf.DUMMYFUNCTION("IFERROR(GOOGLEFINANCE(B1006,""price""),"""")"),9.54)</f>
        <v>9.54</v>
      </c>
    </row>
    <row r="1007">
      <c r="A1007" s="15">
        <v>46076.62720360086</v>
      </c>
      <c r="B1007" s="16" t="s">
        <v>6016</v>
      </c>
      <c r="C1007" s="16" t="s">
        <v>6017</v>
      </c>
      <c r="D1007" s="17">
        <v>46082.0</v>
      </c>
      <c r="E1007" s="18">
        <v>156.735</v>
      </c>
      <c r="F1007" s="27">
        <v>1.4539</v>
      </c>
      <c r="G1007" s="20">
        <v>9300437.0</v>
      </c>
      <c r="H1007" s="16" t="s">
        <v>88</v>
      </c>
      <c r="I1007" s="19">
        <v>-9.1391</v>
      </c>
      <c r="J1007" s="20">
        <v>5.3634718914E10</v>
      </c>
      <c r="K1007" s="24"/>
      <c r="L1007" s="21">
        <v>-4.0355</v>
      </c>
      <c r="M1007" s="16" t="s">
        <v>6018</v>
      </c>
      <c r="N1007" s="16" t="s">
        <v>5429</v>
      </c>
      <c r="O1007" s="21">
        <v>-53.3164</v>
      </c>
      <c r="P1007" s="21">
        <v>-31.7447</v>
      </c>
      <c r="Q1007" s="21">
        <v>28.4799</v>
      </c>
      <c r="R1007" s="21">
        <v>1.2591</v>
      </c>
      <c r="S1007" s="21">
        <v>1.3169</v>
      </c>
      <c r="T1007" s="22">
        <f>IFERROR(__xludf.DUMMYFUNCTION("IFERROR(GOOGLEFINANCE(B1007,""price""),"""")"),121.11)</f>
        <v>121.11</v>
      </c>
    </row>
    <row r="1008">
      <c r="A1008" s="7">
        <v>46076.62720360086</v>
      </c>
      <c r="B1008" s="8" t="s">
        <v>5503</v>
      </c>
      <c r="C1008" s="8" t="s">
        <v>5504</v>
      </c>
      <c r="D1008" s="9">
        <v>46082.0</v>
      </c>
      <c r="E1008" s="10">
        <v>10.275</v>
      </c>
      <c r="F1008" s="26">
        <v>1.4434</v>
      </c>
      <c r="G1008" s="12">
        <v>9680232.0</v>
      </c>
      <c r="H1008" s="8" t="s">
        <v>335</v>
      </c>
      <c r="I1008" s="11">
        <v>13.4106</v>
      </c>
      <c r="J1008" s="12">
        <v>1.211468902E9</v>
      </c>
      <c r="K1008" s="23"/>
      <c r="L1008" s="13">
        <v>-0.5583</v>
      </c>
      <c r="M1008" s="8" t="s">
        <v>5505</v>
      </c>
      <c r="N1008" s="8" t="s">
        <v>5445</v>
      </c>
      <c r="O1008" s="13">
        <v>-128.3047</v>
      </c>
      <c r="P1008" s="13"/>
      <c r="Q1008" s="13"/>
      <c r="R1008" s="13">
        <v>0.064</v>
      </c>
      <c r="S1008" s="13">
        <v>0.1282</v>
      </c>
      <c r="T1008" s="14">
        <f>IFERROR(__xludf.DUMMYFUNCTION("IFERROR(GOOGLEFINANCE(B1008,""price""),"""")"),8.87)</f>
        <v>8.87</v>
      </c>
    </row>
    <row r="1009">
      <c r="A1009" s="15">
        <v>46076.62720360086</v>
      </c>
      <c r="B1009" s="16" t="s">
        <v>5734</v>
      </c>
      <c r="C1009" s="16" t="s">
        <v>5735</v>
      </c>
      <c r="D1009" s="17">
        <v>46082.0</v>
      </c>
      <c r="E1009" s="18">
        <v>30.72</v>
      </c>
      <c r="F1009" s="27">
        <v>1.3475</v>
      </c>
      <c r="G1009" s="20">
        <v>1.1110814E7</v>
      </c>
      <c r="H1009" s="16" t="s">
        <v>308</v>
      </c>
      <c r="I1009" s="19">
        <v>-3.6991</v>
      </c>
      <c r="J1009" s="20">
        <v>1.0883469245E10</v>
      </c>
      <c r="K1009" s="24"/>
      <c r="L1009" s="21">
        <v>-5.3543</v>
      </c>
      <c r="M1009" s="16" t="s">
        <v>5736</v>
      </c>
      <c r="N1009" s="16" t="s">
        <v>5674</v>
      </c>
      <c r="O1009" s="21">
        <v>-108.2332</v>
      </c>
      <c r="P1009" s="21">
        <v>-564.3908</v>
      </c>
      <c r="Q1009" s="21">
        <v>113.0721</v>
      </c>
      <c r="R1009" s="21">
        <v>0.0125</v>
      </c>
      <c r="S1009" s="21">
        <v>8.7256</v>
      </c>
      <c r="T1009" s="22">
        <f>IFERROR(__xludf.DUMMYFUNCTION("IFERROR(GOOGLEFINANCE(B1009,""price""),"""")"),28.79)</f>
        <v>28.79</v>
      </c>
    </row>
    <row r="1010">
      <c r="A1010" s="7">
        <v>46076.62720360086</v>
      </c>
      <c r="B1010" s="8" t="s">
        <v>5527</v>
      </c>
      <c r="C1010" s="8" t="s">
        <v>5528</v>
      </c>
      <c r="D1010" s="9">
        <v>46082.0</v>
      </c>
      <c r="E1010" s="10">
        <v>12.77</v>
      </c>
      <c r="F1010" s="26">
        <v>1.3408</v>
      </c>
      <c r="G1010" s="12">
        <v>7113730.0</v>
      </c>
      <c r="H1010" s="8" t="s">
        <v>88</v>
      </c>
      <c r="I1010" s="11">
        <v>2.4058</v>
      </c>
      <c r="J1010" s="12">
        <v>1.524369485E9</v>
      </c>
      <c r="K1010" s="23"/>
      <c r="L1010" s="13"/>
      <c r="M1010" s="8" t="s">
        <v>5529</v>
      </c>
      <c r="N1010" s="8" t="s">
        <v>5429</v>
      </c>
      <c r="O1010" s="13"/>
      <c r="P1010" s="13"/>
      <c r="Q1010" s="13"/>
      <c r="R1010" s="13">
        <v>0.0885</v>
      </c>
      <c r="S1010" s="13">
        <v>10.416</v>
      </c>
      <c r="T1010" s="14">
        <f>IFERROR(__xludf.DUMMYFUNCTION("IFERROR(GOOGLEFINANCE(B1010,""price""),"""")"),12.37)</f>
        <v>12.37</v>
      </c>
    </row>
    <row r="1011">
      <c r="A1011" s="15">
        <v>46076.62720360086</v>
      </c>
      <c r="B1011" s="16" t="s">
        <v>6001</v>
      </c>
      <c r="C1011" s="16" t="s">
        <v>6002</v>
      </c>
      <c r="D1011" s="17">
        <v>46082.0</v>
      </c>
      <c r="E1011" s="18">
        <v>70.86</v>
      </c>
      <c r="F1011" s="27">
        <v>1.3125</v>
      </c>
      <c r="G1011" s="20">
        <v>1.1476986E7</v>
      </c>
      <c r="H1011" s="16" t="s">
        <v>308</v>
      </c>
      <c r="I1011" s="19">
        <v>0.0</v>
      </c>
      <c r="J1011" s="20">
        <v>3.7850316526E10</v>
      </c>
      <c r="K1011" s="24"/>
      <c r="L1011" s="21">
        <v>-0.3877</v>
      </c>
      <c r="M1011" s="16" t="s">
        <v>6003</v>
      </c>
      <c r="N1011" s="16" t="s">
        <v>5520</v>
      </c>
      <c r="O1011" s="21">
        <v>-23.2396</v>
      </c>
      <c r="P1011" s="21">
        <v>-41.3581</v>
      </c>
      <c r="Q1011" s="21">
        <v>52.4214</v>
      </c>
      <c r="R1011" s="21">
        <v>0.4033</v>
      </c>
      <c r="S1011" s="21">
        <v>3.1763</v>
      </c>
      <c r="T1011" s="22">
        <f>IFERROR(__xludf.DUMMYFUNCTION("IFERROR(GOOGLEFINANCE(B1011,""price""),"""")"),68.05)</f>
        <v>68.05</v>
      </c>
    </row>
    <row r="1012">
      <c r="A1012" s="7">
        <v>46076.62720360086</v>
      </c>
      <c r="B1012" s="8" t="s">
        <v>5607</v>
      </c>
      <c r="C1012" s="8" t="s">
        <v>5608</v>
      </c>
      <c r="D1012" s="9">
        <v>46082.0</v>
      </c>
      <c r="E1012" s="10">
        <v>18.215</v>
      </c>
      <c r="F1012" s="26">
        <v>1.2915</v>
      </c>
      <c r="G1012" s="12">
        <v>7110677.0</v>
      </c>
      <c r="H1012" s="8" t="s">
        <v>308</v>
      </c>
      <c r="I1012" s="11">
        <v>3.7892</v>
      </c>
      <c r="J1012" s="12">
        <v>3.701471269E9</v>
      </c>
      <c r="K1012" s="23"/>
      <c r="L1012" s="13">
        <v>-1.8673</v>
      </c>
      <c r="M1012" s="8" t="s">
        <v>5609</v>
      </c>
      <c r="N1012" s="8" t="s">
        <v>5520</v>
      </c>
      <c r="O1012" s="13"/>
      <c r="P1012" s="13">
        <v>-30.7058</v>
      </c>
      <c r="Q1012" s="13">
        <v>8.0687</v>
      </c>
      <c r="R1012" s="13"/>
      <c r="S1012" s="13">
        <v>6.2531</v>
      </c>
      <c r="T1012" s="14">
        <f>IFERROR(__xludf.DUMMYFUNCTION("IFERROR(GOOGLEFINANCE(B1012,""price""),"""")"),23.57)</f>
        <v>23.57</v>
      </c>
    </row>
    <row r="1013">
      <c r="A1013" s="15">
        <v>46076.62720360086</v>
      </c>
      <c r="B1013" s="16" t="s">
        <v>6007</v>
      </c>
      <c r="C1013" s="16" t="s">
        <v>6008</v>
      </c>
      <c r="D1013" s="17">
        <v>46082.0</v>
      </c>
      <c r="E1013" s="18">
        <v>9.565</v>
      </c>
      <c r="F1013" s="27">
        <v>1.2578</v>
      </c>
      <c r="G1013" s="20">
        <v>1.8038522E7</v>
      </c>
      <c r="H1013" s="16" t="s">
        <v>308</v>
      </c>
      <c r="I1013" s="19">
        <v>-3.0902</v>
      </c>
      <c r="J1013" s="20">
        <v>9.226844683E9</v>
      </c>
      <c r="K1013" s="24"/>
      <c r="L1013" s="21">
        <v>-1.3261</v>
      </c>
      <c r="M1013" s="16" t="s">
        <v>6009</v>
      </c>
      <c r="N1013" s="16" t="s">
        <v>5520</v>
      </c>
      <c r="O1013" s="21">
        <v>-125.7334</v>
      </c>
      <c r="P1013" s="21">
        <v>-2900.9451</v>
      </c>
      <c r="Q1013" s="21">
        <v>1934.5013</v>
      </c>
      <c r="R1013" s="21">
        <v>0.0509</v>
      </c>
      <c r="S1013" s="21">
        <v>13.6072</v>
      </c>
      <c r="T1013" s="22">
        <f>IFERROR(__xludf.DUMMYFUNCTION("IFERROR(GOOGLEFINANCE(B1013,""price""),"""")"),8.34)</f>
        <v>8.34</v>
      </c>
    </row>
    <row r="1014">
      <c r="A1014" s="7">
        <v>46076.62720360086</v>
      </c>
      <c r="B1014" s="8" t="s">
        <v>4884</v>
      </c>
      <c r="C1014" s="8" t="s">
        <v>4885</v>
      </c>
      <c r="D1014" s="9">
        <v>46082.0</v>
      </c>
      <c r="E1014" s="10">
        <v>16.785</v>
      </c>
      <c r="F1014" s="26">
        <v>1.2471</v>
      </c>
      <c r="G1014" s="12">
        <v>8135490.0</v>
      </c>
      <c r="H1014" s="8" t="s">
        <v>88</v>
      </c>
      <c r="I1014" s="11">
        <v>-2.9769</v>
      </c>
      <c r="J1014" s="12">
        <v>5.204378855E9</v>
      </c>
      <c r="K1014" s="13">
        <v>120.4953</v>
      </c>
      <c r="L1014" s="13">
        <v>0.1393</v>
      </c>
      <c r="M1014" s="8" t="s">
        <v>4886</v>
      </c>
      <c r="N1014" s="8" t="s">
        <v>5471</v>
      </c>
      <c r="O1014" s="13"/>
      <c r="P1014" s="13">
        <v>-56.2854</v>
      </c>
      <c r="Q1014" s="13">
        <v>-40.0761</v>
      </c>
      <c r="R1014" s="13"/>
      <c r="S1014" s="13">
        <v>1.584</v>
      </c>
      <c r="T1014" s="14">
        <f>IFERROR(__xludf.DUMMYFUNCTION("IFERROR(GOOGLEFINANCE(B1014,""price""),"""")"),18.32)</f>
        <v>18.32</v>
      </c>
    </row>
    <row r="1015">
      <c r="A1015" s="15">
        <v>46076.62720360086</v>
      </c>
      <c r="B1015" s="16" t="s">
        <v>5938</v>
      </c>
      <c r="C1015" s="16" t="s">
        <v>5939</v>
      </c>
      <c r="D1015" s="17">
        <v>46082.0</v>
      </c>
      <c r="E1015" s="18">
        <v>8.105</v>
      </c>
      <c r="F1015" s="27">
        <v>1.2383</v>
      </c>
      <c r="G1015" s="20">
        <v>8658369.0</v>
      </c>
      <c r="H1015" s="16" t="s">
        <v>88</v>
      </c>
      <c r="I1015" s="19">
        <v>4.1774</v>
      </c>
      <c r="J1015" s="20">
        <v>1.909149681E9</v>
      </c>
      <c r="K1015" s="24"/>
      <c r="L1015" s="21"/>
      <c r="M1015" s="16" t="s">
        <v>5940</v>
      </c>
      <c r="N1015" s="16" t="s">
        <v>5471</v>
      </c>
      <c r="O1015" s="21">
        <v>11.4635</v>
      </c>
      <c r="P1015" s="21">
        <v>-29.6598</v>
      </c>
      <c r="Q1015" s="21">
        <v>77.3256</v>
      </c>
      <c r="R1015" s="21">
        <v>1.2667</v>
      </c>
      <c r="S1015" s="21">
        <v>0.9119</v>
      </c>
      <c r="T1015" s="22">
        <f>IFERROR(__xludf.DUMMYFUNCTION("IFERROR(GOOGLEFINANCE(B1015,""price""),"""")"),10.75)</f>
        <v>10.75</v>
      </c>
    </row>
    <row r="1016">
      <c r="A1016" s="7">
        <v>46076.62720360086</v>
      </c>
      <c r="B1016" s="8" t="s">
        <v>5567</v>
      </c>
      <c r="C1016" s="8" t="s">
        <v>5568</v>
      </c>
      <c r="D1016" s="9">
        <v>46082.0</v>
      </c>
      <c r="E1016" s="10">
        <v>159.5243</v>
      </c>
      <c r="F1016" s="26">
        <v>1.2323</v>
      </c>
      <c r="G1016" s="12">
        <v>8504514.0</v>
      </c>
      <c r="H1016" s="8" t="s">
        <v>308</v>
      </c>
      <c r="I1016" s="11">
        <v>8.1154</v>
      </c>
      <c r="J1016" s="12">
        <v>4.4754258983E10</v>
      </c>
      <c r="K1016" s="23"/>
      <c r="L1016" s="13">
        <v>-0.3809</v>
      </c>
      <c r="M1016" s="8" t="s">
        <v>5569</v>
      </c>
      <c r="N1016" s="8" t="s">
        <v>5433</v>
      </c>
      <c r="O1016" s="13">
        <v>-13.2874</v>
      </c>
      <c r="P1016" s="13">
        <v>5.4633</v>
      </c>
      <c r="Q1016" s="13">
        <v>37.3263</v>
      </c>
      <c r="R1016" s="13">
        <v>3.8975</v>
      </c>
      <c r="S1016" s="13">
        <v>5.9285</v>
      </c>
      <c r="T1016" s="14">
        <f>IFERROR(__xludf.DUMMYFUNCTION("IFERROR(GOOGLEFINANCE(B1016,""price""),"""")"),166.7)</f>
        <v>166.7</v>
      </c>
    </row>
    <row r="1017">
      <c r="A1017" s="15">
        <v>46076.62720360086</v>
      </c>
      <c r="B1017" s="16" t="s">
        <v>6019</v>
      </c>
      <c r="C1017" s="16" t="s">
        <v>6020</v>
      </c>
      <c r="D1017" s="17">
        <v>46082.0</v>
      </c>
      <c r="E1017" s="18">
        <v>50.62</v>
      </c>
      <c r="F1017" s="27">
        <v>1.2189</v>
      </c>
      <c r="G1017" s="20">
        <v>1.1637554E7</v>
      </c>
      <c r="H1017" s="16" t="s">
        <v>186</v>
      </c>
      <c r="I1017" s="19">
        <v>-4.8854</v>
      </c>
      <c r="J1017" s="20">
        <v>3.076015447E10</v>
      </c>
      <c r="K1017" s="21">
        <v>10.1849</v>
      </c>
      <c r="L1017" s="21">
        <v>4.9701</v>
      </c>
      <c r="M1017" s="16" t="s">
        <v>6021</v>
      </c>
      <c r="N1017" s="16" t="s">
        <v>5573</v>
      </c>
      <c r="O1017" s="21">
        <v>14.7821</v>
      </c>
      <c r="P1017" s="21">
        <v>10.4825</v>
      </c>
      <c r="Q1017" s="21">
        <v>0.4703</v>
      </c>
      <c r="R1017" s="21">
        <v>0.3599</v>
      </c>
      <c r="S1017" s="21">
        <v>2.1832</v>
      </c>
      <c r="T1017" s="22">
        <f>IFERROR(__xludf.DUMMYFUNCTION("IFERROR(GOOGLEFINANCE(B1017,""price""),"""")"),62.2)</f>
        <v>62.2</v>
      </c>
    </row>
    <row r="1018">
      <c r="A1018" s="7">
        <v>46076.62720360086</v>
      </c>
      <c r="B1018" s="8" t="s">
        <v>5574</v>
      </c>
      <c r="C1018" s="8" t="s">
        <v>5575</v>
      </c>
      <c r="D1018" s="9">
        <v>46082.0</v>
      </c>
      <c r="E1018" s="10">
        <v>20.86</v>
      </c>
      <c r="F1018" s="26">
        <v>1.21</v>
      </c>
      <c r="G1018" s="12">
        <v>7018581.0</v>
      </c>
      <c r="H1018" s="8" t="s">
        <v>335</v>
      </c>
      <c r="I1018" s="11">
        <v>-2.2951</v>
      </c>
      <c r="J1018" s="12">
        <v>4.949801869E9</v>
      </c>
      <c r="K1018" s="23"/>
      <c r="L1018" s="13">
        <v>-0.4849</v>
      </c>
      <c r="M1018" s="8" t="s">
        <v>5576</v>
      </c>
      <c r="N1018" s="8" t="s">
        <v>5506</v>
      </c>
      <c r="O1018" s="13">
        <v>-18.1731</v>
      </c>
      <c r="P1018" s="13">
        <v>-129.5586</v>
      </c>
      <c r="Q1018" s="13">
        <v>103.694</v>
      </c>
      <c r="R1018" s="13">
        <v>0.0</v>
      </c>
      <c r="S1018" s="13">
        <v>11.4962</v>
      </c>
      <c r="T1018" s="14">
        <f>IFERROR(__xludf.DUMMYFUNCTION("IFERROR(GOOGLEFINANCE(B1018,""price""),"""")"),18.4)</f>
        <v>18.4</v>
      </c>
    </row>
    <row r="1019">
      <c r="A1019" s="15">
        <v>46076.62720360086</v>
      </c>
      <c r="B1019" s="16" t="s">
        <v>5665</v>
      </c>
      <c r="C1019" s="16" t="s">
        <v>5666</v>
      </c>
      <c r="D1019" s="17">
        <v>46082.0</v>
      </c>
      <c r="E1019" s="18">
        <v>60.52</v>
      </c>
      <c r="F1019" s="27">
        <v>1.2073</v>
      </c>
      <c r="G1019" s="20">
        <v>7176915.0</v>
      </c>
      <c r="H1019" s="16" t="s">
        <v>88</v>
      </c>
      <c r="I1019" s="19">
        <v>-3.967</v>
      </c>
      <c r="J1019" s="20">
        <v>1.4250982393E10</v>
      </c>
      <c r="K1019" s="24"/>
      <c r="L1019" s="21">
        <v>-1.0737</v>
      </c>
      <c r="M1019" s="16" t="s">
        <v>5667</v>
      </c>
      <c r="N1019" s="16" t="s">
        <v>5429</v>
      </c>
      <c r="O1019" s="21"/>
      <c r="P1019" s="21">
        <v>-6.1956</v>
      </c>
      <c r="Q1019" s="21"/>
      <c r="R1019" s="21">
        <v>0.0543</v>
      </c>
      <c r="S1019" s="21">
        <v>1.0299</v>
      </c>
      <c r="T1019" s="22">
        <f>IFERROR(__xludf.DUMMYFUNCTION("IFERROR(GOOGLEFINANCE(B1019,""price""),"""")"),88.04)</f>
        <v>88.04</v>
      </c>
    </row>
    <row r="1020">
      <c r="A1020" s="7">
        <v>46076.62720360086</v>
      </c>
      <c r="B1020" s="8" t="s">
        <v>2704</v>
      </c>
      <c r="C1020" s="8" t="s">
        <v>2705</v>
      </c>
      <c r="D1020" s="9">
        <v>46082.0</v>
      </c>
      <c r="E1020" s="10">
        <v>29.655</v>
      </c>
      <c r="F1020" s="26">
        <v>1.2043</v>
      </c>
      <c r="G1020" s="12">
        <v>1.2756621E7</v>
      </c>
      <c r="H1020" s="8" t="s">
        <v>88</v>
      </c>
      <c r="I1020" s="11">
        <v>2.1178</v>
      </c>
      <c r="J1020" s="12">
        <v>8.291117618E9</v>
      </c>
      <c r="K1020" s="23"/>
      <c r="L1020" s="13">
        <v>-0.5438</v>
      </c>
      <c r="M1020" s="8" t="s">
        <v>2707</v>
      </c>
      <c r="N1020" s="8" t="s">
        <v>5471</v>
      </c>
      <c r="O1020" s="13">
        <v>-11.4029</v>
      </c>
      <c r="P1020" s="13">
        <v>-26.4624</v>
      </c>
      <c r="Q1020" s="13">
        <v>33.135</v>
      </c>
      <c r="R1020" s="13">
        <v>1.6778</v>
      </c>
      <c r="S1020" s="13">
        <v>4.8227</v>
      </c>
      <c r="T1020" s="14">
        <f>IFERROR(__xludf.DUMMYFUNCTION("IFERROR(GOOGLEFINANCE(B1020,""price""),"""")"),26.24)</f>
        <v>26.24</v>
      </c>
    </row>
    <row r="1021">
      <c r="A1021" s="15">
        <v>46076.62720360086</v>
      </c>
      <c r="B1021" s="16" t="s">
        <v>5682</v>
      </c>
      <c r="C1021" s="16" t="s">
        <v>5683</v>
      </c>
      <c r="D1021" s="17">
        <v>46082.0</v>
      </c>
      <c r="E1021" s="18">
        <v>17.155</v>
      </c>
      <c r="F1021" s="27">
        <v>1.1716</v>
      </c>
      <c r="G1021" s="20">
        <v>1.5301102E7</v>
      </c>
      <c r="H1021" s="16" t="s">
        <v>93</v>
      </c>
      <c r="I1021" s="19">
        <v>-4.5884</v>
      </c>
      <c r="J1021" s="20">
        <v>4.8306591962E10</v>
      </c>
      <c r="K1021" s="21">
        <v>216.0579</v>
      </c>
      <c r="L1021" s="21">
        <v>0.0794</v>
      </c>
      <c r="M1021" s="16" t="s">
        <v>5684</v>
      </c>
      <c r="N1021" s="16" t="s">
        <v>5590</v>
      </c>
      <c r="O1021" s="21">
        <v>-2.1497</v>
      </c>
      <c r="P1021" s="21">
        <v>16.4722</v>
      </c>
      <c r="Q1021" s="21">
        <v>22.5639</v>
      </c>
      <c r="R1021" s="21">
        <v>2.5143</v>
      </c>
      <c r="S1021" s="21">
        <v>1.333</v>
      </c>
      <c r="T1021" s="22">
        <f>IFERROR(__xludf.DUMMYFUNCTION("IFERROR(GOOGLEFINANCE(B1021,""price""),"""")"),14.85)</f>
        <v>14.85</v>
      </c>
    </row>
    <row r="1022">
      <c r="A1022" s="7">
        <v>46077.62677292319</v>
      </c>
      <c r="B1022" s="8" t="s">
        <v>6022</v>
      </c>
      <c r="C1022" s="8" t="s">
        <v>6023</v>
      </c>
      <c r="D1022" s="9">
        <v>46082.0</v>
      </c>
      <c r="E1022" s="10">
        <v>1.45</v>
      </c>
      <c r="F1022" s="26">
        <v>2.3828</v>
      </c>
      <c r="G1022" s="12">
        <v>2.224397E7</v>
      </c>
      <c r="H1022" s="8" t="s">
        <v>88</v>
      </c>
      <c r="I1022" s="11">
        <v>-2.6846</v>
      </c>
      <c r="J1022" s="12">
        <v>3.53208595E8</v>
      </c>
      <c r="K1022" s="13"/>
      <c r="L1022" s="13">
        <v>-1.0812</v>
      </c>
      <c r="M1022" s="8" t="s">
        <v>6024</v>
      </c>
      <c r="N1022" s="8" t="s">
        <v>5471</v>
      </c>
      <c r="O1022" s="13"/>
      <c r="P1022" s="13">
        <v>-3.0761</v>
      </c>
      <c r="Q1022" s="13">
        <v>-2.9843</v>
      </c>
      <c r="R1022" s="13"/>
      <c r="S1022" s="13">
        <v>0.706</v>
      </c>
      <c r="T1022" s="14">
        <f>IFERROR(__xludf.DUMMYFUNCTION("IFERROR(GOOGLEFINANCE(B1022,""price""),"""")"),1.32)</f>
        <v>1.32</v>
      </c>
    </row>
    <row r="1023">
      <c r="A1023" s="15">
        <v>46077.62677292319</v>
      </c>
      <c r="B1023" s="16" t="s">
        <v>5558</v>
      </c>
      <c r="C1023" s="16" t="s">
        <v>5559</v>
      </c>
      <c r="D1023" s="17">
        <v>46082.0</v>
      </c>
      <c r="E1023" s="18">
        <v>11.425</v>
      </c>
      <c r="F1023" s="27">
        <v>1.9551</v>
      </c>
      <c r="G1023" s="20">
        <v>1.2409059E7</v>
      </c>
      <c r="H1023" s="16" t="s">
        <v>102</v>
      </c>
      <c r="I1023" s="19">
        <v>10.0674</v>
      </c>
      <c r="J1023" s="20">
        <v>3.702821691E9</v>
      </c>
      <c r="K1023" s="21"/>
      <c r="L1023" s="21">
        <v>-8.3559</v>
      </c>
      <c r="M1023" s="16" t="s">
        <v>5560</v>
      </c>
      <c r="N1023" s="16" t="s">
        <v>5536</v>
      </c>
      <c r="O1023" s="21"/>
      <c r="P1023" s="21">
        <v>-351.0117</v>
      </c>
      <c r="Q1023" s="21">
        <v>324.0994</v>
      </c>
      <c r="R1023" s="21"/>
      <c r="S1023" s="21">
        <v>1.8261</v>
      </c>
      <c r="T1023" s="22">
        <f>IFERROR(__xludf.DUMMYFUNCTION("IFERROR(GOOGLEFINANCE(B1023,""price""),"""")"),5.62)</f>
        <v>5.62</v>
      </c>
    </row>
    <row r="1024">
      <c r="A1024" s="7">
        <v>46077.62677292319</v>
      </c>
      <c r="B1024" s="8" t="s">
        <v>5465</v>
      </c>
      <c r="C1024" s="8" t="s">
        <v>5466</v>
      </c>
      <c r="D1024" s="9">
        <v>46082.0</v>
      </c>
      <c r="E1024" s="10">
        <v>98.65</v>
      </c>
      <c r="F1024" s="26">
        <v>1.8728</v>
      </c>
      <c r="G1024" s="12">
        <v>1.9943196E7</v>
      </c>
      <c r="H1024" s="8" t="s">
        <v>88</v>
      </c>
      <c r="I1024" s="11">
        <v>8.5975</v>
      </c>
      <c r="J1024" s="12">
        <v>5.14216346E10</v>
      </c>
      <c r="K1024" s="13"/>
      <c r="L1024" s="13">
        <v>-1.8177</v>
      </c>
      <c r="M1024" s="8" t="s">
        <v>5467</v>
      </c>
      <c r="N1024" s="8" t="s">
        <v>5429</v>
      </c>
      <c r="O1024" s="13">
        <v>-29.1701</v>
      </c>
      <c r="P1024" s="13">
        <v>3.6285</v>
      </c>
      <c r="Q1024" s="13">
        <v>235.401</v>
      </c>
      <c r="R1024" s="13">
        <v>4.85</v>
      </c>
      <c r="S1024" s="13">
        <v>0.487</v>
      </c>
      <c r="T1024" s="14">
        <f>IFERROR(__xludf.DUMMYFUNCTION("IFERROR(GOOGLEFINANCE(B1024,""price""),"""")"),102.0)</f>
        <v>102</v>
      </c>
    </row>
    <row r="1025">
      <c r="A1025" s="15">
        <v>46077.62677292319</v>
      </c>
      <c r="B1025" s="16" t="s">
        <v>5517</v>
      </c>
      <c r="C1025" s="16" t="s">
        <v>5518</v>
      </c>
      <c r="D1025" s="17">
        <v>46082.0</v>
      </c>
      <c r="E1025" s="18">
        <v>8.425</v>
      </c>
      <c r="F1025" s="27">
        <v>1.8027</v>
      </c>
      <c r="G1025" s="20">
        <v>8468011.0</v>
      </c>
      <c r="H1025" s="16" t="s">
        <v>308</v>
      </c>
      <c r="I1025" s="19">
        <v>3.7562</v>
      </c>
      <c r="J1025" s="20">
        <v>1.391395363E9</v>
      </c>
      <c r="K1025" s="21"/>
      <c r="L1025" s="21">
        <v>-3.1791</v>
      </c>
      <c r="M1025" s="16" t="s">
        <v>5519</v>
      </c>
      <c r="N1025" s="16" t="s">
        <v>5520</v>
      </c>
      <c r="O1025" s="21">
        <v>-50.0822</v>
      </c>
      <c r="P1025" s="21">
        <v>-46.1858</v>
      </c>
      <c r="Q1025" s="21">
        <v>-0.6305</v>
      </c>
      <c r="R1025" s="21">
        <v>0.3596</v>
      </c>
      <c r="S1025" s="21">
        <v>1.4082</v>
      </c>
      <c r="T1025" s="22">
        <f>IFERROR(__xludf.DUMMYFUNCTION("IFERROR(GOOGLEFINANCE(B1025,""price""),"""")"),9.29)</f>
        <v>9.29</v>
      </c>
    </row>
    <row r="1026">
      <c r="A1026" s="7">
        <v>46077.62677292319</v>
      </c>
      <c r="B1026" s="8" t="s">
        <v>5591</v>
      </c>
      <c r="C1026" s="8" t="s">
        <v>5592</v>
      </c>
      <c r="D1026" s="9">
        <v>46082.0</v>
      </c>
      <c r="E1026" s="10">
        <v>8.265</v>
      </c>
      <c r="F1026" s="26">
        <v>1.7666</v>
      </c>
      <c r="G1026" s="12">
        <v>1.5579379E7</v>
      </c>
      <c r="H1026" s="8" t="s">
        <v>308</v>
      </c>
      <c r="I1026" s="11">
        <v>1.7857</v>
      </c>
      <c r="J1026" s="12">
        <v>1.905050944E9</v>
      </c>
      <c r="K1026" s="13"/>
      <c r="L1026" s="13">
        <v>-0.6396</v>
      </c>
      <c r="M1026" s="8" t="s">
        <v>5593</v>
      </c>
      <c r="N1026" s="8" t="s">
        <v>5414</v>
      </c>
      <c r="O1026" s="13">
        <v>-33.2524</v>
      </c>
      <c r="P1026" s="13">
        <v>-181.4004</v>
      </c>
      <c r="Q1026" s="13">
        <v>-38.0644</v>
      </c>
      <c r="R1026" s="13">
        <v>0.0241</v>
      </c>
      <c r="S1026" s="13">
        <v>7.9353</v>
      </c>
      <c r="T1026" s="14">
        <f>IFERROR(__xludf.DUMMYFUNCTION("IFERROR(GOOGLEFINANCE(B1026,""price""),"""")"),9.54)</f>
        <v>9.54</v>
      </c>
    </row>
    <row r="1027">
      <c r="A1027" s="15">
        <v>46077.62677292319</v>
      </c>
      <c r="B1027" s="16" t="s">
        <v>5551</v>
      </c>
      <c r="C1027" s="16" t="s">
        <v>5552</v>
      </c>
      <c r="D1027" s="17">
        <v>46082.0</v>
      </c>
      <c r="E1027" s="18">
        <v>1.015</v>
      </c>
      <c r="F1027" s="27">
        <v>1.7656</v>
      </c>
      <c r="G1027" s="20">
        <v>7179509.0</v>
      </c>
      <c r="H1027" s="16" t="s">
        <v>88</v>
      </c>
      <c r="I1027" s="19">
        <v>4.1346</v>
      </c>
      <c r="J1027" s="20">
        <v>9.41519049E8</v>
      </c>
      <c r="K1027" s="21"/>
      <c r="L1027" s="21">
        <v>-0.7493</v>
      </c>
      <c r="M1027" s="16" t="s">
        <v>5553</v>
      </c>
      <c r="N1027" s="16" t="s">
        <v>5471</v>
      </c>
      <c r="O1027" s="21">
        <v>-2.7528</v>
      </c>
      <c r="P1027" s="21">
        <v>7.0352</v>
      </c>
      <c r="Q1027" s="21">
        <v>623.0875</v>
      </c>
      <c r="R1027" s="21">
        <v>0.3226</v>
      </c>
      <c r="S1027" s="21">
        <v>0.0737</v>
      </c>
      <c r="T1027" s="22">
        <f>IFERROR(__xludf.DUMMYFUNCTION("IFERROR(GOOGLEFINANCE(B1027,""price""),"""")"),0.95)</f>
        <v>0.95</v>
      </c>
    </row>
    <row r="1028">
      <c r="A1028" s="7">
        <v>46077.62677292319</v>
      </c>
      <c r="B1028" s="8" t="s">
        <v>5992</v>
      </c>
      <c r="C1028" s="8" t="s">
        <v>5993</v>
      </c>
      <c r="D1028" s="9">
        <v>46082.0</v>
      </c>
      <c r="E1028" s="10">
        <v>24.955</v>
      </c>
      <c r="F1028" s="26">
        <v>1.7531</v>
      </c>
      <c r="G1028" s="12">
        <v>9685652.0</v>
      </c>
      <c r="H1028" s="8" t="s">
        <v>88</v>
      </c>
      <c r="I1028" s="11">
        <v>3.2478</v>
      </c>
      <c r="J1028" s="12">
        <v>1.2068111746E10</v>
      </c>
      <c r="K1028" s="13">
        <v>28.4712</v>
      </c>
      <c r="L1028" s="13">
        <v>0.8765</v>
      </c>
      <c r="M1028" s="8" t="s">
        <v>5994</v>
      </c>
      <c r="N1028" s="8" t="s">
        <v>5429</v>
      </c>
      <c r="O1028" s="13">
        <v>16.7829</v>
      </c>
      <c r="P1028" s="13">
        <v>18.9126</v>
      </c>
      <c r="Q1028" s="13">
        <v>20.8212</v>
      </c>
      <c r="R1028" s="13">
        <v>0.1446</v>
      </c>
      <c r="S1028" s="13">
        <v>1.7097</v>
      </c>
      <c r="T1028" s="14">
        <f>IFERROR(__xludf.DUMMYFUNCTION("IFERROR(GOOGLEFINANCE(B1028,""price""),"""")"),20.09)</f>
        <v>20.09</v>
      </c>
    </row>
    <row r="1029">
      <c r="A1029" s="15">
        <v>46077.62677292319</v>
      </c>
      <c r="B1029" s="16" t="s">
        <v>6010</v>
      </c>
      <c r="C1029" s="16" t="s">
        <v>6011</v>
      </c>
      <c r="D1029" s="17">
        <v>46082.0</v>
      </c>
      <c r="E1029" s="18">
        <v>16.555</v>
      </c>
      <c r="F1029" s="27">
        <v>1.6849</v>
      </c>
      <c r="G1029" s="20">
        <v>1.4149337E7</v>
      </c>
      <c r="H1029" s="16" t="s">
        <v>88</v>
      </c>
      <c r="I1029" s="19">
        <v>10.514</v>
      </c>
      <c r="J1029" s="20">
        <v>4.072120796E9</v>
      </c>
      <c r="K1029" s="21"/>
      <c r="L1029" s="21">
        <v>-0.1161</v>
      </c>
      <c r="M1029" s="16" t="s">
        <v>6012</v>
      </c>
      <c r="N1029" s="16" t="s">
        <v>5429</v>
      </c>
      <c r="O1029" s="21">
        <v>-3.9193</v>
      </c>
      <c r="P1029" s="21">
        <v>0.6317</v>
      </c>
      <c r="Q1029" s="21">
        <v>35.8666</v>
      </c>
      <c r="R1029" s="21">
        <v>0.2857</v>
      </c>
      <c r="S1029" s="21">
        <v>3.0115</v>
      </c>
      <c r="T1029" s="22">
        <f>IFERROR(__xludf.DUMMYFUNCTION("IFERROR(GOOGLEFINANCE(B1029,""price""),"""")"),14.61)</f>
        <v>14.61</v>
      </c>
    </row>
    <row r="1030">
      <c r="A1030" s="7">
        <v>46077.62677292319</v>
      </c>
      <c r="B1030" s="8" t="s">
        <v>5836</v>
      </c>
      <c r="C1030" s="8" t="s">
        <v>5837</v>
      </c>
      <c r="D1030" s="9">
        <v>46082.0</v>
      </c>
      <c r="E1030" s="10">
        <v>10.3706</v>
      </c>
      <c r="F1030" s="26">
        <v>1.668</v>
      </c>
      <c r="G1030" s="12">
        <v>1.0275623E7</v>
      </c>
      <c r="H1030" s="8" t="s">
        <v>93</v>
      </c>
      <c r="I1030" s="11">
        <v>15.4855</v>
      </c>
      <c r="J1030" s="12">
        <v>6.367811392E9</v>
      </c>
      <c r="K1030" s="13"/>
      <c r="L1030" s="13"/>
      <c r="M1030" s="8" t="s">
        <v>5838</v>
      </c>
      <c r="N1030" s="8" t="s">
        <v>5839</v>
      </c>
      <c r="O1030" s="13"/>
      <c r="P1030" s="13"/>
      <c r="Q1030" s="13"/>
      <c r="R1030" s="13">
        <v>0.4147</v>
      </c>
      <c r="S1030" s="13">
        <v>2.8104</v>
      </c>
      <c r="T1030" s="14">
        <f>IFERROR(__xludf.DUMMYFUNCTION("IFERROR(GOOGLEFINANCE(B1030,""price""),"""")"),4.87)</f>
        <v>4.87</v>
      </c>
    </row>
    <row r="1031">
      <c r="A1031" s="15">
        <v>46077.62677292319</v>
      </c>
      <c r="B1031" s="16" t="s">
        <v>5514</v>
      </c>
      <c r="C1031" s="16" t="s">
        <v>5515</v>
      </c>
      <c r="D1031" s="17">
        <v>46082.0</v>
      </c>
      <c r="E1031" s="18">
        <v>11.39</v>
      </c>
      <c r="F1031" s="27">
        <v>1.6619</v>
      </c>
      <c r="G1031" s="20">
        <v>7.7089916E7</v>
      </c>
      <c r="H1031" s="16" t="s">
        <v>117</v>
      </c>
      <c r="I1031" s="19">
        <v>15.8698</v>
      </c>
      <c r="J1031" s="20">
        <v>1.1218753655E10</v>
      </c>
      <c r="K1031" s="21"/>
      <c r="L1031" s="21">
        <v>-0.3898</v>
      </c>
      <c r="M1031" s="16" t="s">
        <v>5516</v>
      </c>
      <c r="N1031" s="16" t="s">
        <v>5491</v>
      </c>
      <c r="O1031" s="21"/>
      <c r="P1031" s="21">
        <v>-225.9966</v>
      </c>
      <c r="Q1031" s="21">
        <v>668.3147</v>
      </c>
      <c r="R1031" s="21"/>
      <c r="S1031" s="21">
        <v>5.0989</v>
      </c>
      <c r="T1031" s="22">
        <f>IFERROR(__xludf.DUMMYFUNCTION("IFERROR(GOOGLEFINANCE(B1031,""price""),"""")"),7.28)</f>
        <v>7.28</v>
      </c>
    </row>
    <row r="1032">
      <c r="A1032" s="7">
        <v>46077.62677292319</v>
      </c>
      <c r="B1032" s="8" t="s">
        <v>5561</v>
      </c>
      <c r="C1032" s="8" t="s">
        <v>5562</v>
      </c>
      <c r="D1032" s="9">
        <v>46082.0</v>
      </c>
      <c r="E1032" s="10">
        <v>13.3634</v>
      </c>
      <c r="F1032" s="26">
        <v>1.6419</v>
      </c>
      <c r="G1032" s="12">
        <v>1.9252238E7</v>
      </c>
      <c r="H1032" s="8" t="s">
        <v>102</v>
      </c>
      <c r="I1032" s="11">
        <v>6.0587</v>
      </c>
      <c r="J1032" s="12">
        <v>4.045429699E9</v>
      </c>
      <c r="K1032" s="13"/>
      <c r="L1032" s="13">
        <v>-2.8582</v>
      </c>
      <c r="M1032" s="8" t="s">
        <v>5563</v>
      </c>
      <c r="N1032" s="8" t="s">
        <v>5536</v>
      </c>
      <c r="O1032" s="13">
        <v>-76.8505</v>
      </c>
      <c r="P1032" s="13">
        <v>-983.9643</v>
      </c>
      <c r="Q1032" s="13">
        <v>765.6686</v>
      </c>
      <c r="R1032" s="13">
        <v>0.0</v>
      </c>
      <c r="S1032" s="13">
        <v>1.6153</v>
      </c>
      <c r="T1032" s="14">
        <f>IFERROR(__xludf.DUMMYFUNCTION("IFERROR(GOOGLEFINANCE(B1032,""price""),"""")"),9.21)</f>
        <v>9.21</v>
      </c>
    </row>
    <row r="1033">
      <c r="A1033" s="15">
        <v>46077.62677292319</v>
      </c>
      <c r="B1033" s="16" t="s">
        <v>5594</v>
      </c>
      <c r="C1033" s="16" t="s">
        <v>5595</v>
      </c>
      <c r="D1033" s="17">
        <v>46082.0</v>
      </c>
      <c r="E1033" s="18">
        <v>17.83</v>
      </c>
      <c r="F1033" s="27">
        <v>1.6156</v>
      </c>
      <c r="G1033" s="20">
        <v>4.1163205E7</v>
      </c>
      <c r="H1033" s="16" t="s">
        <v>88</v>
      </c>
      <c r="I1033" s="19">
        <v>13.7117</v>
      </c>
      <c r="J1033" s="20">
        <v>7.465098151E9</v>
      </c>
      <c r="K1033" s="21"/>
      <c r="L1033" s="21">
        <v>-1.4167</v>
      </c>
      <c r="M1033" s="16" t="s">
        <v>5596</v>
      </c>
      <c r="N1033" s="16" t="s">
        <v>5471</v>
      </c>
      <c r="O1033" s="21">
        <v>-181.9547</v>
      </c>
      <c r="P1033" s="21">
        <v>-69.885</v>
      </c>
      <c r="Q1033" s="21">
        <v>30.5825</v>
      </c>
      <c r="R1033" s="21">
        <v>4.3877</v>
      </c>
      <c r="S1033" s="21">
        <v>1.0329</v>
      </c>
      <c r="T1033" s="22">
        <f>IFERROR(__xludf.DUMMYFUNCTION("IFERROR(GOOGLEFINANCE(B1033,""price""),"""")"),18.88)</f>
        <v>18.88</v>
      </c>
    </row>
    <row r="1034">
      <c r="A1034" s="7">
        <v>46077.62677292319</v>
      </c>
      <c r="B1034" s="8" t="s">
        <v>5995</v>
      </c>
      <c r="C1034" s="8" t="s">
        <v>5996</v>
      </c>
      <c r="D1034" s="9">
        <v>46082.0</v>
      </c>
      <c r="E1034" s="10">
        <v>8.305</v>
      </c>
      <c r="F1034" s="26">
        <v>1.6133</v>
      </c>
      <c r="G1034" s="12">
        <v>3.262854E7</v>
      </c>
      <c r="H1034" s="8" t="s">
        <v>88</v>
      </c>
      <c r="I1034" s="11">
        <v>6.0664</v>
      </c>
      <c r="J1034" s="12">
        <v>3.488895858E9</v>
      </c>
      <c r="K1034" s="13"/>
      <c r="L1034" s="13">
        <v>-0.8347</v>
      </c>
      <c r="M1034" s="8" t="s">
        <v>5997</v>
      </c>
      <c r="N1034" s="8" t="s">
        <v>5429</v>
      </c>
      <c r="O1034" s="13">
        <v>-90.1486</v>
      </c>
      <c r="P1034" s="13">
        <v>-117.3976</v>
      </c>
      <c r="Q1034" s="13">
        <v>120.521</v>
      </c>
      <c r="R1034" s="13">
        <v>0.0121</v>
      </c>
      <c r="S1034" s="13">
        <v>5.149</v>
      </c>
      <c r="T1034" s="14">
        <f>IFERROR(__xludf.DUMMYFUNCTION("IFERROR(GOOGLEFINANCE(B1034,""price""),"""")"),6.43)</f>
        <v>6.43</v>
      </c>
    </row>
    <row r="1035">
      <c r="A1035" s="15">
        <v>46077.62677292319</v>
      </c>
      <c r="B1035" s="16" t="s">
        <v>6016</v>
      </c>
      <c r="C1035" s="16" t="s">
        <v>6017</v>
      </c>
      <c r="D1035" s="17">
        <v>46082.0</v>
      </c>
      <c r="E1035" s="18">
        <v>160.87</v>
      </c>
      <c r="F1035" s="27">
        <v>1.4847</v>
      </c>
      <c r="G1035" s="20">
        <v>6747614.0</v>
      </c>
      <c r="H1035" s="16" t="s">
        <v>88</v>
      </c>
      <c r="I1035" s="19">
        <v>2.0749</v>
      </c>
      <c r="J1035" s="20">
        <v>5.5049718095E10</v>
      </c>
      <c r="K1035" s="21"/>
      <c r="L1035" s="21">
        <v>-4.0355</v>
      </c>
      <c r="M1035" s="16" t="s">
        <v>6018</v>
      </c>
      <c r="N1035" s="16" t="s">
        <v>5429</v>
      </c>
      <c r="O1035" s="21">
        <v>-53.3164</v>
      </c>
      <c r="P1035" s="21">
        <v>-31.7447</v>
      </c>
      <c r="Q1035" s="21">
        <v>28.4799</v>
      </c>
      <c r="R1035" s="21">
        <v>1.2591</v>
      </c>
      <c r="S1035" s="21">
        <v>1.3169</v>
      </c>
      <c r="T1035" s="22">
        <f>IFERROR(__xludf.DUMMYFUNCTION("IFERROR(GOOGLEFINANCE(B1035,""price""),"""")"),121.11)</f>
        <v>121.11</v>
      </c>
    </row>
    <row r="1036">
      <c r="A1036" s="7">
        <v>46077.62677292319</v>
      </c>
      <c r="B1036" s="8" t="s">
        <v>5679</v>
      </c>
      <c r="C1036" s="8" t="s">
        <v>5680</v>
      </c>
      <c r="D1036" s="9">
        <v>46082.0</v>
      </c>
      <c r="E1036" s="10">
        <v>18.63</v>
      </c>
      <c r="F1036" s="26">
        <v>1.4841</v>
      </c>
      <c r="G1036" s="12">
        <v>1.6219205E7</v>
      </c>
      <c r="H1036" s="8" t="s">
        <v>308</v>
      </c>
      <c r="I1036" s="11">
        <v>3.2133</v>
      </c>
      <c r="J1036" s="12">
        <v>6.953319031E9</v>
      </c>
      <c r="K1036" s="13"/>
      <c r="L1036" s="13">
        <v>-1.351</v>
      </c>
      <c r="M1036" s="8" t="s">
        <v>5681</v>
      </c>
      <c r="N1036" s="8" t="s">
        <v>5674</v>
      </c>
      <c r="O1036" s="13">
        <v>-122.0285</v>
      </c>
      <c r="P1036" s="13">
        <v>-355.2063</v>
      </c>
      <c r="Q1036" s="13">
        <v>156.1969</v>
      </c>
      <c r="R1036" s="13">
        <v>0.0593</v>
      </c>
      <c r="S1036" s="13">
        <v>54.6763</v>
      </c>
      <c r="T1036" s="14">
        <f>IFERROR(__xludf.DUMMYFUNCTION("IFERROR(GOOGLEFINANCE(B1036,""price""),"""")"),14.25)</f>
        <v>14.25</v>
      </c>
    </row>
    <row r="1037">
      <c r="A1037" s="15">
        <v>46077.62677292319</v>
      </c>
      <c r="B1037" s="16" t="s">
        <v>5640</v>
      </c>
      <c r="C1037" s="16" t="s">
        <v>5641</v>
      </c>
      <c r="D1037" s="17">
        <v>46082.0</v>
      </c>
      <c r="E1037" s="18">
        <v>34.91</v>
      </c>
      <c r="F1037" s="27">
        <v>1.4158</v>
      </c>
      <c r="G1037" s="20">
        <v>8355888.0</v>
      </c>
      <c r="H1037" s="16" t="s">
        <v>308</v>
      </c>
      <c r="I1037" s="19">
        <v>22.7928</v>
      </c>
      <c r="J1037" s="20">
        <v>1.929620893E9</v>
      </c>
      <c r="K1037" s="21"/>
      <c r="L1037" s="21">
        <v>-0.4882</v>
      </c>
      <c r="M1037" s="16" t="s">
        <v>5642</v>
      </c>
      <c r="N1037" s="16" t="s">
        <v>5433</v>
      </c>
      <c r="O1037" s="21">
        <v>-9.1233</v>
      </c>
      <c r="P1037" s="21">
        <v>-24.8806</v>
      </c>
      <c r="Q1037" s="21">
        <v>-11.106</v>
      </c>
      <c r="R1037" s="21">
        <v>0.2351</v>
      </c>
      <c r="S1037" s="21">
        <v>2.7231</v>
      </c>
      <c r="T1037" s="22">
        <f>IFERROR(__xludf.DUMMYFUNCTION("IFERROR(GOOGLEFINANCE(B1037,""price""),"""")"),64.18)</f>
        <v>64.18</v>
      </c>
    </row>
    <row r="1038">
      <c r="A1038" s="7">
        <v>46077.62677292319</v>
      </c>
      <c r="B1038" s="8" t="s">
        <v>5734</v>
      </c>
      <c r="C1038" s="8" t="s">
        <v>5735</v>
      </c>
      <c r="D1038" s="9">
        <v>46082.0</v>
      </c>
      <c r="E1038" s="10">
        <v>31.6699</v>
      </c>
      <c r="F1038" s="26">
        <v>1.4141</v>
      </c>
      <c r="G1038" s="12">
        <v>1.1017295E7</v>
      </c>
      <c r="H1038" s="8" t="s">
        <v>308</v>
      </c>
      <c r="I1038" s="11">
        <v>2.8912</v>
      </c>
      <c r="J1038" s="12">
        <v>1.1219999819E10</v>
      </c>
      <c r="K1038" s="13"/>
      <c r="L1038" s="13">
        <v>-5.3543</v>
      </c>
      <c r="M1038" s="8" t="s">
        <v>5736</v>
      </c>
      <c r="N1038" s="8" t="s">
        <v>5674</v>
      </c>
      <c r="O1038" s="13">
        <v>-108.2332</v>
      </c>
      <c r="P1038" s="13">
        <v>-564.3908</v>
      </c>
      <c r="Q1038" s="13">
        <v>113.0721</v>
      </c>
      <c r="R1038" s="13">
        <v>0.0125</v>
      </c>
      <c r="S1038" s="13">
        <v>8.7256</v>
      </c>
      <c r="T1038" s="14">
        <f>IFERROR(__xludf.DUMMYFUNCTION("IFERROR(GOOGLEFINANCE(B1038,""price""),"""")"),28.79)</f>
        <v>28.79</v>
      </c>
    </row>
    <row r="1039">
      <c r="A1039" s="15">
        <v>46077.62677292319</v>
      </c>
      <c r="B1039" s="16" t="s">
        <v>5503</v>
      </c>
      <c r="C1039" s="16" t="s">
        <v>5504</v>
      </c>
      <c r="D1039" s="17">
        <v>46082.0</v>
      </c>
      <c r="E1039" s="18">
        <v>10.8407</v>
      </c>
      <c r="F1039" s="27">
        <v>1.4043</v>
      </c>
      <c r="G1039" s="20">
        <v>1.3476916E7</v>
      </c>
      <c r="H1039" s="16" t="s">
        <v>335</v>
      </c>
      <c r="I1039" s="19">
        <v>5.1474</v>
      </c>
      <c r="J1039" s="20">
        <v>1.278167479E9</v>
      </c>
      <c r="K1039" s="21"/>
      <c r="L1039" s="21">
        <v>-0.5583</v>
      </c>
      <c r="M1039" s="16" t="s">
        <v>5505</v>
      </c>
      <c r="N1039" s="16" t="s">
        <v>5445</v>
      </c>
      <c r="O1039" s="21">
        <v>-128.3047</v>
      </c>
      <c r="P1039" s="21"/>
      <c r="Q1039" s="21"/>
      <c r="R1039" s="21">
        <v>0.064</v>
      </c>
      <c r="S1039" s="21">
        <v>0.1282</v>
      </c>
      <c r="T1039" s="22">
        <f>IFERROR(__xludf.DUMMYFUNCTION("IFERROR(GOOGLEFINANCE(B1039,""price""),"""")"),8.87)</f>
        <v>8.87</v>
      </c>
    </row>
    <row r="1040">
      <c r="A1040" s="7">
        <v>46077.62677292319</v>
      </c>
      <c r="B1040" s="8" t="s">
        <v>6001</v>
      </c>
      <c r="C1040" s="8" t="s">
        <v>6002</v>
      </c>
      <c r="D1040" s="9">
        <v>46082.0</v>
      </c>
      <c r="E1040" s="10">
        <v>69.4752</v>
      </c>
      <c r="F1040" s="26">
        <v>1.3664</v>
      </c>
      <c r="G1040" s="12">
        <v>1.1002224E7</v>
      </c>
      <c r="H1040" s="8" t="s">
        <v>308</v>
      </c>
      <c r="I1040" s="11">
        <v>-1.0466</v>
      </c>
      <c r="J1040" s="12">
        <v>3.7110616057E10</v>
      </c>
      <c r="K1040" s="13"/>
      <c r="L1040" s="13">
        <v>-0.3877</v>
      </c>
      <c r="M1040" s="8" t="s">
        <v>6003</v>
      </c>
      <c r="N1040" s="8" t="s">
        <v>5520</v>
      </c>
      <c r="O1040" s="13">
        <v>-23.2396</v>
      </c>
      <c r="P1040" s="13">
        <v>-41.3581</v>
      </c>
      <c r="Q1040" s="13">
        <v>52.4214</v>
      </c>
      <c r="R1040" s="13">
        <v>0.4033</v>
      </c>
      <c r="S1040" s="13">
        <v>3.1763</v>
      </c>
      <c r="T1040" s="14">
        <f>IFERROR(__xludf.DUMMYFUNCTION("IFERROR(GOOGLEFINANCE(B1040,""price""),"""")"),68.05)</f>
        <v>68.05</v>
      </c>
    </row>
    <row r="1041">
      <c r="A1041" s="15">
        <v>46077.62677292319</v>
      </c>
      <c r="B1041" s="16" t="s">
        <v>6019</v>
      </c>
      <c r="C1041" s="16" t="s">
        <v>6020</v>
      </c>
      <c r="D1041" s="17">
        <v>46082.0</v>
      </c>
      <c r="E1041" s="18">
        <v>51.2351</v>
      </c>
      <c r="F1041" s="27">
        <v>1.3285</v>
      </c>
      <c r="G1041" s="20">
        <v>7543646.0</v>
      </c>
      <c r="H1041" s="16" t="s">
        <v>186</v>
      </c>
      <c r="I1041" s="19">
        <v>0.9559</v>
      </c>
      <c r="J1041" s="20">
        <v>3.1133930347E10</v>
      </c>
      <c r="K1041" s="21">
        <v>10.3087</v>
      </c>
      <c r="L1041" s="21">
        <v>4.9701</v>
      </c>
      <c r="M1041" s="16" t="s">
        <v>6021</v>
      </c>
      <c r="N1041" s="16" t="s">
        <v>5573</v>
      </c>
      <c r="O1041" s="21">
        <v>14.7821</v>
      </c>
      <c r="P1041" s="21">
        <v>10.4825</v>
      </c>
      <c r="Q1041" s="21">
        <v>0.4703</v>
      </c>
      <c r="R1041" s="21">
        <v>0.3599</v>
      </c>
      <c r="S1041" s="21">
        <v>2.1832</v>
      </c>
      <c r="T1041" s="22">
        <f>IFERROR(__xludf.DUMMYFUNCTION("IFERROR(GOOGLEFINANCE(B1041,""price""),"""")"),62.2)</f>
        <v>62.2</v>
      </c>
    </row>
    <row r="1042">
      <c r="A1042" s="7">
        <v>46077.62677292319</v>
      </c>
      <c r="B1042" s="8" t="s">
        <v>6007</v>
      </c>
      <c r="C1042" s="8" t="s">
        <v>6008</v>
      </c>
      <c r="D1042" s="9">
        <v>46082.0</v>
      </c>
      <c r="E1042" s="10">
        <v>9.765</v>
      </c>
      <c r="F1042" s="26">
        <v>1.3223</v>
      </c>
      <c r="G1042" s="12">
        <v>1.664694E7</v>
      </c>
      <c r="H1042" s="8" t="s">
        <v>308</v>
      </c>
      <c r="I1042" s="11">
        <v>2.3585</v>
      </c>
      <c r="J1042" s="12">
        <v>9.419774075E9</v>
      </c>
      <c r="K1042" s="13"/>
      <c r="L1042" s="13">
        <v>-1.3261</v>
      </c>
      <c r="M1042" s="8" t="s">
        <v>6009</v>
      </c>
      <c r="N1042" s="8" t="s">
        <v>5520</v>
      </c>
      <c r="O1042" s="13">
        <v>-125.7334</v>
      </c>
      <c r="P1042" s="13">
        <v>-2900.9451</v>
      </c>
      <c r="Q1042" s="13">
        <v>1934.5013</v>
      </c>
      <c r="R1042" s="13">
        <v>0.0509</v>
      </c>
      <c r="S1042" s="13">
        <v>13.6072</v>
      </c>
      <c r="T1042" s="14">
        <f>IFERROR(__xludf.DUMMYFUNCTION("IFERROR(GOOGLEFINANCE(B1042,""price""),"""")"),8.34)</f>
        <v>8.34</v>
      </c>
    </row>
    <row r="1043">
      <c r="A1043" s="15">
        <v>46077.62677292319</v>
      </c>
      <c r="B1043" s="16" t="s">
        <v>5682</v>
      </c>
      <c r="C1043" s="16" t="s">
        <v>5683</v>
      </c>
      <c r="D1043" s="17">
        <v>46082.0</v>
      </c>
      <c r="E1043" s="18">
        <v>17.665</v>
      </c>
      <c r="F1043" s="27">
        <v>1.2808</v>
      </c>
      <c r="G1043" s="20">
        <v>2.0150189E7</v>
      </c>
      <c r="H1043" s="16" t="s">
        <v>93</v>
      </c>
      <c r="I1043" s="19">
        <v>3.3645</v>
      </c>
      <c r="J1043" s="20">
        <v>4.9742697543E10</v>
      </c>
      <c r="K1043" s="21">
        <v>222.4811</v>
      </c>
      <c r="L1043" s="21">
        <v>0.0794</v>
      </c>
      <c r="M1043" s="16" t="s">
        <v>5684</v>
      </c>
      <c r="N1043" s="16" t="s">
        <v>5590</v>
      </c>
      <c r="O1043" s="21">
        <v>-2.1497</v>
      </c>
      <c r="P1043" s="21">
        <v>16.4722</v>
      </c>
      <c r="Q1043" s="21">
        <v>22.5639</v>
      </c>
      <c r="R1043" s="21">
        <v>2.5143</v>
      </c>
      <c r="S1043" s="21">
        <v>1.333</v>
      </c>
      <c r="T1043" s="22">
        <f>IFERROR(__xludf.DUMMYFUNCTION("IFERROR(GOOGLEFINANCE(B1043,""price""),"""")"),14.85)</f>
        <v>14.85</v>
      </c>
    </row>
    <row r="1044">
      <c r="A1044" s="7">
        <v>46077.62677292319</v>
      </c>
      <c r="B1044" s="8" t="s">
        <v>5544</v>
      </c>
      <c r="C1044" s="8" t="s">
        <v>5545</v>
      </c>
      <c r="D1044" s="9">
        <v>46082.0</v>
      </c>
      <c r="E1044" s="10">
        <v>17.34</v>
      </c>
      <c r="F1044" s="26">
        <v>1.28</v>
      </c>
      <c r="G1044" s="12">
        <v>4.6263528E7</v>
      </c>
      <c r="H1044" s="8" t="s">
        <v>88</v>
      </c>
      <c r="I1044" s="11">
        <v>13.929</v>
      </c>
      <c r="J1044" s="12">
        <v>6.85089664E9</v>
      </c>
      <c r="K1044" s="13"/>
      <c r="L1044" s="13">
        <v>-0.1905</v>
      </c>
      <c r="M1044" s="8" t="s">
        <v>5546</v>
      </c>
      <c r="N1044" s="8" t="s">
        <v>5471</v>
      </c>
      <c r="O1044" s="13">
        <v>-9.6935</v>
      </c>
      <c r="P1044" s="13">
        <v>-72.0529</v>
      </c>
      <c r="Q1044" s="13">
        <v>35.4099</v>
      </c>
      <c r="R1044" s="13">
        <v>1.333</v>
      </c>
      <c r="S1044" s="13">
        <v>2.4892</v>
      </c>
      <c r="T1044" s="14">
        <f>IFERROR(__xludf.DUMMYFUNCTION("IFERROR(GOOGLEFINANCE(B1044,""price""),"""")"),16.53)</f>
        <v>16.53</v>
      </c>
    </row>
    <row r="1045">
      <c r="A1045" s="15">
        <v>46077.62677292319</v>
      </c>
      <c r="B1045" s="16" t="s">
        <v>5778</v>
      </c>
      <c r="C1045" s="16" t="s">
        <v>5779</v>
      </c>
      <c r="D1045" s="17">
        <v>46082.0</v>
      </c>
      <c r="E1045" s="18">
        <v>1.94</v>
      </c>
      <c r="F1045" s="27">
        <v>1.2773</v>
      </c>
      <c r="G1045" s="20">
        <v>1.6455949E7</v>
      </c>
      <c r="H1045" s="16" t="s">
        <v>117</v>
      </c>
      <c r="I1045" s="19">
        <v>9.6045</v>
      </c>
      <c r="J1045" s="20">
        <v>1.238409122E9</v>
      </c>
      <c r="K1045" s="21"/>
      <c r="L1045" s="21">
        <v>-0.1202</v>
      </c>
      <c r="M1045" s="16" t="s">
        <v>5780</v>
      </c>
      <c r="N1045" s="16" t="s">
        <v>5502</v>
      </c>
      <c r="O1045" s="21">
        <v>-29.5717</v>
      </c>
      <c r="P1045" s="21">
        <v>-34.4016</v>
      </c>
      <c r="Q1045" s="21">
        <v>522.1303</v>
      </c>
      <c r="R1045" s="21">
        <v>1.0102</v>
      </c>
      <c r="S1045" s="21">
        <v>5.9552</v>
      </c>
      <c r="T1045" s="22">
        <f>IFERROR(__xludf.DUMMYFUNCTION("IFERROR(GOOGLEFINANCE(B1045,""price""),"""")"),1.67)</f>
        <v>1.67</v>
      </c>
    </row>
    <row r="1046">
      <c r="A1046" s="7">
        <v>46077.62677292319</v>
      </c>
      <c r="B1046" s="8" t="s">
        <v>5574</v>
      </c>
      <c r="C1046" s="8" t="s">
        <v>5575</v>
      </c>
      <c r="D1046" s="9">
        <v>46082.0</v>
      </c>
      <c r="E1046" s="10">
        <v>22.72</v>
      </c>
      <c r="F1046" s="26">
        <v>1.2717</v>
      </c>
      <c r="G1046" s="12">
        <v>9349432.0</v>
      </c>
      <c r="H1046" s="8" t="s">
        <v>335</v>
      </c>
      <c r="I1046" s="11">
        <v>8.0875</v>
      </c>
      <c r="J1046" s="12">
        <v>5.391155269E9</v>
      </c>
      <c r="K1046" s="13"/>
      <c r="L1046" s="13">
        <v>-0.4849</v>
      </c>
      <c r="M1046" s="8" t="s">
        <v>5576</v>
      </c>
      <c r="N1046" s="8" t="s">
        <v>5506</v>
      </c>
      <c r="O1046" s="13">
        <v>-18.1731</v>
      </c>
      <c r="P1046" s="13">
        <v>-129.5586</v>
      </c>
      <c r="Q1046" s="13">
        <v>103.694</v>
      </c>
      <c r="R1046" s="13">
        <v>0.0</v>
      </c>
      <c r="S1046" s="13">
        <v>11.4962</v>
      </c>
      <c r="T1046" s="14">
        <f>IFERROR(__xludf.DUMMYFUNCTION("IFERROR(GOOGLEFINANCE(B1046,""price""),"""")"),18.4)</f>
        <v>18.4</v>
      </c>
    </row>
    <row r="1047">
      <c r="A1047" s="15">
        <v>46077.62677292319</v>
      </c>
      <c r="B1047" s="16" t="s">
        <v>5175</v>
      </c>
      <c r="C1047" s="16" t="s">
        <v>5176</v>
      </c>
      <c r="D1047" s="17">
        <v>46082.0</v>
      </c>
      <c r="E1047" s="18">
        <v>4.555</v>
      </c>
      <c r="F1047" s="27">
        <v>1.2461</v>
      </c>
      <c r="G1047" s="20">
        <v>1.1470875E7</v>
      </c>
      <c r="H1047" s="16" t="s">
        <v>93</v>
      </c>
      <c r="I1047" s="19">
        <v>0.5519</v>
      </c>
      <c r="J1047" s="20">
        <v>7.439867404E9</v>
      </c>
      <c r="K1047" s="21"/>
      <c r="L1047" s="21">
        <v>-0.009</v>
      </c>
      <c r="M1047" s="16" t="s">
        <v>5177</v>
      </c>
      <c r="N1047" s="16" t="s">
        <v>5590</v>
      </c>
      <c r="O1047" s="21">
        <v>11.3702</v>
      </c>
      <c r="P1047" s="21">
        <v>30.822</v>
      </c>
      <c r="Q1047" s="21">
        <v>-8.6628</v>
      </c>
      <c r="R1047" s="21">
        <v>81.7577</v>
      </c>
      <c r="S1047" s="21">
        <v>0.1285</v>
      </c>
      <c r="T1047" s="22">
        <f>IFERROR(__xludf.DUMMYFUNCTION("IFERROR(GOOGLEFINANCE(B1047,""price""),"""")"),3.69)</f>
        <v>3.69</v>
      </c>
    </row>
    <row r="1048">
      <c r="A1048" s="7">
        <v>46077.62677292319</v>
      </c>
      <c r="B1048" s="8" t="s">
        <v>5607</v>
      </c>
      <c r="C1048" s="8" t="s">
        <v>5608</v>
      </c>
      <c r="D1048" s="9">
        <v>46082.0</v>
      </c>
      <c r="E1048" s="10">
        <v>18.87</v>
      </c>
      <c r="F1048" s="26">
        <v>1.2349</v>
      </c>
      <c r="G1048" s="12">
        <v>7005768.0</v>
      </c>
      <c r="H1048" s="8" t="s">
        <v>308</v>
      </c>
      <c r="I1048" s="11">
        <v>4.0243</v>
      </c>
      <c r="J1048" s="12">
        <v>3.834573897E9</v>
      </c>
      <c r="K1048" s="13"/>
      <c r="L1048" s="13">
        <v>-1.8673</v>
      </c>
      <c r="M1048" s="8" t="s">
        <v>5609</v>
      </c>
      <c r="N1048" s="8" t="s">
        <v>5520</v>
      </c>
      <c r="O1048" s="13"/>
      <c r="P1048" s="13">
        <v>-30.7058</v>
      </c>
      <c r="Q1048" s="13">
        <v>8.0687</v>
      </c>
      <c r="R1048" s="13"/>
      <c r="S1048" s="13">
        <v>6.2531</v>
      </c>
      <c r="T1048" s="14">
        <f>IFERROR(__xludf.DUMMYFUNCTION("IFERROR(GOOGLEFINANCE(B1048,""price""),"""")"),23.57)</f>
        <v>23.57</v>
      </c>
    </row>
    <row r="1049">
      <c r="A1049" s="15">
        <v>46077.62677292319</v>
      </c>
      <c r="B1049" s="16" t="s">
        <v>5527</v>
      </c>
      <c r="C1049" s="16" t="s">
        <v>5528</v>
      </c>
      <c r="D1049" s="17">
        <v>46082.0</v>
      </c>
      <c r="E1049" s="18">
        <v>12.77</v>
      </c>
      <c r="F1049" s="27">
        <v>1.2292</v>
      </c>
      <c r="G1049" s="20">
        <v>6788315.0</v>
      </c>
      <c r="H1049" s="16" t="s">
        <v>88</v>
      </c>
      <c r="I1049" s="19">
        <v>-0.1173</v>
      </c>
      <c r="J1049" s="20">
        <v>1.524369434E9</v>
      </c>
      <c r="K1049" s="21"/>
      <c r="L1049" s="21"/>
      <c r="M1049" s="16" t="s">
        <v>5529</v>
      </c>
      <c r="N1049" s="16" t="s">
        <v>5429</v>
      </c>
      <c r="O1049" s="21"/>
      <c r="P1049" s="21"/>
      <c r="Q1049" s="21"/>
      <c r="R1049" s="21">
        <v>0.0885</v>
      </c>
      <c r="S1049" s="21">
        <v>10.416</v>
      </c>
      <c r="T1049" s="22">
        <f>IFERROR(__xludf.DUMMYFUNCTION("IFERROR(GOOGLEFINANCE(B1049,""price""),"""")"),12.37)</f>
        <v>12.37</v>
      </c>
    </row>
    <row r="1050">
      <c r="A1050" s="7">
        <v>46077.62677292319</v>
      </c>
      <c r="B1050" s="8" t="s">
        <v>5496</v>
      </c>
      <c r="C1050" s="8" t="s">
        <v>5497</v>
      </c>
      <c r="D1050" s="9">
        <v>46082.0</v>
      </c>
      <c r="E1050" s="10">
        <v>8.045</v>
      </c>
      <c r="F1050" s="26">
        <v>1.2148</v>
      </c>
      <c r="G1050" s="12">
        <v>3.4367518E7</v>
      </c>
      <c r="H1050" s="8" t="s">
        <v>88</v>
      </c>
      <c r="I1050" s="11">
        <v>2.1587</v>
      </c>
      <c r="J1050" s="12">
        <v>3.04249315E9</v>
      </c>
      <c r="K1050" s="13">
        <v>4.4551</v>
      </c>
      <c r="L1050" s="13">
        <v>1.8058</v>
      </c>
      <c r="M1050" s="8" t="s">
        <v>5498</v>
      </c>
      <c r="N1050" s="8" t="s">
        <v>5471</v>
      </c>
      <c r="O1050" s="13">
        <v>23.127</v>
      </c>
      <c r="P1050" s="13">
        <v>-67.8835</v>
      </c>
      <c r="Q1050" s="13">
        <v>53.5148</v>
      </c>
      <c r="R1050" s="13">
        <v>0.7061</v>
      </c>
      <c r="S1050" s="13">
        <v>2.094</v>
      </c>
      <c r="T1050" s="14">
        <f>IFERROR(__xludf.DUMMYFUNCTION("IFERROR(GOOGLEFINANCE(B1050,""price""),"""")"),9.54)</f>
        <v>9.54</v>
      </c>
    </row>
    <row r="1051">
      <c r="A1051" s="15">
        <v>46077.62677292319</v>
      </c>
      <c r="B1051" s="16" t="s">
        <v>2704</v>
      </c>
      <c r="C1051" s="16" t="s">
        <v>2705</v>
      </c>
      <c r="D1051" s="17">
        <v>46082.0</v>
      </c>
      <c r="E1051" s="18">
        <v>30.825</v>
      </c>
      <c r="F1051" s="27">
        <v>1.2147</v>
      </c>
      <c r="G1051" s="20">
        <v>1.6966225E7</v>
      </c>
      <c r="H1051" s="16" t="s">
        <v>88</v>
      </c>
      <c r="I1051" s="19">
        <v>2.75</v>
      </c>
      <c r="J1051" s="20">
        <v>1.09834162E8</v>
      </c>
      <c r="K1051" s="21"/>
      <c r="L1051" s="21">
        <v>-0.5438</v>
      </c>
      <c r="M1051" s="16" t="s">
        <v>2707</v>
      </c>
      <c r="N1051" s="16" t="s">
        <v>5471</v>
      </c>
      <c r="O1051" s="21">
        <v>-11.4029</v>
      </c>
      <c r="P1051" s="21">
        <v>-26.4624</v>
      </c>
      <c r="Q1051" s="21">
        <v>33.135</v>
      </c>
      <c r="R1051" s="21">
        <v>1.6778</v>
      </c>
      <c r="S1051" s="21">
        <v>4.8227</v>
      </c>
      <c r="T1051" s="22">
        <f>IFERROR(__xludf.DUMMYFUNCTION("IFERROR(GOOGLEFINANCE(B1051,""price""),"""")"),26.24)</f>
        <v>26.24</v>
      </c>
    </row>
    <row r="1052">
      <c r="A1052" s="7">
        <v>46078.62841769725</v>
      </c>
      <c r="B1052" s="8" t="s">
        <v>5465</v>
      </c>
      <c r="C1052" s="8" t="s">
        <v>5466</v>
      </c>
      <c r="D1052" s="9">
        <v>46082.0</v>
      </c>
      <c r="E1052" s="10">
        <v>98.81</v>
      </c>
      <c r="F1052" s="26">
        <v>2.274</v>
      </c>
      <c r="G1052" s="12">
        <v>1.6293329E7</v>
      </c>
      <c r="H1052" s="8" t="s">
        <v>88</v>
      </c>
      <c r="I1052" s="11">
        <v>-0.4935</v>
      </c>
      <c r="J1052" s="12">
        <v>5.1505038782E10</v>
      </c>
      <c r="K1052" s="13"/>
      <c r="L1052" s="13">
        <v>-1.8177</v>
      </c>
      <c r="M1052" s="8" t="s">
        <v>5467</v>
      </c>
      <c r="N1052" s="8" t="s">
        <v>5429</v>
      </c>
      <c r="O1052" s="13">
        <v>-29.1701</v>
      </c>
      <c r="P1052" s="13">
        <v>3.6285</v>
      </c>
      <c r="Q1052" s="13">
        <v>235.401</v>
      </c>
      <c r="R1052" s="13">
        <v>4.85</v>
      </c>
      <c r="S1052" s="13">
        <v>0.487</v>
      </c>
      <c r="T1052" s="14">
        <f>IFERROR(__xludf.DUMMYFUNCTION("IFERROR(GOOGLEFINANCE(B1052,""price""),"""")"),102.0)</f>
        <v>102</v>
      </c>
    </row>
    <row r="1053">
      <c r="A1053" s="15">
        <v>46078.62841769725</v>
      </c>
      <c r="B1053" s="16" t="s">
        <v>5558</v>
      </c>
      <c r="C1053" s="16" t="s">
        <v>5559</v>
      </c>
      <c r="D1053" s="17">
        <v>46082.0</v>
      </c>
      <c r="E1053" s="18">
        <v>11.1798</v>
      </c>
      <c r="F1053" s="27">
        <v>2.1895</v>
      </c>
      <c r="G1053" s="20">
        <v>1.0836984E7</v>
      </c>
      <c r="H1053" s="16" t="s">
        <v>102</v>
      </c>
      <c r="I1053" s="19">
        <v>-2.615</v>
      </c>
      <c r="J1053" s="20">
        <v>3.623352633E9</v>
      </c>
      <c r="K1053" s="21"/>
      <c r="L1053" s="21">
        <v>-8.3559</v>
      </c>
      <c r="M1053" s="16" t="s">
        <v>5560</v>
      </c>
      <c r="N1053" s="16" t="s">
        <v>5536</v>
      </c>
      <c r="O1053" s="21"/>
      <c r="P1053" s="21">
        <v>-351.0117</v>
      </c>
      <c r="Q1053" s="21">
        <v>324.0994</v>
      </c>
      <c r="R1053" s="21"/>
      <c r="S1053" s="21">
        <v>1.8261</v>
      </c>
      <c r="T1053" s="22">
        <f>IFERROR(__xludf.DUMMYFUNCTION("IFERROR(GOOGLEFINANCE(B1053,""price""),"""")"),5.62)</f>
        <v>5.62</v>
      </c>
    </row>
    <row r="1054">
      <c r="A1054" s="7">
        <v>46078.62841769725</v>
      </c>
      <c r="B1054" s="8" t="s">
        <v>5992</v>
      </c>
      <c r="C1054" s="8" t="s">
        <v>5993</v>
      </c>
      <c r="D1054" s="9">
        <v>46082.0</v>
      </c>
      <c r="E1054" s="10">
        <v>25.4674</v>
      </c>
      <c r="F1054" s="26">
        <v>2.1152</v>
      </c>
      <c r="G1054" s="12">
        <v>1.4833823E7</v>
      </c>
      <c r="H1054" s="8" t="s">
        <v>88</v>
      </c>
      <c r="I1054" s="11">
        <v>2.1147</v>
      </c>
      <c r="J1054" s="12">
        <v>1.2315906018E10</v>
      </c>
      <c r="K1054" s="13">
        <v>29.0558</v>
      </c>
      <c r="L1054" s="13">
        <v>0.8765</v>
      </c>
      <c r="M1054" s="8" t="s">
        <v>5994</v>
      </c>
      <c r="N1054" s="8" t="s">
        <v>5429</v>
      </c>
      <c r="O1054" s="13">
        <v>16.7829</v>
      </c>
      <c r="P1054" s="13">
        <v>18.9126</v>
      </c>
      <c r="Q1054" s="13">
        <v>20.8212</v>
      </c>
      <c r="R1054" s="13">
        <v>0.1446</v>
      </c>
      <c r="S1054" s="13">
        <v>1.7097</v>
      </c>
      <c r="T1054" s="14">
        <f>IFERROR(__xludf.DUMMYFUNCTION("IFERROR(GOOGLEFINANCE(B1054,""price""),"""")"),20.09)</f>
        <v>20.09</v>
      </c>
    </row>
    <row r="1055">
      <c r="A1055" s="15">
        <v>46078.62841769725</v>
      </c>
      <c r="B1055" s="16" t="s">
        <v>5517</v>
      </c>
      <c r="C1055" s="16" t="s">
        <v>5518</v>
      </c>
      <c r="D1055" s="17">
        <v>46082.0</v>
      </c>
      <c r="E1055" s="18">
        <v>8.595</v>
      </c>
      <c r="F1055" s="27">
        <v>2.0215</v>
      </c>
      <c r="G1055" s="20">
        <v>1.0812555E7</v>
      </c>
      <c r="H1055" s="16" t="s">
        <v>308</v>
      </c>
      <c r="I1055" s="19">
        <v>2.0784</v>
      </c>
      <c r="J1055" s="20">
        <v>1.41947103E9</v>
      </c>
      <c r="K1055" s="21"/>
      <c r="L1055" s="21">
        <v>-3.1791</v>
      </c>
      <c r="M1055" s="16" t="s">
        <v>5519</v>
      </c>
      <c r="N1055" s="16" t="s">
        <v>5520</v>
      </c>
      <c r="O1055" s="21">
        <v>-50.0822</v>
      </c>
      <c r="P1055" s="21">
        <v>-46.1858</v>
      </c>
      <c r="Q1055" s="21">
        <v>-0.6305</v>
      </c>
      <c r="R1055" s="21">
        <v>0.3596</v>
      </c>
      <c r="S1055" s="21">
        <v>1.4082</v>
      </c>
      <c r="T1055" s="22">
        <f>IFERROR(__xludf.DUMMYFUNCTION("IFERROR(GOOGLEFINANCE(B1055,""price""),"""")"),9.29)</f>
        <v>9.29</v>
      </c>
    </row>
    <row r="1056">
      <c r="A1056" s="7">
        <v>46078.62841769725</v>
      </c>
      <c r="B1056" s="8" t="s">
        <v>5836</v>
      </c>
      <c r="C1056" s="8" t="s">
        <v>5837</v>
      </c>
      <c r="D1056" s="9">
        <v>46082.0</v>
      </c>
      <c r="E1056" s="10">
        <v>11.835</v>
      </c>
      <c r="F1056" s="26">
        <v>1.9707</v>
      </c>
      <c r="G1056" s="12">
        <v>1.5745059E7</v>
      </c>
      <c r="H1056" s="8" t="s">
        <v>93</v>
      </c>
      <c r="I1056" s="11">
        <v>17.7612</v>
      </c>
      <c r="J1056" s="12">
        <v>7.266990636E9</v>
      </c>
      <c r="K1056" s="13"/>
      <c r="L1056" s="13"/>
      <c r="M1056" s="8" t="s">
        <v>5838</v>
      </c>
      <c r="N1056" s="8" t="s">
        <v>5839</v>
      </c>
      <c r="O1056" s="13"/>
      <c r="P1056" s="13"/>
      <c r="Q1056" s="13"/>
      <c r="R1056" s="13">
        <v>0.4147</v>
      </c>
      <c r="S1056" s="13">
        <v>2.8104</v>
      </c>
      <c r="T1056" s="14">
        <f>IFERROR(__xludf.DUMMYFUNCTION("IFERROR(GOOGLEFINANCE(B1056,""price""),"""")"),4.87)</f>
        <v>4.87</v>
      </c>
    </row>
    <row r="1057">
      <c r="A1057" s="15">
        <v>46078.62841769725</v>
      </c>
      <c r="B1057" s="16" t="s">
        <v>5561</v>
      </c>
      <c r="C1057" s="16" t="s">
        <v>5562</v>
      </c>
      <c r="D1057" s="17">
        <v>46082.0</v>
      </c>
      <c r="E1057" s="18">
        <v>13.295</v>
      </c>
      <c r="F1057" s="27">
        <v>1.8994</v>
      </c>
      <c r="G1057" s="20">
        <v>1.8209618E7</v>
      </c>
      <c r="H1057" s="16" t="s">
        <v>102</v>
      </c>
      <c r="I1057" s="19">
        <v>-1.0052</v>
      </c>
      <c r="J1057" s="20">
        <v>4.024723308E9</v>
      </c>
      <c r="K1057" s="21"/>
      <c r="L1057" s="21">
        <v>-2.8582</v>
      </c>
      <c r="M1057" s="16" t="s">
        <v>5563</v>
      </c>
      <c r="N1057" s="16" t="s">
        <v>5536</v>
      </c>
      <c r="O1057" s="21">
        <v>-76.8505</v>
      </c>
      <c r="P1057" s="21">
        <v>-983.9643</v>
      </c>
      <c r="Q1057" s="21">
        <v>765.6686</v>
      </c>
      <c r="R1057" s="21">
        <v>0.0</v>
      </c>
      <c r="S1057" s="21">
        <v>1.6153</v>
      </c>
      <c r="T1057" s="22">
        <f>IFERROR(__xludf.DUMMYFUNCTION("IFERROR(GOOGLEFINANCE(B1057,""price""),"""")"),9.21)</f>
        <v>9.21</v>
      </c>
    </row>
    <row r="1058">
      <c r="A1058" s="7">
        <v>46078.62841769725</v>
      </c>
      <c r="B1058" s="8" t="s">
        <v>5995</v>
      </c>
      <c r="C1058" s="8" t="s">
        <v>5996</v>
      </c>
      <c r="D1058" s="9">
        <v>46082.0</v>
      </c>
      <c r="E1058" s="10">
        <v>8.5527</v>
      </c>
      <c r="F1058" s="26">
        <v>1.7734</v>
      </c>
      <c r="G1058" s="12">
        <v>2.7743198E7</v>
      </c>
      <c r="H1058" s="8" t="s">
        <v>88</v>
      </c>
      <c r="I1058" s="11">
        <v>2.305</v>
      </c>
      <c r="J1058" s="12">
        <v>3.592953482E9</v>
      </c>
      <c r="K1058" s="13"/>
      <c r="L1058" s="13">
        <v>-0.8347</v>
      </c>
      <c r="M1058" s="8" t="s">
        <v>5997</v>
      </c>
      <c r="N1058" s="8" t="s">
        <v>5429</v>
      </c>
      <c r="O1058" s="13">
        <v>-90.1486</v>
      </c>
      <c r="P1058" s="13">
        <v>-117.3976</v>
      </c>
      <c r="Q1058" s="13">
        <v>120.521</v>
      </c>
      <c r="R1058" s="13">
        <v>0.0121</v>
      </c>
      <c r="S1058" s="13">
        <v>5.149</v>
      </c>
      <c r="T1058" s="14">
        <f>IFERROR(__xludf.DUMMYFUNCTION("IFERROR(GOOGLEFINANCE(B1058,""price""),"""")"),6.43)</f>
        <v>6.43</v>
      </c>
    </row>
    <row r="1059">
      <c r="A1059" s="15">
        <v>46078.62841769725</v>
      </c>
      <c r="B1059" s="16" t="s">
        <v>5594</v>
      </c>
      <c r="C1059" s="16" t="s">
        <v>5595</v>
      </c>
      <c r="D1059" s="17">
        <v>46082.0</v>
      </c>
      <c r="E1059" s="18">
        <v>17.64</v>
      </c>
      <c r="F1059" s="27">
        <v>1.7171</v>
      </c>
      <c r="G1059" s="20">
        <v>3.5756221E7</v>
      </c>
      <c r="H1059" s="16" t="s">
        <v>88</v>
      </c>
      <c r="I1059" s="19">
        <v>0.4556</v>
      </c>
      <c r="J1059" s="20">
        <v>7.385548223E9</v>
      </c>
      <c r="K1059" s="21"/>
      <c r="L1059" s="21">
        <v>-1.4167</v>
      </c>
      <c r="M1059" s="16" t="s">
        <v>5596</v>
      </c>
      <c r="N1059" s="16" t="s">
        <v>5471</v>
      </c>
      <c r="O1059" s="21">
        <v>-181.9547</v>
      </c>
      <c r="P1059" s="21">
        <v>-69.885</v>
      </c>
      <c r="Q1059" s="21">
        <v>30.5825</v>
      </c>
      <c r="R1059" s="21">
        <v>4.3877</v>
      </c>
      <c r="S1059" s="21">
        <v>1.0329</v>
      </c>
      <c r="T1059" s="22">
        <f>IFERROR(__xludf.DUMMYFUNCTION("IFERROR(GOOGLEFINANCE(B1059,""price""),"""")"),18.88)</f>
        <v>18.88</v>
      </c>
    </row>
    <row r="1060">
      <c r="A1060" s="7">
        <v>46078.62841769725</v>
      </c>
      <c r="B1060" s="8" t="s">
        <v>5679</v>
      </c>
      <c r="C1060" s="8" t="s">
        <v>5680</v>
      </c>
      <c r="D1060" s="9">
        <v>46082.0</v>
      </c>
      <c r="E1060" s="10">
        <v>19.755</v>
      </c>
      <c r="F1060" s="26">
        <v>1.6597</v>
      </c>
      <c r="G1060" s="12">
        <v>2.1262333E7</v>
      </c>
      <c r="H1060" s="8" t="s">
        <v>308</v>
      </c>
      <c r="I1060" s="11">
        <v>5.8682</v>
      </c>
      <c r="J1060" s="12">
        <v>7.373205698E9</v>
      </c>
      <c r="K1060" s="13"/>
      <c r="L1060" s="13">
        <v>-1.351</v>
      </c>
      <c r="M1060" s="8" t="s">
        <v>5681</v>
      </c>
      <c r="N1060" s="8" t="s">
        <v>5674</v>
      </c>
      <c r="O1060" s="13">
        <v>-122.0285</v>
      </c>
      <c r="P1060" s="13">
        <v>-355.2063</v>
      </c>
      <c r="Q1060" s="13">
        <v>156.1969</v>
      </c>
      <c r="R1060" s="13">
        <v>0.0593</v>
      </c>
      <c r="S1060" s="13">
        <v>54.6763</v>
      </c>
      <c r="T1060" s="14">
        <f>IFERROR(__xludf.DUMMYFUNCTION("IFERROR(GOOGLEFINANCE(B1060,""price""),"""")"),14.25)</f>
        <v>14.25</v>
      </c>
    </row>
    <row r="1061">
      <c r="A1061" s="15">
        <v>46078.62841769725</v>
      </c>
      <c r="B1061" s="16" t="s">
        <v>6016</v>
      </c>
      <c r="C1061" s="16" t="s">
        <v>6017</v>
      </c>
      <c r="D1061" s="17">
        <v>46082.0</v>
      </c>
      <c r="E1061" s="18">
        <v>169.83</v>
      </c>
      <c r="F1061" s="27">
        <v>1.6213</v>
      </c>
      <c r="G1061" s="20">
        <v>9385580.0</v>
      </c>
      <c r="H1061" s="16" t="s">
        <v>88</v>
      </c>
      <c r="I1061" s="19">
        <v>5.4452</v>
      </c>
      <c r="J1061" s="20">
        <v>5.8115827193E10</v>
      </c>
      <c r="K1061" s="21"/>
      <c r="L1061" s="21">
        <v>-4.0355</v>
      </c>
      <c r="M1061" s="16" t="s">
        <v>6018</v>
      </c>
      <c r="N1061" s="16" t="s">
        <v>5429</v>
      </c>
      <c r="O1061" s="21">
        <v>-53.3164</v>
      </c>
      <c r="P1061" s="21">
        <v>-31.7447</v>
      </c>
      <c r="Q1061" s="21">
        <v>28.4799</v>
      </c>
      <c r="R1061" s="21">
        <v>1.2591</v>
      </c>
      <c r="S1061" s="21">
        <v>1.3169</v>
      </c>
      <c r="T1061" s="22">
        <f>IFERROR(__xludf.DUMMYFUNCTION("IFERROR(GOOGLEFINANCE(B1061,""price""),"""")"),121.11)</f>
        <v>121.11</v>
      </c>
    </row>
    <row r="1062">
      <c r="A1062" s="7">
        <v>46078.62841769725</v>
      </c>
      <c r="B1062" s="8" t="s">
        <v>6001</v>
      </c>
      <c r="C1062" s="8" t="s">
        <v>6002</v>
      </c>
      <c r="D1062" s="9">
        <v>46082.0</v>
      </c>
      <c r="E1062" s="10">
        <v>70.51</v>
      </c>
      <c r="F1062" s="26">
        <v>1.5308</v>
      </c>
      <c r="G1062" s="12">
        <v>1.0239878E7</v>
      </c>
      <c r="H1062" s="8" t="s">
        <v>308</v>
      </c>
      <c r="I1062" s="11">
        <v>0.7718</v>
      </c>
      <c r="J1062" s="12">
        <v>3.7663362148E10</v>
      </c>
      <c r="K1062" s="13"/>
      <c r="L1062" s="13">
        <v>-0.3877</v>
      </c>
      <c r="M1062" s="8" t="s">
        <v>6003</v>
      </c>
      <c r="N1062" s="8" t="s">
        <v>5520</v>
      </c>
      <c r="O1062" s="13">
        <v>-23.2396</v>
      </c>
      <c r="P1062" s="13">
        <v>-41.3581</v>
      </c>
      <c r="Q1062" s="13">
        <v>52.4214</v>
      </c>
      <c r="R1062" s="13">
        <v>0.4033</v>
      </c>
      <c r="S1062" s="13">
        <v>3.1763</v>
      </c>
      <c r="T1062" s="14">
        <f>IFERROR(__xludf.DUMMYFUNCTION("IFERROR(GOOGLEFINANCE(B1062,""price""),"""")"),68.05)</f>
        <v>68.05</v>
      </c>
    </row>
    <row r="1063">
      <c r="A1063" s="15">
        <v>46078.62841769725</v>
      </c>
      <c r="B1063" s="16" t="s">
        <v>5734</v>
      </c>
      <c r="C1063" s="16" t="s">
        <v>5735</v>
      </c>
      <c r="D1063" s="17">
        <v>46082.0</v>
      </c>
      <c r="E1063" s="18">
        <v>33.815</v>
      </c>
      <c r="F1063" s="27">
        <v>1.4962</v>
      </c>
      <c r="G1063" s="20">
        <v>1.9348906E7</v>
      </c>
      <c r="H1063" s="16" t="s">
        <v>308</v>
      </c>
      <c r="I1063" s="19">
        <v>6.9418</v>
      </c>
      <c r="J1063" s="20">
        <v>1.1979965061E10</v>
      </c>
      <c r="K1063" s="21"/>
      <c r="L1063" s="21">
        <v>-5.3543</v>
      </c>
      <c r="M1063" s="16" t="s">
        <v>5736</v>
      </c>
      <c r="N1063" s="16" t="s">
        <v>5674</v>
      </c>
      <c r="O1063" s="21">
        <v>-108.2332</v>
      </c>
      <c r="P1063" s="21">
        <v>-564.3908</v>
      </c>
      <c r="Q1063" s="21">
        <v>113.0721</v>
      </c>
      <c r="R1063" s="21">
        <v>0.0125</v>
      </c>
      <c r="S1063" s="21">
        <v>8.7256</v>
      </c>
      <c r="T1063" s="22">
        <f>IFERROR(__xludf.DUMMYFUNCTION("IFERROR(GOOGLEFINANCE(B1063,""price""),"""")"),28.79)</f>
        <v>28.79</v>
      </c>
    </row>
    <row r="1064">
      <c r="A1064" s="7">
        <v>46078.62841769725</v>
      </c>
      <c r="B1064" s="8" t="s">
        <v>5682</v>
      </c>
      <c r="C1064" s="8" t="s">
        <v>5683</v>
      </c>
      <c r="D1064" s="9">
        <v>46082.0</v>
      </c>
      <c r="E1064" s="10">
        <v>17.415</v>
      </c>
      <c r="F1064" s="26">
        <v>1.4697</v>
      </c>
      <c r="G1064" s="12">
        <v>2.6054154E7</v>
      </c>
      <c r="H1064" s="8" t="s">
        <v>93</v>
      </c>
      <c r="I1064" s="11">
        <v>-1.6657</v>
      </c>
      <c r="J1064" s="12">
        <v>4.903872206E10</v>
      </c>
      <c r="K1064" s="13">
        <v>219.3325</v>
      </c>
      <c r="L1064" s="13">
        <v>0.0794</v>
      </c>
      <c r="M1064" s="8" t="s">
        <v>5684</v>
      </c>
      <c r="N1064" s="8" t="s">
        <v>5590</v>
      </c>
      <c r="O1064" s="13">
        <v>-2.1497</v>
      </c>
      <c r="P1064" s="13">
        <v>16.4722</v>
      </c>
      <c r="Q1064" s="13">
        <v>22.5639</v>
      </c>
      <c r="R1064" s="13">
        <v>2.5143</v>
      </c>
      <c r="S1064" s="13">
        <v>1.333</v>
      </c>
      <c r="T1064" s="14">
        <f>IFERROR(__xludf.DUMMYFUNCTION("IFERROR(GOOGLEFINANCE(B1064,""price""),"""")"),14.85)</f>
        <v>14.85</v>
      </c>
    </row>
    <row r="1065">
      <c r="A1065" s="15">
        <v>46078.62841769725</v>
      </c>
      <c r="B1065" s="16" t="s">
        <v>5640</v>
      </c>
      <c r="C1065" s="16" t="s">
        <v>5641</v>
      </c>
      <c r="D1065" s="17">
        <v>46082.0</v>
      </c>
      <c r="E1065" s="18">
        <v>40.82</v>
      </c>
      <c r="F1065" s="27">
        <v>1.4087</v>
      </c>
      <c r="G1065" s="20">
        <v>8719667.0</v>
      </c>
      <c r="H1065" s="16" t="s">
        <v>308</v>
      </c>
      <c r="I1065" s="19">
        <v>16.3626</v>
      </c>
      <c r="J1065" s="20">
        <v>2.256291267E9</v>
      </c>
      <c r="K1065" s="21"/>
      <c r="L1065" s="21">
        <v>-0.4882</v>
      </c>
      <c r="M1065" s="16" t="s">
        <v>5642</v>
      </c>
      <c r="N1065" s="16" t="s">
        <v>5433</v>
      </c>
      <c r="O1065" s="21">
        <v>-9.1233</v>
      </c>
      <c r="P1065" s="21">
        <v>-24.8806</v>
      </c>
      <c r="Q1065" s="21">
        <v>-11.106</v>
      </c>
      <c r="R1065" s="21">
        <v>0.2351</v>
      </c>
      <c r="S1065" s="21">
        <v>2.7231</v>
      </c>
      <c r="T1065" s="22">
        <f>IFERROR(__xludf.DUMMYFUNCTION("IFERROR(GOOGLEFINANCE(B1065,""price""),"""")"),64.18)</f>
        <v>64.18</v>
      </c>
    </row>
    <row r="1066">
      <c r="A1066" s="7">
        <v>46078.62841769725</v>
      </c>
      <c r="B1066" s="8" t="s">
        <v>5591</v>
      </c>
      <c r="C1066" s="8" t="s">
        <v>5592</v>
      </c>
      <c r="D1066" s="9">
        <v>46082.0</v>
      </c>
      <c r="E1066" s="10">
        <v>9.945</v>
      </c>
      <c r="F1066" s="26">
        <v>1.4072</v>
      </c>
      <c r="G1066" s="12">
        <v>4.5796679E7</v>
      </c>
      <c r="H1066" s="8" t="s">
        <v>308</v>
      </c>
      <c r="I1066" s="11">
        <v>20.3995</v>
      </c>
      <c r="J1066" s="12">
        <v>2.292284626E9</v>
      </c>
      <c r="K1066" s="13"/>
      <c r="L1066" s="13">
        <v>-0.5698</v>
      </c>
      <c r="M1066" s="8" t="s">
        <v>5593</v>
      </c>
      <c r="N1066" s="8" t="s">
        <v>5414</v>
      </c>
      <c r="O1066" s="13">
        <v>-29.5457</v>
      </c>
      <c r="P1066" s="13">
        <v>-195.3894</v>
      </c>
      <c r="Q1066" s="13">
        <v>-44.8801</v>
      </c>
      <c r="R1066" s="13">
        <v>0.0146</v>
      </c>
      <c r="S1066" s="13">
        <v>4.9867</v>
      </c>
      <c r="T1066" s="14">
        <f>IFERROR(__xludf.DUMMYFUNCTION("IFERROR(GOOGLEFINANCE(B1066,""price""),"""")"),9.54)</f>
        <v>9.54</v>
      </c>
    </row>
    <row r="1067">
      <c r="A1067" s="15">
        <v>46078.62841769725</v>
      </c>
      <c r="B1067" s="16" t="s">
        <v>6025</v>
      </c>
      <c r="C1067" s="16" t="s">
        <v>6026</v>
      </c>
      <c r="D1067" s="17">
        <v>46082.0</v>
      </c>
      <c r="E1067" s="18">
        <v>2.475</v>
      </c>
      <c r="F1067" s="27">
        <v>1.4063</v>
      </c>
      <c r="G1067" s="20">
        <v>7272020.0</v>
      </c>
      <c r="H1067" s="16" t="s">
        <v>117</v>
      </c>
      <c r="I1067" s="19">
        <v>8.0786</v>
      </c>
      <c r="J1067" s="20">
        <v>5.5620707E8</v>
      </c>
      <c r="K1067" s="21"/>
      <c r="L1067" s="21">
        <v>-0.9812</v>
      </c>
      <c r="M1067" s="16" t="s">
        <v>6027</v>
      </c>
      <c r="N1067" s="16" t="s">
        <v>5502</v>
      </c>
      <c r="O1067" s="21">
        <v>-54.4272</v>
      </c>
      <c r="P1067" s="21"/>
      <c r="Q1067" s="21">
        <v>-100.0</v>
      </c>
      <c r="R1067" s="21">
        <v>0.27</v>
      </c>
      <c r="S1067" s="21">
        <v>8.1902</v>
      </c>
      <c r="T1067" s="22">
        <f>IFERROR(__xludf.DUMMYFUNCTION("IFERROR(GOOGLEFINANCE(B1067,""price""),"""")"),2.72)</f>
        <v>2.72</v>
      </c>
    </row>
    <row r="1068">
      <c r="A1068" s="7">
        <v>46078.62841769725</v>
      </c>
      <c r="B1068" s="8" t="s">
        <v>5499</v>
      </c>
      <c r="C1068" s="8" t="s">
        <v>5500</v>
      </c>
      <c r="D1068" s="9">
        <v>46082.0</v>
      </c>
      <c r="E1068" s="10">
        <v>3.84</v>
      </c>
      <c r="F1068" s="26">
        <v>1.4063</v>
      </c>
      <c r="G1068" s="12">
        <v>4.2898214E7</v>
      </c>
      <c r="H1068" s="8" t="s">
        <v>117</v>
      </c>
      <c r="I1068" s="11">
        <v>1.5873</v>
      </c>
      <c r="J1068" s="12">
        <v>1.524356941E9</v>
      </c>
      <c r="K1068" s="13"/>
      <c r="L1068" s="13">
        <v>-1.1209</v>
      </c>
      <c r="M1068" s="8" t="s">
        <v>5501</v>
      </c>
      <c r="N1068" s="8" t="s">
        <v>5502</v>
      </c>
      <c r="O1068" s="13">
        <v>-55.4976</v>
      </c>
      <c r="P1068" s="13">
        <v>-151.1805</v>
      </c>
      <c r="Q1068" s="13">
        <v>60.5668</v>
      </c>
      <c r="R1068" s="13">
        <v>0.0708</v>
      </c>
      <c r="S1068" s="13">
        <v>3.1996</v>
      </c>
      <c r="T1068" s="14">
        <f>IFERROR(__xludf.DUMMYFUNCTION("IFERROR(GOOGLEFINANCE(B1068,""price""),"""")"),3.7)</f>
        <v>3.7</v>
      </c>
    </row>
    <row r="1069">
      <c r="A1069" s="15">
        <v>46078.62841769725</v>
      </c>
      <c r="B1069" s="16" t="s">
        <v>6007</v>
      </c>
      <c r="C1069" s="16" t="s">
        <v>6008</v>
      </c>
      <c r="D1069" s="17">
        <v>46082.0</v>
      </c>
      <c r="E1069" s="18">
        <v>9.825</v>
      </c>
      <c r="F1069" s="27">
        <v>1.4053</v>
      </c>
      <c r="G1069" s="20">
        <v>2.9041446E7</v>
      </c>
      <c r="H1069" s="16" t="s">
        <v>308</v>
      </c>
      <c r="I1069" s="19">
        <v>1.0802</v>
      </c>
      <c r="J1069" s="20">
        <v>9.477653168E9</v>
      </c>
      <c r="K1069" s="21"/>
      <c r="L1069" s="21">
        <v>-1.3261</v>
      </c>
      <c r="M1069" s="16" t="s">
        <v>6009</v>
      </c>
      <c r="N1069" s="16" t="s">
        <v>5520</v>
      </c>
      <c r="O1069" s="21">
        <v>-125.7334</v>
      </c>
      <c r="P1069" s="21">
        <v>-2900.9451</v>
      </c>
      <c r="Q1069" s="21">
        <v>1934.5013</v>
      </c>
      <c r="R1069" s="21">
        <v>0.0509</v>
      </c>
      <c r="S1069" s="21">
        <v>13.6072</v>
      </c>
      <c r="T1069" s="22">
        <f>IFERROR(__xludf.DUMMYFUNCTION("IFERROR(GOOGLEFINANCE(B1069,""price""),"""")"),8.34)</f>
        <v>8.34</v>
      </c>
    </row>
    <row r="1070">
      <c r="A1070" s="7">
        <v>46078.62841769725</v>
      </c>
      <c r="B1070" s="8" t="s">
        <v>5496</v>
      </c>
      <c r="C1070" s="8" t="s">
        <v>5497</v>
      </c>
      <c r="D1070" s="9">
        <v>46082.0</v>
      </c>
      <c r="E1070" s="10">
        <v>8.6263</v>
      </c>
      <c r="F1070" s="26">
        <v>1.3652</v>
      </c>
      <c r="G1070" s="12">
        <v>5.2644354E7</v>
      </c>
      <c r="H1070" s="8" t="s">
        <v>88</v>
      </c>
      <c r="I1070" s="11">
        <v>7.159</v>
      </c>
      <c r="J1070" s="12">
        <v>3.262331793E9</v>
      </c>
      <c r="K1070" s="13">
        <v>4.777</v>
      </c>
      <c r="L1070" s="13">
        <v>1.8058</v>
      </c>
      <c r="M1070" s="8" t="s">
        <v>5498</v>
      </c>
      <c r="N1070" s="8" t="s">
        <v>5471</v>
      </c>
      <c r="O1070" s="13">
        <v>23.127</v>
      </c>
      <c r="P1070" s="13">
        <v>-67.8835</v>
      </c>
      <c r="Q1070" s="13">
        <v>53.5148</v>
      </c>
      <c r="R1070" s="13">
        <v>0.7061</v>
      </c>
      <c r="S1070" s="13">
        <v>2.094</v>
      </c>
      <c r="T1070" s="14">
        <f>IFERROR(__xludf.DUMMYFUNCTION("IFERROR(GOOGLEFINANCE(B1070,""price""),"""")"),9.54)</f>
        <v>9.54</v>
      </c>
    </row>
    <row r="1071">
      <c r="A1071" s="15">
        <v>46078.62841769725</v>
      </c>
      <c r="B1071" s="16" t="s">
        <v>5574</v>
      </c>
      <c r="C1071" s="16" t="s">
        <v>5575</v>
      </c>
      <c r="D1071" s="17">
        <v>46082.0</v>
      </c>
      <c r="E1071" s="18">
        <v>22.5599</v>
      </c>
      <c r="F1071" s="27">
        <v>1.3449</v>
      </c>
      <c r="G1071" s="20">
        <v>8654559.0</v>
      </c>
      <c r="H1071" s="16" t="s">
        <v>335</v>
      </c>
      <c r="I1071" s="19">
        <v>-0.9227</v>
      </c>
      <c r="J1071" s="20">
        <v>5.353165649E9</v>
      </c>
      <c r="K1071" s="21"/>
      <c r="L1071" s="21">
        <v>-0.4849</v>
      </c>
      <c r="M1071" s="16" t="s">
        <v>5576</v>
      </c>
      <c r="N1071" s="16" t="s">
        <v>5506</v>
      </c>
      <c r="O1071" s="21">
        <v>-18.1731</v>
      </c>
      <c r="P1071" s="21">
        <v>-129.5586</v>
      </c>
      <c r="Q1071" s="21">
        <v>103.694</v>
      </c>
      <c r="R1071" s="21">
        <v>0.0</v>
      </c>
      <c r="S1071" s="21">
        <v>11.4962</v>
      </c>
      <c r="T1071" s="22">
        <f>IFERROR(__xludf.DUMMYFUNCTION("IFERROR(GOOGLEFINANCE(B1071,""price""),"""")"),18.4)</f>
        <v>18.4</v>
      </c>
    </row>
    <row r="1072">
      <c r="A1072" s="7">
        <v>46078.62841769725</v>
      </c>
      <c r="B1072" s="8" t="s">
        <v>6028</v>
      </c>
      <c r="C1072" s="8" t="s">
        <v>6029</v>
      </c>
      <c r="D1072" s="9">
        <v>46082.0</v>
      </c>
      <c r="E1072" s="10">
        <v>124.43</v>
      </c>
      <c r="F1072" s="26">
        <v>1.3337</v>
      </c>
      <c r="G1072" s="12">
        <v>6839668.0</v>
      </c>
      <c r="H1072" s="8" t="s">
        <v>308</v>
      </c>
      <c r="I1072" s="11">
        <v>3.8821</v>
      </c>
      <c r="J1072" s="12">
        <v>8.2458467849E10</v>
      </c>
      <c r="K1072" s="13">
        <v>16.5953</v>
      </c>
      <c r="L1072" s="13">
        <v>7.4979</v>
      </c>
      <c r="M1072" s="8" t="s">
        <v>6030</v>
      </c>
      <c r="N1072" s="8" t="s">
        <v>5674</v>
      </c>
      <c r="O1072" s="13"/>
      <c r="P1072" s="13">
        <v>7.5654</v>
      </c>
      <c r="Q1072" s="13">
        <v>10.8107</v>
      </c>
      <c r="R1072" s="13"/>
      <c r="S1072" s="13">
        <v>0.7985</v>
      </c>
      <c r="T1072" s="14">
        <f>IFERROR(__xludf.DUMMYFUNCTION("IFERROR(GOOGLEFINANCE(B1072,""price""),"""")"),177.8)</f>
        <v>177.8</v>
      </c>
    </row>
    <row r="1073">
      <c r="A1073" s="15">
        <v>46078.62841769725</v>
      </c>
      <c r="B1073" s="16" t="s">
        <v>5175</v>
      </c>
      <c r="C1073" s="16" t="s">
        <v>5176</v>
      </c>
      <c r="D1073" s="17">
        <v>46082.0</v>
      </c>
      <c r="E1073" s="18">
        <v>4.175</v>
      </c>
      <c r="F1073" s="27">
        <v>1.2969</v>
      </c>
      <c r="G1073" s="20">
        <v>5.0376355E7</v>
      </c>
      <c r="H1073" s="16" t="s">
        <v>93</v>
      </c>
      <c r="I1073" s="19">
        <v>-8.443</v>
      </c>
      <c r="J1073" s="20">
        <v>6.819197494E9</v>
      </c>
      <c r="K1073" s="21"/>
      <c r="L1073" s="21">
        <v>-0.009</v>
      </c>
      <c r="M1073" s="16" t="s">
        <v>5177</v>
      </c>
      <c r="N1073" s="16" t="s">
        <v>5590</v>
      </c>
      <c r="O1073" s="21">
        <v>11.3702</v>
      </c>
      <c r="P1073" s="21">
        <v>30.822</v>
      </c>
      <c r="Q1073" s="21">
        <v>-8.6628</v>
      </c>
      <c r="R1073" s="21">
        <v>81.7577</v>
      </c>
      <c r="S1073" s="21">
        <v>0.1285</v>
      </c>
      <c r="T1073" s="22">
        <f>IFERROR(__xludf.DUMMYFUNCTION("IFERROR(GOOGLEFINANCE(B1073,""price""),"""")"),3.69)</f>
        <v>3.69</v>
      </c>
    </row>
    <row r="1074">
      <c r="A1074" s="7">
        <v>46078.62841769725</v>
      </c>
      <c r="B1074" s="8" t="s">
        <v>5514</v>
      </c>
      <c r="C1074" s="8" t="s">
        <v>5515</v>
      </c>
      <c r="D1074" s="9">
        <v>46082.0</v>
      </c>
      <c r="E1074" s="10">
        <v>9.4163</v>
      </c>
      <c r="F1074" s="26">
        <v>1.2939</v>
      </c>
      <c r="G1074" s="12">
        <v>7.3569127E7</v>
      </c>
      <c r="H1074" s="8" t="s">
        <v>117</v>
      </c>
      <c r="I1074" s="11">
        <v>-18.4736</v>
      </c>
      <c r="J1074" s="12">
        <v>9.681006008E9</v>
      </c>
      <c r="K1074" s="13"/>
      <c r="L1074" s="13">
        <v>-0.3898</v>
      </c>
      <c r="M1074" s="8" t="s">
        <v>5516</v>
      </c>
      <c r="N1074" s="8" t="s">
        <v>5491</v>
      </c>
      <c r="O1074" s="13"/>
      <c r="P1074" s="13">
        <v>-225.9966</v>
      </c>
      <c r="Q1074" s="13">
        <v>668.3147</v>
      </c>
      <c r="R1074" s="13"/>
      <c r="S1074" s="13">
        <v>5.0989</v>
      </c>
      <c r="T1074" s="14">
        <f>IFERROR(__xludf.DUMMYFUNCTION("IFERROR(GOOGLEFINANCE(B1074,""price""),"""")"),7.28)</f>
        <v>7.28</v>
      </c>
    </row>
    <row r="1075">
      <c r="A1075" s="15">
        <v>46078.62841769725</v>
      </c>
      <c r="B1075" s="16" t="s">
        <v>2704</v>
      </c>
      <c r="C1075" s="16" t="s">
        <v>2705</v>
      </c>
      <c r="D1075" s="17">
        <v>46082.0</v>
      </c>
      <c r="E1075" s="18">
        <v>29.05</v>
      </c>
      <c r="F1075" s="27">
        <v>1.2935</v>
      </c>
      <c r="G1075" s="20">
        <v>1.6670733E7</v>
      </c>
      <c r="H1075" s="16" t="s">
        <v>88</v>
      </c>
      <c r="I1075" s="19">
        <v>-5.2511</v>
      </c>
      <c r="J1075" s="20">
        <v>8.121967897E9</v>
      </c>
      <c r="K1075" s="21"/>
      <c r="L1075" s="21">
        <v>-0.5438</v>
      </c>
      <c r="M1075" s="16" t="s">
        <v>2707</v>
      </c>
      <c r="N1075" s="16" t="s">
        <v>5471</v>
      </c>
      <c r="O1075" s="21">
        <v>-11.4029</v>
      </c>
      <c r="P1075" s="21">
        <v>-26.4624</v>
      </c>
      <c r="Q1075" s="21">
        <v>33.135</v>
      </c>
      <c r="R1075" s="21">
        <v>1.6778</v>
      </c>
      <c r="S1075" s="21">
        <v>4.8227</v>
      </c>
      <c r="T1075" s="22">
        <f>IFERROR(__xludf.DUMMYFUNCTION("IFERROR(GOOGLEFINANCE(B1075,""price""),"""")"),26.24)</f>
        <v>26.24</v>
      </c>
    </row>
    <row r="1076">
      <c r="A1076" s="7">
        <v>46078.62841769725</v>
      </c>
      <c r="B1076" s="8" t="s">
        <v>5533</v>
      </c>
      <c r="C1076" s="8" t="s">
        <v>5534</v>
      </c>
      <c r="D1076" s="9">
        <v>46082.0</v>
      </c>
      <c r="E1076" s="10">
        <v>7.2</v>
      </c>
      <c r="F1076" s="26">
        <v>1.2793</v>
      </c>
      <c r="G1076" s="12">
        <v>1.96253E7</v>
      </c>
      <c r="H1076" s="8" t="s">
        <v>102</v>
      </c>
      <c r="I1076" s="11">
        <v>1.5515</v>
      </c>
      <c r="J1076" s="12">
        <v>1.948124309E9</v>
      </c>
      <c r="K1076" s="13"/>
      <c r="L1076" s="13">
        <v>-3.7839</v>
      </c>
      <c r="M1076" s="8" t="s">
        <v>5535</v>
      </c>
      <c r="N1076" s="8" t="s">
        <v>5536</v>
      </c>
      <c r="O1076" s="13">
        <v>-55.984</v>
      </c>
      <c r="P1076" s="13">
        <v>-31.1477</v>
      </c>
      <c r="Q1076" s="13"/>
      <c r="R1076" s="13">
        <v>4.5088</v>
      </c>
      <c r="S1076" s="13">
        <v>1.1293</v>
      </c>
      <c r="T1076" s="14">
        <f>IFERROR(__xludf.DUMMYFUNCTION("IFERROR(GOOGLEFINANCE(B1076,""price""),"""")"),4.69)</f>
        <v>4.69</v>
      </c>
    </row>
    <row r="1077">
      <c r="A1077" s="15">
        <v>46078.62841769725</v>
      </c>
      <c r="B1077" s="16" t="s">
        <v>1077</v>
      </c>
      <c r="C1077" s="16" t="s">
        <v>1078</v>
      </c>
      <c r="D1077" s="17">
        <v>46082.0</v>
      </c>
      <c r="E1077" s="18">
        <v>9.215</v>
      </c>
      <c r="F1077" s="27">
        <v>1.2734</v>
      </c>
      <c r="G1077" s="20">
        <v>1.0594913E7</v>
      </c>
      <c r="H1077" s="16" t="s">
        <v>335</v>
      </c>
      <c r="I1077" s="19">
        <v>10.0956</v>
      </c>
      <c r="J1077" s="20">
        <v>1.290428165E9</v>
      </c>
      <c r="K1077" s="21"/>
      <c r="L1077" s="21">
        <v>-0.041</v>
      </c>
      <c r="M1077" s="16" t="s">
        <v>1079</v>
      </c>
      <c r="N1077" s="16" t="s">
        <v>5506</v>
      </c>
      <c r="O1077" s="21">
        <v>-10.5913</v>
      </c>
      <c r="P1077" s="21">
        <v>-18.9471</v>
      </c>
      <c r="Q1077" s="21">
        <v>240.123</v>
      </c>
      <c r="R1077" s="21">
        <v>0.0037</v>
      </c>
      <c r="S1077" s="21">
        <v>5.0784</v>
      </c>
      <c r="T1077" s="22">
        <f>IFERROR(__xludf.DUMMYFUNCTION("IFERROR(GOOGLEFINANCE(B1077,""price""),"""")"),8.36)</f>
        <v>8.36</v>
      </c>
    </row>
    <row r="1078">
      <c r="A1078" s="7">
        <v>46078.62841769725</v>
      </c>
      <c r="B1078" s="8" t="s">
        <v>5484</v>
      </c>
      <c r="C1078" s="8" t="s">
        <v>5485</v>
      </c>
      <c r="D1078" s="9">
        <v>46082.0</v>
      </c>
      <c r="E1078" s="10">
        <v>44.06</v>
      </c>
      <c r="F1078" s="26">
        <v>1.2699</v>
      </c>
      <c r="G1078" s="12">
        <v>2.7336891E7</v>
      </c>
      <c r="H1078" s="8" t="s">
        <v>88</v>
      </c>
      <c r="I1078" s="11">
        <v>-3.0583</v>
      </c>
      <c r="J1078" s="12">
        <v>1.4617310059E10</v>
      </c>
      <c r="K1078" s="13">
        <v>50.4812</v>
      </c>
      <c r="L1078" s="13">
        <v>0.8728</v>
      </c>
      <c r="M1078" s="8" t="s">
        <v>5486</v>
      </c>
      <c r="N1078" s="8" t="s">
        <v>5471</v>
      </c>
      <c r="O1078" s="13">
        <v>22.5116</v>
      </c>
      <c r="P1078" s="13">
        <v>-13.85</v>
      </c>
      <c r="Q1078" s="13">
        <v>123.3192</v>
      </c>
      <c r="R1078" s="13">
        <v>1.5302</v>
      </c>
      <c r="S1078" s="13">
        <v>4.9601</v>
      </c>
      <c r="T1078" s="14">
        <f>IFERROR(__xludf.DUMMYFUNCTION("IFERROR(GOOGLEFINANCE(B1078,""price""),"""")"),39.32)</f>
        <v>39.32</v>
      </c>
    </row>
    <row r="1079">
      <c r="A1079" s="15">
        <v>46078.62841769725</v>
      </c>
      <c r="B1079" s="16" t="s">
        <v>5503</v>
      </c>
      <c r="C1079" s="16" t="s">
        <v>5504</v>
      </c>
      <c r="D1079" s="17">
        <v>46082.0</v>
      </c>
      <c r="E1079" s="18">
        <v>10.775</v>
      </c>
      <c r="F1079" s="27">
        <v>1.2588</v>
      </c>
      <c r="G1079" s="20">
        <v>7660400.0</v>
      </c>
      <c r="H1079" s="16" t="s">
        <v>335</v>
      </c>
      <c r="I1079" s="19">
        <v>0.4194</v>
      </c>
      <c r="J1079" s="20">
        <v>1.270421047E9</v>
      </c>
      <c r="K1079" s="21"/>
      <c r="L1079" s="21">
        <v>-0.5583</v>
      </c>
      <c r="M1079" s="16" t="s">
        <v>5505</v>
      </c>
      <c r="N1079" s="16" t="s">
        <v>5445</v>
      </c>
      <c r="O1079" s="21">
        <v>-128.3047</v>
      </c>
      <c r="P1079" s="21"/>
      <c r="Q1079" s="21"/>
      <c r="R1079" s="21">
        <v>0.064</v>
      </c>
      <c r="S1079" s="21">
        <v>0.1282</v>
      </c>
      <c r="T1079" s="22">
        <f>IFERROR(__xludf.DUMMYFUNCTION("IFERROR(GOOGLEFINANCE(B1079,""price""),"""")"),8.87)</f>
        <v>8.87</v>
      </c>
    </row>
    <row r="1080">
      <c r="A1080" s="7">
        <v>46078.62841769725</v>
      </c>
      <c r="B1080" s="8" t="s">
        <v>5551</v>
      </c>
      <c r="C1080" s="8" t="s">
        <v>5552</v>
      </c>
      <c r="D1080" s="9">
        <v>46082.0</v>
      </c>
      <c r="E1080" s="10">
        <v>1.055</v>
      </c>
      <c r="F1080" s="26">
        <v>1.25</v>
      </c>
      <c r="G1080" s="12">
        <v>2.201137E7</v>
      </c>
      <c r="H1080" s="8" t="s">
        <v>88</v>
      </c>
      <c r="I1080" s="11">
        <v>3.4314</v>
      </c>
      <c r="J1080" s="12">
        <v>9.78623256E8</v>
      </c>
      <c r="K1080" s="13"/>
      <c r="L1080" s="13">
        <v>-0.7493</v>
      </c>
      <c r="M1080" s="8" t="s">
        <v>5553</v>
      </c>
      <c r="N1080" s="8" t="s">
        <v>5471</v>
      </c>
      <c r="O1080" s="13">
        <v>-2.7528</v>
      </c>
      <c r="P1080" s="13">
        <v>7.0352</v>
      </c>
      <c r="Q1080" s="13">
        <v>623.0875</v>
      </c>
      <c r="R1080" s="13">
        <v>0.3226</v>
      </c>
      <c r="S1080" s="13">
        <v>0.0737</v>
      </c>
      <c r="T1080" s="14">
        <f>IFERROR(__xludf.DUMMYFUNCTION("IFERROR(GOOGLEFINANCE(B1080,""price""),"""")"),0.95)</f>
        <v>0.95</v>
      </c>
    </row>
    <row r="1081">
      <c r="A1081" s="15">
        <v>46078.62841769725</v>
      </c>
      <c r="B1081" s="16" t="s">
        <v>5544</v>
      </c>
      <c r="C1081" s="16" t="s">
        <v>5545</v>
      </c>
      <c r="D1081" s="17">
        <v>46082.0</v>
      </c>
      <c r="E1081" s="18">
        <v>16.725</v>
      </c>
      <c r="F1081" s="27">
        <v>1.222</v>
      </c>
      <c r="G1081" s="20">
        <v>2.6940023E7</v>
      </c>
      <c r="H1081" s="16" t="s">
        <v>88</v>
      </c>
      <c r="I1081" s="19">
        <v>-2.3072</v>
      </c>
      <c r="J1081" s="20">
        <v>6.60791522E9</v>
      </c>
      <c r="K1081" s="21"/>
      <c r="L1081" s="21">
        <v>-2.0873</v>
      </c>
      <c r="M1081" s="16" t="s">
        <v>5546</v>
      </c>
      <c r="N1081" s="16" t="s">
        <v>5471</v>
      </c>
      <c r="O1081" s="21">
        <v>-110.5547</v>
      </c>
      <c r="P1081" s="21">
        <v>-152.4221</v>
      </c>
      <c r="Q1081" s="21">
        <v>48.0413</v>
      </c>
      <c r="R1081" s="21">
        <v>3.435</v>
      </c>
      <c r="S1081" s="21">
        <v>3.7948</v>
      </c>
      <c r="T1081" s="22">
        <f>IFERROR(__xludf.DUMMYFUNCTION("IFERROR(GOOGLEFINANCE(B1081,""price""),"""")"),16.53)</f>
        <v>16.53</v>
      </c>
    </row>
    <row r="1082">
      <c r="A1082" s="7">
        <v>46079.62764304428</v>
      </c>
      <c r="B1082" s="8" t="s">
        <v>6031</v>
      </c>
      <c r="C1082" s="8" t="s">
        <v>6032</v>
      </c>
      <c r="D1082" s="9">
        <v>46082.0</v>
      </c>
      <c r="E1082" s="10">
        <v>7.825</v>
      </c>
      <c r="F1082" s="26">
        <v>2.4141</v>
      </c>
      <c r="G1082" s="12">
        <v>8277042.0</v>
      </c>
      <c r="H1082" s="8" t="s">
        <v>245</v>
      </c>
      <c r="I1082" s="11">
        <v>-14.2935</v>
      </c>
      <c r="J1082" s="12">
        <v>1.134326036E9</v>
      </c>
      <c r="K1082" s="13"/>
      <c r="L1082" s="13">
        <v>-3.9917</v>
      </c>
      <c r="M1082" s="8" t="s">
        <v>6033</v>
      </c>
      <c r="N1082" s="8" t="s">
        <v>5776</v>
      </c>
      <c r="O1082" s="13">
        <v>-141.2598</v>
      </c>
      <c r="P1082" s="13"/>
      <c r="Q1082" s="13"/>
      <c r="R1082" s="13">
        <v>2.5757</v>
      </c>
      <c r="S1082" s="13">
        <v>0.0735</v>
      </c>
      <c r="T1082" s="14">
        <f>IFERROR(__xludf.DUMMYFUNCTION("IFERROR(GOOGLEFINANCE(B1082,""price""),"""")"),13.14)</f>
        <v>13.14</v>
      </c>
    </row>
    <row r="1083">
      <c r="A1083" s="15">
        <v>46079.62764304428</v>
      </c>
      <c r="B1083" s="16" t="s">
        <v>6034</v>
      </c>
      <c r="C1083" s="16" t="s">
        <v>6035</v>
      </c>
      <c r="D1083" s="17">
        <v>46082.0</v>
      </c>
      <c r="E1083" s="18">
        <v>16.94</v>
      </c>
      <c r="F1083" s="27">
        <v>2.2588</v>
      </c>
      <c r="G1083" s="20">
        <v>1.666208E7</v>
      </c>
      <c r="H1083" s="16" t="s">
        <v>117</v>
      </c>
      <c r="I1083" s="19">
        <v>-31.8858</v>
      </c>
      <c r="J1083" s="20">
        <v>1.04356792E9</v>
      </c>
      <c r="K1083" s="21"/>
      <c r="L1083" s="21">
        <v>-4.386</v>
      </c>
      <c r="M1083" s="16" t="s">
        <v>6036</v>
      </c>
      <c r="N1083" s="16" t="s">
        <v>5502</v>
      </c>
      <c r="O1083" s="21">
        <v>-165.2658</v>
      </c>
      <c r="P1083" s="21">
        <v>-1225.6619</v>
      </c>
      <c r="Q1083" s="21">
        <v>-44.9015</v>
      </c>
      <c r="R1083" s="21">
        <v>2.3242</v>
      </c>
      <c r="S1083" s="21">
        <v>7.117</v>
      </c>
      <c r="T1083" s="22">
        <f>IFERROR(__xludf.DUMMYFUNCTION("IFERROR(GOOGLEFINANCE(B1083,""price""),"""")"),15.38)</f>
        <v>15.38</v>
      </c>
    </row>
    <row r="1084">
      <c r="A1084" s="7">
        <v>46079.62764304428</v>
      </c>
      <c r="B1084" s="8" t="s">
        <v>5998</v>
      </c>
      <c r="C1084" s="8" t="s">
        <v>5999</v>
      </c>
      <c r="D1084" s="9">
        <v>46082.0</v>
      </c>
      <c r="E1084" s="10">
        <v>20.37</v>
      </c>
      <c r="F1084" s="26">
        <v>2.1211</v>
      </c>
      <c r="G1084" s="12">
        <v>1.0878697E7</v>
      </c>
      <c r="H1084" s="8" t="s">
        <v>308</v>
      </c>
      <c r="I1084" s="11">
        <v>4.1944</v>
      </c>
      <c r="J1084" s="12">
        <v>4.726691778E9</v>
      </c>
      <c r="K1084" s="13"/>
      <c r="L1084" s="13">
        <v>-11.177</v>
      </c>
      <c r="M1084" s="8" t="s">
        <v>6000</v>
      </c>
      <c r="N1084" s="8" t="s">
        <v>5414</v>
      </c>
      <c r="O1084" s="13">
        <v>-59.6838</v>
      </c>
      <c r="P1084" s="13">
        <v>-15.7502</v>
      </c>
      <c r="Q1084" s="13">
        <v>13.7949</v>
      </c>
      <c r="R1084" s="13">
        <v>4.9321</v>
      </c>
      <c r="S1084" s="13">
        <v>1.4573</v>
      </c>
      <c r="T1084" s="14">
        <f>IFERROR(__xludf.DUMMYFUNCTION("IFERROR(GOOGLEFINANCE(B1084,""price""),"""")"),13.28)</f>
        <v>13.28</v>
      </c>
    </row>
    <row r="1085">
      <c r="A1085" s="15">
        <v>46079.62764304428</v>
      </c>
      <c r="B1085" s="16" t="s">
        <v>5995</v>
      </c>
      <c r="C1085" s="16" t="s">
        <v>5996</v>
      </c>
      <c r="D1085" s="17">
        <v>46082.0</v>
      </c>
      <c r="E1085" s="18">
        <v>8.9685</v>
      </c>
      <c r="F1085" s="27">
        <v>2.0547</v>
      </c>
      <c r="G1085" s="20">
        <v>3.3398013E7</v>
      </c>
      <c r="H1085" s="16" t="s">
        <v>88</v>
      </c>
      <c r="I1085" s="19">
        <v>5.2641</v>
      </c>
      <c r="J1085" s="20">
        <v>3.767629679E9</v>
      </c>
      <c r="K1085" s="21"/>
      <c r="L1085" s="21">
        <v>-0.8347</v>
      </c>
      <c r="M1085" s="16" t="s">
        <v>5997</v>
      </c>
      <c r="N1085" s="16" t="s">
        <v>5429</v>
      </c>
      <c r="O1085" s="21">
        <v>-90.1486</v>
      </c>
      <c r="P1085" s="21">
        <v>-117.3976</v>
      </c>
      <c r="Q1085" s="21">
        <v>120.521</v>
      </c>
      <c r="R1085" s="21">
        <v>0.0121</v>
      </c>
      <c r="S1085" s="21">
        <v>5.149</v>
      </c>
      <c r="T1085" s="22">
        <f>IFERROR(__xludf.DUMMYFUNCTION("IFERROR(GOOGLEFINANCE(B1085,""price""),"""")"),6.43)</f>
        <v>6.43</v>
      </c>
    </row>
    <row r="1086">
      <c r="A1086" s="7">
        <v>46079.62764304428</v>
      </c>
      <c r="B1086" s="8" t="s">
        <v>5465</v>
      </c>
      <c r="C1086" s="8" t="s">
        <v>5466</v>
      </c>
      <c r="D1086" s="9">
        <v>46082.0</v>
      </c>
      <c r="E1086" s="10">
        <v>98.6</v>
      </c>
      <c r="F1086" s="26">
        <v>2.0486</v>
      </c>
      <c r="G1086" s="12">
        <v>1.8225978E7</v>
      </c>
      <c r="H1086" s="8" t="s">
        <v>88</v>
      </c>
      <c r="I1086" s="11">
        <v>0.602</v>
      </c>
      <c r="J1086" s="12">
        <v>5.139557513E10</v>
      </c>
      <c r="K1086" s="13"/>
      <c r="L1086" s="13">
        <v>-1.8177</v>
      </c>
      <c r="M1086" s="8" t="s">
        <v>5467</v>
      </c>
      <c r="N1086" s="8" t="s">
        <v>5429</v>
      </c>
      <c r="O1086" s="13">
        <v>-29.1701</v>
      </c>
      <c r="P1086" s="13">
        <v>3.6285</v>
      </c>
      <c r="Q1086" s="13">
        <v>235.401</v>
      </c>
      <c r="R1086" s="13">
        <v>4.85</v>
      </c>
      <c r="S1086" s="13">
        <v>0.487</v>
      </c>
      <c r="T1086" s="14">
        <f>IFERROR(__xludf.DUMMYFUNCTION("IFERROR(GOOGLEFINANCE(B1086,""price""),"""")"),102.0)</f>
        <v>102</v>
      </c>
    </row>
    <row r="1087">
      <c r="A1087" s="15">
        <v>46079.62764304428</v>
      </c>
      <c r="B1087" s="16" t="s">
        <v>5920</v>
      </c>
      <c r="C1087" s="16" t="s">
        <v>5921</v>
      </c>
      <c r="D1087" s="17">
        <v>46082.0</v>
      </c>
      <c r="E1087" s="18">
        <v>24.2</v>
      </c>
      <c r="F1087" s="27">
        <v>2.0391</v>
      </c>
      <c r="G1087" s="20">
        <v>9168704.0</v>
      </c>
      <c r="H1087" s="16" t="s">
        <v>149</v>
      </c>
      <c r="I1087" s="19">
        <v>16.5142</v>
      </c>
      <c r="J1087" s="20">
        <v>4.925208583E9</v>
      </c>
      <c r="K1087" s="21"/>
      <c r="L1087" s="21">
        <v>-2.432</v>
      </c>
      <c r="M1087" s="16" t="s">
        <v>5922</v>
      </c>
      <c r="N1087" s="16" t="s">
        <v>5923</v>
      </c>
      <c r="O1087" s="21">
        <v>-13.1053</v>
      </c>
      <c r="P1087" s="21">
        <v>18.0916</v>
      </c>
      <c r="Q1087" s="21">
        <v>2.1432</v>
      </c>
      <c r="R1087" s="21">
        <v>7.3122</v>
      </c>
      <c r="S1087" s="21">
        <v>0.8003</v>
      </c>
      <c r="T1087" s="22">
        <f>IFERROR(__xludf.DUMMYFUNCTION("IFERROR(GOOGLEFINANCE(B1087,""price""),"""")"),26.88)</f>
        <v>26.88</v>
      </c>
    </row>
    <row r="1088">
      <c r="A1088" s="7">
        <v>46079.62764304428</v>
      </c>
      <c r="B1088" s="8" t="s">
        <v>5561</v>
      </c>
      <c r="C1088" s="8" t="s">
        <v>5562</v>
      </c>
      <c r="D1088" s="9">
        <v>46082.0</v>
      </c>
      <c r="E1088" s="10">
        <v>13.42</v>
      </c>
      <c r="F1088" s="26">
        <v>1.9121</v>
      </c>
      <c r="G1088" s="12">
        <v>2.1503148E7</v>
      </c>
      <c r="H1088" s="8" t="s">
        <v>102</v>
      </c>
      <c r="I1088" s="11">
        <v>1.8209</v>
      </c>
      <c r="J1088" s="12">
        <v>4.062563882E9</v>
      </c>
      <c r="K1088" s="13"/>
      <c r="L1088" s="13">
        <v>-2.8582</v>
      </c>
      <c r="M1088" s="8" t="s">
        <v>5563</v>
      </c>
      <c r="N1088" s="8" t="s">
        <v>5536</v>
      </c>
      <c r="O1088" s="13">
        <v>-76.8505</v>
      </c>
      <c r="P1088" s="13">
        <v>-983.9643</v>
      </c>
      <c r="Q1088" s="13">
        <v>765.6686</v>
      </c>
      <c r="R1088" s="13">
        <v>0.0</v>
      </c>
      <c r="S1088" s="13">
        <v>1.6153</v>
      </c>
      <c r="T1088" s="14">
        <f>IFERROR(__xludf.DUMMYFUNCTION("IFERROR(GOOGLEFINANCE(B1088,""price""),"""")"),9.21)</f>
        <v>9.21</v>
      </c>
    </row>
    <row r="1089">
      <c r="A1089" s="15">
        <v>46079.62764304428</v>
      </c>
      <c r="B1089" s="16" t="s">
        <v>6019</v>
      </c>
      <c r="C1089" s="16" t="s">
        <v>6020</v>
      </c>
      <c r="D1089" s="17">
        <v>46082.0</v>
      </c>
      <c r="E1089" s="18">
        <v>54.64</v>
      </c>
      <c r="F1089" s="27">
        <v>1.6446</v>
      </c>
      <c r="G1089" s="20">
        <v>8948923.0</v>
      </c>
      <c r="H1089" s="16" t="s">
        <v>186</v>
      </c>
      <c r="I1089" s="19">
        <v>5.1983</v>
      </c>
      <c r="J1089" s="20">
        <v>3.3202978216E10</v>
      </c>
      <c r="K1089" s="21">
        <v>10.9937</v>
      </c>
      <c r="L1089" s="21">
        <v>4.9701</v>
      </c>
      <c r="M1089" s="16" t="s">
        <v>6021</v>
      </c>
      <c r="N1089" s="16" t="s">
        <v>5573</v>
      </c>
      <c r="O1089" s="21">
        <v>14.7821</v>
      </c>
      <c r="P1089" s="21">
        <v>10.4825</v>
      </c>
      <c r="Q1089" s="21">
        <v>0.4703</v>
      </c>
      <c r="R1089" s="21">
        <v>0.3599</v>
      </c>
      <c r="S1089" s="21">
        <v>2.1832</v>
      </c>
      <c r="T1089" s="22">
        <f>IFERROR(__xludf.DUMMYFUNCTION("IFERROR(GOOGLEFINANCE(B1089,""price""),"""")"),62.2)</f>
        <v>62.2</v>
      </c>
    </row>
    <row r="1090">
      <c r="A1090" s="7">
        <v>46079.62764304428</v>
      </c>
      <c r="B1090" s="8" t="s">
        <v>5594</v>
      </c>
      <c r="C1090" s="8" t="s">
        <v>5595</v>
      </c>
      <c r="D1090" s="9">
        <v>46082.0</v>
      </c>
      <c r="E1090" s="10">
        <v>17.855</v>
      </c>
      <c r="F1090" s="26">
        <v>1.6411</v>
      </c>
      <c r="G1090" s="12">
        <v>2.1957819E7</v>
      </c>
      <c r="H1090" s="8" t="s">
        <v>88</v>
      </c>
      <c r="I1090" s="11">
        <v>-0.3627</v>
      </c>
      <c r="J1090" s="12">
        <v>7.475565084E9</v>
      </c>
      <c r="K1090" s="13"/>
      <c r="L1090" s="13">
        <v>-1.4167</v>
      </c>
      <c r="M1090" s="8" t="s">
        <v>5596</v>
      </c>
      <c r="N1090" s="8" t="s">
        <v>5471</v>
      </c>
      <c r="O1090" s="13">
        <v>-181.9547</v>
      </c>
      <c r="P1090" s="13">
        <v>-69.885</v>
      </c>
      <c r="Q1090" s="13">
        <v>30.5825</v>
      </c>
      <c r="R1090" s="13">
        <v>4.3877</v>
      </c>
      <c r="S1090" s="13">
        <v>1.0329</v>
      </c>
      <c r="T1090" s="14">
        <f>IFERROR(__xludf.DUMMYFUNCTION("IFERROR(GOOGLEFINANCE(B1090,""price""),"""")"),18.88)</f>
        <v>18.88</v>
      </c>
    </row>
    <row r="1091">
      <c r="A1091" s="15">
        <v>46079.62764304428</v>
      </c>
      <c r="B1091" s="16" t="s">
        <v>5682</v>
      </c>
      <c r="C1091" s="16" t="s">
        <v>5683</v>
      </c>
      <c r="D1091" s="17">
        <v>46082.0</v>
      </c>
      <c r="E1091" s="18">
        <v>17.765</v>
      </c>
      <c r="F1091" s="27">
        <v>1.6357</v>
      </c>
      <c r="G1091" s="20">
        <v>1.443984E7</v>
      </c>
      <c r="H1091" s="16" t="s">
        <v>93</v>
      </c>
      <c r="I1091" s="19">
        <v>2.5101</v>
      </c>
      <c r="J1091" s="20">
        <v>5.002428588E10</v>
      </c>
      <c r="K1091" s="21">
        <v>223.7406</v>
      </c>
      <c r="L1091" s="21">
        <v>0.0794</v>
      </c>
      <c r="M1091" s="16" t="s">
        <v>5684</v>
      </c>
      <c r="N1091" s="16" t="s">
        <v>5590</v>
      </c>
      <c r="O1091" s="21">
        <v>-2.1497</v>
      </c>
      <c r="P1091" s="21">
        <v>16.4722</v>
      </c>
      <c r="Q1091" s="21">
        <v>22.5639</v>
      </c>
      <c r="R1091" s="21">
        <v>2.5143</v>
      </c>
      <c r="S1091" s="21">
        <v>1.333</v>
      </c>
      <c r="T1091" s="22">
        <f>IFERROR(__xludf.DUMMYFUNCTION("IFERROR(GOOGLEFINANCE(B1091,""price""),"""")"),14.85)</f>
        <v>14.85</v>
      </c>
    </row>
    <row r="1092">
      <c r="A1092" s="7">
        <v>46079.62764304428</v>
      </c>
      <c r="B1092" s="8" t="s">
        <v>6001</v>
      </c>
      <c r="C1092" s="8" t="s">
        <v>6002</v>
      </c>
      <c r="D1092" s="9">
        <v>46082.0</v>
      </c>
      <c r="E1092" s="10">
        <v>71.9</v>
      </c>
      <c r="F1092" s="26">
        <v>1.5875</v>
      </c>
      <c r="G1092" s="12">
        <v>1.4168433E7</v>
      </c>
      <c r="H1092" s="8" t="s">
        <v>308</v>
      </c>
      <c r="I1092" s="11">
        <v>2.4217</v>
      </c>
      <c r="J1092" s="12">
        <v>3.8405837094E10</v>
      </c>
      <c r="K1092" s="13"/>
      <c r="L1092" s="13">
        <v>-0.3877</v>
      </c>
      <c r="M1092" s="8" t="s">
        <v>6003</v>
      </c>
      <c r="N1092" s="8" t="s">
        <v>5520</v>
      </c>
      <c r="O1092" s="13">
        <v>-23.2396</v>
      </c>
      <c r="P1092" s="13">
        <v>-41.3581</v>
      </c>
      <c r="Q1092" s="13">
        <v>52.4214</v>
      </c>
      <c r="R1092" s="13">
        <v>0.4033</v>
      </c>
      <c r="S1092" s="13">
        <v>3.1763</v>
      </c>
      <c r="T1092" s="14">
        <f>IFERROR(__xludf.DUMMYFUNCTION("IFERROR(GOOGLEFINANCE(B1092,""price""),"""")"),68.05)</f>
        <v>68.05</v>
      </c>
    </row>
    <row r="1093">
      <c r="A1093" s="15">
        <v>46079.62764304428</v>
      </c>
      <c r="B1093" s="16" t="s">
        <v>5496</v>
      </c>
      <c r="C1093" s="16" t="s">
        <v>5497</v>
      </c>
      <c r="D1093" s="17">
        <v>46082.0</v>
      </c>
      <c r="E1093" s="18">
        <v>8.48</v>
      </c>
      <c r="F1093" s="27">
        <v>1.4766</v>
      </c>
      <c r="G1093" s="20">
        <v>3.6714474E7</v>
      </c>
      <c r="H1093" s="16" t="s">
        <v>88</v>
      </c>
      <c r="I1093" s="19">
        <v>-1.0502</v>
      </c>
      <c r="J1093" s="20">
        <v>3.20700323E9</v>
      </c>
      <c r="K1093" s="21">
        <v>4.696</v>
      </c>
      <c r="L1093" s="21">
        <v>1.8058</v>
      </c>
      <c r="M1093" s="16" t="s">
        <v>5498</v>
      </c>
      <c r="N1093" s="16" t="s">
        <v>5471</v>
      </c>
      <c r="O1093" s="21">
        <v>23.127</v>
      </c>
      <c r="P1093" s="21">
        <v>-67.8835</v>
      </c>
      <c r="Q1093" s="21">
        <v>53.5148</v>
      </c>
      <c r="R1093" s="21">
        <v>0.7061</v>
      </c>
      <c r="S1093" s="21">
        <v>2.094</v>
      </c>
      <c r="T1093" s="22">
        <f>IFERROR(__xludf.DUMMYFUNCTION("IFERROR(GOOGLEFINANCE(B1093,""price""),"""")"),9.54)</f>
        <v>9.54</v>
      </c>
    </row>
    <row r="1094">
      <c r="A1094" s="7">
        <v>46079.62764304428</v>
      </c>
      <c r="B1094" s="8" t="s">
        <v>5789</v>
      </c>
      <c r="C1094" s="8" t="s">
        <v>5790</v>
      </c>
      <c r="D1094" s="9">
        <v>46082.0</v>
      </c>
      <c r="E1094" s="10">
        <v>18.695</v>
      </c>
      <c r="F1094" s="26">
        <v>1.3931</v>
      </c>
      <c r="G1094" s="12">
        <v>2.1138426E7</v>
      </c>
      <c r="H1094" s="8" t="s">
        <v>137</v>
      </c>
      <c r="I1094" s="11">
        <v>1.8246</v>
      </c>
      <c r="J1094" s="12">
        <v>3.4149175633E10</v>
      </c>
      <c r="K1094" s="13">
        <v>88.4761</v>
      </c>
      <c r="L1094" s="13">
        <v>0.2113</v>
      </c>
      <c r="M1094" s="8" t="s">
        <v>5791</v>
      </c>
      <c r="N1094" s="8" t="s">
        <v>5743</v>
      </c>
      <c r="O1094" s="13">
        <v>8.7346</v>
      </c>
      <c r="P1094" s="13">
        <v>1.9873</v>
      </c>
      <c r="Q1094" s="13">
        <v>16.6297</v>
      </c>
      <c r="R1094" s="13">
        <v>1.0439</v>
      </c>
      <c r="S1094" s="13">
        <v>1.0601</v>
      </c>
      <c r="T1094" s="14">
        <f>IFERROR(__xludf.DUMMYFUNCTION("IFERROR(GOOGLEFINANCE(B1094,""price""),"""")"),19.76)</f>
        <v>19.76</v>
      </c>
    </row>
    <row r="1095">
      <c r="A1095" s="15">
        <v>46079.62764304428</v>
      </c>
      <c r="B1095" s="16" t="s">
        <v>5514</v>
      </c>
      <c r="C1095" s="16" t="s">
        <v>5515</v>
      </c>
      <c r="D1095" s="17">
        <v>46082.0</v>
      </c>
      <c r="E1095" s="18">
        <v>9.4631</v>
      </c>
      <c r="F1095" s="27">
        <v>1.335</v>
      </c>
      <c r="G1095" s="20">
        <v>3.5372183E7</v>
      </c>
      <c r="H1095" s="16" t="s">
        <v>117</v>
      </c>
      <c r="I1095" s="19">
        <v>-0.8061</v>
      </c>
      <c r="J1095" s="20">
        <v>9.729121426E9</v>
      </c>
      <c r="K1095" s="21"/>
      <c r="L1095" s="21">
        <v>-0.3898</v>
      </c>
      <c r="M1095" s="16" t="s">
        <v>5516</v>
      </c>
      <c r="N1095" s="16" t="s">
        <v>5491</v>
      </c>
      <c r="O1095" s="21"/>
      <c r="P1095" s="21">
        <v>-225.9966</v>
      </c>
      <c r="Q1095" s="21">
        <v>668.3147</v>
      </c>
      <c r="R1095" s="21"/>
      <c r="S1095" s="21">
        <v>5.0989</v>
      </c>
      <c r="T1095" s="22">
        <f>IFERROR(__xludf.DUMMYFUNCTION("IFERROR(GOOGLEFINANCE(B1095,""price""),"""")"),7.28)</f>
        <v>7.28</v>
      </c>
    </row>
    <row r="1096">
      <c r="A1096" s="7">
        <v>46079.62764304428</v>
      </c>
      <c r="B1096" s="8" t="s">
        <v>5580</v>
      </c>
      <c r="C1096" s="8" t="s">
        <v>5581</v>
      </c>
      <c r="D1096" s="9">
        <v>46082.0</v>
      </c>
      <c r="E1096" s="10">
        <v>2.395</v>
      </c>
      <c r="F1096" s="26">
        <v>1.25</v>
      </c>
      <c r="G1096" s="12">
        <v>9160144.0</v>
      </c>
      <c r="H1096" s="8" t="s">
        <v>88</v>
      </c>
      <c r="I1096" s="11">
        <v>1.9149</v>
      </c>
      <c r="J1096" s="12">
        <v>9.55192079E8</v>
      </c>
      <c r="K1096" s="13"/>
      <c r="L1096" s="13"/>
      <c r="M1096" s="8" t="s">
        <v>5582</v>
      </c>
      <c r="N1096" s="8" t="s">
        <v>5429</v>
      </c>
      <c r="O1096" s="13"/>
      <c r="P1096" s="13"/>
      <c r="Q1096" s="13"/>
      <c r="R1096" s="13"/>
      <c r="S1096" s="13">
        <v>0.2412</v>
      </c>
      <c r="T1096" s="14">
        <f>IFERROR(__xludf.DUMMYFUNCTION("IFERROR(GOOGLEFINANCE(B1096,""price""),"""")"),2.38)</f>
        <v>2.38</v>
      </c>
    </row>
    <row r="1097">
      <c r="A1097" s="15">
        <v>46079.62764304428</v>
      </c>
      <c r="B1097" s="16" t="s">
        <v>6037</v>
      </c>
      <c r="C1097" s="16" t="s">
        <v>6038</v>
      </c>
      <c r="D1097" s="17">
        <v>46082.0</v>
      </c>
      <c r="E1097" s="18">
        <v>11.295</v>
      </c>
      <c r="F1097" s="27">
        <v>1.2422</v>
      </c>
      <c r="G1097" s="20">
        <v>2.2222859E7</v>
      </c>
      <c r="H1097" s="16" t="s">
        <v>117</v>
      </c>
      <c r="I1097" s="19">
        <v>18.5205</v>
      </c>
      <c r="J1097" s="20">
        <v>1.835426073E9</v>
      </c>
      <c r="K1097" s="21">
        <v>6.386</v>
      </c>
      <c r="L1097" s="21">
        <v>1.7687</v>
      </c>
      <c r="M1097" s="16" t="s">
        <v>6039</v>
      </c>
      <c r="N1097" s="16" t="s">
        <v>5502</v>
      </c>
      <c r="O1097" s="21"/>
      <c r="P1097" s="21">
        <v>39.1426</v>
      </c>
      <c r="Q1097" s="21">
        <v>20.2733</v>
      </c>
      <c r="R1097" s="21"/>
      <c r="S1097" s="21">
        <v>2.2672</v>
      </c>
      <c r="T1097" s="22">
        <f>IFERROR(__xludf.DUMMYFUNCTION("IFERROR(GOOGLEFINANCE(B1097,""price""),"""")"),8.12)</f>
        <v>8.12</v>
      </c>
    </row>
    <row r="1098">
      <c r="A1098" s="7">
        <v>46079.62764304428</v>
      </c>
      <c r="B1098" s="8" t="s">
        <v>6040</v>
      </c>
      <c r="C1098" s="8" t="s">
        <v>6041</v>
      </c>
      <c r="D1098" s="9">
        <v>46082.0</v>
      </c>
      <c r="E1098" s="10">
        <v>17.8</v>
      </c>
      <c r="F1098" s="26">
        <v>1.2285</v>
      </c>
      <c r="G1098" s="12">
        <v>8193499.0</v>
      </c>
      <c r="H1098" s="8" t="s">
        <v>308</v>
      </c>
      <c r="I1098" s="11">
        <v>0.0</v>
      </c>
      <c r="J1098" s="12">
        <v>3.943566799E9</v>
      </c>
      <c r="K1098" s="13"/>
      <c r="L1098" s="13">
        <v>-0.1255</v>
      </c>
      <c r="M1098" s="8" t="s">
        <v>6042</v>
      </c>
      <c r="N1098" s="8" t="s">
        <v>5437</v>
      </c>
      <c r="O1098" s="13"/>
      <c r="P1098" s="13">
        <v>16.148</v>
      </c>
      <c r="Q1098" s="13">
        <v>9.8623</v>
      </c>
      <c r="R1098" s="13"/>
      <c r="S1098" s="13">
        <v>2.2539</v>
      </c>
      <c r="T1098" s="14">
        <f>IFERROR(__xludf.DUMMYFUNCTION("IFERROR(GOOGLEFINANCE(B1098,""price""),"""")"),18.97)</f>
        <v>18.97</v>
      </c>
    </row>
    <row r="1099">
      <c r="A1099" s="15">
        <v>46079.62764304428</v>
      </c>
      <c r="B1099" s="16" t="s">
        <v>6043</v>
      </c>
      <c r="C1099" s="16" t="s">
        <v>6044</v>
      </c>
      <c r="D1099" s="17">
        <v>46082.0</v>
      </c>
      <c r="E1099" s="18">
        <v>4.425</v>
      </c>
      <c r="F1099" s="27">
        <v>1.2188</v>
      </c>
      <c r="G1099" s="20">
        <v>9723240.0</v>
      </c>
      <c r="H1099" s="16" t="s">
        <v>93</v>
      </c>
      <c r="I1099" s="19">
        <v>0.1131</v>
      </c>
      <c r="J1099" s="20">
        <v>1.378798587E9</v>
      </c>
      <c r="K1099" s="21"/>
      <c r="L1099" s="21">
        <v>-3.4492</v>
      </c>
      <c r="M1099" s="16" t="s">
        <v>6045</v>
      </c>
      <c r="N1099" s="16" t="s">
        <v>5590</v>
      </c>
      <c r="O1099" s="21">
        <v>-567.033</v>
      </c>
      <c r="P1099" s="21">
        <v>-0.3992</v>
      </c>
      <c r="Q1099" s="21">
        <v>-7.3643</v>
      </c>
      <c r="R1099" s="21"/>
      <c r="S1099" s="21">
        <v>1.5985</v>
      </c>
      <c r="T1099" s="22">
        <f>IFERROR(__xludf.DUMMYFUNCTION("IFERROR(GOOGLEFINANCE(B1099,""price""),"""")"),6.32)</f>
        <v>6.32</v>
      </c>
    </row>
    <row r="1100">
      <c r="A1100" s="7">
        <v>46079.62764304428</v>
      </c>
      <c r="B1100" s="8" t="s">
        <v>5533</v>
      </c>
      <c r="C1100" s="8" t="s">
        <v>5534</v>
      </c>
      <c r="D1100" s="9">
        <v>46082.0</v>
      </c>
      <c r="E1100" s="10">
        <v>7.355</v>
      </c>
      <c r="F1100" s="26">
        <v>1.1445</v>
      </c>
      <c r="G1100" s="12">
        <v>1.2771612E7</v>
      </c>
      <c r="H1100" s="8" t="s">
        <v>102</v>
      </c>
      <c r="I1100" s="11">
        <v>1.8698</v>
      </c>
      <c r="J1100" s="12">
        <v>1.990062996E9</v>
      </c>
      <c r="K1100" s="13"/>
      <c r="L1100" s="13">
        <v>-3.7839</v>
      </c>
      <c r="M1100" s="8" t="s">
        <v>5535</v>
      </c>
      <c r="N1100" s="8" t="s">
        <v>5536</v>
      </c>
      <c r="O1100" s="13">
        <v>-55.984</v>
      </c>
      <c r="P1100" s="13">
        <v>-31.1477</v>
      </c>
      <c r="Q1100" s="13"/>
      <c r="R1100" s="13">
        <v>4.5088</v>
      </c>
      <c r="S1100" s="13">
        <v>1.1293</v>
      </c>
      <c r="T1100" s="14">
        <f>IFERROR(__xludf.DUMMYFUNCTION("IFERROR(GOOGLEFINANCE(B1100,""price""),"""")"),4.69)</f>
        <v>4.69</v>
      </c>
    </row>
    <row r="1101">
      <c r="A1101" s="15">
        <v>46079.62764304428</v>
      </c>
      <c r="B1101" s="16" t="s">
        <v>6046</v>
      </c>
      <c r="C1101" s="16" t="s">
        <v>6047</v>
      </c>
      <c r="D1101" s="17">
        <v>46082.0</v>
      </c>
      <c r="E1101" s="18">
        <v>3.835</v>
      </c>
      <c r="F1101" s="27">
        <v>1.125</v>
      </c>
      <c r="G1101" s="20">
        <v>1.812772E7</v>
      </c>
      <c r="H1101" s="16" t="s">
        <v>129</v>
      </c>
      <c r="I1101" s="19">
        <v>28.2609</v>
      </c>
      <c r="J1101" s="20">
        <v>6.56935514E8</v>
      </c>
      <c r="K1101" s="21"/>
      <c r="L1101" s="21">
        <v>-2.9895</v>
      </c>
      <c r="M1101" s="16" t="s">
        <v>6048</v>
      </c>
      <c r="N1101" s="16" t="s">
        <v>6049</v>
      </c>
      <c r="O1101" s="21">
        <v>-55.073</v>
      </c>
      <c r="P1101" s="21">
        <v>-3.0386</v>
      </c>
      <c r="Q1101" s="21">
        <v>-10.3959</v>
      </c>
      <c r="R1101" s="21">
        <v>2.1393</v>
      </c>
      <c r="S1101" s="21">
        <v>0.3604</v>
      </c>
      <c r="T1101" s="22">
        <f>IFERROR(__xludf.DUMMYFUNCTION("IFERROR(GOOGLEFINANCE(B1101,""price""),"""")"),3.32)</f>
        <v>3.32</v>
      </c>
    </row>
    <row r="1102">
      <c r="A1102" s="7">
        <v>46079.62764304428</v>
      </c>
      <c r="B1102" s="8" t="s">
        <v>5175</v>
      </c>
      <c r="C1102" s="8" t="s">
        <v>5176</v>
      </c>
      <c r="D1102" s="9">
        <v>46082.0</v>
      </c>
      <c r="E1102" s="10">
        <v>4.51</v>
      </c>
      <c r="F1102" s="26">
        <v>1.1094</v>
      </c>
      <c r="G1102" s="12">
        <v>2.3437003E7</v>
      </c>
      <c r="H1102" s="8" t="s">
        <v>93</v>
      </c>
      <c r="I1102" s="11">
        <v>8.4135</v>
      </c>
      <c r="J1102" s="12">
        <v>7.305030459E9</v>
      </c>
      <c r="K1102" s="13">
        <v>73.9344</v>
      </c>
      <c r="L1102" s="13">
        <v>0.061</v>
      </c>
      <c r="M1102" s="8" t="s">
        <v>5177</v>
      </c>
      <c r="N1102" s="8" t="s">
        <v>5590</v>
      </c>
      <c r="O1102" s="13">
        <v>15.1741</v>
      </c>
      <c r="P1102" s="13">
        <v>45.6931</v>
      </c>
      <c r="Q1102" s="13">
        <v>29.983</v>
      </c>
      <c r="R1102" s="13">
        <v>72.4298</v>
      </c>
      <c r="S1102" s="13">
        <v>1.1852</v>
      </c>
      <c r="T1102" s="14">
        <f>IFERROR(__xludf.DUMMYFUNCTION("IFERROR(GOOGLEFINANCE(B1102,""price""),"""")"),3.69)</f>
        <v>3.69</v>
      </c>
    </row>
    <row r="1103">
      <c r="A1103" s="15">
        <v>46079.62764304428</v>
      </c>
      <c r="B1103" s="16" t="s">
        <v>1077</v>
      </c>
      <c r="C1103" s="16" t="s">
        <v>1078</v>
      </c>
      <c r="D1103" s="17">
        <v>46082.0</v>
      </c>
      <c r="E1103" s="18">
        <v>9.0</v>
      </c>
      <c r="F1103" s="27">
        <v>1.0879</v>
      </c>
      <c r="G1103" s="20">
        <v>8267570.0</v>
      </c>
      <c r="H1103" s="16" t="s">
        <v>335</v>
      </c>
      <c r="I1103" s="19">
        <v>-1.6393</v>
      </c>
      <c r="J1103" s="20">
        <v>1.260320474E9</v>
      </c>
      <c r="K1103" s="21"/>
      <c r="L1103" s="21">
        <v>-0.041</v>
      </c>
      <c r="M1103" s="16" t="s">
        <v>1079</v>
      </c>
      <c r="N1103" s="16" t="s">
        <v>5506</v>
      </c>
      <c r="O1103" s="21">
        <v>-10.5913</v>
      </c>
      <c r="P1103" s="21">
        <v>-18.9471</v>
      </c>
      <c r="Q1103" s="21">
        <v>240.123</v>
      </c>
      <c r="R1103" s="21">
        <v>0.0037</v>
      </c>
      <c r="S1103" s="21">
        <v>5.0784</v>
      </c>
      <c r="T1103" s="22">
        <f>IFERROR(__xludf.DUMMYFUNCTION("IFERROR(GOOGLEFINANCE(B1103,""price""),"""")"),8.36)</f>
        <v>8.36</v>
      </c>
    </row>
    <row r="1104">
      <c r="A1104" s="7">
        <v>46079.62764304428</v>
      </c>
      <c r="B1104" s="8" t="s">
        <v>6050</v>
      </c>
      <c r="C1104" s="8" t="s">
        <v>6051</v>
      </c>
      <c r="D1104" s="9">
        <v>46082.0</v>
      </c>
      <c r="E1104" s="10">
        <v>26.03</v>
      </c>
      <c r="F1104" s="26">
        <v>1.0652</v>
      </c>
      <c r="G1104" s="12">
        <v>1.2133845E7</v>
      </c>
      <c r="H1104" s="8" t="s">
        <v>137</v>
      </c>
      <c r="I1104" s="11">
        <v>19.5682</v>
      </c>
      <c r="J1104" s="12">
        <v>3.17995018E9</v>
      </c>
      <c r="K1104" s="13">
        <v>6850.0</v>
      </c>
      <c r="L1104" s="13">
        <v>0.0038</v>
      </c>
      <c r="M1104" s="8" t="s">
        <v>6052</v>
      </c>
      <c r="N1104" s="8" t="s">
        <v>5937</v>
      </c>
      <c r="O1104" s="13">
        <v>0.203</v>
      </c>
      <c r="P1104" s="13">
        <v>-0.8658</v>
      </c>
      <c r="Q1104" s="13">
        <v>14.5521</v>
      </c>
      <c r="R1104" s="13">
        <v>0.6291</v>
      </c>
      <c r="S1104" s="13">
        <v>2.5787</v>
      </c>
      <c r="T1104" s="14">
        <f>IFERROR(__xludf.DUMMYFUNCTION("IFERROR(GOOGLEFINANCE(B1104,""price""),"""")"),20.82)</f>
        <v>20.82</v>
      </c>
    </row>
    <row r="1105">
      <c r="A1105" s="15">
        <v>46079.62764304428</v>
      </c>
      <c r="B1105" s="16" t="s">
        <v>5430</v>
      </c>
      <c r="C1105" s="16" t="s">
        <v>5431</v>
      </c>
      <c r="D1105" s="17">
        <v>46082.0</v>
      </c>
      <c r="E1105" s="18">
        <v>1.9</v>
      </c>
      <c r="F1105" s="27">
        <v>1.0625</v>
      </c>
      <c r="G1105" s="20">
        <v>1.03613847E8</v>
      </c>
      <c r="H1105" s="16" t="s">
        <v>308</v>
      </c>
      <c r="I1105" s="19">
        <v>-0.5236</v>
      </c>
      <c r="J1105" s="20">
        <v>2.644106937E9</v>
      </c>
      <c r="K1105" s="21"/>
      <c r="L1105" s="21">
        <v>-2.1831</v>
      </c>
      <c r="M1105" s="16" t="s">
        <v>5432</v>
      </c>
      <c r="N1105" s="16" t="s">
        <v>5433</v>
      </c>
      <c r="O1105" s="21">
        <v>-95.4238</v>
      </c>
      <c r="P1105" s="21">
        <v>-139.2744</v>
      </c>
      <c r="Q1105" s="21">
        <v>2.5267</v>
      </c>
      <c r="R1105" s="21">
        <v>0.6998</v>
      </c>
      <c r="S1105" s="21">
        <v>1.3195</v>
      </c>
      <c r="T1105" s="22">
        <f>IFERROR(__xludf.DUMMYFUNCTION("IFERROR(GOOGLEFINANCE(B1105,""price""),"""")"),2.74)</f>
        <v>2.74</v>
      </c>
    </row>
    <row r="1106">
      <c r="A1106" s="7">
        <v>46079.62764304428</v>
      </c>
      <c r="B1106" s="8" t="s">
        <v>6053</v>
      </c>
      <c r="C1106" s="8" t="s">
        <v>6054</v>
      </c>
      <c r="D1106" s="9">
        <v>46082.0</v>
      </c>
      <c r="E1106" s="10">
        <v>4.655</v>
      </c>
      <c r="F1106" s="26">
        <v>1.0547</v>
      </c>
      <c r="G1106" s="12">
        <v>6.1735886E7</v>
      </c>
      <c r="H1106" s="8" t="s">
        <v>117</v>
      </c>
      <c r="I1106" s="11">
        <v>50.1613</v>
      </c>
      <c r="J1106" s="12">
        <v>1.175862776E9</v>
      </c>
      <c r="K1106" s="13"/>
      <c r="L1106" s="13">
        <v>-0.3347</v>
      </c>
      <c r="M1106" s="8" t="s">
        <v>6055</v>
      </c>
      <c r="N1106" s="8" t="s">
        <v>5418</v>
      </c>
      <c r="O1106" s="13">
        <v>-41.4218</v>
      </c>
      <c r="P1106" s="13">
        <v>-91.7386</v>
      </c>
      <c r="Q1106" s="13">
        <v>16.043</v>
      </c>
      <c r="R1106" s="13">
        <v>0.1032</v>
      </c>
      <c r="S1106" s="13">
        <v>4.7961</v>
      </c>
      <c r="T1106" s="14">
        <f>IFERROR(__xludf.DUMMYFUNCTION("IFERROR(GOOGLEFINANCE(B1106,""price""),"""")"),4.11)</f>
        <v>4.11</v>
      </c>
    </row>
    <row r="1107">
      <c r="A1107" s="15">
        <v>46079.62764304428</v>
      </c>
      <c r="B1107" s="16" t="s">
        <v>5527</v>
      </c>
      <c r="C1107" s="16" t="s">
        <v>5528</v>
      </c>
      <c r="D1107" s="17">
        <v>46082.0</v>
      </c>
      <c r="E1107" s="18">
        <v>12.87</v>
      </c>
      <c r="F1107" s="27">
        <v>1.0319</v>
      </c>
      <c r="G1107" s="20">
        <v>8027476.0</v>
      </c>
      <c r="H1107" s="16" t="s">
        <v>88</v>
      </c>
      <c r="I1107" s="19">
        <v>3.6232</v>
      </c>
      <c r="J1107" s="20">
        <v>1.536306575E9</v>
      </c>
      <c r="K1107" s="21"/>
      <c r="L1107" s="21"/>
      <c r="M1107" s="16" t="s">
        <v>5529</v>
      </c>
      <c r="N1107" s="16" t="s">
        <v>5429</v>
      </c>
      <c r="O1107" s="21"/>
      <c r="P1107" s="21"/>
      <c r="Q1107" s="21"/>
      <c r="R1107" s="21">
        <v>0.0885</v>
      </c>
      <c r="S1107" s="21">
        <v>10.416</v>
      </c>
      <c r="T1107" s="22">
        <f>IFERROR(__xludf.DUMMYFUNCTION("IFERROR(GOOGLEFINANCE(B1107,""price""),"""")"),12.37)</f>
        <v>12.37</v>
      </c>
    </row>
    <row r="1108">
      <c r="A1108" s="7">
        <v>46079.62764304428</v>
      </c>
      <c r="B1108" s="8" t="s">
        <v>5607</v>
      </c>
      <c r="C1108" s="8" t="s">
        <v>5608</v>
      </c>
      <c r="D1108" s="9">
        <v>46082.0</v>
      </c>
      <c r="E1108" s="10">
        <v>17.66</v>
      </c>
      <c r="F1108" s="26">
        <v>1.0098</v>
      </c>
      <c r="G1108" s="12">
        <v>1.331395E7</v>
      </c>
      <c r="H1108" s="8" t="s">
        <v>308</v>
      </c>
      <c r="I1108" s="11">
        <v>11.1391</v>
      </c>
      <c r="J1108" s="12">
        <v>3.588689918E9</v>
      </c>
      <c r="K1108" s="13"/>
      <c r="L1108" s="13">
        <v>-1.8673</v>
      </c>
      <c r="M1108" s="8" t="s">
        <v>5609</v>
      </c>
      <c r="N1108" s="8" t="s">
        <v>5520</v>
      </c>
      <c r="O1108" s="13"/>
      <c r="P1108" s="13">
        <v>-30.7058</v>
      </c>
      <c r="Q1108" s="13">
        <v>8.0687</v>
      </c>
      <c r="R1108" s="13"/>
      <c r="S1108" s="13">
        <v>6.2531</v>
      </c>
      <c r="T1108" s="14">
        <f>IFERROR(__xludf.DUMMYFUNCTION("IFERROR(GOOGLEFINANCE(B1108,""price""),"""")"),23.57)</f>
        <v>23.57</v>
      </c>
    </row>
    <row r="1109">
      <c r="A1109" s="15">
        <v>46079.62764304428</v>
      </c>
      <c r="B1109" s="16" t="s">
        <v>5558</v>
      </c>
      <c r="C1109" s="16" t="s">
        <v>5559</v>
      </c>
      <c r="D1109" s="17">
        <v>46082.0</v>
      </c>
      <c r="E1109" s="18">
        <v>6.96</v>
      </c>
      <c r="F1109" s="27">
        <v>1.0078</v>
      </c>
      <c r="G1109" s="20">
        <v>1.3603445E8</v>
      </c>
      <c r="H1109" s="16" t="s">
        <v>102</v>
      </c>
      <c r="I1109" s="19">
        <v>-37.4663</v>
      </c>
      <c r="J1109" s="20">
        <v>2.255723321E9</v>
      </c>
      <c r="K1109" s="21"/>
      <c r="L1109" s="21">
        <v>-8.3559</v>
      </c>
      <c r="M1109" s="16" t="s">
        <v>5560</v>
      </c>
      <c r="N1109" s="16" t="s">
        <v>5536</v>
      </c>
      <c r="O1109" s="21"/>
      <c r="P1109" s="21">
        <v>-351.0117</v>
      </c>
      <c r="Q1109" s="21">
        <v>324.0994</v>
      </c>
      <c r="R1109" s="21"/>
      <c r="S1109" s="21">
        <v>1.8261</v>
      </c>
      <c r="T1109" s="22">
        <f>IFERROR(__xludf.DUMMYFUNCTION("IFERROR(GOOGLEFINANCE(B1109,""price""),"""")"),5.62)</f>
        <v>5.62</v>
      </c>
    </row>
    <row r="1110">
      <c r="A1110" s="7">
        <v>46079.62764304428</v>
      </c>
      <c r="B1110" s="8" t="s">
        <v>2704</v>
      </c>
      <c r="C1110" s="8" t="s">
        <v>2705</v>
      </c>
      <c r="D1110" s="9">
        <v>46082.0</v>
      </c>
      <c r="E1110" s="10">
        <v>28.93</v>
      </c>
      <c r="F1110" s="26">
        <v>0.998</v>
      </c>
      <c r="G1110" s="12">
        <v>1.3594574E7</v>
      </c>
      <c r="H1110" s="8" t="s">
        <v>88</v>
      </c>
      <c r="I1110" s="11">
        <v>-0.5158</v>
      </c>
      <c r="J1110" s="12">
        <v>8.088417619E9</v>
      </c>
      <c r="K1110" s="13"/>
      <c r="L1110" s="13">
        <v>-0.5438</v>
      </c>
      <c r="M1110" s="8" t="s">
        <v>2707</v>
      </c>
      <c r="N1110" s="8" t="s">
        <v>5471</v>
      </c>
      <c r="O1110" s="13">
        <v>-11.4029</v>
      </c>
      <c r="P1110" s="13">
        <v>-26.4624</v>
      </c>
      <c r="Q1110" s="13">
        <v>33.135</v>
      </c>
      <c r="R1110" s="13">
        <v>1.6778</v>
      </c>
      <c r="S1110" s="13">
        <v>4.8227</v>
      </c>
      <c r="T1110" s="14">
        <f>IFERROR(__xludf.DUMMYFUNCTION("IFERROR(GOOGLEFINANCE(B1110,""price""),"""")"),26.24)</f>
        <v>26.24</v>
      </c>
    </row>
    <row r="1111">
      <c r="A1111" s="15">
        <v>46079.62764304428</v>
      </c>
      <c r="B1111" s="16" t="s">
        <v>6056</v>
      </c>
      <c r="C1111" s="16" t="s">
        <v>6057</v>
      </c>
      <c r="D1111" s="17">
        <v>46082.0</v>
      </c>
      <c r="E1111" s="18">
        <v>6.07</v>
      </c>
      <c r="F1111" s="27">
        <v>0.9844</v>
      </c>
      <c r="G1111" s="20">
        <v>1.0956358E7</v>
      </c>
      <c r="H1111" s="16" t="s">
        <v>102</v>
      </c>
      <c r="I1111" s="19">
        <v>-1.3008</v>
      </c>
      <c r="J1111" s="20">
        <v>1.310003105E9</v>
      </c>
      <c r="K1111" s="21"/>
      <c r="L1111" s="21">
        <v>-0.8114</v>
      </c>
      <c r="M1111" s="16" t="s">
        <v>6058</v>
      </c>
      <c r="N1111" s="16" t="s">
        <v>5536</v>
      </c>
      <c r="O1111" s="21">
        <v>-60.523</v>
      </c>
      <c r="P1111" s="21">
        <v>-554.2298</v>
      </c>
      <c r="Q1111" s="21">
        <v>45.9784</v>
      </c>
      <c r="R1111" s="21">
        <v>1.9924</v>
      </c>
      <c r="S1111" s="21">
        <v>8.3396</v>
      </c>
      <c r="T1111" s="22">
        <f>IFERROR(__xludf.DUMMYFUNCTION("IFERROR(GOOGLEFINANCE(B1111,""price""),"""")"),6.09)</f>
        <v>6.09</v>
      </c>
    </row>
    <row r="1112">
      <c r="A1112" s="7">
        <v>46080.62689683396</v>
      </c>
      <c r="B1112" s="8" t="s">
        <v>6059</v>
      </c>
      <c r="C1112" s="8" t="s">
        <v>6060</v>
      </c>
      <c r="D1112" s="9">
        <v>46082.0</v>
      </c>
      <c r="E1112" s="10">
        <v>6.2</v>
      </c>
      <c r="F1112" s="26">
        <v>2.2266</v>
      </c>
      <c r="G1112" s="12">
        <v>2.0268516E7</v>
      </c>
      <c r="H1112" s="8" t="s">
        <v>270</v>
      </c>
      <c r="I1112" s="11">
        <v>-23.6453</v>
      </c>
      <c r="J1112" s="12">
        <v>1.117229748E9</v>
      </c>
      <c r="K1112" s="13"/>
      <c r="L1112" s="13">
        <v>-1.4411</v>
      </c>
      <c r="M1112" s="8" t="s">
        <v>6061</v>
      </c>
      <c r="N1112" s="8" t="s">
        <v>6062</v>
      </c>
      <c r="O1112" s="13">
        <v>-147.5647</v>
      </c>
      <c r="P1112" s="13">
        <v>-2781.4841</v>
      </c>
      <c r="Q1112" s="13"/>
      <c r="R1112" s="13">
        <v>10.722</v>
      </c>
      <c r="S1112" s="13">
        <v>2.2419</v>
      </c>
      <c r="T1112" s="14">
        <f>IFERROR(__xludf.DUMMYFUNCTION("IFERROR(GOOGLEFINANCE(B1112,""price""),"""")"),5.94)</f>
        <v>5.94</v>
      </c>
    </row>
    <row r="1113">
      <c r="A1113" s="15">
        <v>46080.62689683396</v>
      </c>
      <c r="B1113" s="16" t="s">
        <v>6022</v>
      </c>
      <c r="C1113" s="16" t="s">
        <v>6023</v>
      </c>
      <c r="D1113" s="17">
        <v>46082.0</v>
      </c>
      <c r="E1113" s="18">
        <v>1.9015</v>
      </c>
      <c r="F1113" s="27">
        <v>2.0195</v>
      </c>
      <c r="G1113" s="20">
        <v>4.9441992E7</v>
      </c>
      <c r="H1113" s="16" t="s">
        <v>88</v>
      </c>
      <c r="I1113" s="19">
        <v>-16.6009</v>
      </c>
      <c r="J1113" s="20">
        <v>4.63190434E8</v>
      </c>
      <c r="K1113" s="21"/>
      <c r="L1113" s="21">
        <v>-1.0812</v>
      </c>
      <c r="M1113" s="16" t="s">
        <v>6024</v>
      </c>
      <c r="N1113" s="16" t="s">
        <v>5471</v>
      </c>
      <c r="O1113" s="21"/>
      <c r="P1113" s="21">
        <v>-3.0761</v>
      </c>
      <c r="Q1113" s="21">
        <v>-2.9843</v>
      </c>
      <c r="R1113" s="21"/>
      <c r="S1113" s="21">
        <v>0.706</v>
      </c>
      <c r="T1113" s="22">
        <f>IFERROR(__xludf.DUMMYFUNCTION("IFERROR(GOOGLEFINANCE(B1113,""price""),"""")"),1.32)</f>
        <v>1.32</v>
      </c>
    </row>
    <row r="1114">
      <c r="A1114" s="7">
        <v>46080.62689683396</v>
      </c>
      <c r="B1114" s="8" t="s">
        <v>5514</v>
      </c>
      <c r="C1114" s="8" t="s">
        <v>5515</v>
      </c>
      <c r="D1114" s="9">
        <v>46082.0</v>
      </c>
      <c r="E1114" s="10">
        <v>9.495</v>
      </c>
      <c r="F1114" s="26">
        <v>1.2793</v>
      </c>
      <c r="G1114" s="12">
        <v>2.2762409E7</v>
      </c>
      <c r="H1114" s="8" t="s">
        <v>117</v>
      </c>
      <c r="I1114" s="11">
        <v>-0.5759</v>
      </c>
      <c r="J1114" s="12">
        <v>9.761918414E9</v>
      </c>
      <c r="K1114" s="13"/>
      <c r="L1114" s="13">
        <v>-0.3898</v>
      </c>
      <c r="M1114" s="8" t="s">
        <v>5516</v>
      </c>
      <c r="N1114" s="8" t="s">
        <v>5491</v>
      </c>
      <c r="O1114" s="13"/>
      <c r="P1114" s="13">
        <v>-225.9966</v>
      </c>
      <c r="Q1114" s="13">
        <v>668.3147</v>
      </c>
      <c r="R1114" s="13"/>
      <c r="S1114" s="13">
        <v>5.0989</v>
      </c>
      <c r="T1114" s="14">
        <f>IFERROR(__xludf.DUMMYFUNCTION("IFERROR(GOOGLEFINANCE(B1114,""price""),"""")"),7.28)</f>
        <v>7.28</v>
      </c>
    </row>
    <row r="1115">
      <c r="A1115" s="15">
        <v>46080.62689683396</v>
      </c>
      <c r="B1115" s="16" t="s">
        <v>5551</v>
      </c>
      <c r="C1115" s="16" t="s">
        <v>5552</v>
      </c>
      <c r="D1115" s="17">
        <v>46082.0</v>
      </c>
      <c r="E1115" s="18">
        <v>1.025</v>
      </c>
      <c r="F1115" s="27">
        <v>1.125</v>
      </c>
      <c r="G1115" s="20">
        <v>8098210.0</v>
      </c>
      <c r="H1115" s="16" t="s">
        <v>88</v>
      </c>
      <c r="I1115" s="19">
        <v>-5.0926</v>
      </c>
      <c r="J1115" s="20">
        <v>9.50795162E8</v>
      </c>
      <c r="K1115" s="21"/>
      <c r="L1115" s="21">
        <v>-0.7493</v>
      </c>
      <c r="M1115" s="16" t="s">
        <v>5553</v>
      </c>
      <c r="N1115" s="16" t="s">
        <v>5471</v>
      </c>
      <c r="O1115" s="21">
        <v>-2.7528</v>
      </c>
      <c r="P1115" s="21">
        <v>7.0352</v>
      </c>
      <c r="Q1115" s="21">
        <v>623.0875</v>
      </c>
      <c r="R1115" s="21">
        <v>0.3226</v>
      </c>
      <c r="S1115" s="21">
        <v>0.0737</v>
      </c>
      <c r="T1115" s="22">
        <f>IFERROR(__xludf.DUMMYFUNCTION("IFERROR(GOOGLEFINANCE(B1115,""price""),"""")"),0.95)</f>
        <v>0.95</v>
      </c>
    </row>
    <row r="1116">
      <c r="A1116" s="7">
        <v>46080.62689683396</v>
      </c>
      <c r="B1116" s="8" t="s">
        <v>6063</v>
      </c>
      <c r="C1116" s="8" t="s">
        <v>6064</v>
      </c>
      <c r="D1116" s="9">
        <v>46082.0</v>
      </c>
      <c r="E1116" s="10">
        <v>99.815</v>
      </c>
      <c r="F1116" s="26">
        <v>1.1166</v>
      </c>
      <c r="G1116" s="12">
        <v>1.785359E7</v>
      </c>
      <c r="H1116" s="8" t="s">
        <v>88</v>
      </c>
      <c r="I1116" s="11">
        <v>-15.0149</v>
      </c>
      <c r="J1116" s="12">
        <v>4.604518806E9</v>
      </c>
      <c r="K1116" s="13">
        <v>12.691</v>
      </c>
      <c r="L1116" s="13">
        <v>7.865</v>
      </c>
      <c r="M1116" s="8" t="s">
        <v>6065</v>
      </c>
      <c r="N1116" s="8" t="s">
        <v>5429</v>
      </c>
      <c r="O1116" s="13">
        <v>36.246</v>
      </c>
      <c r="P1116" s="13">
        <v>11.5523</v>
      </c>
      <c r="Q1116" s="13">
        <v>39.8591</v>
      </c>
      <c r="R1116" s="13">
        <v>0.0744</v>
      </c>
      <c r="S1116" s="13">
        <v>2.8214</v>
      </c>
      <c r="T1116" s="14">
        <f>IFERROR(__xludf.DUMMYFUNCTION("IFERROR(GOOGLEFINANCE(B1116,""price""),"""")"),90.03)</f>
        <v>90.03</v>
      </c>
    </row>
    <row r="1117">
      <c r="A1117" s="15">
        <v>46080.62689683396</v>
      </c>
      <c r="B1117" s="16" t="s">
        <v>6004</v>
      </c>
      <c r="C1117" s="16" t="s">
        <v>6005</v>
      </c>
      <c r="D1117" s="17">
        <v>46082.0</v>
      </c>
      <c r="E1117" s="18">
        <v>25.2</v>
      </c>
      <c r="F1117" s="27">
        <v>1.063</v>
      </c>
      <c r="G1117" s="20">
        <v>1.2272114E7</v>
      </c>
      <c r="H1117" s="16" t="s">
        <v>93</v>
      </c>
      <c r="I1117" s="19">
        <v>-25.9694</v>
      </c>
      <c r="J1117" s="20">
        <v>5.433796569E9</v>
      </c>
      <c r="K1117" s="21"/>
      <c r="L1117" s="21"/>
      <c r="M1117" s="16" t="s">
        <v>6006</v>
      </c>
      <c r="N1117" s="16" t="s">
        <v>5590</v>
      </c>
      <c r="O1117" s="21"/>
      <c r="P1117" s="21"/>
      <c r="Q1117" s="21"/>
      <c r="R1117" s="21">
        <v>0.6928</v>
      </c>
      <c r="S1117" s="21">
        <v>1.7614</v>
      </c>
      <c r="T1117" s="22">
        <f>IFERROR(__xludf.DUMMYFUNCTION("IFERROR(GOOGLEFINANCE(B1117,""price""),"""")"),34.08)</f>
        <v>34.08</v>
      </c>
    </row>
    <row r="1118">
      <c r="A1118" s="7">
        <v>46080.62689683396</v>
      </c>
      <c r="B1118" s="8" t="s">
        <v>5496</v>
      </c>
      <c r="C1118" s="8" t="s">
        <v>5497</v>
      </c>
      <c r="D1118" s="9">
        <v>46082.0</v>
      </c>
      <c r="E1118" s="10">
        <v>9.072</v>
      </c>
      <c r="F1118" s="26">
        <v>1.0293</v>
      </c>
      <c r="G1118" s="12">
        <v>9.1346267E7</v>
      </c>
      <c r="H1118" s="8" t="s">
        <v>88</v>
      </c>
      <c r="I1118" s="11">
        <v>7.3609</v>
      </c>
      <c r="J1118" s="12">
        <v>3.430888407E9</v>
      </c>
      <c r="K1118" s="13">
        <v>5.0238</v>
      </c>
      <c r="L1118" s="13">
        <v>1.8058</v>
      </c>
      <c r="M1118" s="8" t="s">
        <v>5498</v>
      </c>
      <c r="N1118" s="8" t="s">
        <v>5471</v>
      </c>
      <c r="O1118" s="13">
        <v>23.127</v>
      </c>
      <c r="P1118" s="13">
        <v>-67.8835</v>
      </c>
      <c r="Q1118" s="13">
        <v>53.5148</v>
      </c>
      <c r="R1118" s="13">
        <v>0.7061</v>
      </c>
      <c r="S1118" s="13">
        <v>2.094</v>
      </c>
      <c r="T1118" s="14">
        <f>IFERROR(__xludf.DUMMYFUNCTION("IFERROR(GOOGLEFINANCE(B1118,""price""),"""")"),9.54)</f>
        <v>9.54</v>
      </c>
    </row>
    <row r="1119">
      <c r="A1119" s="15">
        <v>46080.62689683396</v>
      </c>
      <c r="B1119" s="16" t="s">
        <v>5998</v>
      </c>
      <c r="C1119" s="16" t="s">
        <v>5999</v>
      </c>
      <c r="D1119" s="17">
        <v>46082.0</v>
      </c>
      <c r="E1119" s="18">
        <v>13.025</v>
      </c>
      <c r="F1119" s="27">
        <v>0.987</v>
      </c>
      <c r="G1119" s="20">
        <v>4.9996794E7</v>
      </c>
      <c r="H1119" s="16" t="s">
        <v>308</v>
      </c>
      <c r="I1119" s="19">
        <v>-36.2145</v>
      </c>
      <c r="J1119" s="20">
        <v>3.022344773E9</v>
      </c>
      <c r="K1119" s="21"/>
      <c r="L1119" s="21">
        <v>-11.177</v>
      </c>
      <c r="M1119" s="16" t="s">
        <v>6000</v>
      </c>
      <c r="N1119" s="16" t="s">
        <v>5414</v>
      </c>
      <c r="O1119" s="21">
        <v>-59.6838</v>
      </c>
      <c r="P1119" s="21">
        <v>-15.7502</v>
      </c>
      <c r="Q1119" s="21">
        <v>13.7949</v>
      </c>
      <c r="R1119" s="21">
        <v>4.9321</v>
      </c>
      <c r="S1119" s="21">
        <v>1.4573</v>
      </c>
      <c r="T1119" s="22">
        <f>IFERROR(__xludf.DUMMYFUNCTION("IFERROR(GOOGLEFINANCE(B1119,""price""),"""")"),13.28)</f>
        <v>13.28</v>
      </c>
    </row>
    <row r="1120">
      <c r="A1120" s="7">
        <v>46080.62689683396</v>
      </c>
      <c r="B1120" s="8" t="s">
        <v>5858</v>
      </c>
      <c r="C1120" s="8" t="s">
        <v>5859</v>
      </c>
      <c r="D1120" s="9">
        <v>46082.0</v>
      </c>
      <c r="E1120" s="10">
        <v>18.9309</v>
      </c>
      <c r="F1120" s="26">
        <v>0.937</v>
      </c>
      <c r="G1120" s="12">
        <v>7408600.0</v>
      </c>
      <c r="H1120" s="8" t="s">
        <v>88</v>
      </c>
      <c r="I1120" s="11">
        <v>5.4059</v>
      </c>
      <c r="J1120" s="12">
        <v>2.873710531E9</v>
      </c>
      <c r="K1120" s="13"/>
      <c r="L1120" s="13">
        <v>-0.8329</v>
      </c>
      <c r="M1120" s="8" t="s">
        <v>5860</v>
      </c>
      <c r="N1120" s="8" t="s">
        <v>5664</v>
      </c>
      <c r="O1120" s="13">
        <v>-12.8431</v>
      </c>
      <c r="P1120" s="13">
        <v>-19.0035</v>
      </c>
      <c r="Q1120" s="13">
        <v>14.7776</v>
      </c>
      <c r="R1120" s="13">
        <v>0.4628</v>
      </c>
      <c r="S1120" s="13">
        <v>2.6119</v>
      </c>
      <c r="T1120" s="14">
        <f>IFERROR(__xludf.DUMMYFUNCTION("IFERROR(GOOGLEFINANCE(B1120,""price""),"""")"),23.07)</f>
        <v>23.07</v>
      </c>
    </row>
    <row r="1121">
      <c r="A1121" s="15">
        <v>46080.62689683396</v>
      </c>
      <c r="B1121" s="16" t="s">
        <v>5499</v>
      </c>
      <c r="C1121" s="16" t="s">
        <v>5500</v>
      </c>
      <c r="D1121" s="17">
        <v>46082.0</v>
      </c>
      <c r="E1121" s="18">
        <v>3.87</v>
      </c>
      <c r="F1121" s="27">
        <v>0.9063</v>
      </c>
      <c r="G1121" s="20">
        <v>1.3062098E7</v>
      </c>
      <c r="H1121" s="16" t="s">
        <v>117</v>
      </c>
      <c r="I1121" s="19">
        <v>2.1108</v>
      </c>
      <c r="J1121" s="20">
        <v>1.59429141E9</v>
      </c>
      <c r="K1121" s="21"/>
      <c r="L1121" s="21">
        <v>-1.1209</v>
      </c>
      <c r="M1121" s="16" t="s">
        <v>5501</v>
      </c>
      <c r="N1121" s="16" t="s">
        <v>5502</v>
      </c>
      <c r="O1121" s="21">
        <v>-55.4977</v>
      </c>
      <c r="P1121" s="21">
        <v>-151.1805</v>
      </c>
      <c r="Q1121" s="21">
        <v>60.5668</v>
      </c>
      <c r="R1121" s="21">
        <v>0.0708</v>
      </c>
      <c r="S1121" s="21">
        <v>3.1996</v>
      </c>
      <c r="T1121" s="22">
        <f>IFERROR(__xludf.DUMMYFUNCTION("IFERROR(GOOGLEFINANCE(B1121,""price""),"""")"),3.7)</f>
        <v>3.7</v>
      </c>
    </row>
    <row r="1122">
      <c r="A1122" s="7">
        <v>46080.62689683396</v>
      </c>
      <c r="B1122" s="8" t="s">
        <v>5623</v>
      </c>
      <c r="C1122" s="8" t="s">
        <v>5624</v>
      </c>
      <c r="D1122" s="9">
        <v>46082.0</v>
      </c>
      <c r="E1122" s="10">
        <v>4.655</v>
      </c>
      <c r="F1122" s="26">
        <v>0.875</v>
      </c>
      <c r="G1122" s="12">
        <v>1.8043209E7</v>
      </c>
      <c r="H1122" s="8" t="s">
        <v>88</v>
      </c>
      <c r="I1122" s="11">
        <v>-1.1677</v>
      </c>
      <c r="J1122" s="12">
        <v>9.071725436E9</v>
      </c>
      <c r="K1122" s="13"/>
      <c r="L1122" s="13">
        <v>-0.4446</v>
      </c>
      <c r="M1122" s="8" t="s">
        <v>5625</v>
      </c>
      <c r="N1122" s="8" t="s">
        <v>5429</v>
      </c>
      <c r="O1122" s="13">
        <v>-40.6476</v>
      </c>
      <c r="P1122" s="13">
        <v>-30033.3333</v>
      </c>
      <c r="Q1122" s="13"/>
      <c r="R1122" s="13">
        <v>0.0393</v>
      </c>
      <c r="S1122" s="13">
        <v>11.8649</v>
      </c>
      <c r="T1122" s="14">
        <f>IFERROR(__xludf.DUMMYFUNCTION("IFERROR(GOOGLEFINANCE(B1122,""price""),"""")"),4.15)</f>
        <v>4.15</v>
      </c>
    </row>
    <row r="1123">
      <c r="A1123" s="15">
        <v>46080.62689683396</v>
      </c>
      <c r="B1123" s="16" t="s">
        <v>5649</v>
      </c>
      <c r="C1123" s="16" t="s">
        <v>5650</v>
      </c>
      <c r="D1123" s="17">
        <v>46082.0</v>
      </c>
      <c r="E1123" s="18">
        <v>23.905</v>
      </c>
      <c r="F1123" s="27">
        <v>0.8441</v>
      </c>
      <c r="G1123" s="20">
        <v>7997892.0</v>
      </c>
      <c r="H1123" s="16" t="s">
        <v>88</v>
      </c>
      <c r="I1123" s="19">
        <v>-6.6211</v>
      </c>
      <c r="J1123" s="20">
        <v>8.097909899E9</v>
      </c>
      <c r="K1123" s="21"/>
      <c r="L1123" s="21">
        <v>-0.4263</v>
      </c>
      <c r="M1123" s="16" t="s">
        <v>5651</v>
      </c>
      <c r="N1123" s="16" t="s">
        <v>5429</v>
      </c>
      <c r="O1123" s="21">
        <v>-31.8263</v>
      </c>
      <c r="P1123" s="21">
        <v>-26.3989</v>
      </c>
      <c r="Q1123" s="21">
        <v>16.8876</v>
      </c>
      <c r="R1123" s="21">
        <v>1.3198</v>
      </c>
      <c r="S1123" s="21">
        <v>3.9903</v>
      </c>
      <c r="T1123" s="22">
        <f>IFERROR(__xludf.DUMMYFUNCTION("IFERROR(GOOGLEFINANCE(B1123,""price""),"""")"),34.67)</f>
        <v>34.67</v>
      </c>
    </row>
    <row r="1124">
      <c r="A1124" s="7">
        <v>46080.62689683396</v>
      </c>
      <c r="B1124" s="8" t="s">
        <v>5517</v>
      </c>
      <c r="C1124" s="8" t="s">
        <v>5518</v>
      </c>
      <c r="D1124" s="9">
        <v>46082.0</v>
      </c>
      <c r="E1124" s="10">
        <v>8.975</v>
      </c>
      <c r="F1124" s="26">
        <v>0.8438</v>
      </c>
      <c r="G1124" s="12">
        <v>1.3281435E7</v>
      </c>
      <c r="H1124" s="8" t="s">
        <v>308</v>
      </c>
      <c r="I1124" s="11">
        <v>-6.0209</v>
      </c>
      <c r="J1124" s="12">
        <v>1.482228346E9</v>
      </c>
      <c r="K1124" s="13"/>
      <c r="L1124" s="13">
        <v>-2.3761</v>
      </c>
      <c r="M1124" s="8" t="s">
        <v>5519</v>
      </c>
      <c r="N1124" s="8" t="s">
        <v>5520</v>
      </c>
      <c r="O1124" s="13">
        <v>-52.0031</v>
      </c>
      <c r="P1124" s="13">
        <v>-50.4492</v>
      </c>
      <c r="Q1124" s="13">
        <v>10.2861</v>
      </c>
      <c r="R1124" s="13">
        <v>0.1895</v>
      </c>
      <c r="S1124" s="13">
        <v>1.6246</v>
      </c>
      <c r="T1124" s="14">
        <f>IFERROR(__xludf.DUMMYFUNCTION("IFERROR(GOOGLEFINANCE(B1124,""price""),"""")"),9.29)</f>
        <v>9.29</v>
      </c>
    </row>
    <row r="1125">
      <c r="A1125" s="15">
        <v>46080.62689683396</v>
      </c>
      <c r="B1125" s="16" t="s">
        <v>5527</v>
      </c>
      <c r="C1125" s="16" t="s">
        <v>5528</v>
      </c>
      <c r="D1125" s="17">
        <v>46082.0</v>
      </c>
      <c r="E1125" s="18">
        <v>11.585</v>
      </c>
      <c r="F1125" s="27">
        <v>0.8398</v>
      </c>
      <c r="G1125" s="20">
        <v>8165583.0</v>
      </c>
      <c r="H1125" s="16" t="s">
        <v>88</v>
      </c>
      <c r="I1125" s="19">
        <v>-10.816</v>
      </c>
      <c r="J1125" s="20">
        <v>1.382914627E9</v>
      </c>
      <c r="K1125" s="21"/>
      <c r="L1125" s="21"/>
      <c r="M1125" s="16" t="s">
        <v>5529</v>
      </c>
      <c r="N1125" s="16" t="s">
        <v>5429</v>
      </c>
      <c r="O1125" s="21"/>
      <c r="P1125" s="21"/>
      <c r="Q1125" s="21"/>
      <c r="R1125" s="21">
        <v>0.0885</v>
      </c>
      <c r="S1125" s="21">
        <v>10.416</v>
      </c>
      <c r="T1125" s="22">
        <f>IFERROR(__xludf.DUMMYFUNCTION("IFERROR(GOOGLEFINANCE(B1125,""price""),"""")"),12.37)</f>
        <v>12.37</v>
      </c>
    </row>
    <row r="1126">
      <c r="A1126" s="7">
        <v>46080.62689683396</v>
      </c>
      <c r="B1126" s="8" t="s">
        <v>6066</v>
      </c>
      <c r="C1126" s="8" t="s">
        <v>6067</v>
      </c>
      <c r="D1126" s="9">
        <v>46082.0</v>
      </c>
      <c r="E1126" s="10">
        <v>5.915</v>
      </c>
      <c r="F1126" s="26">
        <v>0.7969</v>
      </c>
      <c r="G1126" s="12">
        <v>7773566.0</v>
      </c>
      <c r="H1126" s="8" t="s">
        <v>308</v>
      </c>
      <c r="I1126" s="11">
        <v>-6.8504</v>
      </c>
      <c r="J1126" s="12">
        <v>9.90102535E8</v>
      </c>
      <c r="K1126" s="13">
        <v>29.6789</v>
      </c>
      <c r="L1126" s="13">
        <v>0.1993</v>
      </c>
      <c r="M1126" s="8" t="s">
        <v>6068</v>
      </c>
      <c r="N1126" s="8" t="s">
        <v>5414</v>
      </c>
      <c r="O1126" s="13">
        <v>5.8048</v>
      </c>
      <c r="P1126" s="13">
        <v>11.8623</v>
      </c>
      <c r="Q1126" s="13">
        <v>19.0685</v>
      </c>
      <c r="R1126" s="13">
        <v>0.2977</v>
      </c>
      <c r="S1126" s="13">
        <v>2.0254</v>
      </c>
      <c r="T1126" s="14">
        <f>IFERROR(__xludf.DUMMYFUNCTION("IFERROR(GOOGLEFINANCE(B1126,""price""),"""")"),6.98)</f>
        <v>6.98</v>
      </c>
    </row>
    <row r="1127">
      <c r="A1127" s="15">
        <v>46080.62689683396</v>
      </c>
      <c r="B1127" s="16" t="s">
        <v>6069</v>
      </c>
      <c r="C1127" s="16" t="s">
        <v>6070</v>
      </c>
      <c r="D1127" s="17">
        <v>46082.0</v>
      </c>
      <c r="E1127" s="18">
        <v>12.2</v>
      </c>
      <c r="F1127" s="27">
        <v>0.791</v>
      </c>
      <c r="G1127" s="20">
        <v>9714634.0</v>
      </c>
      <c r="H1127" s="16" t="s">
        <v>137</v>
      </c>
      <c r="I1127" s="19">
        <v>-1.5335</v>
      </c>
      <c r="J1127" s="20">
        <v>1.423530762E9</v>
      </c>
      <c r="K1127" s="21"/>
      <c r="L1127" s="21">
        <v>-1.3871</v>
      </c>
      <c r="M1127" s="16" t="s">
        <v>6071</v>
      </c>
      <c r="N1127" s="16" t="s">
        <v>5743</v>
      </c>
      <c r="O1127" s="21"/>
      <c r="P1127" s="21">
        <v>-5.0769</v>
      </c>
      <c r="Q1127" s="21">
        <v>14.3012</v>
      </c>
      <c r="R1127" s="21"/>
      <c r="S1127" s="21">
        <v>0.8069</v>
      </c>
      <c r="T1127" s="22">
        <f>IFERROR(__xludf.DUMMYFUNCTION("IFERROR(GOOGLEFINANCE(B1127,""price""),"""")"),9.69)</f>
        <v>9.69</v>
      </c>
    </row>
    <row r="1128">
      <c r="A1128" s="7">
        <v>46080.62689683396</v>
      </c>
      <c r="B1128" s="8" t="s">
        <v>5948</v>
      </c>
      <c r="C1128" s="8" t="s">
        <v>5949</v>
      </c>
      <c r="D1128" s="9">
        <v>46082.0</v>
      </c>
      <c r="E1128" s="10">
        <v>4.915</v>
      </c>
      <c r="F1128" s="26">
        <v>0.7891</v>
      </c>
      <c r="G1128" s="12">
        <v>9933666.0</v>
      </c>
      <c r="H1128" s="8" t="s">
        <v>117</v>
      </c>
      <c r="I1128" s="11">
        <v>-0.1016</v>
      </c>
      <c r="J1128" s="12">
        <v>7.00103573E8</v>
      </c>
      <c r="K1128" s="13"/>
      <c r="L1128" s="13">
        <v>-0.2869</v>
      </c>
      <c r="M1128" s="8" t="s">
        <v>5950</v>
      </c>
      <c r="N1128" s="8" t="s">
        <v>5491</v>
      </c>
      <c r="O1128" s="13">
        <v>-84.3341</v>
      </c>
      <c r="P1128" s="13"/>
      <c r="Q1128" s="13"/>
      <c r="R1128" s="13">
        <v>0.0131</v>
      </c>
      <c r="S1128" s="13">
        <v>8.2786</v>
      </c>
      <c r="T1128" s="14">
        <f>IFERROR(__xludf.DUMMYFUNCTION("IFERROR(GOOGLEFINANCE(B1128,""price""),"""")"),4.76)</f>
        <v>4.76</v>
      </c>
    </row>
    <row r="1129">
      <c r="A1129" s="15">
        <v>46080.62689683396</v>
      </c>
      <c r="B1129" s="16" t="s">
        <v>6056</v>
      </c>
      <c r="C1129" s="16" t="s">
        <v>6057</v>
      </c>
      <c r="D1129" s="17">
        <v>46082.0</v>
      </c>
      <c r="E1129" s="18">
        <v>5.285</v>
      </c>
      <c r="F1129" s="27">
        <v>0.7891</v>
      </c>
      <c r="G1129" s="20">
        <v>8506514.0</v>
      </c>
      <c r="H1129" s="16" t="s">
        <v>102</v>
      </c>
      <c r="I1129" s="19">
        <v>-11.1765</v>
      </c>
      <c r="J1129" s="20">
        <v>1.148031137E9</v>
      </c>
      <c r="K1129" s="21"/>
      <c r="L1129" s="21">
        <v>-0.7707</v>
      </c>
      <c r="M1129" s="16" t="s">
        <v>6058</v>
      </c>
      <c r="N1129" s="16" t="s">
        <v>5536</v>
      </c>
      <c r="O1129" s="21">
        <v>-60.523</v>
      </c>
      <c r="P1129" s="21">
        <v>-557.0347</v>
      </c>
      <c r="Q1129" s="21">
        <v>37.9085</v>
      </c>
      <c r="R1129" s="21">
        <v>1.9924</v>
      </c>
      <c r="S1129" s="21">
        <v>8.3396</v>
      </c>
      <c r="T1129" s="22">
        <f>IFERROR(__xludf.DUMMYFUNCTION("IFERROR(GOOGLEFINANCE(B1129,""price""),"""")"),6.09)</f>
        <v>6.09</v>
      </c>
    </row>
    <row r="1130">
      <c r="A1130" s="7">
        <v>46080.62689683396</v>
      </c>
      <c r="B1130" s="8" t="s">
        <v>6001</v>
      </c>
      <c r="C1130" s="8" t="s">
        <v>6002</v>
      </c>
      <c r="D1130" s="9">
        <v>46082.0</v>
      </c>
      <c r="E1130" s="10">
        <v>67.7299</v>
      </c>
      <c r="F1130" s="26">
        <v>0.7877</v>
      </c>
      <c r="G1130" s="12">
        <v>1.8743849E7</v>
      </c>
      <c r="H1130" s="8" t="s">
        <v>308</v>
      </c>
      <c r="I1130" s="11">
        <v>-6.7723</v>
      </c>
      <c r="J1130" s="12">
        <v>3.6178354291E10</v>
      </c>
      <c r="K1130" s="13"/>
      <c r="L1130" s="13">
        <v>-0.3877</v>
      </c>
      <c r="M1130" s="8" t="s">
        <v>6003</v>
      </c>
      <c r="N1130" s="8" t="s">
        <v>5520</v>
      </c>
      <c r="O1130" s="13">
        <v>-23.2396</v>
      </c>
      <c r="P1130" s="13">
        <v>-41.3581</v>
      </c>
      <c r="Q1130" s="13">
        <v>52.4214</v>
      </c>
      <c r="R1130" s="13">
        <v>0.4033</v>
      </c>
      <c r="S1130" s="13">
        <v>3.1763</v>
      </c>
      <c r="T1130" s="14">
        <f>IFERROR(__xludf.DUMMYFUNCTION("IFERROR(GOOGLEFINANCE(B1130,""price""),"""")"),68.05)</f>
        <v>68.05</v>
      </c>
    </row>
    <row r="1131">
      <c r="A1131" s="15">
        <v>46080.62689683396</v>
      </c>
      <c r="B1131" s="16" t="s">
        <v>6072</v>
      </c>
      <c r="C1131" s="16" t="s">
        <v>6073</v>
      </c>
      <c r="D1131" s="17">
        <v>46082.0</v>
      </c>
      <c r="E1131" s="18">
        <v>15.7</v>
      </c>
      <c r="F1131" s="27">
        <v>0.7754</v>
      </c>
      <c r="G1131" s="20">
        <v>2.2788178E7</v>
      </c>
      <c r="H1131" s="16" t="s">
        <v>286</v>
      </c>
      <c r="I1131" s="19">
        <v>25.9022</v>
      </c>
      <c r="J1131" s="20">
        <v>2.58262962E9</v>
      </c>
      <c r="K1131" s="21">
        <v>158.1067</v>
      </c>
      <c r="L1131" s="21">
        <v>0.0993</v>
      </c>
      <c r="M1131" s="16" t="s">
        <v>6074</v>
      </c>
      <c r="N1131" s="16" t="s">
        <v>5586</v>
      </c>
      <c r="O1131" s="21">
        <v>4.3162</v>
      </c>
      <c r="P1131" s="21">
        <v>4.8601</v>
      </c>
      <c r="Q1131" s="21">
        <v>5.9035</v>
      </c>
      <c r="R1131" s="21">
        <v>0.1309</v>
      </c>
      <c r="S1131" s="21">
        <v>4.8237</v>
      </c>
      <c r="T1131" s="22">
        <f>IFERROR(__xludf.DUMMYFUNCTION("IFERROR(GOOGLEFINANCE(B1131,""price""),"""")"),14.22)</f>
        <v>14.22</v>
      </c>
    </row>
    <row r="1132">
      <c r="A1132" s="7">
        <v>46080.62689683396</v>
      </c>
      <c r="B1132" s="8" t="s">
        <v>6075</v>
      </c>
      <c r="C1132" s="8" t="s">
        <v>6076</v>
      </c>
      <c r="D1132" s="9">
        <v>46082.0</v>
      </c>
      <c r="E1132" s="10">
        <v>17.245</v>
      </c>
      <c r="F1132" s="26">
        <v>0.7695</v>
      </c>
      <c r="G1132" s="12">
        <v>2.0665505E7</v>
      </c>
      <c r="H1132" s="8" t="s">
        <v>917</v>
      </c>
      <c r="I1132" s="11">
        <v>6.1231</v>
      </c>
      <c r="J1132" s="12">
        <v>1.2280525104E10</v>
      </c>
      <c r="K1132" s="13">
        <v>10.5012</v>
      </c>
      <c r="L1132" s="13">
        <v>1.6422</v>
      </c>
      <c r="M1132" s="8" t="s">
        <v>6077</v>
      </c>
      <c r="N1132" s="8" t="s">
        <v>5883</v>
      </c>
      <c r="O1132" s="13">
        <v>23.021</v>
      </c>
      <c r="P1132" s="13">
        <v>14.809</v>
      </c>
      <c r="Q1132" s="13">
        <v>-1.5467</v>
      </c>
      <c r="R1132" s="13">
        <v>5.1527</v>
      </c>
      <c r="S1132" s="13">
        <v>0.7229</v>
      </c>
      <c r="T1132" s="14">
        <f>IFERROR(__xludf.DUMMYFUNCTION("IFERROR(GOOGLEFINANCE(B1132,""price""),"""")"),14.39)</f>
        <v>14.39</v>
      </c>
    </row>
    <row r="1133">
      <c r="A1133" s="15">
        <v>46080.62689683396</v>
      </c>
      <c r="B1133" s="16" t="s">
        <v>2775</v>
      </c>
      <c r="C1133" s="16" t="s">
        <v>2776</v>
      </c>
      <c r="D1133" s="17">
        <v>46082.0</v>
      </c>
      <c r="E1133" s="18">
        <v>54.61</v>
      </c>
      <c r="F1133" s="27">
        <v>0.7643</v>
      </c>
      <c r="G1133" s="20">
        <v>8490183.0</v>
      </c>
      <c r="H1133" s="16" t="s">
        <v>93</v>
      </c>
      <c r="I1133" s="19">
        <v>-4.628</v>
      </c>
      <c r="J1133" s="20">
        <v>8.4847325194E10</v>
      </c>
      <c r="K1133" s="21">
        <v>11.826</v>
      </c>
      <c r="L1133" s="21">
        <v>4.6178</v>
      </c>
      <c r="M1133" s="16" t="s">
        <v>2778</v>
      </c>
      <c r="N1133" s="16" t="s">
        <v>5464</v>
      </c>
      <c r="O1133" s="21">
        <v>12.1563</v>
      </c>
      <c r="P1133" s="21">
        <v>23.7837</v>
      </c>
      <c r="Q1133" s="21">
        <v>1.4443</v>
      </c>
      <c r="R1133" s="21">
        <v>1.2171</v>
      </c>
      <c r="S1133" s="21">
        <v>0.139</v>
      </c>
      <c r="T1133" s="22">
        <f>IFERROR(__xludf.DUMMYFUNCTION("IFERROR(GOOGLEFINANCE(B1133,""price""),"""")"),55.66)</f>
        <v>55.66</v>
      </c>
    </row>
    <row r="1134">
      <c r="A1134" s="7">
        <v>46080.62689683396</v>
      </c>
      <c r="B1134" s="8" t="s">
        <v>6078</v>
      </c>
      <c r="C1134" s="8" t="s">
        <v>6079</v>
      </c>
      <c r="D1134" s="9">
        <v>46082.0</v>
      </c>
      <c r="E1134" s="10">
        <v>9.66</v>
      </c>
      <c r="F1134" s="26">
        <v>0.7598</v>
      </c>
      <c r="G1134" s="12">
        <v>8419318.0</v>
      </c>
      <c r="H1134" s="8" t="s">
        <v>270</v>
      </c>
      <c r="I1134" s="11">
        <v>2.0063</v>
      </c>
      <c r="J1134" s="12">
        <v>2.3648748986E10</v>
      </c>
      <c r="K1134" s="13">
        <v>11.354</v>
      </c>
      <c r="L1134" s="13">
        <v>0.8508</v>
      </c>
      <c r="M1134" s="8" t="s">
        <v>6080</v>
      </c>
      <c r="N1134" s="8" t="s">
        <v>5777</v>
      </c>
      <c r="O1134" s="13">
        <v>46.1895</v>
      </c>
      <c r="P1134" s="13">
        <v>37.0299</v>
      </c>
      <c r="Q1134" s="13">
        <v>113.5433</v>
      </c>
      <c r="R1134" s="13">
        <v>4.5824</v>
      </c>
      <c r="S1134" s="13">
        <v>0.8305</v>
      </c>
      <c r="T1134" s="14">
        <f>IFERROR(__xludf.DUMMYFUNCTION("IFERROR(GOOGLEFINANCE(B1134,""price""),"""")"),12.97)</f>
        <v>12.97</v>
      </c>
    </row>
    <row r="1135">
      <c r="A1135" s="15">
        <v>46080.62689683396</v>
      </c>
      <c r="B1135" s="16" t="s">
        <v>5920</v>
      </c>
      <c r="C1135" s="16" t="s">
        <v>5921</v>
      </c>
      <c r="D1135" s="17">
        <v>46082.0</v>
      </c>
      <c r="E1135" s="18">
        <v>24.815</v>
      </c>
      <c r="F1135" s="27">
        <v>0.7427</v>
      </c>
      <c r="G1135" s="20">
        <v>1.5179786E7</v>
      </c>
      <c r="H1135" s="16" t="s">
        <v>149</v>
      </c>
      <c r="I1135" s="19">
        <v>0.3032</v>
      </c>
      <c r="J1135" s="20">
        <v>5.05037385E9</v>
      </c>
      <c r="K1135" s="21"/>
      <c r="L1135" s="21">
        <v>-2.432</v>
      </c>
      <c r="M1135" s="16" t="s">
        <v>5922</v>
      </c>
      <c r="N1135" s="16" t="s">
        <v>5923</v>
      </c>
      <c r="O1135" s="21">
        <v>-13.1053</v>
      </c>
      <c r="P1135" s="21">
        <v>18.0916</v>
      </c>
      <c r="Q1135" s="21">
        <v>2.1432</v>
      </c>
      <c r="R1135" s="21">
        <v>7.3122</v>
      </c>
      <c r="S1135" s="21">
        <v>0.8003</v>
      </c>
      <c r="T1135" s="22">
        <f>IFERROR(__xludf.DUMMYFUNCTION("IFERROR(GOOGLEFINANCE(B1135,""price""),"""")"),26.88)</f>
        <v>26.88</v>
      </c>
    </row>
    <row r="1136">
      <c r="A1136" s="7">
        <v>46080.62689683396</v>
      </c>
      <c r="B1136" s="8" t="s">
        <v>6081</v>
      </c>
      <c r="C1136" s="8" t="s">
        <v>6082</v>
      </c>
      <c r="D1136" s="9">
        <v>46082.0</v>
      </c>
      <c r="E1136" s="10">
        <v>5.505</v>
      </c>
      <c r="F1136" s="26">
        <v>0.7344</v>
      </c>
      <c r="G1136" s="12">
        <v>8465666.0</v>
      </c>
      <c r="H1136" s="8" t="s">
        <v>149</v>
      </c>
      <c r="I1136" s="11">
        <v>-10.342</v>
      </c>
      <c r="J1136" s="12">
        <v>6.51646357E8</v>
      </c>
      <c r="K1136" s="13"/>
      <c r="L1136" s="13">
        <v>-0.9657</v>
      </c>
      <c r="M1136" s="8" t="s">
        <v>6083</v>
      </c>
      <c r="N1136" s="8" t="s">
        <v>5718</v>
      </c>
      <c r="O1136" s="13">
        <v>-26.4705</v>
      </c>
      <c r="P1136" s="13">
        <v>-14.0356</v>
      </c>
      <c r="Q1136" s="13">
        <v>2.4271</v>
      </c>
      <c r="R1136" s="13">
        <v>0.9062</v>
      </c>
      <c r="S1136" s="13">
        <v>1.2901</v>
      </c>
      <c r="T1136" s="14">
        <f>IFERROR(__xludf.DUMMYFUNCTION("IFERROR(GOOGLEFINANCE(B1136,""price""),"""")"),6.16)</f>
        <v>6.16</v>
      </c>
    </row>
    <row r="1137">
      <c r="A1137" s="15">
        <v>46080.62689683396</v>
      </c>
      <c r="B1137" s="16" t="s">
        <v>4884</v>
      </c>
      <c r="C1137" s="16" t="s">
        <v>4885</v>
      </c>
      <c r="D1137" s="17">
        <v>46082.0</v>
      </c>
      <c r="E1137" s="18">
        <v>16.765</v>
      </c>
      <c r="F1137" s="27">
        <v>0.7207</v>
      </c>
      <c r="G1137" s="20">
        <v>1.1136173E7</v>
      </c>
      <c r="H1137" s="16" t="s">
        <v>88</v>
      </c>
      <c r="I1137" s="19">
        <v>-6.7575</v>
      </c>
      <c r="J1137" s="20">
        <v>5.198177727E9</v>
      </c>
      <c r="K1137" s="21">
        <v>120.3518</v>
      </c>
      <c r="L1137" s="21">
        <v>0.1393</v>
      </c>
      <c r="M1137" s="16" t="s">
        <v>4886</v>
      </c>
      <c r="N1137" s="16" t="s">
        <v>5471</v>
      </c>
      <c r="O1137" s="21"/>
      <c r="P1137" s="21">
        <v>-56.2854</v>
      </c>
      <c r="Q1137" s="21">
        <v>-40.0761</v>
      </c>
      <c r="R1137" s="21"/>
      <c r="S1137" s="21">
        <v>1.584</v>
      </c>
      <c r="T1137" s="22">
        <f>IFERROR(__xludf.DUMMYFUNCTION("IFERROR(GOOGLEFINANCE(B1137,""price""),"""")"),18.32)</f>
        <v>18.32</v>
      </c>
    </row>
    <row r="1138">
      <c r="A1138" s="7">
        <v>46080.62689683396</v>
      </c>
      <c r="B1138" s="8" t="s">
        <v>5901</v>
      </c>
      <c r="C1138" s="8" t="s">
        <v>5902</v>
      </c>
      <c r="D1138" s="9">
        <v>46082.0</v>
      </c>
      <c r="E1138" s="10">
        <v>24.615</v>
      </c>
      <c r="F1138" s="26">
        <v>0.7188</v>
      </c>
      <c r="G1138" s="12">
        <v>1.919456E7</v>
      </c>
      <c r="H1138" s="8" t="s">
        <v>149</v>
      </c>
      <c r="I1138" s="11">
        <v>-1.6187</v>
      </c>
      <c r="J1138" s="12">
        <v>1.1206163748E10</v>
      </c>
      <c r="K1138" s="13">
        <v>18.7514</v>
      </c>
      <c r="L1138" s="13">
        <v>1.3127</v>
      </c>
      <c r="M1138" s="8" t="s">
        <v>5903</v>
      </c>
      <c r="N1138" s="8" t="s">
        <v>5904</v>
      </c>
      <c r="O1138" s="13">
        <v>39.8705</v>
      </c>
      <c r="P1138" s="13">
        <v>16.4299</v>
      </c>
      <c r="Q1138" s="13">
        <v>3.589</v>
      </c>
      <c r="R1138" s="13">
        <v>6.9972</v>
      </c>
      <c r="S1138" s="13">
        <v>0.1947</v>
      </c>
      <c r="T1138" s="14">
        <f>IFERROR(__xludf.DUMMYFUNCTION("IFERROR(GOOGLEFINANCE(B1138,""price""),"""")"),19.96)</f>
        <v>19.96</v>
      </c>
    </row>
    <row r="1139">
      <c r="A1139" s="15">
        <v>46080.62689683396</v>
      </c>
      <c r="B1139" s="16" t="s">
        <v>5175</v>
      </c>
      <c r="C1139" s="16" t="s">
        <v>5176</v>
      </c>
      <c r="D1139" s="17">
        <v>46082.0</v>
      </c>
      <c r="E1139" s="18">
        <v>4.455</v>
      </c>
      <c r="F1139" s="27">
        <v>0.7031</v>
      </c>
      <c r="G1139" s="20">
        <v>1.1883323E7</v>
      </c>
      <c r="H1139" s="16" t="s">
        <v>93</v>
      </c>
      <c r="I1139" s="19">
        <v>-2.0879</v>
      </c>
      <c r="J1139" s="20">
        <v>7.215945288E9</v>
      </c>
      <c r="K1139" s="21">
        <v>73.0328</v>
      </c>
      <c r="L1139" s="21">
        <v>0.061</v>
      </c>
      <c r="M1139" s="16" t="s">
        <v>5177</v>
      </c>
      <c r="N1139" s="16" t="s">
        <v>5590</v>
      </c>
      <c r="O1139" s="21">
        <v>15.1674</v>
      </c>
      <c r="P1139" s="21">
        <v>45.0562</v>
      </c>
      <c r="Q1139" s="21">
        <v>32.5086</v>
      </c>
      <c r="R1139" s="21">
        <v>72.3717</v>
      </c>
      <c r="S1139" s="21">
        <v>0.2525</v>
      </c>
      <c r="T1139" s="22">
        <f>IFERROR(__xludf.DUMMYFUNCTION("IFERROR(GOOGLEFINANCE(B1139,""price""),"""")"),3.69)</f>
        <v>3.69</v>
      </c>
    </row>
    <row r="1140">
      <c r="A1140" s="7">
        <v>46080.62689683396</v>
      </c>
      <c r="B1140" s="8" t="s">
        <v>5792</v>
      </c>
      <c r="C1140" s="8" t="s">
        <v>5793</v>
      </c>
      <c r="D1140" s="9">
        <v>46082.0</v>
      </c>
      <c r="E1140" s="10">
        <v>9.89</v>
      </c>
      <c r="F1140" s="26">
        <v>0.6777</v>
      </c>
      <c r="G1140" s="12">
        <v>2.2893234E7</v>
      </c>
      <c r="H1140" s="8" t="s">
        <v>88</v>
      </c>
      <c r="I1140" s="11">
        <v>-1.1</v>
      </c>
      <c r="J1140" s="12">
        <v>7.163282779E9</v>
      </c>
      <c r="K1140" s="13"/>
      <c r="L1140" s="13">
        <v>-0.1129</v>
      </c>
      <c r="M1140" s="8" t="s">
        <v>5794</v>
      </c>
      <c r="N1140" s="8" t="s">
        <v>5429</v>
      </c>
      <c r="O1140" s="13">
        <v>-9.3898</v>
      </c>
      <c r="P1140" s="13">
        <v>-0.4502</v>
      </c>
      <c r="Q1140" s="13">
        <v>24.2671</v>
      </c>
      <c r="R1140" s="13">
        <v>0.622</v>
      </c>
      <c r="S1140" s="13">
        <v>0.8013</v>
      </c>
      <c r="T1140" s="14">
        <f>IFERROR(__xludf.DUMMYFUNCTION("IFERROR(GOOGLEFINANCE(B1140,""price""),"""")"),7.14)</f>
        <v>7.14</v>
      </c>
    </row>
    <row r="1141">
      <c r="A1141" s="15">
        <v>46080.62689683396</v>
      </c>
      <c r="B1141" s="16" t="s">
        <v>5574</v>
      </c>
      <c r="C1141" s="16" t="s">
        <v>5575</v>
      </c>
      <c r="D1141" s="17">
        <v>46082.0</v>
      </c>
      <c r="E1141" s="18">
        <v>21.47</v>
      </c>
      <c r="F1141" s="27">
        <v>0.6567</v>
      </c>
      <c r="G1141" s="20">
        <v>8433062.0</v>
      </c>
      <c r="H1141" s="16" t="s">
        <v>335</v>
      </c>
      <c r="I1141" s="19">
        <v>-5.9982</v>
      </c>
      <c r="J1141" s="20">
        <v>5.094546738E9</v>
      </c>
      <c r="K1141" s="21"/>
      <c r="L1141" s="21">
        <v>-0.4849</v>
      </c>
      <c r="M1141" s="16" t="s">
        <v>5576</v>
      </c>
      <c r="N1141" s="16" t="s">
        <v>5506</v>
      </c>
      <c r="O1141" s="21">
        <v>-18.1731</v>
      </c>
      <c r="P1141" s="21">
        <v>-129.5586</v>
      </c>
      <c r="Q1141" s="21">
        <v>103.694</v>
      </c>
      <c r="R1141" s="21">
        <v>0.0</v>
      </c>
      <c r="S1141" s="21">
        <v>11.4962</v>
      </c>
      <c r="T1141" s="22">
        <f>IFERROR(__xludf.DUMMYFUNCTION("IFERROR(GOOGLEFINANCE(B1141,""price""),"""")"),18.4)</f>
        <v>18.4</v>
      </c>
    </row>
    <row r="1142">
      <c r="A1142" s="7">
        <v>46083.628295096896</v>
      </c>
      <c r="B1142" s="8" t="s">
        <v>627</v>
      </c>
      <c r="C1142" s="8" t="s">
        <v>628</v>
      </c>
      <c r="D1142" s="9">
        <v>46089.0</v>
      </c>
      <c r="E1142" s="10">
        <v>1.94</v>
      </c>
      <c r="F1142" s="26">
        <v>1.8984</v>
      </c>
      <c r="G1142" s="12">
        <v>9636632.0</v>
      </c>
      <c r="H1142" s="8" t="s">
        <v>117</v>
      </c>
      <c r="I1142" s="11">
        <v>6.5934</v>
      </c>
      <c r="J1142" s="12">
        <v>6.3610345E8</v>
      </c>
      <c r="K1142" s="13"/>
      <c r="L1142" s="13">
        <v>-0.2167</v>
      </c>
      <c r="M1142" s="8" t="s">
        <v>629</v>
      </c>
      <c r="N1142" s="8" t="s">
        <v>5491</v>
      </c>
      <c r="O1142" s="13">
        <v>-289.926</v>
      </c>
      <c r="P1142" s="13">
        <v>-1112.8678</v>
      </c>
      <c r="Q1142" s="13">
        <v>14.2553</v>
      </c>
      <c r="R1142" s="13">
        <v>9.3303</v>
      </c>
      <c r="S1142" s="13">
        <v>1.8486</v>
      </c>
      <c r="T1142" s="14">
        <f>IFERROR(__xludf.DUMMYFUNCTION("IFERROR(GOOGLEFINANCE(B1142,""price""),"""")"),1.76)</f>
        <v>1.76</v>
      </c>
    </row>
    <row r="1143">
      <c r="A1143" s="15">
        <v>46083.628295096896</v>
      </c>
      <c r="B1143" s="16" t="s">
        <v>4884</v>
      </c>
      <c r="C1143" s="16" t="s">
        <v>4885</v>
      </c>
      <c r="D1143" s="17">
        <v>46089.0</v>
      </c>
      <c r="E1143" s="18">
        <v>16.445</v>
      </c>
      <c r="F1143" s="27">
        <v>1.8981</v>
      </c>
      <c r="G1143" s="20">
        <v>1.1655315E7</v>
      </c>
      <c r="H1143" s="16" t="s">
        <v>88</v>
      </c>
      <c r="I1143" s="19">
        <v>-3.0937</v>
      </c>
      <c r="J1143" s="20">
        <v>5.098958034E9</v>
      </c>
      <c r="K1143" s="21">
        <v>118.0546</v>
      </c>
      <c r="L1143" s="21">
        <v>0.1393</v>
      </c>
      <c r="M1143" s="16" t="s">
        <v>4886</v>
      </c>
      <c r="N1143" s="16" t="s">
        <v>5471</v>
      </c>
      <c r="O1143" s="21"/>
      <c r="P1143" s="21">
        <v>-56.2854</v>
      </c>
      <c r="Q1143" s="21">
        <v>-40.0761</v>
      </c>
      <c r="R1143" s="21"/>
      <c r="S1143" s="21">
        <v>1.584</v>
      </c>
      <c r="T1143" s="22">
        <f>IFERROR(__xludf.DUMMYFUNCTION("IFERROR(GOOGLEFINANCE(B1143,""price""),"""")"),18.32)</f>
        <v>18.32</v>
      </c>
    </row>
    <row r="1144">
      <c r="A1144" s="7">
        <v>46083.628295096896</v>
      </c>
      <c r="B1144" s="8" t="s">
        <v>5514</v>
      </c>
      <c r="C1144" s="8" t="s">
        <v>5515</v>
      </c>
      <c r="D1144" s="9">
        <v>46089.0</v>
      </c>
      <c r="E1144" s="10">
        <v>10.385</v>
      </c>
      <c r="F1144" s="26">
        <v>1.7285</v>
      </c>
      <c r="G1144" s="12">
        <v>3.7900416E7</v>
      </c>
      <c r="H1144" s="8" t="s">
        <v>117</v>
      </c>
      <c r="I1144" s="11">
        <v>6.1861</v>
      </c>
      <c r="J1144" s="12">
        <v>1.0676937118E10</v>
      </c>
      <c r="K1144" s="13"/>
      <c r="L1144" s="13">
        <v>-0.3898</v>
      </c>
      <c r="M1144" s="8" t="s">
        <v>5516</v>
      </c>
      <c r="N1144" s="8" t="s">
        <v>5491</v>
      </c>
      <c r="O1144" s="13"/>
      <c r="P1144" s="13">
        <v>-225.9966</v>
      </c>
      <c r="Q1144" s="13">
        <v>668.3147</v>
      </c>
      <c r="R1144" s="13"/>
      <c r="S1144" s="13">
        <v>5.0989</v>
      </c>
      <c r="T1144" s="14">
        <f>IFERROR(__xludf.DUMMYFUNCTION("IFERROR(GOOGLEFINANCE(B1144,""price""),"""")"),7.28)</f>
        <v>7.28</v>
      </c>
    </row>
    <row r="1145">
      <c r="A1145" s="15">
        <v>46083.628295096896</v>
      </c>
      <c r="B1145" s="16" t="s">
        <v>5640</v>
      </c>
      <c r="C1145" s="16" t="s">
        <v>5641</v>
      </c>
      <c r="D1145" s="17">
        <v>46089.0</v>
      </c>
      <c r="E1145" s="18">
        <v>46.57</v>
      </c>
      <c r="F1145" s="27">
        <v>1.6594</v>
      </c>
      <c r="G1145" s="20">
        <v>1.2209895E7</v>
      </c>
      <c r="H1145" s="16" t="s">
        <v>308</v>
      </c>
      <c r="I1145" s="19">
        <v>22.876</v>
      </c>
      <c r="J1145" s="20">
        <v>2.574117664E9</v>
      </c>
      <c r="K1145" s="21"/>
      <c r="L1145" s="21">
        <v>-0.4882</v>
      </c>
      <c r="M1145" s="16" t="s">
        <v>5642</v>
      </c>
      <c r="N1145" s="16" t="s">
        <v>5433</v>
      </c>
      <c r="O1145" s="21">
        <v>-9.1233</v>
      </c>
      <c r="P1145" s="21">
        <v>-24.8806</v>
      </c>
      <c r="Q1145" s="21">
        <v>-11.106</v>
      </c>
      <c r="R1145" s="21">
        <v>0.2351</v>
      </c>
      <c r="S1145" s="21">
        <v>2.7231</v>
      </c>
      <c r="T1145" s="22">
        <f>IFERROR(__xludf.DUMMYFUNCTION("IFERROR(GOOGLEFINANCE(B1145,""price""),"""")"),64.18)</f>
        <v>64.18</v>
      </c>
    </row>
    <row r="1146">
      <c r="A1146" s="7">
        <v>46083.628295096896</v>
      </c>
      <c r="B1146" s="8" t="s">
        <v>5458</v>
      </c>
      <c r="C1146" s="8" t="s">
        <v>5459</v>
      </c>
      <c r="D1146" s="9">
        <v>46089.0</v>
      </c>
      <c r="E1146" s="10">
        <v>4.02</v>
      </c>
      <c r="F1146" s="26">
        <v>1.5938</v>
      </c>
      <c r="G1146" s="12">
        <v>4.1205823E7</v>
      </c>
      <c r="H1146" s="8" t="s">
        <v>88</v>
      </c>
      <c r="I1146" s="11">
        <v>1.5152</v>
      </c>
      <c r="J1146" s="12">
        <v>1.754935875E9</v>
      </c>
      <c r="K1146" s="13"/>
      <c r="L1146" s="13">
        <v>-1.4208</v>
      </c>
      <c r="M1146" s="8" t="s">
        <v>5460</v>
      </c>
      <c r="N1146" s="8" t="s">
        <v>5429</v>
      </c>
      <c r="O1146" s="13">
        <v>-111.8268</v>
      </c>
      <c r="P1146" s="13">
        <v>-46.2208</v>
      </c>
      <c r="Q1146" s="13">
        <v>-6.9516</v>
      </c>
      <c r="R1146" s="13">
        <v>0.1851</v>
      </c>
      <c r="S1146" s="13">
        <v>3.1313</v>
      </c>
      <c r="T1146" s="14">
        <f>IFERROR(__xludf.DUMMYFUNCTION("IFERROR(GOOGLEFINANCE(B1146,""price""),"""")"),3.32)</f>
        <v>3.32</v>
      </c>
    </row>
    <row r="1147">
      <c r="A1147" s="15">
        <v>46083.628295096896</v>
      </c>
      <c r="B1147" s="16" t="s">
        <v>5551</v>
      </c>
      <c r="C1147" s="16" t="s">
        <v>5552</v>
      </c>
      <c r="D1147" s="17">
        <v>46089.0</v>
      </c>
      <c r="E1147" s="18">
        <v>1.015</v>
      </c>
      <c r="F1147" s="27">
        <v>1.5938</v>
      </c>
      <c r="G1147" s="20">
        <v>1.7789654E7</v>
      </c>
      <c r="H1147" s="16" t="s">
        <v>88</v>
      </c>
      <c r="I1147" s="19">
        <v>-0.4902</v>
      </c>
      <c r="J1147" s="20">
        <v>9.41519057E8</v>
      </c>
      <c r="K1147" s="21"/>
      <c r="L1147" s="21">
        <v>-4.0733</v>
      </c>
      <c r="M1147" s="16" t="s">
        <v>5553</v>
      </c>
      <c r="N1147" s="16" t="s">
        <v>5471</v>
      </c>
      <c r="O1147" s="21"/>
      <c r="P1147" s="21">
        <v>12.2</v>
      </c>
      <c r="Q1147" s="21">
        <v>608.2915</v>
      </c>
      <c r="R1147" s="21"/>
      <c r="S1147" s="21"/>
      <c r="T1147" s="22">
        <f>IFERROR(__xludf.DUMMYFUNCTION("IFERROR(GOOGLEFINANCE(B1147,""price""),"""")"),0.95)</f>
        <v>0.95</v>
      </c>
    </row>
    <row r="1148">
      <c r="A1148" s="7">
        <v>46083.628295096896</v>
      </c>
      <c r="B1148" s="8" t="s">
        <v>5604</v>
      </c>
      <c r="C1148" s="8" t="s">
        <v>5605</v>
      </c>
      <c r="D1148" s="9">
        <v>46089.0</v>
      </c>
      <c r="E1148" s="10">
        <v>102.2798</v>
      </c>
      <c r="F1148" s="26">
        <v>1.5401</v>
      </c>
      <c r="G1148" s="12">
        <v>2.5666821E7</v>
      </c>
      <c r="H1148" s="8" t="s">
        <v>308</v>
      </c>
      <c r="I1148" s="11">
        <v>21.4292</v>
      </c>
      <c r="J1148" s="12">
        <v>7.691320783E9</v>
      </c>
      <c r="K1148" s="13"/>
      <c r="L1148" s="13">
        <v>-0.6555</v>
      </c>
      <c r="M1148" s="8" t="s">
        <v>5606</v>
      </c>
      <c r="N1148" s="8" t="s">
        <v>5414</v>
      </c>
      <c r="O1148" s="13">
        <v>-7.9391</v>
      </c>
      <c r="P1148" s="13">
        <v>-11.9814</v>
      </c>
      <c r="Q1148" s="13">
        <v>82.7502</v>
      </c>
      <c r="R1148" s="13">
        <v>0.338</v>
      </c>
      <c r="S1148" s="13">
        <v>2.6264</v>
      </c>
      <c r="T1148" s="14">
        <f>IFERROR(__xludf.DUMMYFUNCTION("IFERROR(GOOGLEFINANCE(B1148,""price""),"""")"),150.6)</f>
        <v>150.6</v>
      </c>
    </row>
    <row r="1149">
      <c r="A1149" s="15">
        <v>46083.628295096896</v>
      </c>
      <c r="B1149" s="16" t="s">
        <v>5554</v>
      </c>
      <c r="C1149" s="16" t="s">
        <v>5555</v>
      </c>
      <c r="D1149" s="17">
        <v>46089.0</v>
      </c>
      <c r="E1149" s="18">
        <v>86.2166</v>
      </c>
      <c r="F1149" s="27">
        <v>1.4925</v>
      </c>
      <c r="G1149" s="20">
        <v>1.0273317E7</v>
      </c>
      <c r="H1149" s="16" t="s">
        <v>873</v>
      </c>
      <c r="I1149" s="19">
        <v>8.8731</v>
      </c>
      <c r="J1149" s="20">
        <v>3.1676091492E10</v>
      </c>
      <c r="K1149" s="21"/>
      <c r="L1149" s="21">
        <v>-1.2452</v>
      </c>
      <c r="M1149" s="16" t="s">
        <v>5556</v>
      </c>
      <c r="N1149" s="16" t="s">
        <v>5557</v>
      </c>
      <c r="O1149" s="21">
        <v>-39.2195</v>
      </c>
      <c r="P1149" s="21">
        <v>-1479.4668</v>
      </c>
      <c r="Q1149" s="21">
        <v>641.24</v>
      </c>
      <c r="R1149" s="21">
        <v>0.5824</v>
      </c>
      <c r="S1149" s="21">
        <v>9.5602</v>
      </c>
      <c r="T1149" s="22">
        <f>IFERROR(__xludf.DUMMYFUNCTION("IFERROR(GOOGLEFINANCE(B1149,""price""),"""")"),94.9)</f>
        <v>94.9</v>
      </c>
    </row>
    <row r="1150">
      <c r="A1150" s="7">
        <v>46083.628295096896</v>
      </c>
      <c r="B1150" s="8" t="s">
        <v>6084</v>
      </c>
      <c r="C1150" s="8" t="s">
        <v>6085</v>
      </c>
      <c r="D1150" s="9">
        <v>46089.0</v>
      </c>
      <c r="E1150" s="10">
        <v>206.1718</v>
      </c>
      <c r="F1150" s="26">
        <v>1.4631</v>
      </c>
      <c r="G1150" s="12">
        <v>1.2459451E7</v>
      </c>
      <c r="H1150" s="8" t="s">
        <v>308</v>
      </c>
      <c r="I1150" s="11">
        <v>-18.2669</v>
      </c>
      <c r="J1150" s="12">
        <v>1.0293308635E10</v>
      </c>
      <c r="K1150" s="13"/>
      <c r="L1150" s="13">
        <v>-1.254</v>
      </c>
      <c r="M1150" s="8" t="s">
        <v>6086</v>
      </c>
      <c r="N1150" s="8" t="s">
        <v>5520</v>
      </c>
      <c r="O1150" s="13">
        <v>-2.6367</v>
      </c>
      <c r="P1150" s="13">
        <v>-2.8048</v>
      </c>
      <c r="Q1150" s="13">
        <v>79.8915</v>
      </c>
      <c r="R1150" s="13">
        <v>0.1869</v>
      </c>
      <c r="S1150" s="13">
        <v>5.0802</v>
      </c>
      <c r="T1150" s="14">
        <f>IFERROR(__xludf.DUMMYFUNCTION("IFERROR(GOOGLEFINANCE(B1150,""price""),"""")"),179.72)</f>
        <v>179.72</v>
      </c>
    </row>
    <row r="1151">
      <c r="A1151" s="15">
        <v>46083.628295096896</v>
      </c>
      <c r="B1151" s="16" t="s">
        <v>1077</v>
      </c>
      <c r="C1151" s="16" t="s">
        <v>1078</v>
      </c>
      <c r="D1151" s="17">
        <v>46089.0</v>
      </c>
      <c r="E1151" s="18">
        <v>10.579</v>
      </c>
      <c r="F1151" s="27">
        <v>1.3604</v>
      </c>
      <c r="G1151" s="20">
        <v>2.0364286E7</v>
      </c>
      <c r="H1151" s="16" t="s">
        <v>335</v>
      </c>
      <c r="I1151" s="19">
        <v>18.3333</v>
      </c>
      <c r="J1151" s="20">
        <v>1.481436692E9</v>
      </c>
      <c r="K1151" s="21"/>
      <c r="L1151" s="21">
        <v>-0.041</v>
      </c>
      <c r="M1151" s="16" t="s">
        <v>1079</v>
      </c>
      <c r="N1151" s="16" t="s">
        <v>5506</v>
      </c>
      <c r="O1151" s="21">
        <v>-10.5913</v>
      </c>
      <c r="P1151" s="21">
        <v>-18.9471</v>
      </c>
      <c r="Q1151" s="21">
        <v>240.123</v>
      </c>
      <c r="R1151" s="21">
        <v>0.0037</v>
      </c>
      <c r="S1151" s="21">
        <v>5.0784</v>
      </c>
      <c r="T1151" s="22">
        <f>IFERROR(__xludf.DUMMYFUNCTION("IFERROR(GOOGLEFINANCE(B1151,""price""),"""")"),8.36)</f>
        <v>8.36</v>
      </c>
    </row>
    <row r="1152">
      <c r="A1152" s="7">
        <v>46083.628295096896</v>
      </c>
      <c r="B1152" s="8" t="s">
        <v>5888</v>
      </c>
      <c r="C1152" s="8" t="s">
        <v>5889</v>
      </c>
      <c r="D1152" s="9">
        <v>46089.0</v>
      </c>
      <c r="E1152" s="10">
        <v>7.515</v>
      </c>
      <c r="F1152" s="26">
        <v>1.3359</v>
      </c>
      <c r="G1152" s="12">
        <v>3.1199429E7</v>
      </c>
      <c r="H1152" s="8" t="s">
        <v>308</v>
      </c>
      <c r="I1152" s="11">
        <v>5.5478</v>
      </c>
      <c r="J1152" s="12">
        <v>5.505425431E9</v>
      </c>
      <c r="K1152" s="13"/>
      <c r="L1152" s="13">
        <v>-1.1844</v>
      </c>
      <c r="M1152" s="8" t="s">
        <v>5890</v>
      </c>
      <c r="N1152" s="8" t="s">
        <v>5520</v>
      </c>
      <c r="O1152" s="13">
        <v>-59.1329</v>
      </c>
      <c r="P1152" s="13"/>
      <c r="Q1152" s="13"/>
      <c r="R1152" s="13">
        <v>0.0536</v>
      </c>
      <c r="S1152" s="13">
        <v>18.1946</v>
      </c>
      <c r="T1152" s="14">
        <f>IFERROR(__xludf.DUMMYFUNCTION("IFERROR(GOOGLEFINANCE(B1152,""price""),"""")"),5.4)</f>
        <v>5.4</v>
      </c>
    </row>
    <row r="1153">
      <c r="A1153" s="15">
        <v>46083.628295096896</v>
      </c>
      <c r="B1153" s="16" t="s">
        <v>5671</v>
      </c>
      <c r="C1153" s="16" t="s">
        <v>5672</v>
      </c>
      <c r="D1153" s="17">
        <v>46089.0</v>
      </c>
      <c r="E1153" s="18">
        <v>17.625</v>
      </c>
      <c r="F1153" s="27">
        <v>1.3296</v>
      </c>
      <c r="G1153" s="20">
        <v>1.690191E7</v>
      </c>
      <c r="H1153" s="16" t="s">
        <v>308</v>
      </c>
      <c r="I1153" s="19">
        <v>1.1768</v>
      </c>
      <c r="J1153" s="20">
        <v>5.816709368E9</v>
      </c>
      <c r="K1153" s="21"/>
      <c r="L1153" s="21">
        <v>-1.3002</v>
      </c>
      <c r="M1153" s="16" t="s">
        <v>5673</v>
      </c>
      <c r="N1153" s="16" t="s">
        <v>5674</v>
      </c>
      <c r="O1153" s="21">
        <v>-141.9</v>
      </c>
      <c r="P1153" s="21">
        <v>-1074.9533</v>
      </c>
      <c r="Q1153" s="21">
        <v>-36.9828</v>
      </c>
      <c r="R1153" s="21">
        <v>0.0204</v>
      </c>
      <c r="S1153" s="21">
        <v>39.2207</v>
      </c>
      <c r="T1153" s="22">
        <f>IFERROR(__xludf.DUMMYFUNCTION("IFERROR(GOOGLEFINANCE(B1153,""price""),"""")"),14.68)</f>
        <v>14.68</v>
      </c>
    </row>
    <row r="1154">
      <c r="A1154" s="7">
        <v>46083.628295096896</v>
      </c>
      <c r="B1154" s="8" t="s">
        <v>5668</v>
      </c>
      <c r="C1154" s="8" t="s">
        <v>5669</v>
      </c>
      <c r="D1154" s="9">
        <v>46089.0</v>
      </c>
      <c r="E1154" s="10">
        <v>8.4701</v>
      </c>
      <c r="F1154" s="26">
        <v>1.3184</v>
      </c>
      <c r="G1154" s="12">
        <v>9662867.0</v>
      </c>
      <c r="H1154" s="8" t="s">
        <v>88</v>
      </c>
      <c r="I1154" s="11">
        <v>0.7146</v>
      </c>
      <c r="J1154" s="12">
        <v>1.898346653E9</v>
      </c>
      <c r="K1154" s="13"/>
      <c r="L1154" s="13">
        <v>-0.6048</v>
      </c>
      <c r="M1154" s="8" t="s">
        <v>5670</v>
      </c>
      <c r="N1154" s="8" t="s">
        <v>5664</v>
      </c>
      <c r="O1154" s="13">
        <v>-14.4858</v>
      </c>
      <c r="P1154" s="13">
        <v>-6918.4982</v>
      </c>
      <c r="Q1154" s="13">
        <v>41.5072</v>
      </c>
      <c r="R1154" s="13">
        <v>0.0029</v>
      </c>
      <c r="S1154" s="13">
        <v>154.8687</v>
      </c>
      <c r="T1154" s="14">
        <f>IFERROR(__xludf.DUMMYFUNCTION("IFERROR(GOOGLEFINANCE(B1154,""price""),"""")"),7.06)</f>
        <v>7.06</v>
      </c>
    </row>
    <row r="1155">
      <c r="A1155" s="15">
        <v>46083.628295096896</v>
      </c>
      <c r="B1155" s="16" t="s">
        <v>5577</v>
      </c>
      <c r="C1155" s="16" t="s">
        <v>5578</v>
      </c>
      <c r="D1155" s="17">
        <v>46089.0</v>
      </c>
      <c r="E1155" s="18">
        <v>1.995</v>
      </c>
      <c r="F1155" s="27">
        <v>1.3125</v>
      </c>
      <c r="G1155" s="20">
        <v>8773209.0</v>
      </c>
      <c r="H1155" s="16" t="s">
        <v>335</v>
      </c>
      <c r="I1155" s="19">
        <v>10.221</v>
      </c>
      <c r="J1155" s="20">
        <v>5.7247849E8</v>
      </c>
      <c r="K1155" s="21"/>
      <c r="L1155" s="21">
        <v>-0.0152</v>
      </c>
      <c r="M1155" s="16" t="s">
        <v>5579</v>
      </c>
      <c r="N1155" s="16" t="s">
        <v>5445</v>
      </c>
      <c r="O1155" s="21">
        <v>-8.3048</v>
      </c>
      <c r="P1155" s="21">
        <v>35.3023</v>
      </c>
      <c r="Q1155" s="21">
        <v>62.2241</v>
      </c>
      <c r="R1155" s="21">
        <v>0.0847</v>
      </c>
      <c r="S1155" s="21">
        <v>1.0797</v>
      </c>
      <c r="T1155" s="22">
        <f>IFERROR(__xludf.DUMMYFUNCTION("IFERROR(GOOGLEFINANCE(B1155,""price""),"""")"),1.54)</f>
        <v>1.54</v>
      </c>
    </row>
    <row r="1156">
      <c r="A1156" s="7">
        <v>46083.628295096896</v>
      </c>
      <c r="B1156" s="8" t="s">
        <v>6087</v>
      </c>
      <c r="C1156" s="8" t="s">
        <v>6088</v>
      </c>
      <c r="D1156" s="9">
        <v>46089.0</v>
      </c>
      <c r="E1156" s="10">
        <v>6.8387</v>
      </c>
      <c r="F1156" s="26">
        <v>1.3047</v>
      </c>
      <c r="G1156" s="12">
        <v>1.230604E7</v>
      </c>
      <c r="H1156" s="8" t="s">
        <v>102</v>
      </c>
      <c r="I1156" s="11">
        <v>13.9782</v>
      </c>
      <c r="J1156" s="12">
        <v>1.044344431E9</v>
      </c>
      <c r="K1156" s="13"/>
      <c r="L1156" s="13">
        <v>-0.6318</v>
      </c>
      <c r="M1156" s="8" t="s">
        <v>6089</v>
      </c>
      <c r="N1156" s="8" t="s">
        <v>5536</v>
      </c>
      <c r="O1156" s="13">
        <v>-104.168</v>
      </c>
      <c r="P1156" s="13">
        <v>-5151.455</v>
      </c>
      <c r="Q1156" s="13">
        <v>535.8653</v>
      </c>
      <c r="R1156" s="13">
        <v>0.1096</v>
      </c>
      <c r="S1156" s="13">
        <v>2.2985</v>
      </c>
      <c r="T1156" s="14">
        <f>IFERROR(__xludf.DUMMYFUNCTION("IFERROR(GOOGLEFINANCE(B1156,""price""),"""")"),7.04)</f>
        <v>7.04</v>
      </c>
    </row>
    <row r="1157">
      <c r="A1157" s="15">
        <v>46083.628295096896</v>
      </c>
      <c r="B1157" s="16" t="s">
        <v>5533</v>
      </c>
      <c r="C1157" s="16" t="s">
        <v>5534</v>
      </c>
      <c r="D1157" s="17">
        <v>46089.0</v>
      </c>
      <c r="E1157" s="18">
        <v>6.835</v>
      </c>
      <c r="F1157" s="27">
        <v>1.2959</v>
      </c>
      <c r="G1157" s="20">
        <v>1.451668E7</v>
      </c>
      <c r="H1157" s="16" t="s">
        <v>102</v>
      </c>
      <c r="I1157" s="19">
        <v>10.9578</v>
      </c>
      <c r="J1157" s="20">
        <v>1.849365145E9</v>
      </c>
      <c r="K1157" s="21"/>
      <c r="L1157" s="21">
        <v>-3.7839</v>
      </c>
      <c r="M1157" s="16" t="s">
        <v>5535</v>
      </c>
      <c r="N1157" s="16" t="s">
        <v>5536</v>
      </c>
      <c r="O1157" s="21">
        <v>-55.984</v>
      </c>
      <c r="P1157" s="21">
        <v>-31.1477</v>
      </c>
      <c r="Q1157" s="21"/>
      <c r="R1157" s="21">
        <v>4.5088</v>
      </c>
      <c r="S1157" s="21">
        <v>1.1293</v>
      </c>
      <c r="T1157" s="22">
        <f>IFERROR(__xludf.DUMMYFUNCTION("IFERROR(GOOGLEFINANCE(B1157,""price""),"""")"),4.69)</f>
        <v>4.69</v>
      </c>
    </row>
    <row r="1158">
      <c r="A1158" s="7">
        <v>46083.628295096896</v>
      </c>
      <c r="B1158" s="8" t="s">
        <v>5580</v>
      </c>
      <c r="C1158" s="8" t="s">
        <v>5581</v>
      </c>
      <c r="D1158" s="9">
        <v>46089.0</v>
      </c>
      <c r="E1158" s="10">
        <v>2.4829</v>
      </c>
      <c r="F1158" s="26">
        <v>1.2891</v>
      </c>
      <c r="G1158" s="12">
        <v>1.7273974E7</v>
      </c>
      <c r="H1158" s="8" t="s">
        <v>88</v>
      </c>
      <c r="I1158" s="11">
        <v>6.5622</v>
      </c>
      <c r="J1158" s="12">
        <v>9.90249031E8</v>
      </c>
      <c r="K1158" s="13"/>
      <c r="L1158" s="13"/>
      <c r="M1158" s="8" t="s">
        <v>5582</v>
      </c>
      <c r="N1158" s="8" t="s">
        <v>5429</v>
      </c>
      <c r="O1158" s="13"/>
      <c r="P1158" s="13"/>
      <c r="Q1158" s="13"/>
      <c r="R1158" s="13"/>
      <c r="S1158" s="13">
        <v>0.2412</v>
      </c>
      <c r="T1158" s="14">
        <f>IFERROR(__xludf.DUMMYFUNCTION("IFERROR(GOOGLEFINANCE(B1158,""price""),"""")"),2.38)</f>
        <v>2.38</v>
      </c>
    </row>
    <row r="1159">
      <c r="A1159" s="15">
        <v>46083.628295096896</v>
      </c>
      <c r="B1159" s="16" t="s">
        <v>5434</v>
      </c>
      <c r="C1159" s="16" t="s">
        <v>5435</v>
      </c>
      <c r="D1159" s="17">
        <v>46089.0</v>
      </c>
      <c r="E1159" s="18">
        <v>10.49</v>
      </c>
      <c r="F1159" s="27">
        <v>1.2881</v>
      </c>
      <c r="G1159" s="20">
        <v>1.70770766E8</v>
      </c>
      <c r="H1159" s="16" t="s">
        <v>308</v>
      </c>
      <c r="I1159" s="19">
        <v>4.0675</v>
      </c>
      <c r="J1159" s="20">
        <v>4.715920193E9</v>
      </c>
      <c r="K1159" s="21"/>
      <c r="L1159" s="21">
        <v>-0.4034</v>
      </c>
      <c r="M1159" s="16" t="s">
        <v>5436</v>
      </c>
      <c r="N1159" s="16" t="s">
        <v>5437</v>
      </c>
      <c r="O1159" s="21">
        <v>-17.0422</v>
      </c>
      <c r="P1159" s="21">
        <v>-176.0921</v>
      </c>
      <c r="Q1159" s="21">
        <v>208.4002</v>
      </c>
      <c r="R1159" s="21">
        <v>0.037</v>
      </c>
      <c r="S1159" s="21">
        <v>15.2957</v>
      </c>
      <c r="T1159" s="22">
        <f>IFERROR(__xludf.DUMMYFUNCTION("IFERROR(GOOGLEFINANCE(B1159,""price""),"""")"),9.13)</f>
        <v>9.13</v>
      </c>
    </row>
    <row r="1160">
      <c r="A1160" s="7">
        <v>46083.628295096896</v>
      </c>
      <c r="B1160" s="8" t="s">
        <v>5773</v>
      </c>
      <c r="C1160" s="8" t="s">
        <v>5774</v>
      </c>
      <c r="D1160" s="9">
        <v>46089.0</v>
      </c>
      <c r="E1160" s="10">
        <v>2.36</v>
      </c>
      <c r="F1160" s="26">
        <v>1.2813</v>
      </c>
      <c r="G1160" s="12">
        <v>4.0149068E7</v>
      </c>
      <c r="H1160" s="8" t="s">
        <v>245</v>
      </c>
      <c r="I1160" s="11">
        <v>1.2876</v>
      </c>
      <c r="J1160" s="12">
        <v>1.128851601E9</v>
      </c>
      <c r="K1160" s="13"/>
      <c r="L1160" s="13">
        <v>-0.6899</v>
      </c>
      <c r="M1160" s="8" t="s">
        <v>5775</v>
      </c>
      <c r="N1160" s="8" t="s">
        <v>5776</v>
      </c>
      <c r="O1160" s="13">
        <v>-31.4192</v>
      </c>
      <c r="P1160" s="13">
        <v>-7.2374</v>
      </c>
      <c r="Q1160" s="13">
        <v>-22.1104</v>
      </c>
      <c r="R1160" s="13">
        <v>3.3139</v>
      </c>
      <c r="S1160" s="13">
        <v>0.5183</v>
      </c>
      <c r="T1160" s="14">
        <f>IFERROR(__xludf.DUMMYFUNCTION("IFERROR(GOOGLEFINANCE(B1160,""price""),"""")"),2.57)</f>
        <v>2.57</v>
      </c>
    </row>
    <row r="1161">
      <c r="A1161" s="15">
        <v>46083.628295096896</v>
      </c>
      <c r="B1161" s="16" t="s">
        <v>5527</v>
      </c>
      <c r="C1161" s="16" t="s">
        <v>5528</v>
      </c>
      <c r="D1161" s="17">
        <v>46089.0</v>
      </c>
      <c r="E1161" s="18">
        <v>13.71</v>
      </c>
      <c r="F1161" s="27">
        <v>1.2773</v>
      </c>
      <c r="G1161" s="20">
        <v>3.6290846E7</v>
      </c>
      <c r="H1161" s="16" t="s">
        <v>88</v>
      </c>
      <c r="I1161" s="19">
        <v>17.6824</v>
      </c>
      <c r="J1161" s="20">
        <v>1.636578269E9</v>
      </c>
      <c r="K1161" s="21"/>
      <c r="L1161" s="21"/>
      <c r="M1161" s="16" t="s">
        <v>5529</v>
      </c>
      <c r="N1161" s="16" t="s">
        <v>5429</v>
      </c>
      <c r="O1161" s="21"/>
      <c r="P1161" s="21"/>
      <c r="Q1161" s="21"/>
      <c r="R1161" s="21">
        <v>0.0885</v>
      </c>
      <c r="S1161" s="21">
        <v>10.416</v>
      </c>
      <c r="T1161" s="22">
        <f>IFERROR(__xludf.DUMMYFUNCTION("IFERROR(GOOGLEFINANCE(B1161,""price""),"""")"),12.37)</f>
        <v>12.37</v>
      </c>
    </row>
    <row r="1162">
      <c r="A1162" s="7">
        <v>46083.628295096896</v>
      </c>
      <c r="B1162" s="8" t="s">
        <v>6004</v>
      </c>
      <c r="C1162" s="8" t="s">
        <v>6005</v>
      </c>
      <c r="D1162" s="9">
        <v>46089.0</v>
      </c>
      <c r="E1162" s="10">
        <v>30.18</v>
      </c>
      <c r="F1162" s="26">
        <v>1.2406</v>
      </c>
      <c r="G1162" s="12">
        <v>8161129.0</v>
      </c>
      <c r="H1162" s="8" t="s">
        <v>93</v>
      </c>
      <c r="I1162" s="11">
        <v>19.3829</v>
      </c>
      <c r="J1162" s="12">
        <v>6.507618273E9</v>
      </c>
      <c r="K1162" s="13"/>
      <c r="L1162" s="13"/>
      <c r="M1162" s="8" t="s">
        <v>6006</v>
      </c>
      <c r="N1162" s="8" t="s">
        <v>5590</v>
      </c>
      <c r="O1162" s="13"/>
      <c r="P1162" s="13"/>
      <c r="Q1162" s="13"/>
      <c r="R1162" s="13"/>
      <c r="S1162" s="13"/>
      <c r="T1162" s="14">
        <f>IFERROR(__xludf.DUMMYFUNCTION("IFERROR(GOOGLEFINANCE(B1162,""price""),"""")"),34.08)</f>
        <v>34.08</v>
      </c>
    </row>
    <row r="1163">
      <c r="A1163" s="15">
        <v>46083.628295096896</v>
      </c>
      <c r="B1163" s="16" t="s">
        <v>5122</v>
      </c>
      <c r="C1163" s="16" t="s">
        <v>5123</v>
      </c>
      <c r="D1163" s="17">
        <v>46089.0</v>
      </c>
      <c r="E1163" s="18">
        <v>11.605</v>
      </c>
      <c r="F1163" s="27">
        <v>1.2051</v>
      </c>
      <c r="G1163" s="20">
        <v>9436318.0</v>
      </c>
      <c r="H1163" s="16" t="s">
        <v>102</v>
      </c>
      <c r="I1163" s="19">
        <v>8.1547</v>
      </c>
      <c r="J1163" s="20">
        <v>1.51426491E9</v>
      </c>
      <c r="K1163" s="21"/>
      <c r="L1163" s="21">
        <v>-0.2601</v>
      </c>
      <c r="M1163" s="16" t="s">
        <v>5124</v>
      </c>
      <c r="N1163" s="16" t="s">
        <v>5536</v>
      </c>
      <c r="O1163" s="21">
        <v>-39.011</v>
      </c>
      <c r="P1163" s="21">
        <v>-53.1982</v>
      </c>
      <c r="Q1163" s="21">
        <v>234.1419</v>
      </c>
      <c r="R1163" s="21">
        <v>0.3654</v>
      </c>
      <c r="S1163" s="21">
        <v>6.6466</v>
      </c>
      <c r="T1163" s="22">
        <f>IFERROR(__xludf.DUMMYFUNCTION("IFERROR(GOOGLEFINANCE(B1163,""price""),"""")"),17.22)</f>
        <v>17.22</v>
      </c>
    </row>
    <row r="1164">
      <c r="A1164" s="7">
        <v>46083.628295096896</v>
      </c>
      <c r="B1164" s="8" t="s">
        <v>5558</v>
      </c>
      <c r="C1164" s="8" t="s">
        <v>5559</v>
      </c>
      <c r="D1164" s="9">
        <v>46089.0</v>
      </c>
      <c r="E1164" s="10">
        <v>5.865</v>
      </c>
      <c r="F1164" s="26">
        <v>1.1992</v>
      </c>
      <c r="G1164" s="12">
        <v>3.6193328E7</v>
      </c>
      <c r="H1164" s="8" t="s">
        <v>102</v>
      </c>
      <c r="I1164" s="11">
        <v>2.9851</v>
      </c>
      <c r="J1164" s="12">
        <v>1.990782025E9</v>
      </c>
      <c r="K1164" s="13"/>
      <c r="L1164" s="13">
        <v>-6.9942</v>
      </c>
      <c r="M1164" s="8" t="s">
        <v>5560</v>
      </c>
      <c r="N1164" s="8" t="s">
        <v>5536</v>
      </c>
      <c r="O1164" s="13"/>
      <c r="P1164" s="13">
        <v>-225.4661</v>
      </c>
      <c r="Q1164" s="13">
        <v>631.7891</v>
      </c>
      <c r="R1164" s="13"/>
      <c r="S1164" s="13">
        <v>4.9358</v>
      </c>
      <c r="T1164" s="14">
        <f>IFERROR(__xludf.DUMMYFUNCTION("IFERROR(GOOGLEFINANCE(B1164,""price""),"""")"),5.62)</f>
        <v>5.62</v>
      </c>
    </row>
    <row r="1165">
      <c r="A1165" s="15">
        <v>46083.628295096896</v>
      </c>
      <c r="B1165" s="16" t="s">
        <v>5798</v>
      </c>
      <c r="C1165" s="16" t="s">
        <v>5799</v>
      </c>
      <c r="D1165" s="17">
        <v>46089.0</v>
      </c>
      <c r="E1165" s="18">
        <v>7.415</v>
      </c>
      <c r="F1165" s="27">
        <v>1.1953</v>
      </c>
      <c r="G1165" s="20">
        <v>9417822.0</v>
      </c>
      <c r="H1165" s="16" t="s">
        <v>186</v>
      </c>
      <c r="I1165" s="19">
        <v>8.7243</v>
      </c>
      <c r="J1165" s="20">
        <v>1.458480052E9</v>
      </c>
      <c r="K1165" s="21"/>
      <c r="L1165" s="21">
        <v>-8.0691</v>
      </c>
      <c r="M1165" s="16" t="s">
        <v>5800</v>
      </c>
      <c r="N1165" s="16" t="s">
        <v>5801</v>
      </c>
      <c r="O1165" s="21">
        <v>-0.0683</v>
      </c>
      <c r="P1165" s="21">
        <v>-169.9078</v>
      </c>
      <c r="Q1165" s="21">
        <v>79.8296</v>
      </c>
      <c r="R1165" s="21">
        <v>0.0</v>
      </c>
      <c r="S1165" s="21">
        <v>8.7492</v>
      </c>
      <c r="T1165" s="22">
        <f>IFERROR(__xludf.DUMMYFUNCTION("IFERROR(GOOGLEFINANCE(B1165,""price""),"""")"),6.52)</f>
        <v>6.52</v>
      </c>
    </row>
    <row r="1166">
      <c r="A1166" s="7">
        <v>46083.628295096896</v>
      </c>
      <c r="B1166" s="8" t="s">
        <v>5607</v>
      </c>
      <c r="C1166" s="8" t="s">
        <v>5608</v>
      </c>
      <c r="D1166" s="9">
        <v>46089.0</v>
      </c>
      <c r="E1166" s="10">
        <v>17.875</v>
      </c>
      <c r="F1166" s="26">
        <v>1.1904</v>
      </c>
      <c r="G1166" s="12">
        <v>8757481.0</v>
      </c>
      <c r="H1166" s="8" t="s">
        <v>308</v>
      </c>
      <c r="I1166" s="11">
        <v>8.4648</v>
      </c>
      <c r="J1166" s="12">
        <v>3.632379905E9</v>
      </c>
      <c r="K1166" s="13"/>
      <c r="L1166" s="13">
        <v>-1.8673</v>
      </c>
      <c r="M1166" s="8" t="s">
        <v>5609</v>
      </c>
      <c r="N1166" s="8" t="s">
        <v>5520</v>
      </c>
      <c r="O1166" s="13"/>
      <c r="P1166" s="13">
        <v>-30.7058</v>
      </c>
      <c r="Q1166" s="13">
        <v>8.0687</v>
      </c>
      <c r="R1166" s="13"/>
      <c r="S1166" s="13">
        <v>6.2531</v>
      </c>
      <c r="T1166" s="14">
        <f>IFERROR(__xludf.DUMMYFUNCTION("IFERROR(GOOGLEFINANCE(B1166,""price""),"""")"),23.57)</f>
        <v>23.57</v>
      </c>
    </row>
    <row r="1167">
      <c r="A1167" s="15">
        <v>46083.628295096896</v>
      </c>
      <c r="B1167" s="16" t="s">
        <v>4359</v>
      </c>
      <c r="C1167" s="16" t="s">
        <v>4360</v>
      </c>
      <c r="D1167" s="17">
        <v>46089.0</v>
      </c>
      <c r="E1167" s="18">
        <v>80.7389</v>
      </c>
      <c r="F1167" s="27">
        <v>1.1546</v>
      </c>
      <c r="G1167" s="20">
        <v>1.1205742E7</v>
      </c>
      <c r="H1167" s="16" t="s">
        <v>308</v>
      </c>
      <c r="I1167" s="19">
        <v>-1.1643</v>
      </c>
      <c r="J1167" s="20">
        <v>7.0521380515E10</v>
      </c>
      <c r="K1167" s="21">
        <v>28.2709</v>
      </c>
      <c r="L1167" s="21">
        <v>2.8559</v>
      </c>
      <c r="M1167" s="16" t="s">
        <v>4362</v>
      </c>
      <c r="N1167" s="16" t="s">
        <v>5414</v>
      </c>
      <c r="O1167" s="21">
        <v>18.0404</v>
      </c>
      <c r="P1167" s="21">
        <v>14.7203</v>
      </c>
      <c r="Q1167" s="21">
        <v>44.9539</v>
      </c>
      <c r="R1167" s="21">
        <v>0.358</v>
      </c>
      <c r="S1167" s="21">
        <v>2.0143</v>
      </c>
      <c r="T1167" s="22">
        <f>IFERROR(__xludf.DUMMYFUNCTION("IFERROR(GOOGLEFINANCE(B1167,""price""),"""")"),128.49)</f>
        <v>128.49</v>
      </c>
    </row>
    <row r="1168">
      <c r="A1168" s="7">
        <v>46083.628295096896</v>
      </c>
      <c r="B1168" s="8" t="s">
        <v>6090</v>
      </c>
      <c r="C1168" s="8" t="s">
        <v>6091</v>
      </c>
      <c r="D1168" s="9">
        <v>46089.0</v>
      </c>
      <c r="E1168" s="10">
        <v>3.045</v>
      </c>
      <c r="F1168" s="26">
        <v>1.1484</v>
      </c>
      <c r="G1168" s="12">
        <v>8927808.0</v>
      </c>
      <c r="H1168" s="8" t="s">
        <v>117</v>
      </c>
      <c r="I1168" s="11">
        <v>-7.1646</v>
      </c>
      <c r="J1168" s="12">
        <v>9.38165812E8</v>
      </c>
      <c r="K1168" s="13">
        <v>180.1775</v>
      </c>
      <c r="L1168" s="13">
        <v>0.0169</v>
      </c>
      <c r="M1168" s="8" t="s">
        <v>6092</v>
      </c>
      <c r="N1168" s="8" t="s">
        <v>5491</v>
      </c>
      <c r="O1168" s="13"/>
      <c r="P1168" s="13">
        <v>15.0636</v>
      </c>
      <c r="Q1168" s="13">
        <v>22.2281</v>
      </c>
      <c r="R1168" s="13"/>
      <c r="S1168" s="13">
        <v>1.7048</v>
      </c>
      <c r="T1168" s="14">
        <f>IFERROR(__xludf.DUMMYFUNCTION("IFERROR(GOOGLEFINANCE(B1168,""price""),"""")"),2.57)</f>
        <v>2.57</v>
      </c>
    </row>
    <row r="1169">
      <c r="A1169" s="15">
        <v>46083.628295096896</v>
      </c>
      <c r="B1169" s="16" t="s">
        <v>5537</v>
      </c>
      <c r="C1169" s="16" t="s">
        <v>5538</v>
      </c>
      <c r="D1169" s="17">
        <v>46089.0</v>
      </c>
      <c r="E1169" s="18">
        <v>2.59</v>
      </c>
      <c r="F1169" s="27">
        <v>1.1406</v>
      </c>
      <c r="G1169" s="20">
        <v>9601082.0</v>
      </c>
      <c r="H1169" s="16" t="s">
        <v>112</v>
      </c>
      <c r="I1169" s="19">
        <v>4.0161</v>
      </c>
      <c r="J1169" s="20">
        <v>5.79113547E8</v>
      </c>
      <c r="K1169" s="21"/>
      <c r="L1169" s="21">
        <v>-0.135</v>
      </c>
      <c r="M1169" s="16" t="s">
        <v>5539</v>
      </c>
      <c r="N1169" s="16" t="s">
        <v>5540</v>
      </c>
      <c r="O1169" s="21">
        <v>-10.5751</v>
      </c>
      <c r="P1169" s="21">
        <v>-523.9108</v>
      </c>
      <c r="Q1169" s="21">
        <v>12.4146</v>
      </c>
      <c r="R1169" s="21">
        <v>0.0018</v>
      </c>
      <c r="S1169" s="21">
        <v>35.7348</v>
      </c>
      <c r="T1169" s="22">
        <f>IFERROR(__xludf.DUMMYFUNCTION("IFERROR(GOOGLEFINANCE(B1169,""price""),"""")"),2.01)</f>
        <v>2.01</v>
      </c>
    </row>
    <row r="1170">
      <c r="A1170" s="7">
        <v>46083.628295096896</v>
      </c>
      <c r="B1170" s="8" t="s">
        <v>5517</v>
      </c>
      <c r="C1170" s="8" t="s">
        <v>5518</v>
      </c>
      <c r="D1170" s="9">
        <v>46089.0</v>
      </c>
      <c r="E1170" s="10">
        <v>9.445</v>
      </c>
      <c r="F1170" s="26">
        <v>1.0996</v>
      </c>
      <c r="G1170" s="12">
        <v>2.2218755E7</v>
      </c>
      <c r="H1170" s="8" t="s">
        <v>308</v>
      </c>
      <c r="I1170" s="11">
        <v>4.1345</v>
      </c>
      <c r="J1170" s="12">
        <v>1.559849134E9</v>
      </c>
      <c r="K1170" s="13"/>
      <c r="L1170" s="13">
        <v>-2.3761</v>
      </c>
      <c r="M1170" s="8" t="s">
        <v>5519</v>
      </c>
      <c r="N1170" s="8" t="s">
        <v>5520</v>
      </c>
      <c r="O1170" s="13">
        <v>-52.0031</v>
      </c>
      <c r="P1170" s="13">
        <v>-43.4124</v>
      </c>
      <c r="Q1170" s="13">
        <v>10.2861</v>
      </c>
      <c r="R1170" s="13">
        <v>0.1895</v>
      </c>
      <c r="S1170" s="13">
        <v>1.6246</v>
      </c>
      <c r="T1170" s="14">
        <f>IFERROR(__xludf.DUMMYFUNCTION("IFERROR(GOOGLEFINANCE(B1170,""price""),"""")"),9.29)</f>
        <v>9.29</v>
      </c>
    </row>
    <row r="1171">
      <c r="A1171" s="15">
        <v>46083.628295096896</v>
      </c>
      <c r="B1171" s="16" t="s">
        <v>5561</v>
      </c>
      <c r="C1171" s="16" t="s">
        <v>5562</v>
      </c>
      <c r="D1171" s="17">
        <v>46089.0</v>
      </c>
      <c r="E1171" s="18">
        <v>13.135</v>
      </c>
      <c r="F1171" s="27">
        <v>1.0993</v>
      </c>
      <c r="G1171" s="20">
        <v>2.2278859E7</v>
      </c>
      <c r="H1171" s="16" t="s">
        <v>102</v>
      </c>
      <c r="I1171" s="19">
        <v>2.2179</v>
      </c>
      <c r="J1171" s="20">
        <v>3.976287402E9</v>
      </c>
      <c r="K1171" s="21"/>
      <c r="L1171" s="21">
        <v>-2.2522</v>
      </c>
      <c r="M1171" s="16" t="s">
        <v>5563</v>
      </c>
      <c r="N1171" s="16" t="s">
        <v>5536</v>
      </c>
      <c r="O1171" s="21">
        <v>-39.8083</v>
      </c>
      <c r="P1171" s="21">
        <v>-2190.5747</v>
      </c>
      <c r="Q1171" s="21">
        <v>-15.025</v>
      </c>
      <c r="R1171" s="21">
        <v>0.0</v>
      </c>
      <c r="S1171" s="21">
        <v>4.2984</v>
      </c>
      <c r="T1171" s="22">
        <f>IFERROR(__xludf.DUMMYFUNCTION("IFERROR(GOOGLEFINANCE(B1171,""price""),"""")"),9.21)</f>
        <v>9.21</v>
      </c>
    </row>
    <row r="1172">
      <c r="A1172" s="7">
        <v>46084.627458364674</v>
      </c>
      <c r="B1172" s="8" t="s">
        <v>6022</v>
      </c>
      <c r="C1172" s="8" t="s">
        <v>6023</v>
      </c>
      <c r="D1172" s="9">
        <v>46089.0</v>
      </c>
      <c r="E1172" s="10">
        <v>2.545</v>
      </c>
      <c r="F1172" s="26">
        <v>2.5313</v>
      </c>
      <c r="G1172" s="12">
        <v>3.5951357E7</v>
      </c>
      <c r="H1172" s="8" t="s">
        <v>88</v>
      </c>
      <c r="I1172" s="11">
        <v>14.6396</v>
      </c>
      <c r="J1172" s="12">
        <v>6.19941985E8</v>
      </c>
      <c r="K1172" s="13"/>
      <c r="L1172" s="13">
        <v>-0.9503</v>
      </c>
      <c r="M1172" s="8" t="s">
        <v>6024</v>
      </c>
      <c r="N1172" s="8" t="s">
        <v>5471</v>
      </c>
      <c r="O1172" s="13"/>
      <c r="P1172" s="13">
        <v>-2.7255</v>
      </c>
      <c r="Q1172" s="13">
        <v>-1.8779</v>
      </c>
      <c r="R1172" s="13"/>
      <c r="S1172" s="13">
        <v>0.6754</v>
      </c>
      <c r="T1172" s="14">
        <f>IFERROR(__xludf.DUMMYFUNCTION("IFERROR(GOOGLEFINANCE(B1172,""price""),"""")"),1.32)</f>
        <v>1.32</v>
      </c>
    </row>
    <row r="1173">
      <c r="A1173" s="15">
        <v>46084.627458364674</v>
      </c>
      <c r="B1173" s="16" t="s">
        <v>5969</v>
      </c>
      <c r="C1173" s="16" t="s">
        <v>5970</v>
      </c>
      <c r="D1173" s="17">
        <v>46089.0</v>
      </c>
      <c r="E1173" s="18">
        <v>26.83</v>
      </c>
      <c r="F1173" s="27">
        <v>1.8912</v>
      </c>
      <c r="G1173" s="20">
        <v>8720962.0</v>
      </c>
      <c r="H1173" s="16" t="s">
        <v>88</v>
      </c>
      <c r="I1173" s="19">
        <v>2.4437</v>
      </c>
      <c r="J1173" s="20">
        <v>4.518172174E9</v>
      </c>
      <c r="K1173" s="21"/>
      <c r="L1173" s="21">
        <v>-0.2596</v>
      </c>
      <c r="M1173" s="16" t="s">
        <v>5971</v>
      </c>
      <c r="N1173" s="16" t="s">
        <v>5429</v>
      </c>
      <c r="O1173" s="21">
        <v>-5.1687</v>
      </c>
      <c r="P1173" s="21">
        <v>-8.3118</v>
      </c>
      <c r="Q1173" s="21">
        <v>27.3548</v>
      </c>
      <c r="R1173" s="21">
        <v>0.0</v>
      </c>
      <c r="S1173" s="21">
        <v>2.5988</v>
      </c>
      <c r="T1173" s="22">
        <f>IFERROR(__xludf.DUMMYFUNCTION("IFERROR(GOOGLEFINANCE(B1173,""price""),"""")"),19.42)</f>
        <v>19.42</v>
      </c>
    </row>
    <row r="1174">
      <c r="A1174" s="7">
        <v>46084.627458364674</v>
      </c>
      <c r="B1174" s="8" t="s">
        <v>5514</v>
      </c>
      <c r="C1174" s="8" t="s">
        <v>5515</v>
      </c>
      <c r="D1174" s="9">
        <v>46089.0</v>
      </c>
      <c r="E1174" s="10">
        <v>10.035</v>
      </c>
      <c r="F1174" s="26">
        <v>1.5911</v>
      </c>
      <c r="G1174" s="12">
        <v>2.321413E7</v>
      </c>
      <c r="H1174" s="8" t="s">
        <v>117</v>
      </c>
      <c r="I1174" s="11">
        <v>-3.8793</v>
      </c>
      <c r="J1174" s="12">
        <v>1.0317097988E10</v>
      </c>
      <c r="K1174" s="13"/>
      <c r="L1174" s="13">
        <v>-0.3898</v>
      </c>
      <c r="M1174" s="8" t="s">
        <v>5516</v>
      </c>
      <c r="N1174" s="8" t="s">
        <v>5491</v>
      </c>
      <c r="O1174" s="13"/>
      <c r="P1174" s="13">
        <v>-225.9966</v>
      </c>
      <c r="Q1174" s="13">
        <v>668.3147</v>
      </c>
      <c r="R1174" s="13"/>
      <c r="S1174" s="13">
        <v>5.0989</v>
      </c>
      <c r="T1174" s="14">
        <f>IFERROR(__xludf.DUMMYFUNCTION("IFERROR(GOOGLEFINANCE(B1174,""price""),"""")"),7.28)</f>
        <v>7.28</v>
      </c>
    </row>
    <row r="1175">
      <c r="A1175" s="15">
        <v>46084.627458364674</v>
      </c>
      <c r="B1175" s="16" t="s">
        <v>5640</v>
      </c>
      <c r="C1175" s="16" t="s">
        <v>5641</v>
      </c>
      <c r="D1175" s="17">
        <v>46089.0</v>
      </c>
      <c r="E1175" s="18">
        <v>41.36</v>
      </c>
      <c r="F1175" s="27">
        <v>1.5701</v>
      </c>
      <c r="G1175" s="20">
        <v>1.2197832E7</v>
      </c>
      <c r="H1175" s="16" t="s">
        <v>308</v>
      </c>
      <c r="I1175" s="19">
        <v>-10.7081</v>
      </c>
      <c r="J1175" s="20">
        <v>2.28613918E9</v>
      </c>
      <c r="K1175" s="21"/>
      <c r="L1175" s="21">
        <v>-0.4882</v>
      </c>
      <c r="M1175" s="16" t="s">
        <v>5642</v>
      </c>
      <c r="N1175" s="16" t="s">
        <v>5433</v>
      </c>
      <c r="O1175" s="21">
        <v>-9.1233</v>
      </c>
      <c r="P1175" s="21">
        <v>-24.8806</v>
      </c>
      <c r="Q1175" s="21">
        <v>-11.106</v>
      </c>
      <c r="R1175" s="21">
        <v>0.2351</v>
      </c>
      <c r="S1175" s="21">
        <v>2.7231</v>
      </c>
      <c r="T1175" s="22">
        <f>IFERROR(__xludf.DUMMYFUNCTION("IFERROR(GOOGLEFINANCE(B1175,""price""),"""")"),64.18)</f>
        <v>64.18</v>
      </c>
    </row>
    <row r="1176">
      <c r="A1176" s="7">
        <v>46084.627458364674</v>
      </c>
      <c r="B1176" s="8" t="s">
        <v>764</v>
      </c>
      <c r="C1176" s="8" t="s">
        <v>765</v>
      </c>
      <c r="D1176" s="9">
        <v>46089.0</v>
      </c>
      <c r="E1176" s="10">
        <v>1.575</v>
      </c>
      <c r="F1176" s="26">
        <v>1.4922</v>
      </c>
      <c r="G1176" s="12">
        <v>1.4710851E7</v>
      </c>
      <c r="H1176" s="8" t="s">
        <v>102</v>
      </c>
      <c r="I1176" s="11">
        <v>-5.1205</v>
      </c>
      <c r="J1176" s="12">
        <v>5.74987982E8</v>
      </c>
      <c r="K1176" s="13"/>
      <c r="L1176" s="13">
        <v>-0.2753</v>
      </c>
      <c r="M1176" s="8" t="s">
        <v>766</v>
      </c>
      <c r="N1176" s="8" t="s">
        <v>5536</v>
      </c>
      <c r="O1176" s="13">
        <v>-33.6932</v>
      </c>
      <c r="P1176" s="13">
        <v>-509.0486</v>
      </c>
      <c r="Q1176" s="13"/>
      <c r="R1176" s="13">
        <v>0.0455</v>
      </c>
      <c r="S1176" s="13">
        <v>8.2255</v>
      </c>
      <c r="T1176" s="14">
        <f>IFERROR(__xludf.DUMMYFUNCTION("IFERROR(GOOGLEFINANCE(B1176,""price""),"""")"),1.0)</f>
        <v>1</v>
      </c>
    </row>
    <row r="1177">
      <c r="A1177" s="15">
        <v>46084.627458364674</v>
      </c>
      <c r="B1177" s="16" t="s">
        <v>6093</v>
      </c>
      <c r="C1177" s="16" t="s">
        <v>6094</v>
      </c>
      <c r="D1177" s="17">
        <v>46089.0</v>
      </c>
      <c r="E1177" s="18">
        <v>41.67</v>
      </c>
      <c r="F1177" s="27">
        <v>1.4829</v>
      </c>
      <c r="G1177" s="20">
        <v>9749941.0</v>
      </c>
      <c r="H1177" s="16" t="s">
        <v>88</v>
      </c>
      <c r="I1177" s="19">
        <v>48.7683</v>
      </c>
      <c r="J1177" s="20">
        <v>1.569060446E9</v>
      </c>
      <c r="K1177" s="21">
        <v>37.6525</v>
      </c>
      <c r="L1177" s="21">
        <v>1.1067</v>
      </c>
      <c r="M1177" s="16" t="s">
        <v>6095</v>
      </c>
      <c r="N1177" s="16" t="s">
        <v>5495</v>
      </c>
      <c r="O1177" s="21">
        <v>2.657</v>
      </c>
      <c r="P1177" s="21">
        <v>12.9718</v>
      </c>
      <c r="Q1177" s="21">
        <v>3.5372</v>
      </c>
      <c r="R1177" s="21">
        <v>0.5085</v>
      </c>
      <c r="S1177" s="21">
        <v>1.2748</v>
      </c>
      <c r="T1177" s="22">
        <f>IFERROR(__xludf.DUMMYFUNCTION("IFERROR(GOOGLEFINANCE(B1177,""price""),"""")"),43.72)</f>
        <v>43.72</v>
      </c>
    </row>
    <row r="1178">
      <c r="A1178" s="7">
        <v>46084.627458364674</v>
      </c>
      <c r="B1178" s="8" t="s">
        <v>5604</v>
      </c>
      <c r="C1178" s="8" t="s">
        <v>5605</v>
      </c>
      <c r="D1178" s="9">
        <v>46089.0</v>
      </c>
      <c r="E1178" s="10">
        <v>95.25</v>
      </c>
      <c r="F1178" s="26">
        <v>1.4775</v>
      </c>
      <c r="G1178" s="12">
        <v>1.6058867E7</v>
      </c>
      <c r="H1178" s="8" t="s">
        <v>308</v>
      </c>
      <c r="I1178" s="11">
        <v>-7.0822</v>
      </c>
      <c r="J1178" s="12">
        <v>7.162687947E9</v>
      </c>
      <c r="K1178" s="13"/>
      <c r="L1178" s="13">
        <v>-0.6555</v>
      </c>
      <c r="M1178" s="8" t="s">
        <v>5606</v>
      </c>
      <c r="N1178" s="8" t="s">
        <v>5414</v>
      </c>
      <c r="O1178" s="13">
        <v>-7.9391</v>
      </c>
      <c r="P1178" s="13">
        <v>-11.9814</v>
      </c>
      <c r="Q1178" s="13">
        <v>82.7502</v>
      </c>
      <c r="R1178" s="13">
        <v>0.338</v>
      </c>
      <c r="S1178" s="13">
        <v>2.6264</v>
      </c>
      <c r="T1178" s="14">
        <f>IFERROR(__xludf.DUMMYFUNCTION("IFERROR(GOOGLEFINANCE(B1178,""price""),"""")"),150.6)</f>
        <v>150.6</v>
      </c>
    </row>
    <row r="1179">
      <c r="A1179" s="15">
        <v>46084.627458364674</v>
      </c>
      <c r="B1179" s="16" t="s">
        <v>5671</v>
      </c>
      <c r="C1179" s="16" t="s">
        <v>5672</v>
      </c>
      <c r="D1179" s="17">
        <v>46089.0</v>
      </c>
      <c r="E1179" s="18">
        <v>17.2669</v>
      </c>
      <c r="F1179" s="27">
        <v>1.4535</v>
      </c>
      <c r="G1179" s="20">
        <v>2.249133E7</v>
      </c>
      <c r="H1179" s="16" t="s">
        <v>308</v>
      </c>
      <c r="I1179" s="19">
        <v>-2.3917</v>
      </c>
      <c r="J1179" s="20">
        <v>5.698527182E9</v>
      </c>
      <c r="K1179" s="21"/>
      <c r="L1179" s="21">
        <v>-1.3002</v>
      </c>
      <c r="M1179" s="16" t="s">
        <v>5673</v>
      </c>
      <c r="N1179" s="16" t="s">
        <v>5674</v>
      </c>
      <c r="O1179" s="21">
        <v>-141.9</v>
      </c>
      <c r="P1179" s="21">
        <v>-1074.9533</v>
      </c>
      <c r="Q1179" s="21">
        <v>-36.9828</v>
      </c>
      <c r="R1179" s="21">
        <v>0.0204</v>
      </c>
      <c r="S1179" s="21">
        <v>39.2207</v>
      </c>
      <c r="T1179" s="22">
        <f>IFERROR(__xludf.DUMMYFUNCTION("IFERROR(GOOGLEFINANCE(B1179,""price""),"""")"),14.68)</f>
        <v>14.68</v>
      </c>
    </row>
    <row r="1180">
      <c r="A1180" s="7">
        <v>46084.627458364674</v>
      </c>
      <c r="B1180" s="8" t="s">
        <v>6096</v>
      </c>
      <c r="C1180" s="8" t="s">
        <v>6097</v>
      </c>
      <c r="D1180" s="9">
        <v>46089.0</v>
      </c>
      <c r="E1180" s="10">
        <v>1.446</v>
      </c>
      <c r="F1180" s="26">
        <v>1.4375</v>
      </c>
      <c r="G1180" s="12">
        <v>1.0893474E7</v>
      </c>
      <c r="H1180" s="8" t="s">
        <v>245</v>
      </c>
      <c r="I1180" s="11">
        <v>-4.2384</v>
      </c>
      <c r="J1180" s="12">
        <v>2.99644709E8</v>
      </c>
      <c r="K1180" s="13"/>
      <c r="L1180" s="13">
        <v>-0.0766</v>
      </c>
      <c r="M1180" s="8" t="s">
        <v>6098</v>
      </c>
      <c r="N1180" s="8" t="s">
        <v>5776</v>
      </c>
      <c r="O1180" s="13">
        <v>-1.9104</v>
      </c>
      <c r="P1180" s="13">
        <v>26.9856</v>
      </c>
      <c r="Q1180" s="13">
        <v>-15.436</v>
      </c>
      <c r="R1180" s="13">
        <v>0.5095</v>
      </c>
      <c r="S1180" s="13">
        <v>0.5493</v>
      </c>
      <c r="T1180" s="14">
        <f>IFERROR(__xludf.DUMMYFUNCTION("IFERROR(GOOGLEFINANCE(B1180,""price""),"""")"),1.35)</f>
        <v>1.35</v>
      </c>
    </row>
    <row r="1181">
      <c r="A1181" s="15">
        <v>46084.627458364674</v>
      </c>
      <c r="B1181" s="16" t="s">
        <v>1077</v>
      </c>
      <c r="C1181" s="16" t="s">
        <v>1078</v>
      </c>
      <c r="D1181" s="17">
        <v>46089.0</v>
      </c>
      <c r="E1181" s="18">
        <v>9.695</v>
      </c>
      <c r="F1181" s="27">
        <v>1.3779</v>
      </c>
      <c r="G1181" s="20">
        <v>1.0786301E7</v>
      </c>
      <c r="H1181" s="16" t="s">
        <v>335</v>
      </c>
      <c r="I1181" s="19">
        <v>-8.9671</v>
      </c>
      <c r="J1181" s="20">
        <v>1.357645229E9</v>
      </c>
      <c r="K1181" s="21"/>
      <c r="L1181" s="21">
        <v>-0.041</v>
      </c>
      <c r="M1181" s="16" t="s">
        <v>1079</v>
      </c>
      <c r="N1181" s="16" t="s">
        <v>5506</v>
      </c>
      <c r="O1181" s="21">
        <v>-10.5913</v>
      </c>
      <c r="P1181" s="21">
        <v>-18.9471</v>
      </c>
      <c r="Q1181" s="21">
        <v>240.123</v>
      </c>
      <c r="R1181" s="21">
        <v>0.0037</v>
      </c>
      <c r="S1181" s="21">
        <v>5.0784</v>
      </c>
      <c r="T1181" s="22">
        <f>IFERROR(__xludf.DUMMYFUNCTION("IFERROR(GOOGLEFINANCE(B1181,""price""),"""")"),8.36)</f>
        <v>8.36</v>
      </c>
    </row>
    <row r="1182">
      <c r="A1182" s="7">
        <v>46084.627458364674</v>
      </c>
      <c r="B1182" s="8" t="s">
        <v>5527</v>
      </c>
      <c r="C1182" s="8" t="s">
        <v>5528</v>
      </c>
      <c r="D1182" s="9">
        <v>46089.0</v>
      </c>
      <c r="E1182" s="10">
        <v>14.57</v>
      </c>
      <c r="F1182" s="26">
        <v>1.3512</v>
      </c>
      <c r="G1182" s="12">
        <v>3.4205019E7</v>
      </c>
      <c r="H1182" s="8" t="s">
        <v>88</v>
      </c>
      <c r="I1182" s="11">
        <v>6.5838</v>
      </c>
      <c r="J1182" s="12">
        <v>1.739237512E9</v>
      </c>
      <c r="K1182" s="13"/>
      <c r="L1182" s="13"/>
      <c r="M1182" s="8" t="s">
        <v>5529</v>
      </c>
      <c r="N1182" s="8" t="s">
        <v>5429</v>
      </c>
      <c r="O1182" s="13"/>
      <c r="P1182" s="13"/>
      <c r="Q1182" s="13"/>
      <c r="R1182" s="13">
        <v>0.0885</v>
      </c>
      <c r="S1182" s="13">
        <v>10.416</v>
      </c>
      <c r="T1182" s="14">
        <f>IFERROR(__xludf.DUMMYFUNCTION("IFERROR(GOOGLEFINANCE(B1182,""price""),"""")"),12.37)</f>
        <v>12.37</v>
      </c>
    </row>
    <row r="1183">
      <c r="A1183" s="15">
        <v>46084.627458364674</v>
      </c>
      <c r="B1183" s="16" t="s">
        <v>4359</v>
      </c>
      <c r="C1183" s="16" t="s">
        <v>4360</v>
      </c>
      <c r="D1183" s="17">
        <v>46089.0</v>
      </c>
      <c r="E1183" s="18">
        <v>77.59</v>
      </c>
      <c r="F1183" s="27">
        <v>1.347</v>
      </c>
      <c r="G1183" s="20">
        <v>1.0858391E7</v>
      </c>
      <c r="H1183" s="16" t="s">
        <v>308</v>
      </c>
      <c r="I1183" s="19">
        <v>-4.044</v>
      </c>
      <c r="J1183" s="20">
        <v>6.7770972751E10</v>
      </c>
      <c r="K1183" s="21">
        <v>27.1683</v>
      </c>
      <c r="L1183" s="21">
        <v>2.8559</v>
      </c>
      <c r="M1183" s="16" t="s">
        <v>4362</v>
      </c>
      <c r="N1183" s="16" t="s">
        <v>5414</v>
      </c>
      <c r="O1183" s="21">
        <v>18.0404</v>
      </c>
      <c r="P1183" s="21">
        <v>14.7203</v>
      </c>
      <c r="Q1183" s="21">
        <v>44.9539</v>
      </c>
      <c r="R1183" s="21">
        <v>0.358</v>
      </c>
      <c r="S1183" s="21">
        <v>2.0143</v>
      </c>
      <c r="T1183" s="22">
        <f>IFERROR(__xludf.DUMMYFUNCTION("IFERROR(GOOGLEFINANCE(B1183,""price""),"""")"),128.49)</f>
        <v>128.49</v>
      </c>
    </row>
    <row r="1184">
      <c r="A1184" s="7">
        <v>46084.627458364674</v>
      </c>
      <c r="B1184" s="8" t="s">
        <v>6099</v>
      </c>
      <c r="C1184" s="8" t="s">
        <v>6100</v>
      </c>
      <c r="D1184" s="9">
        <v>46089.0</v>
      </c>
      <c r="E1184" s="10">
        <v>3.115</v>
      </c>
      <c r="F1184" s="26">
        <v>1.2891</v>
      </c>
      <c r="G1184" s="12">
        <v>1.4235638E7</v>
      </c>
      <c r="H1184" s="8" t="s">
        <v>245</v>
      </c>
      <c r="I1184" s="11">
        <v>3.8333</v>
      </c>
      <c r="J1184" s="12">
        <v>4.63441045E8</v>
      </c>
      <c r="K1184" s="13"/>
      <c r="L1184" s="13">
        <v>-0.988</v>
      </c>
      <c r="M1184" s="8" t="s">
        <v>6101</v>
      </c>
      <c r="N1184" s="8" t="s">
        <v>5410</v>
      </c>
      <c r="O1184" s="13"/>
      <c r="P1184" s="13">
        <v>-10.1375</v>
      </c>
      <c r="Q1184" s="13">
        <v>-6.917</v>
      </c>
      <c r="R1184" s="13"/>
      <c r="S1184" s="13">
        <v>1.0997</v>
      </c>
      <c r="T1184" s="14">
        <f>IFERROR(__xludf.DUMMYFUNCTION("IFERROR(GOOGLEFINANCE(B1184,""price""),"""")"),2.76)</f>
        <v>2.76</v>
      </c>
    </row>
    <row r="1185">
      <c r="A1185" s="15">
        <v>46084.627458364674</v>
      </c>
      <c r="B1185" s="16" t="s">
        <v>5558</v>
      </c>
      <c r="C1185" s="16" t="s">
        <v>5559</v>
      </c>
      <c r="D1185" s="17">
        <v>46089.0</v>
      </c>
      <c r="E1185" s="18">
        <v>6.145</v>
      </c>
      <c r="F1185" s="27">
        <v>1.2852</v>
      </c>
      <c r="G1185" s="20">
        <v>2.4911505E7</v>
      </c>
      <c r="H1185" s="16" t="s">
        <v>102</v>
      </c>
      <c r="I1185" s="19">
        <v>4.1525</v>
      </c>
      <c r="J1185" s="20">
        <v>2.085823593E9</v>
      </c>
      <c r="K1185" s="21"/>
      <c r="L1185" s="21">
        <v>-6.9942</v>
      </c>
      <c r="M1185" s="16" t="s">
        <v>5560</v>
      </c>
      <c r="N1185" s="16" t="s">
        <v>5536</v>
      </c>
      <c r="O1185" s="21"/>
      <c r="P1185" s="21">
        <v>-225.4661</v>
      </c>
      <c r="Q1185" s="21">
        <v>631.7891</v>
      </c>
      <c r="R1185" s="21"/>
      <c r="S1185" s="21">
        <v>4.9358</v>
      </c>
      <c r="T1185" s="22">
        <f>IFERROR(__xludf.DUMMYFUNCTION("IFERROR(GOOGLEFINANCE(B1185,""price""),"""")"),5.62)</f>
        <v>5.62</v>
      </c>
    </row>
    <row r="1186">
      <c r="A1186" s="7">
        <v>46084.627458364674</v>
      </c>
      <c r="B1186" s="8" t="s">
        <v>5434</v>
      </c>
      <c r="C1186" s="8" t="s">
        <v>5435</v>
      </c>
      <c r="D1186" s="9">
        <v>46089.0</v>
      </c>
      <c r="E1186" s="10">
        <v>10.155</v>
      </c>
      <c r="F1186" s="26">
        <v>1.2598</v>
      </c>
      <c r="G1186" s="12">
        <v>9.3737948E7</v>
      </c>
      <c r="H1186" s="8" t="s">
        <v>308</v>
      </c>
      <c r="I1186" s="11">
        <v>-4.8266</v>
      </c>
      <c r="J1186" s="12">
        <v>4.565316517E9</v>
      </c>
      <c r="K1186" s="13"/>
      <c r="L1186" s="13">
        <v>-0.4034</v>
      </c>
      <c r="M1186" s="8" t="s">
        <v>5436</v>
      </c>
      <c r="N1186" s="8" t="s">
        <v>5437</v>
      </c>
      <c r="O1186" s="13">
        <v>-17.0422</v>
      </c>
      <c r="P1186" s="13">
        <v>-176.0921</v>
      </c>
      <c r="Q1186" s="13">
        <v>208.4002</v>
      </c>
      <c r="R1186" s="13">
        <v>0.037</v>
      </c>
      <c r="S1186" s="13">
        <v>15.2957</v>
      </c>
      <c r="T1186" s="14">
        <f>IFERROR(__xludf.DUMMYFUNCTION("IFERROR(GOOGLEFINANCE(B1186,""price""),"""")"),9.13)</f>
        <v>9.13</v>
      </c>
    </row>
    <row r="1187">
      <c r="A1187" s="15">
        <v>46084.627458364674</v>
      </c>
      <c r="B1187" s="16" t="s">
        <v>5533</v>
      </c>
      <c r="C1187" s="16" t="s">
        <v>5534</v>
      </c>
      <c r="D1187" s="17">
        <v>46089.0</v>
      </c>
      <c r="E1187" s="18">
        <v>6.595</v>
      </c>
      <c r="F1187" s="27">
        <v>1.2422</v>
      </c>
      <c r="G1187" s="20">
        <v>1.02071E7</v>
      </c>
      <c r="H1187" s="16" t="s">
        <v>102</v>
      </c>
      <c r="I1187" s="19">
        <v>-3.5819</v>
      </c>
      <c r="J1187" s="20">
        <v>1.784427754E9</v>
      </c>
      <c r="K1187" s="21"/>
      <c r="L1187" s="21">
        <v>-3.7839</v>
      </c>
      <c r="M1187" s="16" t="s">
        <v>5535</v>
      </c>
      <c r="N1187" s="16" t="s">
        <v>5536</v>
      </c>
      <c r="O1187" s="21">
        <v>-55.984</v>
      </c>
      <c r="P1187" s="21">
        <v>-31.1477</v>
      </c>
      <c r="Q1187" s="21"/>
      <c r="R1187" s="21">
        <v>4.5088</v>
      </c>
      <c r="S1187" s="21">
        <v>1.1293</v>
      </c>
      <c r="T1187" s="22">
        <f>IFERROR(__xludf.DUMMYFUNCTION("IFERROR(GOOGLEFINANCE(B1187,""price""),"""")"),4.69)</f>
        <v>4.69</v>
      </c>
    </row>
    <row r="1188">
      <c r="A1188" s="7">
        <v>46084.627458364674</v>
      </c>
      <c r="B1188" s="8" t="s">
        <v>6102</v>
      </c>
      <c r="C1188" s="8" t="s">
        <v>6103</v>
      </c>
      <c r="D1188" s="9">
        <v>46089.0</v>
      </c>
      <c r="E1188" s="10">
        <v>1.535</v>
      </c>
      <c r="F1188" s="26">
        <v>1.2188</v>
      </c>
      <c r="G1188" s="12">
        <v>8465012.0</v>
      </c>
      <c r="H1188" s="8" t="s">
        <v>117</v>
      </c>
      <c r="I1188" s="11">
        <v>-5.2469</v>
      </c>
      <c r="J1188" s="12">
        <v>4.63567378E8</v>
      </c>
      <c r="K1188" s="13"/>
      <c r="L1188" s="13">
        <v>-1.835</v>
      </c>
      <c r="M1188" s="8" t="s">
        <v>6104</v>
      </c>
      <c r="N1188" s="8" t="s">
        <v>5418</v>
      </c>
      <c r="O1188" s="13">
        <v>-213.4519</v>
      </c>
      <c r="P1188" s="13">
        <v>-330.9496</v>
      </c>
      <c r="Q1188" s="13">
        <v>3.8899</v>
      </c>
      <c r="R1188" s="13">
        <v>131.3184</v>
      </c>
      <c r="S1188" s="13">
        <v>5.1496</v>
      </c>
      <c r="T1188" s="14">
        <f>IFERROR(__xludf.DUMMYFUNCTION("IFERROR(GOOGLEFINANCE(B1188,""price""),"""")"),1.34)</f>
        <v>1.34</v>
      </c>
    </row>
    <row r="1189">
      <c r="A1189" s="15">
        <v>46084.627458364674</v>
      </c>
      <c r="B1189" s="16" t="s">
        <v>5580</v>
      </c>
      <c r="C1189" s="16" t="s">
        <v>5581</v>
      </c>
      <c r="D1189" s="17">
        <v>46089.0</v>
      </c>
      <c r="E1189" s="18">
        <v>2.465</v>
      </c>
      <c r="F1189" s="27">
        <v>1.2031</v>
      </c>
      <c r="G1189" s="20">
        <v>1.0686438E7</v>
      </c>
      <c r="H1189" s="16" t="s">
        <v>88</v>
      </c>
      <c r="I1189" s="19">
        <v>-0.6048</v>
      </c>
      <c r="J1189" s="20">
        <v>9.83110057E8</v>
      </c>
      <c r="K1189" s="21"/>
      <c r="L1189" s="21"/>
      <c r="M1189" s="16" t="s">
        <v>5582</v>
      </c>
      <c r="N1189" s="16" t="s">
        <v>5429</v>
      </c>
      <c r="O1189" s="21"/>
      <c r="P1189" s="21"/>
      <c r="Q1189" s="21"/>
      <c r="R1189" s="21"/>
      <c r="S1189" s="21">
        <v>0.2412</v>
      </c>
      <c r="T1189" s="22">
        <f>IFERROR(__xludf.DUMMYFUNCTION("IFERROR(GOOGLEFINANCE(B1189,""price""),"""")"),2.38)</f>
        <v>2.38</v>
      </c>
    </row>
    <row r="1190">
      <c r="A1190" s="7">
        <v>46084.627458364674</v>
      </c>
      <c r="B1190" s="8" t="s">
        <v>5607</v>
      </c>
      <c r="C1190" s="8" t="s">
        <v>5608</v>
      </c>
      <c r="D1190" s="9">
        <v>46089.0</v>
      </c>
      <c r="E1190" s="10">
        <v>18.145</v>
      </c>
      <c r="F1190" s="26">
        <v>1.1799</v>
      </c>
      <c r="G1190" s="12">
        <v>9827410.0</v>
      </c>
      <c r="H1190" s="8" t="s">
        <v>308</v>
      </c>
      <c r="I1190" s="11">
        <v>0.8616</v>
      </c>
      <c r="J1190" s="12">
        <v>3.687246678E9</v>
      </c>
      <c r="K1190" s="13"/>
      <c r="L1190" s="13">
        <v>-1.8673</v>
      </c>
      <c r="M1190" s="8" t="s">
        <v>5609</v>
      </c>
      <c r="N1190" s="8" t="s">
        <v>5520</v>
      </c>
      <c r="O1190" s="13"/>
      <c r="P1190" s="13">
        <v>-30.7058</v>
      </c>
      <c r="Q1190" s="13">
        <v>8.0687</v>
      </c>
      <c r="R1190" s="13"/>
      <c r="S1190" s="13">
        <v>6.2531</v>
      </c>
      <c r="T1190" s="14">
        <f>IFERROR(__xludf.DUMMYFUNCTION("IFERROR(GOOGLEFINANCE(B1190,""price""),"""")"),23.57)</f>
        <v>23.57</v>
      </c>
    </row>
    <row r="1191">
      <c r="A1191" s="15">
        <v>46084.627458364674</v>
      </c>
      <c r="B1191" s="16" t="s">
        <v>5554</v>
      </c>
      <c r="C1191" s="16" t="s">
        <v>5555</v>
      </c>
      <c r="D1191" s="17">
        <v>46089.0</v>
      </c>
      <c r="E1191" s="18">
        <v>94.02</v>
      </c>
      <c r="F1191" s="27">
        <v>1.1771</v>
      </c>
      <c r="G1191" s="20">
        <v>1.9528639E7</v>
      </c>
      <c r="H1191" s="16" t="s">
        <v>873</v>
      </c>
      <c r="I1191" s="19">
        <v>8.1684</v>
      </c>
      <c r="J1191" s="20">
        <v>3.4543069056E10</v>
      </c>
      <c r="K1191" s="21"/>
      <c r="L1191" s="21">
        <v>-1.2452</v>
      </c>
      <c r="M1191" s="16" t="s">
        <v>5556</v>
      </c>
      <c r="N1191" s="16" t="s">
        <v>5557</v>
      </c>
      <c r="O1191" s="21">
        <v>-39.2195</v>
      </c>
      <c r="P1191" s="21">
        <v>-1479.4668</v>
      </c>
      <c r="Q1191" s="21">
        <v>641.24</v>
      </c>
      <c r="R1191" s="21">
        <v>0.5824</v>
      </c>
      <c r="S1191" s="21">
        <v>9.5602</v>
      </c>
      <c r="T1191" s="22">
        <f>IFERROR(__xludf.DUMMYFUNCTION("IFERROR(GOOGLEFINANCE(B1191,""price""),"""")"),94.9)</f>
        <v>94.9</v>
      </c>
    </row>
    <row r="1192">
      <c r="A1192" s="7">
        <v>46084.627458364674</v>
      </c>
      <c r="B1192" s="8" t="s">
        <v>6087</v>
      </c>
      <c r="C1192" s="8" t="s">
        <v>6088</v>
      </c>
      <c r="D1192" s="9">
        <v>46089.0</v>
      </c>
      <c r="E1192" s="10">
        <v>7.055</v>
      </c>
      <c r="F1192" s="26">
        <v>1.1758</v>
      </c>
      <c r="G1192" s="12">
        <v>1.5456026E7</v>
      </c>
      <c r="H1192" s="8" t="s">
        <v>102</v>
      </c>
      <c r="I1192" s="11">
        <v>2.0984</v>
      </c>
      <c r="J1192" s="12">
        <v>1.077377363E9</v>
      </c>
      <c r="K1192" s="13"/>
      <c r="L1192" s="13">
        <v>-0.6318</v>
      </c>
      <c r="M1192" s="8" t="s">
        <v>6089</v>
      </c>
      <c r="N1192" s="8" t="s">
        <v>5536</v>
      </c>
      <c r="O1192" s="13">
        <v>-104.168</v>
      </c>
      <c r="P1192" s="13">
        <v>-5151.455</v>
      </c>
      <c r="Q1192" s="13">
        <v>535.8653</v>
      </c>
      <c r="R1192" s="13">
        <v>0.1096</v>
      </c>
      <c r="S1192" s="13">
        <v>2.2985</v>
      </c>
      <c r="T1192" s="14">
        <f>IFERROR(__xludf.DUMMYFUNCTION("IFERROR(GOOGLEFINANCE(B1192,""price""),"""")"),7.04)</f>
        <v>7.04</v>
      </c>
    </row>
    <row r="1193">
      <c r="A1193" s="15">
        <v>46084.627458364674</v>
      </c>
      <c r="B1193" s="16" t="s">
        <v>5567</v>
      </c>
      <c r="C1193" s="16" t="s">
        <v>5568</v>
      </c>
      <c r="D1193" s="17">
        <v>46089.0</v>
      </c>
      <c r="E1193" s="18">
        <v>153.9659</v>
      </c>
      <c r="F1193" s="27">
        <v>1.1638</v>
      </c>
      <c r="G1193" s="20">
        <v>9618463.0</v>
      </c>
      <c r="H1193" s="16" t="s">
        <v>308</v>
      </c>
      <c r="I1193" s="19">
        <v>-7.2495</v>
      </c>
      <c r="J1193" s="20">
        <v>4.3194858843E10</v>
      </c>
      <c r="K1193" s="21"/>
      <c r="L1193" s="21">
        <v>-0.3809</v>
      </c>
      <c r="M1193" s="16" t="s">
        <v>5569</v>
      </c>
      <c r="N1193" s="16" t="s">
        <v>5433</v>
      </c>
      <c r="O1193" s="21">
        <v>-13.2874</v>
      </c>
      <c r="P1193" s="21">
        <v>5.4633</v>
      </c>
      <c r="Q1193" s="21">
        <v>37.3263</v>
      </c>
      <c r="R1193" s="21">
        <v>3.8975</v>
      </c>
      <c r="S1193" s="21">
        <v>5.9285</v>
      </c>
      <c r="T1193" s="22">
        <f>IFERROR(__xludf.DUMMYFUNCTION("IFERROR(GOOGLEFINANCE(B1193,""price""),"""")"),166.7)</f>
        <v>166.7</v>
      </c>
    </row>
    <row r="1194">
      <c r="A1194" s="7">
        <v>46084.627458364674</v>
      </c>
      <c r="B1194" s="8" t="s">
        <v>5773</v>
      </c>
      <c r="C1194" s="8" t="s">
        <v>5774</v>
      </c>
      <c r="D1194" s="9">
        <v>46089.0</v>
      </c>
      <c r="E1194" s="10">
        <v>2.51</v>
      </c>
      <c r="F1194" s="26">
        <v>1.1602</v>
      </c>
      <c r="G1194" s="12">
        <v>3.4427761E7</v>
      </c>
      <c r="H1194" s="8" t="s">
        <v>245</v>
      </c>
      <c r="I1194" s="11">
        <v>4.5833</v>
      </c>
      <c r="J1194" s="12">
        <v>1.20060073E9</v>
      </c>
      <c r="K1194" s="13"/>
      <c r="L1194" s="13">
        <v>-0.6899</v>
      </c>
      <c r="M1194" s="8" t="s">
        <v>5775</v>
      </c>
      <c r="N1194" s="8" t="s">
        <v>5776</v>
      </c>
      <c r="O1194" s="13">
        <v>-80.9463</v>
      </c>
      <c r="P1194" s="13">
        <v>-7.2374</v>
      </c>
      <c r="Q1194" s="13">
        <v>-22.1104</v>
      </c>
      <c r="R1194" s="13">
        <v>5.7753</v>
      </c>
      <c r="S1194" s="13">
        <v>0.7476</v>
      </c>
      <c r="T1194" s="14">
        <f>IFERROR(__xludf.DUMMYFUNCTION("IFERROR(GOOGLEFINANCE(B1194,""price""),"""")"),2.57)</f>
        <v>2.57</v>
      </c>
    </row>
    <row r="1195">
      <c r="A1195" s="15">
        <v>46084.627458364674</v>
      </c>
      <c r="B1195" s="16" t="s">
        <v>5537</v>
      </c>
      <c r="C1195" s="16" t="s">
        <v>5538</v>
      </c>
      <c r="D1195" s="17">
        <v>46089.0</v>
      </c>
      <c r="E1195" s="18">
        <v>2.41</v>
      </c>
      <c r="F1195" s="27">
        <v>1.1406</v>
      </c>
      <c r="G1195" s="20">
        <v>8513296.0</v>
      </c>
      <c r="H1195" s="16" t="s">
        <v>112</v>
      </c>
      <c r="I1195" s="19">
        <v>-6.9498</v>
      </c>
      <c r="J1195" s="20">
        <v>5.38866254E8</v>
      </c>
      <c r="K1195" s="21"/>
      <c r="L1195" s="21">
        <v>-0.135</v>
      </c>
      <c r="M1195" s="16" t="s">
        <v>5539</v>
      </c>
      <c r="N1195" s="16" t="s">
        <v>5540</v>
      </c>
      <c r="O1195" s="21">
        <v>-10.5751</v>
      </c>
      <c r="P1195" s="21">
        <v>-523.9108</v>
      </c>
      <c r="Q1195" s="21">
        <v>12.4146</v>
      </c>
      <c r="R1195" s="21">
        <v>0.0018</v>
      </c>
      <c r="S1195" s="21">
        <v>35.7348</v>
      </c>
      <c r="T1195" s="22">
        <f>IFERROR(__xludf.DUMMYFUNCTION("IFERROR(GOOGLEFINANCE(B1195,""price""),"""")"),2.01)</f>
        <v>2.01</v>
      </c>
    </row>
    <row r="1196">
      <c r="A1196" s="7">
        <v>46084.627458364674</v>
      </c>
      <c r="B1196" s="8" t="s">
        <v>5551</v>
      </c>
      <c r="C1196" s="8" t="s">
        <v>5552</v>
      </c>
      <c r="D1196" s="9">
        <v>46089.0</v>
      </c>
      <c r="E1196" s="10">
        <v>1.02</v>
      </c>
      <c r="F1196" s="26">
        <v>1.1406</v>
      </c>
      <c r="G1196" s="12">
        <v>1.1465731E7</v>
      </c>
      <c r="H1196" s="8" t="s">
        <v>88</v>
      </c>
      <c r="I1196" s="11">
        <v>0.0</v>
      </c>
      <c r="J1196" s="12">
        <v>9.46157082E8</v>
      </c>
      <c r="K1196" s="13"/>
      <c r="L1196" s="13">
        <v>-4.0733</v>
      </c>
      <c r="M1196" s="8" t="s">
        <v>5553</v>
      </c>
      <c r="N1196" s="8" t="s">
        <v>5471</v>
      </c>
      <c r="O1196" s="13"/>
      <c r="P1196" s="13">
        <v>12.2</v>
      </c>
      <c r="Q1196" s="13">
        <v>608.2915</v>
      </c>
      <c r="R1196" s="13"/>
      <c r="S1196" s="13"/>
      <c r="T1196" s="14">
        <f>IFERROR(__xludf.DUMMYFUNCTION("IFERROR(GOOGLEFINANCE(B1196,""price""),"""")"),0.95)</f>
        <v>0.95</v>
      </c>
    </row>
    <row r="1197">
      <c r="A1197" s="15">
        <v>46084.627458364674</v>
      </c>
      <c r="B1197" s="16" t="s">
        <v>5544</v>
      </c>
      <c r="C1197" s="16" t="s">
        <v>6105</v>
      </c>
      <c r="D1197" s="17">
        <v>46089.0</v>
      </c>
      <c r="E1197" s="18">
        <v>14.91</v>
      </c>
      <c r="F1197" s="27">
        <v>1.138</v>
      </c>
      <c r="G1197" s="20">
        <v>2.2037335E7</v>
      </c>
      <c r="H1197" s="16" t="s">
        <v>88</v>
      </c>
      <c r="I1197" s="19">
        <v>-5.3934</v>
      </c>
      <c r="J1197" s="20">
        <v>6.04033057E9</v>
      </c>
      <c r="K1197" s="21"/>
      <c r="L1197" s="21">
        <v>-2.0516</v>
      </c>
      <c r="M1197" s="16" t="s">
        <v>5546</v>
      </c>
      <c r="N1197" s="16" t="s">
        <v>5471</v>
      </c>
      <c r="O1197" s="21">
        <v>-110.5547</v>
      </c>
      <c r="P1197" s="21">
        <v>-76.6975</v>
      </c>
      <c r="Q1197" s="21">
        <v>48.0413</v>
      </c>
      <c r="R1197" s="21">
        <v>3.435</v>
      </c>
      <c r="S1197" s="21">
        <v>3.7948</v>
      </c>
      <c r="T1197" s="22">
        <f>IFERROR(__xludf.DUMMYFUNCTION("IFERROR(GOOGLEFINANCE(B1197,""price""),"""")"),16.53)</f>
        <v>16.53</v>
      </c>
    </row>
    <row r="1198">
      <c r="A1198" s="7">
        <v>46084.627458364674</v>
      </c>
      <c r="B1198" s="8" t="s">
        <v>2704</v>
      </c>
      <c r="C1198" s="8" t="s">
        <v>2705</v>
      </c>
      <c r="D1198" s="9">
        <v>46089.0</v>
      </c>
      <c r="E1198" s="10">
        <v>26.3918</v>
      </c>
      <c r="F1198" s="26">
        <v>1.1359</v>
      </c>
      <c r="G1198" s="12">
        <v>1.1941162E7</v>
      </c>
      <c r="H1198" s="8" t="s">
        <v>88</v>
      </c>
      <c r="I1198" s="11">
        <v>-5.5073</v>
      </c>
      <c r="J1198" s="12">
        <v>7.378773004E9</v>
      </c>
      <c r="K1198" s="13"/>
      <c r="L1198" s="13">
        <v>-0.5438</v>
      </c>
      <c r="M1198" s="8" t="s">
        <v>2707</v>
      </c>
      <c r="N1198" s="8" t="s">
        <v>5471</v>
      </c>
      <c r="O1198" s="13">
        <v>-11.4029</v>
      </c>
      <c r="P1198" s="13">
        <v>-26.4624</v>
      </c>
      <c r="Q1198" s="13">
        <v>33.135</v>
      </c>
      <c r="R1198" s="13">
        <v>1.6778</v>
      </c>
      <c r="S1198" s="13">
        <v>4.8227</v>
      </c>
      <c r="T1198" s="14">
        <f>IFERROR(__xludf.DUMMYFUNCTION("IFERROR(GOOGLEFINANCE(B1198,""price""),"""")"),26.24)</f>
        <v>26.24</v>
      </c>
    </row>
    <row r="1199">
      <c r="A1199" s="15">
        <v>46084.627458364674</v>
      </c>
      <c r="B1199" s="16" t="s">
        <v>5574</v>
      </c>
      <c r="C1199" s="16" t="s">
        <v>5575</v>
      </c>
      <c r="D1199" s="17">
        <v>46089.0</v>
      </c>
      <c r="E1199" s="18">
        <v>21.015</v>
      </c>
      <c r="F1199" s="27">
        <v>1.1311</v>
      </c>
      <c r="G1199" s="20">
        <v>1.2773429E7</v>
      </c>
      <c r="H1199" s="16" t="s">
        <v>335</v>
      </c>
      <c r="I1199" s="19">
        <v>-10.077</v>
      </c>
      <c r="J1199" s="20">
        <v>5.077350331E9</v>
      </c>
      <c r="K1199" s="21"/>
      <c r="L1199" s="21">
        <v>-0.3843</v>
      </c>
      <c r="M1199" s="16" t="s">
        <v>5576</v>
      </c>
      <c r="N1199" s="16" t="s">
        <v>5506</v>
      </c>
      <c r="O1199" s="21">
        <v>-14.199</v>
      </c>
      <c r="P1199" s="21">
        <v>-153.4465</v>
      </c>
      <c r="Q1199" s="21">
        <v>-15.608</v>
      </c>
      <c r="R1199" s="21">
        <v>0.996</v>
      </c>
      <c r="S1199" s="21">
        <v>30.6942</v>
      </c>
      <c r="T1199" s="22">
        <f>IFERROR(__xludf.DUMMYFUNCTION("IFERROR(GOOGLEFINANCE(B1199,""price""),"""")"),18.4)</f>
        <v>18.4</v>
      </c>
    </row>
    <row r="1200">
      <c r="A1200" s="7">
        <v>46084.627458364674</v>
      </c>
      <c r="B1200" s="8" t="s">
        <v>5665</v>
      </c>
      <c r="C1200" s="8" t="s">
        <v>5666</v>
      </c>
      <c r="D1200" s="9">
        <v>46089.0</v>
      </c>
      <c r="E1200" s="10">
        <v>101.485</v>
      </c>
      <c r="F1200" s="26">
        <v>1.1274</v>
      </c>
      <c r="G1200" s="12">
        <v>2.945016E7</v>
      </c>
      <c r="H1200" s="8" t="s">
        <v>88</v>
      </c>
      <c r="I1200" s="11">
        <v>5.5596</v>
      </c>
      <c r="J1200" s="12">
        <v>2.3867967979E10</v>
      </c>
      <c r="K1200" s="13"/>
      <c r="L1200" s="13">
        <v>-0.543</v>
      </c>
      <c r="M1200" s="8" t="s">
        <v>5667</v>
      </c>
      <c r="N1200" s="8" t="s">
        <v>5429</v>
      </c>
      <c r="O1200" s="13">
        <v>-2.7585</v>
      </c>
      <c r="P1200" s="13">
        <v>-3.2988</v>
      </c>
      <c r="Q1200" s="13">
        <v>63.8561</v>
      </c>
      <c r="R1200" s="13">
        <v>0.0111</v>
      </c>
      <c r="S1200" s="13">
        <v>1.0328</v>
      </c>
      <c r="T1200" s="14">
        <f>IFERROR(__xludf.DUMMYFUNCTION("IFERROR(GOOGLEFINANCE(B1200,""price""),"""")"),88.04)</f>
        <v>88.04</v>
      </c>
    </row>
    <row r="1201">
      <c r="A1201" s="15">
        <v>46084.627458364674</v>
      </c>
      <c r="B1201" s="16" t="s">
        <v>5561</v>
      </c>
      <c r="C1201" s="16" t="s">
        <v>5562</v>
      </c>
      <c r="D1201" s="17">
        <v>46089.0</v>
      </c>
      <c r="E1201" s="18">
        <v>12.66</v>
      </c>
      <c r="F1201" s="27">
        <v>1.0944</v>
      </c>
      <c r="G1201" s="20">
        <v>1.9991583E7</v>
      </c>
      <c r="H1201" s="16" t="s">
        <v>102</v>
      </c>
      <c r="I1201" s="19">
        <v>-2.9885</v>
      </c>
      <c r="J1201" s="20">
        <v>4.279286857E9</v>
      </c>
      <c r="K1201" s="21"/>
      <c r="L1201" s="21">
        <v>-2.2522</v>
      </c>
      <c r="M1201" s="16" t="s">
        <v>5563</v>
      </c>
      <c r="N1201" s="16" t="s">
        <v>5536</v>
      </c>
      <c r="O1201" s="21">
        <v>-39.8083</v>
      </c>
      <c r="P1201" s="21">
        <v>-2190.5747</v>
      </c>
      <c r="Q1201" s="21">
        <v>-15.025</v>
      </c>
      <c r="R1201" s="21">
        <v>0.0</v>
      </c>
      <c r="S1201" s="21">
        <v>4.2984</v>
      </c>
      <c r="T1201" s="22">
        <f>IFERROR(__xludf.DUMMYFUNCTION("IFERROR(GOOGLEFINANCE(B1201,""price""),"""")"),9.21)</f>
        <v>9.21</v>
      </c>
    </row>
    <row r="1202">
      <c r="A1202" s="7">
        <v>46085.627177459064</v>
      </c>
      <c r="B1202" s="8" t="s">
        <v>6022</v>
      </c>
      <c r="C1202" s="8" t="s">
        <v>6023</v>
      </c>
      <c r="D1202" s="9">
        <v>46089.0</v>
      </c>
      <c r="E1202" s="10">
        <v>2.415</v>
      </c>
      <c r="F1202" s="26">
        <v>1.7891</v>
      </c>
      <c r="G1202" s="12">
        <v>2.6370664E7</v>
      </c>
      <c r="H1202" s="8" t="s">
        <v>88</v>
      </c>
      <c r="I1202" s="11">
        <v>-1.8293</v>
      </c>
      <c r="J1202" s="12">
        <v>5.88275009E8</v>
      </c>
      <c r="K1202" s="13"/>
      <c r="L1202" s="13">
        <v>-0.9503</v>
      </c>
      <c r="M1202" s="8" t="s">
        <v>6024</v>
      </c>
      <c r="N1202" s="8" t="s">
        <v>5471</v>
      </c>
      <c r="O1202" s="13"/>
      <c r="P1202" s="13">
        <v>-2.7255</v>
      </c>
      <c r="Q1202" s="13">
        <v>-1.8779</v>
      </c>
      <c r="R1202" s="13"/>
      <c r="S1202" s="13">
        <v>0.6754</v>
      </c>
      <c r="T1202" s="14">
        <f>IFERROR(__xludf.DUMMYFUNCTION("IFERROR(GOOGLEFINANCE(B1202,""price""),"""")"),1.32)</f>
        <v>1.32</v>
      </c>
    </row>
    <row r="1203">
      <c r="A1203" s="15">
        <v>46085.627177459064</v>
      </c>
      <c r="B1203" s="16" t="s">
        <v>5671</v>
      </c>
      <c r="C1203" s="16" t="s">
        <v>5672</v>
      </c>
      <c r="D1203" s="17">
        <v>46089.0</v>
      </c>
      <c r="E1203" s="18">
        <v>17.8499</v>
      </c>
      <c r="F1203" s="27">
        <v>1.6211</v>
      </c>
      <c r="G1203" s="20">
        <v>1.9349272E7</v>
      </c>
      <c r="H1203" s="16" t="s">
        <v>308</v>
      </c>
      <c r="I1203" s="19">
        <v>5.2471</v>
      </c>
      <c r="J1203" s="20">
        <v>5.890931887E9</v>
      </c>
      <c r="K1203" s="21"/>
      <c r="L1203" s="21">
        <v>-1.3002</v>
      </c>
      <c r="M1203" s="16" t="s">
        <v>5673</v>
      </c>
      <c r="N1203" s="16" t="s">
        <v>5674</v>
      </c>
      <c r="O1203" s="21">
        <v>-141.9</v>
      </c>
      <c r="P1203" s="21">
        <v>-1074.9533</v>
      </c>
      <c r="Q1203" s="21">
        <v>-36.9828</v>
      </c>
      <c r="R1203" s="21">
        <v>0.0204</v>
      </c>
      <c r="S1203" s="21">
        <v>39.2207</v>
      </c>
      <c r="T1203" s="22">
        <f>IFERROR(__xludf.DUMMYFUNCTION("IFERROR(GOOGLEFINANCE(B1203,""price""),"""")"),14.68)</f>
        <v>14.68</v>
      </c>
    </row>
    <row r="1204">
      <c r="A1204" s="7">
        <v>46085.627177459064</v>
      </c>
      <c r="B1204" s="8" t="s">
        <v>4359</v>
      </c>
      <c r="C1204" s="8" t="s">
        <v>4360</v>
      </c>
      <c r="D1204" s="9">
        <v>46089.0</v>
      </c>
      <c r="E1204" s="10">
        <v>77.99</v>
      </c>
      <c r="F1204" s="26">
        <v>1.5558</v>
      </c>
      <c r="G1204" s="12">
        <v>9323606.0</v>
      </c>
      <c r="H1204" s="8" t="s">
        <v>308</v>
      </c>
      <c r="I1204" s="11">
        <v>0.6193</v>
      </c>
      <c r="J1204" s="12">
        <v>6.812035405E10</v>
      </c>
      <c r="K1204" s="13">
        <v>27.3084</v>
      </c>
      <c r="L1204" s="13">
        <v>2.8559</v>
      </c>
      <c r="M1204" s="8" t="s">
        <v>4362</v>
      </c>
      <c r="N1204" s="8" t="s">
        <v>5414</v>
      </c>
      <c r="O1204" s="13">
        <v>18.0404</v>
      </c>
      <c r="P1204" s="13">
        <v>14.7203</v>
      </c>
      <c r="Q1204" s="13">
        <v>44.9539</v>
      </c>
      <c r="R1204" s="13">
        <v>0.358</v>
      </c>
      <c r="S1204" s="13">
        <v>2.0143</v>
      </c>
      <c r="T1204" s="14">
        <f>IFERROR(__xludf.DUMMYFUNCTION("IFERROR(GOOGLEFINANCE(B1204,""price""),"""")"),128.49)</f>
        <v>128.49</v>
      </c>
    </row>
    <row r="1205">
      <c r="A1205" s="15">
        <v>46085.627177459064</v>
      </c>
      <c r="B1205" s="16" t="s">
        <v>627</v>
      </c>
      <c r="C1205" s="16" t="s">
        <v>628</v>
      </c>
      <c r="D1205" s="17">
        <v>46089.0</v>
      </c>
      <c r="E1205" s="18">
        <v>1.965</v>
      </c>
      <c r="F1205" s="27">
        <v>1.543</v>
      </c>
      <c r="G1205" s="20">
        <v>1.1364127E7</v>
      </c>
      <c r="H1205" s="16" t="s">
        <v>117</v>
      </c>
      <c r="I1205" s="19">
        <v>5.6452</v>
      </c>
      <c r="J1205" s="20">
        <v>6.44300646E8</v>
      </c>
      <c r="K1205" s="21"/>
      <c r="L1205" s="21">
        <v>-0.2167</v>
      </c>
      <c r="M1205" s="16" t="s">
        <v>629</v>
      </c>
      <c r="N1205" s="16" t="s">
        <v>5491</v>
      </c>
      <c r="O1205" s="21">
        <v>-289.926</v>
      </c>
      <c r="P1205" s="21">
        <v>-1112.8678</v>
      </c>
      <c r="Q1205" s="21">
        <v>14.2553</v>
      </c>
      <c r="R1205" s="21">
        <v>9.3303</v>
      </c>
      <c r="S1205" s="21">
        <v>1.8486</v>
      </c>
      <c r="T1205" s="22">
        <f>IFERROR(__xludf.DUMMYFUNCTION("IFERROR(GOOGLEFINANCE(B1205,""price""),"""")"),1.76)</f>
        <v>1.76</v>
      </c>
    </row>
    <row r="1206">
      <c r="A1206" s="7">
        <v>46085.627177459064</v>
      </c>
      <c r="B1206" s="8" t="s">
        <v>5640</v>
      </c>
      <c r="C1206" s="8" t="s">
        <v>5641</v>
      </c>
      <c r="D1206" s="9">
        <v>46089.0</v>
      </c>
      <c r="E1206" s="10">
        <v>39.11</v>
      </c>
      <c r="F1206" s="26">
        <v>1.5078</v>
      </c>
      <c r="G1206" s="12">
        <v>1.039356E7</v>
      </c>
      <c r="H1206" s="8" t="s">
        <v>308</v>
      </c>
      <c r="I1206" s="11">
        <v>-6.3458</v>
      </c>
      <c r="J1206" s="12">
        <v>2.161772251E9</v>
      </c>
      <c r="K1206" s="13"/>
      <c r="L1206" s="13">
        <v>-0.4882</v>
      </c>
      <c r="M1206" s="8" t="s">
        <v>5642</v>
      </c>
      <c r="N1206" s="8" t="s">
        <v>5433</v>
      </c>
      <c r="O1206" s="13">
        <v>-9.1233</v>
      </c>
      <c r="P1206" s="13">
        <v>-24.8806</v>
      </c>
      <c r="Q1206" s="13">
        <v>-11.106</v>
      </c>
      <c r="R1206" s="13">
        <v>0.2351</v>
      </c>
      <c r="S1206" s="13">
        <v>2.7231</v>
      </c>
      <c r="T1206" s="14">
        <f>IFERROR(__xludf.DUMMYFUNCTION("IFERROR(GOOGLEFINANCE(B1206,""price""),"""")"),64.18)</f>
        <v>64.18</v>
      </c>
    </row>
    <row r="1207">
      <c r="A1207" s="15">
        <v>46085.627177459064</v>
      </c>
      <c r="B1207" s="16" t="s">
        <v>1966</v>
      </c>
      <c r="C1207" s="16" t="s">
        <v>1967</v>
      </c>
      <c r="D1207" s="17">
        <v>46089.0</v>
      </c>
      <c r="E1207" s="18">
        <v>12.725</v>
      </c>
      <c r="F1207" s="27">
        <v>1.5</v>
      </c>
      <c r="G1207" s="20">
        <v>1.0989279E7</v>
      </c>
      <c r="H1207" s="16" t="s">
        <v>117</v>
      </c>
      <c r="I1207" s="19">
        <v>26.8694</v>
      </c>
      <c r="J1207" s="20">
        <v>1.34509155E9</v>
      </c>
      <c r="K1207" s="21"/>
      <c r="L1207" s="21">
        <v>-1.0421</v>
      </c>
      <c r="M1207" s="16" t="s">
        <v>1968</v>
      </c>
      <c r="N1207" s="16" t="s">
        <v>5491</v>
      </c>
      <c r="O1207" s="21">
        <v>-22.7398</v>
      </c>
      <c r="P1207" s="21">
        <v>-80.7614</v>
      </c>
      <c r="Q1207" s="21">
        <v>20.6014</v>
      </c>
      <c r="R1207" s="21">
        <v>0.0063</v>
      </c>
      <c r="S1207" s="21">
        <v>8.0153</v>
      </c>
      <c r="T1207" s="22">
        <f>IFERROR(__xludf.DUMMYFUNCTION("IFERROR(GOOGLEFINANCE(B1207,""price""),"""")"),21.47)</f>
        <v>21.47</v>
      </c>
    </row>
    <row r="1208">
      <c r="A1208" s="7">
        <v>46085.627177459064</v>
      </c>
      <c r="B1208" s="8" t="s">
        <v>6106</v>
      </c>
      <c r="C1208" s="8" t="s">
        <v>6107</v>
      </c>
      <c r="D1208" s="9">
        <v>46089.0</v>
      </c>
      <c r="E1208" s="10">
        <v>6.155</v>
      </c>
      <c r="F1208" s="26">
        <v>1.4414</v>
      </c>
      <c r="G1208" s="12">
        <v>2.0480331E7</v>
      </c>
      <c r="H1208" s="8" t="s">
        <v>88</v>
      </c>
      <c r="I1208" s="11">
        <v>3.2718</v>
      </c>
      <c r="J1208" s="12">
        <v>3.088682606E9</v>
      </c>
      <c r="K1208" s="13"/>
      <c r="L1208" s="13">
        <v>-1.1272</v>
      </c>
      <c r="M1208" s="8" t="s">
        <v>6108</v>
      </c>
      <c r="N1208" s="8" t="s">
        <v>5429</v>
      </c>
      <c r="O1208" s="13"/>
      <c r="P1208" s="13">
        <v>7.4441</v>
      </c>
      <c r="Q1208" s="13"/>
      <c r="R1208" s="13">
        <v>0.1129</v>
      </c>
      <c r="S1208" s="13">
        <v>1.3956</v>
      </c>
      <c r="T1208" s="14">
        <f>IFERROR(__xludf.DUMMYFUNCTION("IFERROR(GOOGLEFINANCE(B1208,""price""),"""")"),4.93)</f>
        <v>4.93</v>
      </c>
    </row>
    <row r="1209">
      <c r="A1209" s="15">
        <v>46085.627177459064</v>
      </c>
      <c r="B1209" s="16" t="s">
        <v>1077</v>
      </c>
      <c r="C1209" s="16" t="s">
        <v>1078</v>
      </c>
      <c r="D1209" s="17">
        <v>46089.0</v>
      </c>
      <c r="E1209" s="18">
        <v>9.815</v>
      </c>
      <c r="F1209" s="27">
        <v>1.2656</v>
      </c>
      <c r="G1209" s="20">
        <v>7787738.0</v>
      </c>
      <c r="H1209" s="16" t="s">
        <v>335</v>
      </c>
      <c r="I1209" s="19">
        <v>2.3462</v>
      </c>
      <c r="J1209" s="20">
        <v>1.374449574E9</v>
      </c>
      <c r="K1209" s="21"/>
      <c r="L1209" s="21">
        <v>-0.041</v>
      </c>
      <c r="M1209" s="16" t="s">
        <v>1079</v>
      </c>
      <c r="N1209" s="16" t="s">
        <v>5506</v>
      </c>
      <c r="O1209" s="21">
        <v>-10.5913</v>
      </c>
      <c r="P1209" s="21">
        <v>-18.9471</v>
      </c>
      <c r="Q1209" s="21">
        <v>240.123</v>
      </c>
      <c r="R1209" s="21">
        <v>0.0037</v>
      </c>
      <c r="S1209" s="21">
        <v>5.0784</v>
      </c>
      <c r="T1209" s="22">
        <f>IFERROR(__xludf.DUMMYFUNCTION("IFERROR(GOOGLEFINANCE(B1209,""price""),"""")"),8.36)</f>
        <v>8.36</v>
      </c>
    </row>
    <row r="1210">
      <c r="A1210" s="7">
        <v>46085.627177459064</v>
      </c>
      <c r="B1210" s="8" t="s">
        <v>6087</v>
      </c>
      <c r="C1210" s="8" t="s">
        <v>6088</v>
      </c>
      <c r="D1210" s="9">
        <v>46089.0</v>
      </c>
      <c r="E1210" s="10">
        <v>6.855</v>
      </c>
      <c r="F1210" s="26">
        <v>1.2324</v>
      </c>
      <c r="G1210" s="12">
        <v>9322350.0</v>
      </c>
      <c r="H1210" s="8" t="s">
        <v>102</v>
      </c>
      <c r="I1210" s="11">
        <v>-2.6278</v>
      </c>
      <c r="J1210" s="12">
        <v>1.046835145E9</v>
      </c>
      <c r="K1210" s="13"/>
      <c r="L1210" s="13">
        <v>-0.6318</v>
      </c>
      <c r="M1210" s="8" t="s">
        <v>6089</v>
      </c>
      <c r="N1210" s="8" t="s">
        <v>5536</v>
      </c>
      <c r="O1210" s="13">
        <v>-104.168</v>
      </c>
      <c r="P1210" s="13">
        <v>-5151.455</v>
      </c>
      <c r="Q1210" s="13">
        <v>535.8653</v>
      </c>
      <c r="R1210" s="13">
        <v>0.1096</v>
      </c>
      <c r="S1210" s="13">
        <v>2.2985</v>
      </c>
      <c r="T1210" s="14">
        <f>IFERROR(__xludf.DUMMYFUNCTION("IFERROR(GOOGLEFINANCE(B1210,""price""),"""")"),7.04)</f>
        <v>7.04</v>
      </c>
    </row>
    <row r="1211">
      <c r="A1211" s="15">
        <v>46085.627177459064</v>
      </c>
      <c r="B1211" s="16" t="s">
        <v>5514</v>
      </c>
      <c r="C1211" s="16" t="s">
        <v>5515</v>
      </c>
      <c r="D1211" s="17">
        <v>46089.0</v>
      </c>
      <c r="E1211" s="18">
        <v>9.175</v>
      </c>
      <c r="F1211" s="27">
        <v>1.2305</v>
      </c>
      <c r="G1211" s="20">
        <v>2.8596727E7</v>
      </c>
      <c r="H1211" s="16" t="s">
        <v>117</v>
      </c>
      <c r="I1211" s="19">
        <v>-8.25</v>
      </c>
      <c r="J1211" s="20">
        <v>9.432922556E9</v>
      </c>
      <c r="K1211" s="21"/>
      <c r="L1211" s="21">
        <v>-0.3898</v>
      </c>
      <c r="M1211" s="16" t="s">
        <v>5516</v>
      </c>
      <c r="N1211" s="16" t="s">
        <v>5491</v>
      </c>
      <c r="O1211" s="21"/>
      <c r="P1211" s="21">
        <v>-225.9966</v>
      </c>
      <c r="Q1211" s="21">
        <v>668.3147</v>
      </c>
      <c r="R1211" s="21"/>
      <c r="S1211" s="21">
        <v>5.0989</v>
      </c>
      <c r="T1211" s="22">
        <f>IFERROR(__xludf.DUMMYFUNCTION("IFERROR(GOOGLEFINANCE(B1211,""price""),"""")"),7.28)</f>
        <v>7.28</v>
      </c>
    </row>
    <row r="1212">
      <c r="A1212" s="7">
        <v>46085.627177459064</v>
      </c>
      <c r="B1212" s="8" t="s">
        <v>5122</v>
      </c>
      <c r="C1212" s="8" t="s">
        <v>5123</v>
      </c>
      <c r="D1212" s="9">
        <v>46089.0</v>
      </c>
      <c r="E1212" s="10">
        <v>12.615</v>
      </c>
      <c r="F1212" s="26">
        <v>1.2114</v>
      </c>
      <c r="G1212" s="12">
        <v>7439912.0</v>
      </c>
      <c r="H1212" s="8" t="s">
        <v>102</v>
      </c>
      <c r="I1212" s="11">
        <v>8.4695</v>
      </c>
      <c r="J1212" s="12">
        <v>1.64605367E9</v>
      </c>
      <c r="K1212" s="13"/>
      <c r="L1212" s="13">
        <v>-0.2601</v>
      </c>
      <c r="M1212" s="8" t="s">
        <v>5124</v>
      </c>
      <c r="N1212" s="8" t="s">
        <v>5536</v>
      </c>
      <c r="O1212" s="13">
        <v>-39.011</v>
      </c>
      <c r="P1212" s="13">
        <v>-53.1982</v>
      </c>
      <c r="Q1212" s="13">
        <v>234.1419</v>
      </c>
      <c r="R1212" s="13">
        <v>0.3654</v>
      </c>
      <c r="S1212" s="13">
        <v>6.6466</v>
      </c>
      <c r="T1212" s="14">
        <f>IFERROR(__xludf.DUMMYFUNCTION("IFERROR(GOOGLEFINANCE(B1212,""price""),"""")"),17.22)</f>
        <v>17.22</v>
      </c>
    </row>
    <row r="1213">
      <c r="A1213" s="15">
        <v>46085.627177459064</v>
      </c>
      <c r="B1213" s="16" t="s">
        <v>5558</v>
      </c>
      <c r="C1213" s="16" t="s">
        <v>5559</v>
      </c>
      <c r="D1213" s="17">
        <v>46089.0</v>
      </c>
      <c r="E1213" s="18">
        <v>6.73</v>
      </c>
      <c r="F1213" s="27">
        <v>1.2051</v>
      </c>
      <c r="G1213" s="20">
        <v>2.3882139E7</v>
      </c>
      <c r="H1213" s="16" t="s">
        <v>102</v>
      </c>
      <c r="I1213" s="19">
        <v>11.0561</v>
      </c>
      <c r="J1213" s="20">
        <v>2.284392582E9</v>
      </c>
      <c r="K1213" s="21"/>
      <c r="L1213" s="21">
        <v>-6.9942</v>
      </c>
      <c r="M1213" s="16" t="s">
        <v>5560</v>
      </c>
      <c r="N1213" s="16" t="s">
        <v>5536</v>
      </c>
      <c r="O1213" s="21"/>
      <c r="P1213" s="21">
        <v>-225.4661</v>
      </c>
      <c r="Q1213" s="21">
        <v>631.7891</v>
      </c>
      <c r="R1213" s="21"/>
      <c r="S1213" s="21">
        <v>4.9358</v>
      </c>
      <c r="T1213" s="22">
        <f>IFERROR(__xludf.DUMMYFUNCTION("IFERROR(GOOGLEFINANCE(B1213,""price""),"""")"),5.62)</f>
        <v>5.62</v>
      </c>
    </row>
    <row r="1214">
      <c r="A1214" s="7">
        <v>46085.627177459064</v>
      </c>
      <c r="B1214" s="8" t="s">
        <v>5527</v>
      </c>
      <c r="C1214" s="8" t="s">
        <v>5528</v>
      </c>
      <c r="D1214" s="9">
        <v>46089.0</v>
      </c>
      <c r="E1214" s="10">
        <v>14.6569</v>
      </c>
      <c r="F1214" s="26">
        <v>1.1738</v>
      </c>
      <c r="G1214" s="12">
        <v>1.9218307E7</v>
      </c>
      <c r="H1214" s="8" t="s">
        <v>88</v>
      </c>
      <c r="I1214" s="11">
        <v>-0.2932</v>
      </c>
      <c r="J1214" s="12">
        <v>1.749610832E9</v>
      </c>
      <c r="K1214" s="13"/>
      <c r="L1214" s="13"/>
      <c r="M1214" s="8" t="s">
        <v>5529</v>
      </c>
      <c r="N1214" s="8" t="s">
        <v>5429</v>
      </c>
      <c r="O1214" s="13"/>
      <c r="P1214" s="13"/>
      <c r="Q1214" s="13"/>
      <c r="R1214" s="13">
        <v>0.0885</v>
      </c>
      <c r="S1214" s="13">
        <v>10.416</v>
      </c>
      <c r="T1214" s="14">
        <f>IFERROR(__xludf.DUMMYFUNCTION("IFERROR(GOOGLEFINANCE(B1214,""price""),"""")"),12.37)</f>
        <v>12.37</v>
      </c>
    </row>
    <row r="1215">
      <c r="A1215" s="15">
        <v>46085.627177459064</v>
      </c>
      <c r="B1215" s="16" t="s">
        <v>5533</v>
      </c>
      <c r="C1215" s="16" t="s">
        <v>5534</v>
      </c>
      <c r="D1215" s="17">
        <v>46089.0</v>
      </c>
      <c r="E1215" s="18">
        <v>7.045</v>
      </c>
      <c r="F1215" s="27">
        <v>1.1719</v>
      </c>
      <c r="G1215" s="20">
        <v>1.0282547E7</v>
      </c>
      <c r="H1215" s="16" t="s">
        <v>102</v>
      </c>
      <c r="I1215" s="19">
        <v>8.2181</v>
      </c>
      <c r="J1215" s="20">
        <v>1.906185548E9</v>
      </c>
      <c r="K1215" s="21"/>
      <c r="L1215" s="21">
        <v>-3.7839</v>
      </c>
      <c r="M1215" s="16" t="s">
        <v>5535</v>
      </c>
      <c r="N1215" s="16" t="s">
        <v>5536</v>
      </c>
      <c r="O1215" s="21">
        <v>-55.984</v>
      </c>
      <c r="P1215" s="21">
        <v>-31.1477</v>
      </c>
      <c r="Q1215" s="21"/>
      <c r="R1215" s="21">
        <v>4.5088</v>
      </c>
      <c r="S1215" s="21">
        <v>1.1293</v>
      </c>
      <c r="T1215" s="22">
        <f>IFERROR(__xludf.DUMMYFUNCTION("IFERROR(GOOGLEFINANCE(B1215,""price""),"""")"),4.69)</f>
        <v>4.69</v>
      </c>
    </row>
    <row r="1216">
      <c r="A1216" s="7">
        <v>46085.627177459064</v>
      </c>
      <c r="B1216" s="8" t="s">
        <v>5604</v>
      </c>
      <c r="C1216" s="8" t="s">
        <v>5605</v>
      </c>
      <c r="D1216" s="9">
        <v>46089.0</v>
      </c>
      <c r="E1216" s="10">
        <v>99.9229</v>
      </c>
      <c r="F1216" s="26">
        <v>1.1533</v>
      </c>
      <c r="G1216" s="12">
        <v>9572614.0</v>
      </c>
      <c r="H1216" s="8" t="s">
        <v>308</v>
      </c>
      <c r="I1216" s="11">
        <v>4.8069</v>
      </c>
      <c r="J1216" s="12">
        <v>7.514084084E9</v>
      </c>
      <c r="K1216" s="13"/>
      <c r="L1216" s="13">
        <v>-0.6555</v>
      </c>
      <c r="M1216" s="8" t="s">
        <v>5606</v>
      </c>
      <c r="N1216" s="8" t="s">
        <v>5414</v>
      </c>
      <c r="O1216" s="13">
        <v>-7.9391</v>
      </c>
      <c r="P1216" s="13">
        <v>-11.9814</v>
      </c>
      <c r="Q1216" s="13">
        <v>82.7502</v>
      </c>
      <c r="R1216" s="13">
        <v>0.338</v>
      </c>
      <c r="S1216" s="13">
        <v>2.6264</v>
      </c>
      <c r="T1216" s="14">
        <f>IFERROR(__xludf.DUMMYFUNCTION("IFERROR(GOOGLEFINANCE(B1216,""price""),"""")"),150.6)</f>
        <v>150.6</v>
      </c>
    </row>
    <row r="1217">
      <c r="A1217" s="15">
        <v>46085.627177459064</v>
      </c>
      <c r="B1217" s="16" t="s">
        <v>5938</v>
      </c>
      <c r="C1217" s="16" t="s">
        <v>5939</v>
      </c>
      <c r="D1217" s="17">
        <v>46089.0</v>
      </c>
      <c r="E1217" s="18">
        <v>8.02</v>
      </c>
      <c r="F1217" s="27">
        <v>1.123</v>
      </c>
      <c r="G1217" s="20">
        <v>1.1372901E7</v>
      </c>
      <c r="H1217" s="16" t="s">
        <v>88</v>
      </c>
      <c r="I1217" s="19">
        <v>6.0847</v>
      </c>
      <c r="J1217" s="20">
        <v>1.933261919E9</v>
      </c>
      <c r="K1217" s="21"/>
      <c r="L1217" s="21"/>
      <c r="M1217" s="16" t="s">
        <v>5940</v>
      </c>
      <c r="N1217" s="16" t="s">
        <v>5471</v>
      </c>
      <c r="O1217" s="21">
        <v>11.4635</v>
      </c>
      <c r="P1217" s="21">
        <v>-29.6598</v>
      </c>
      <c r="Q1217" s="21">
        <v>77.3256</v>
      </c>
      <c r="R1217" s="21">
        <v>1.2667</v>
      </c>
      <c r="S1217" s="21">
        <v>0.9119</v>
      </c>
      <c r="T1217" s="22">
        <f>IFERROR(__xludf.DUMMYFUNCTION("IFERROR(GOOGLEFINANCE(B1217,""price""),"""")"),10.75)</f>
        <v>10.75</v>
      </c>
    </row>
    <row r="1218">
      <c r="A1218" s="7">
        <v>46085.627177459064</v>
      </c>
      <c r="B1218" s="8" t="s">
        <v>5567</v>
      </c>
      <c r="C1218" s="8" t="s">
        <v>5568</v>
      </c>
      <c r="D1218" s="9">
        <v>46089.0</v>
      </c>
      <c r="E1218" s="10">
        <v>164.08</v>
      </c>
      <c r="F1218" s="26">
        <v>1.1227</v>
      </c>
      <c r="G1218" s="12">
        <v>8238588.0</v>
      </c>
      <c r="H1218" s="8" t="s">
        <v>308</v>
      </c>
      <c r="I1218" s="11">
        <v>7.2278</v>
      </c>
      <c r="J1218" s="12">
        <v>4.6032352857E10</v>
      </c>
      <c r="K1218" s="13"/>
      <c r="L1218" s="13">
        <v>-0.3809</v>
      </c>
      <c r="M1218" s="8" t="s">
        <v>5569</v>
      </c>
      <c r="N1218" s="8" t="s">
        <v>5433</v>
      </c>
      <c r="O1218" s="13">
        <v>-13.2874</v>
      </c>
      <c r="P1218" s="13">
        <v>5.4633</v>
      </c>
      <c r="Q1218" s="13">
        <v>37.3263</v>
      </c>
      <c r="R1218" s="13">
        <v>3.8975</v>
      </c>
      <c r="S1218" s="13">
        <v>5.9285</v>
      </c>
      <c r="T1218" s="14">
        <f>IFERROR(__xludf.DUMMYFUNCTION("IFERROR(GOOGLEFINANCE(B1218,""price""),"""")"),166.7)</f>
        <v>166.7</v>
      </c>
    </row>
    <row r="1219">
      <c r="A1219" s="15">
        <v>46085.627177459064</v>
      </c>
      <c r="B1219" s="16" t="s">
        <v>5849</v>
      </c>
      <c r="C1219" s="16" t="s">
        <v>5850</v>
      </c>
      <c r="D1219" s="17">
        <v>46089.0</v>
      </c>
      <c r="E1219" s="18">
        <v>58.5869</v>
      </c>
      <c r="F1219" s="27">
        <v>1.1178</v>
      </c>
      <c r="G1219" s="20">
        <v>1.9284611E7</v>
      </c>
      <c r="H1219" s="16" t="s">
        <v>117</v>
      </c>
      <c r="I1219" s="19">
        <v>17.5736</v>
      </c>
      <c r="J1219" s="20">
        <v>2.3138277309E10</v>
      </c>
      <c r="K1219" s="21"/>
      <c r="L1219" s="21">
        <v>-7.2618</v>
      </c>
      <c r="M1219" s="16" t="s">
        <v>5851</v>
      </c>
      <c r="N1219" s="16" t="s">
        <v>5502</v>
      </c>
      <c r="O1219" s="21">
        <v>-28.8681</v>
      </c>
      <c r="P1219" s="21">
        <v>-158.1276</v>
      </c>
      <c r="Q1219" s="21">
        <v>-39.9258</v>
      </c>
      <c r="R1219" s="21">
        <v>0.1509</v>
      </c>
      <c r="S1219" s="21">
        <v>3.2934</v>
      </c>
      <c r="T1219" s="22">
        <f>IFERROR(__xludf.DUMMYFUNCTION("IFERROR(GOOGLEFINANCE(B1219,""price""),"""")"),50.96)</f>
        <v>50.96</v>
      </c>
    </row>
    <row r="1220">
      <c r="A1220" s="7">
        <v>46085.627177459064</v>
      </c>
      <c r="B1220" s="8" t="s">
        <v>5434</v>
      </c>
      <c r="C1220" s="8" t="s">
        <v>5435</v>
      </c>
      <c r="D1220" s="9">
        <v>46089.0</v>
      </c>
      <c r="E1220" s="10">
        <v>10.6037</v>
      </c>
      <c r="F1220" s="26">
        <v>1.1022</v>
      </c>
      <c r="G1220" s="12">
        <v>9.0499876E7</v>
      </c>
      <c r="H1220" s="8" t="s">
        <v>308</v>
      </c>
      <c r="I1220" s="11">
        <v>5.8253</v>
      </c>
      <c r="J1220" s="12">
        <v>4.767035807E9</v>
      </c>
      <c r="K1220" s="13"/>
      <c r="L1220" s="13">
        <v>-0.4034</v>
      </c>
      <c r="M1220" s="8" t="s">
        <v>5436</v>
      </c>
      <c r="N1220" s="8" t="s">
        <v>5437</v>
      </c>
      <c r="O1220" s="13">
        <v>-17.0422</v>
      </c>
      <c r="P1220" s="13">
        <v>-176.0921</v>
      </c>
      <c r="Q1220" s="13">
        <v>208.4002</v>
      </c>
      <c r="R1220" s="13">
        <v>0.037</v>
      </c>
      <c r="S1220" s="13">
        <v>15.2957</v>
      </c>
      <c r="T1220" s="14">
        <f>IFERROR(__xludf.DUMMYFUNCTION("IFERROR(GOOGLEFINANCE(B1220,""price""),"""")"),9.13)</f>
        <v>9.13</v>
      </c>
    </row>
    <row r="1221">
      <c r="A1221" s="15">
        <v>46085.627177459064</v>
      </c>
      <c r="B1221" s="16" t="s">
        <v>6109</v>
      </c>
      <c r="C1221" s="16" t="s">
        <v>6110</v>
      </c>
      <c r="D1221" s="17">
        <v>46089.0</v>
      </c>
      <c r="E1221" s="18">
        <v>1.985</v>
      </c>
      <c r="F1221" s="27">
        <v>1.0938</v>
      </c>
      <c r="G1221" s="20">
        <v>1.7476364E7</v>
      </c>
      <c r="H1221" s="16" t="s">
        <v>88</v>
      </c>
      <c r="I1221" s="19">
        <v>10.2778</v>
      </c>
      <c r="J1221" s="20">
        <v>7.84402581E8</v>
      </c>
      <c r="K1221" s="21">
        <v>1.7303</v>
      </c>
      <c r="L1221" s="21">
        <v>1.1472</v>
      </c>
      <c r="M1221" s="16" t="s">
        <v>6111</v>
      </c>
      <c r="N1221" s="16" t="s">
        <v>5429</v>
      </c>
      <c r="O1221" s="21"/>
      <c r="P1221" s="21">
        <v>12.6266</v>
      </c>
      <c r="Q1221" s="21">
        <v>-6.0765</v>
      </c>
      <c r="R1221" s="21"/>
      <c r="S1221" s="21">
        <v>1.068</v>
      </c>
      <c r="T1221" s="22">
        <f>IFERROR(__xludf.DUMMYFUNCTION("IFERROR(GOOGLEFINANCE(B1221,""price""),"""")"),1.52)</f>
        <v>1.52</v>
      </c>
    </row>
    <row r="1222">
      <c r="A1222" s="7">
        <v>46085.627177459064</v>
      </c>
      <c r="B1222" s="8" t="s">
        <v>5773</v>
      </c>
      <c r="C1222" s="8" t="s">
        <v>5774</v>
      </c>
      <c r="D1222" s="9">
        <v>46089.0</v>
      </c>
      <c r="E1222" s="10">
        <v>2.575</v>
      </c>
      <c r="F1222" s="26">
        <v>1.0938</v>
      </c>
      <c r="G1222" s="12">
        <v>1.9132257E7</v>
      </c>
      <c r="H1222" s="8" t="s">
        <v>245</v>
      </c>
      <c r="I1222" s="11">
        <v>0.1946</v>
      </c>
      <c r="J1222" s="12">
        <v>1.238639012E9</v>
      </c>
      <c r="K1222" s="13"/>
      <c r="L1222" s="13">
        <v>-1.4644</v>
      </c>
      <c r="M1222" s="8" t="s">
        <v>5775</v>
      </c>
      <c r="N1222" s="8" t="s">
        <v>5776</v>
      </c>
      <c r="O1222" s="13">
        <v>-80.9463</v>
      </c>
      <c r="P1222" s="13">
        <v>-20.4446</v>
      </c>
      <c r="Q1222" s="13">
        <v>-22.6468</v>
      </c>
      <c r="R1222" s="13">
        <v>5.7984</v>
      </c>
      <c r="S1222" s="13">
        <v>0.7476</v>
      </c>
      <c r="T1222" s="14">
        <f>IFERROR(__xludf.DUMMYFUNCTION("IFERROR(GOOGLEFINANCE(B1222,""price""),"""")"),2.57)</f>
        <v>2.57</v>
      </c>
    </row>
    <row r="1223">
      <c r="A1223" s="15">
        <v>46085.627177459064</v>
      </c>
      <c r="B1223" s="16" t="s">
        <v>5574</v>
      </c>
      <c r="C1223" s="16" t="s">
        <v>5575</v>
      </c>
      <c r="D1223" s="17">
        <v>46089.0</v>
      </c>
      <c r="E1223" s="18">
        <v>21.8403</v>
      </c>
      <c r="F1223" s="27">
        <v>1.0798</v>
      </c>
      <c r="G1223" s="20">
        <v>1.0929162E7</v>
      </c>
      <c r="H1223" s="16" t="s">
        <v>335</v>
      </c>
      <c r="I1223" s="19">
        <v>4.5491</v>
      </c>
      <c r="J1223" s="20">
        <v>5.276747429E9</v>
      </c>
      <c r="K1223" s="21"/>
      <c r="L1223" s="21">
        <v>-0.3843</v>
      </c>
      <c r="M1223" s="16" t="s">
        <v>5576</v>
      </c>
      <c r="N1223" s="16" t="s">
        <v>5506</v>
      </c>
      <c r="O1223" s="21">
        <v>-14.199</v>
      </c>
      <c r="P1223" s="21">
        <v>-153.4465</v>
      </c>
      <c r="Q1223" s="21">
        <v>-15.608</v>
      </c>
      <c r="R1223" s="21">
        <v>0.996</v>
      </c>
      <c r="S1223" s="21">
        <v>30.6942</v>
      </c>
      <c r="T1223" s="22">
        <f>IFERROR(__xludf.DUMMYFUNCTION("IFERROR(GOOGLEFINANCE(B1223,""price""),"""")"),18.4)</f>
        <v>18.4</v>
      </c>
    </row>
    <row r="1224">
      <c r="A1224" s="7">
        <v>46085.627177459064</v>
      </c>
      <c r="B1224" s="8" t="s">
        <v>5517</v>
      </c>
      <c r="C1224" s="8" t="s">
        <v>5518</v>
      </c>
      <c r="D1224" s="9">
        <v>46089.0</v>
      </c>
      <c r="E1224" s="10">
        <v>9.3401</v>
      </c>
      <c r="F1224" s="26">
        <v>1.0762</v>
      </c>
      <c r="G1224" s="12">
        <v>1.2152048E7</v>
      </c>
      <c r="H1224" s="8" t="s">
        <v>308</v>
      </c>
      <c r="I1224" s="11">
        <v>4.3587</v>
      </c>
      <c r="J1224" s="12">
        <v>1.793073127E9</v>
      </c>
      <c r="K1224" s="13"/>
      <c r="L1224" s="13">
        <v>-2.3761</v>
      </c>
      <c r="M1224" s="8" t="s">
        <v>5519</v>
      </c>
      <c r="N1224" s="8" t="s">
        <v>5520</v>
      </c>
      <c r="O1224" s="13">
        <v>-52.0031</v>
      </c>
      <c r="P1224" s="13">
        <v>-43.4124</v>
      </c>
      <c r="Q1224" s="13">
        <v>10.2861</v>
      </c>
      <c r="R1224" s="13">
        <v>0.1895</v>
      </c>
      <c r="S1224" s="13">
        <v>1.6246</v>
      </c>
      <c r="T1224" s="14">
        <f>IFERROR(__xludf.DUMMYFUNCTION("IFERROR(GOOGLEFINANCE(B1224,""price""),"""")"),9.29)</f>
        <v>9.29</v>
      </c>
    </row>
    <row r="1225">
      <c r="A1225" s="15">
        <v>46085.627177459064</v>
      </c>
      <c r="B1225" s="16" t="s">
        <v>5554</v>
      </c>
      <c r="C1225" s="16" t="s">
        <v>5555</v>
      </c>
      <c r="D1225" s="17">
        <v>46089.0</v>
      </c>
      <c r="E1225" s="18">
        <v>105.7</v>
      </c>
      <c r="F1225" s="27">
        <v>1.0571</v>
      </c>
      <c r="G1225" s="20">
        <v>1.823368E7</v>
      </c>
      <c r="H1225" s="16" t="s">
        <v>873</v>
      </c>
      <c r="I1225" s="19">
        <v>14.0483</v>
      </c>
      <c r="J1225" s="20">
        <v>3.883431704E10</v>
      </c>
      <c r="K1225" s="21"/>
      <c r="L1225" s="21">
        <v>-1.3255</v>
      </c>
      <c r="M1225" s="16" t="s">
        <v>5556</v>
      </c>
      <c r="N1225" s="16" t="s">
        <v>5557</v>
      </c>
      <c r="O1225" s="21">
        <v>-29.4701</v>
      </c>
      <c r="P1225" s="21">
        <v>-405.6981</v>
      </c>
      <c r="Q1225" s="21">
        <v>1505.206</v>
      </c>
      <c r="R1225" s="21">
        <v>1.2162</v>
      </c>
      <c r="S1225" s="21">
        <v>16.3526</v>
      </c>
      <c r="T1225" s="22">
        <f>IFERROR(__xludf.DUMMYFUNCTION("IFERROR(GOOGLEFINANCE(B1225,""price""),"""")"),94.9)</f>
        <v>94.9</v>
      </c>
    </row>
    <row r="1226">
      <c r="A1226" s="7">
        <v>46085.627177459064</v>
      </c>
      <c r="B1226" s="8" t="s">
        <v>2456</v>
      </c>
      <c r="C1226" s="8" t="s">
        <v>2457</v>
      </c>
      <c r="D1226" s="9">
        <v>46089.0</v>
      </c>
      <c r="E1226" s="10">
        <v>318.4999</v>
      </c>
      <c r="F1226" s="26">
        <v>1.0472</v>
      </c>
      <c r="G1226" s="12">
        <v>1.9470741E7</v>
      </c>
      <c r="H1226" s="8" t="s">
        <v>308</v>
      </c>
      <c r="I1226" s="11">
        <v>1.4848</v>
      </c>
      <c r="J1226" s="12">
        <v>1.510095253613E12</v>
      </c>
      <c r="K1226" s="13">
        <v>66.9005</v>
      </c>
      <c r="L1226" s="13">
        <v>4.7608</v>
      </c>
      <c r="M1226" s="8" t="s">
        <v>2458</v>
      </c>
      <c r="N1226" s="8" t="s">
        <v>5414</v>
      </c>
      <c r="O1226" s="13">
        <v>31.0479</v>
      </c>
      <c r="P1226" s="13">
        <v>40.9332</v>
      </c>
      <c r="Q1226" s="13">
        <v>23.8744</v>
      </c>
      <c r="R1226" s="13">
        <v>0.8176</v>
      </c>
      <c r="S1226" s="13">
        <v>1.7054</v>
      </c>
      <c r="T1226" s="14">
        <f>IFERROR(__xludf.DUMMYFUNCTION("IFERROR(GOOGLEFINANCE(B1226,""price""),"""")"),371.55)</f>
        <v>371.55</v>
      </c>
    </row>
    <row r="1227">
      <c r="A1227" s="15">
        <v>46085.627177459064</v>
      </c>
      <c r="B1227" s="16" t="s">
        <v>5544</v>
      </c>
      <c r="C1227" s="16" t="s">
        <v>6105</v>
      </c>
      <c r="D1227" s="17">
        <v>46089.0</v>
      </c>
      <c r="E1227" s="18">
        <v>16.235</v>
      </c>
      <c r="F1227" s="27">
        <v>1.0413</v>
      </c>
      <c r="G1227" s="20">
        <v>1.9494438E7</v>
      </c>
      <c r="H1227" s="16" t="s">
        <v>88</v>
      </c>
      <c r="I1227" s="19">
        <v>10.3671</v>
      </c>
      <c r="J1227" s="20">
        <v>6.577113724E9</v>
      </c>
      <c r="K1227" s="21"/>
      <c r="L1227" s="21">
        <v>-2.0516</v>
      </c>
      <c r="M1227" s="16" t="s">
        <v>5546</v>
      </c>
      <c r="N1227" s="16" t="s">
        <v>5471</v>
      </c>
      <c r="O1227" s="21">
        <v>-110.5547</v>
      </c>
      <c r="P1227" s="21">
        <v>-76.6975</v>
      </c>
      <c r="Q1227" s="21">
        <v>48.0413</v>
      </c>
      <c r="R1227" s="21">
        <v>3.435</v>
      </c>
      <c r="S1227" s="21">
        <v>3.7948</v>
      </c>
      <c r="T1227" s="22">
        <f>IFERROR(__xludf.DUMMYFUNCTION("IFERROR(GOOGLEFINANCE(B1227,""price""),"""")"),16.53)</f>
        <v>16.53</v>
      </c>
    </row>
    <row r="1228">
      <c r="A1228" s="7">
        <v>46085.627177459064</v>
      </c>
      <c r="B1228" s="8" t="s">
        <v>5798</v>
      </c>
      <c r="C1228" s="8" t="s">
        <v>5799</v>
      </c>
      <c r="D1228" s="9">
        <v>46089.0</v>
      </c>
      <c r="E1228" s="10">
        <v>8.195</v>
      </c>
      <c r="F1228" s="26">
        <v>1.0332</v>
      </c>
      <c r="G1228" s="12">
        <v>1.0400964E7</v>
      </c>
      <c r="H1228" s="8" t="s">
        <v>186</v>
      </c>
      <c r="I1228" s="11">
        <v>12.8788</v>
      </c>
      <c r="J1228" s="12">
        <v>1.611900756E9</v>
      </c>
      <c r="K1228" s="13"/>
      <c r="L1228" s="13">
        <v>-8.0691</v>
      </c>
      <c r="M1228" s="8" t="s">
        <v>5800</v>
      </c>
      <c r="N1228" s="8" t="s">
        <v>5801</v>
      </c>
      <c r="O1228" s="13">
        <v>-0.0683</v>
      </c>
      <c r="P1228" s="13">
        <v>-169.9078</v>
      </c>
      <c r="Q1228" s="13">
        <v>79.8296</v>
      </c>
      <c r="R1228" s="13">
        <v>0.0</v>
      </c>
      <c r="S1228" s="13">
        <v>8.7492</v>
      </c>
      <c r="T1228" s="14">
        <f>IFERROR(__xludf.DUMMYFUNCTION("IFERROR(GOOGLEFINANCE(B1228,""price""),"""")"),6.52)</f>
        <v>6.52</v>
      </c>
    </row>
    <row r="1229">
      <c r="A1229" s="15">
        <v>46085.627177459064</v>
      </c>
      <c r="B1229" s="16" t="s">
        <v>5561</v>
      </c>
      <c r="C1229" s="16" t="s">
        <v>5562</v>
      </c>
      <c r="D1229" s="17">
        <v>46089.0</v>
      </c>
      <c r="E1229" s="18">
        <v>12.6963</v>
      </c>
      <c r="F1229" s="27">
        <v>1.0273</v>
      </c>
      <c r="G1229" s="20">
        <v>1.5604586E7</v>
      </c>
      <c r="H1229" s="16" t="s">
        <v>102</v>
      </c>
      <c r="I1229" s="19">
        <v>1.3272</v>
      </c>
      <c r="J1229" s="20">
        <v>4.291556695E9</v>
      </c>
      <c r="K1229" s="21"/>
      <c r="L1229" s="21">
        <v>-2.2522</v>
      </c>
      <c r="M1229" s="16" t="s">
        <v>5563</v>
      </c>
      <c r="N1229" s="16" t="s">
        <v>5536</v>
      </c>
      <c r="O1229" s="21">
        <v>-39.8083</v>
      </c>
      <c r="P1229" s="21">
        <v>-2190.5747</v>
      </c>
      <c r="Q1229" s="21">
        <v>-15.025</v>
      </c>
      <c r="R1229" s="21">
        <v>0.0</v>
      </c>
      <c r="S1229" s="21">
        <v>4.2984</v>
      </c>
      <c r="T1229" s="22">
        <f>IFERROR(__xludf.DUMMYFUNCTION("IFERROR(GOOGLEFINANCE(B1229,""price""),"""")"),9.21)</f>
        <v>9.21</v>
      </c>
    </row>
    <row r="1230">
      <c r="A1230" s="7">
        <v>46085.627177459064</v>
      </c>
      <c r="B1230" s="8" t="s">
        <v>832</v>
      </c>
      <c r="C1230" s="8" t="s">
        <v>833</v>
      </c>
      <c r="D1230" s="9">
        <v>46089.0</v>
      </c>
      <c r="E1230" s="10">
        <v>2.595</v>
      </c>
      <c r="F1230" s="26">
        <v>1.0234</v>
      </c>
      <c r="G1230" s="12">
        <v>4.3647289E7</v>
      </c>
      <c r="H1230" s="8" t="s">
        <v>308</v>
      </c>
      <c r="I1230" s="11">
        <v>-17.8797</v>
      </c>
      <c r="J1230" s="12">
        <v>5.6864886E8</v>
      </c>
      <c r="K1230" s="13"/>
      <c r="L1230" s="13">
        <v>-0.7304</v>
      </c>
      <c r="M1230" s="8" t="s">
        <v>834</v>
      </c>
      <c r="N1230" s="8" t="s">
        <v>5414</v>
      </c>
      <c r="O1230" s="13">
        <v>-37.1102</v>
      </c>
      <c r="P1230" s="13">
        <v>-66.7456</v>
      </c>
      <c r="Q1230" s="13">
        <v>0.3286</v>
      </c>
      <c r="R1230" s="13">
        <v>1.0325</v>
      </c>
      <c r="S1230" s="13">
        <v>3.7333</v>
      </c>
      <c r="T1230" s="14">
        <f>IFERROR(__xludf.DUMMYFUNCTION("IFERROR(GOOGLEFINANCE(B1230,""price""),"""")"),2.91)</f>
        <v>2.91</v>
      </c>
    </row>
    <row r="1231">
      <c r="A1231" s="15">
        <v>46085.627177459064</v>
      </c>
      <c r="B1231" s="16" t="s">
        <v>2704</v>
      </c>
      <c r="C1231" s="16" t="s">
        <v>2705</v>
      </c>
      <c r="D1231" s="17">
        <v>46089.0</v>
      </c>
      <c r="E1231" s="18">
        <v>28.77</v>
      </c>
      <c r="F1231" s="27">
        <v>1.0179</v>
      </c>
      <c r="G1231" s="20">
        <v>1.5184928E7</v>
      </c>
      <c r="H1231" s="16" t="s">
        <v>88</v>
      </c>
      <c r="I1231" s="19">
        <v>10.0191</v>
      </c>
      <c r="J1231" s="20">
        <v>8.043683793E9</v>
      </c>
      <c r="K1231" s="21"/>
      <c r="L1231" s="21">
        <v>-0.5438</v>
      </c>
      <c r="M1231" s="16" t="s">
        <v>2707</v>
      </c>
      <c r="N1231" s="16" t="s">
        <v>5471</v>
      </c>
      <c r="O1231" s="21">
        <v>-11.4029</v>
      </c>
      <c r="P1231" s="21">
        <v>-26.4624</v>
      </c>
      <c r="Q1231" s="21">
        <v>33.135</v>
      </c>
      <c r="R1231" s="21">
        <v>1.6778</v>
      </c>
      <c r="S1231" s="21">
        <v>4.8227</v>
      </c>
      <c r="T1231" s="22">
        <f>IFERROR(__xludf.DUMMYFUNCTION("IFERROR(GOOGLEFINANCE(B1231,""price""),"""")"),26.24)</f>
        <v>26.24</v>
      </c>
    </row>
    <row r="1232">
      <c r="A1232" s="7">
        <v>46086.626355552464</v>
      </c>
      <c r="B1232" s="8" t="s">
        <v>6031</v>
      </c>
      <c r="C1232" s="8" t="s">
        <v>6032</v>
      </c>
      <c r="D1232" s="9">
        <v>46089.0</v>
      </c>
      <c r="E1232" s="10">
        <v>13.31</v>
      </c>
      <c r="F1232" s="26">
        <v>2.7904</v>
      </c>
      <c r="G1232" s="12">
        <v>1.764896E7</v>
      </c>
      <c r="H1232" s="8" t="s">
        <v>245</v>
      </c>
      <c r="I1232" s="11">
        <v>31.9128</v>
      </c>
      <c r="J1232" s="12">
        <v>1.959818931E9</v>
      </c>
      <c r="K1232" s="13"/>
      <c r="L1232" s="13">
        <v>-3.9917</v>
      </c>
      <c r="M1232" s="8" t="s">
        <v>6033</v>
      </c>
      <c r="N1232" s="8" t="s">
        <v>5776</v>
      </c>
      <c r="O1232" s="13">
        <v>-89.3124</v>
      </c>
      <c r="P1232" s="13"/>
      <c r="Q1232" s="13"/>
      <c r="R1232" s="13">
        <v>1.7643</v>
      </c>
      <c r="S1232" s="13">
        <v>0.1326</v>
      </c>
      <c r="T1232" s="14">
        <f>IFERROR(__xludf.DUMMYFUNCTION("IFERROR(GOOGLEFINANCE(B1232,""price""),"""")"),13.14)</f>
        <v>13.14</v>
      </c>
    </row>
    <row r="1233">
      <c r="A1233" s="15">
        <v>46086.626355552464</v>
      </c>
      <c r="B1233" s="16" t="s">
        <v>6112</v>
      </c>
      <c r="C1233" s="16" t="s">
        <v>6113</v>
      </c>
      <c r="D1233" s="17">
        <v>46089.0</v>
      </c>
      <c r="E1233" s="18">
        <v>1.025</v>
      </c>
      <c r="F1233" s="27">
        <v>2.5625</v>
      </c>
      <c r="G1233" s="20">
        <v>7804524.0</v>
      </c>
      <c r="H1233" s="16" t="s">
        <v>112</v>
      </c>
      <c r="I1233" s="19">
        <v>-5.0926</v>
      </c>
      <c r="J1233" s="20">
        <v>1.66425779E8</v>
      </c>
      <c r="K1233" s="21"/>
      <c r="L1233" s="21">
        <v>-0.7761</v>
      </c>
      <c r="M1233" s="16" t="s">
        <v>6114</v>
      </c>
      <c r="N1233" s="16" t="s">
        <v>5540</v>
      </c>
      <c r="O1233" s="21">
        <v>-91.9493</v>
      </c>
      <c r="P1233" s="21">
        <v>-11.2879</v>
      </c>
      <c r="Q1233" s="21">
        <v>-27.3724</v>
      </c>
      <c r="R1233" s="21">
        <v>2.5458</v>
      </c>
      <c r="S1233" s="21">
        <v>0.9464</v>
      </c>
      <c r="T1233" s="22">
        <f>IFERROR(__xludf.DUMMYFUNCTION("IFERROR(GOOGLEFINANCE(B1233,""price""),"""")"),0.77)</f>
        <v>0.77</v>
      </c>
    </row>
    <row r="1234">
      <c r="A1234" s="7">
        <v>46086.626355552464</v>
      </c>
      <c r="B1234" s="8" t="s">
        <v>5626</v>
      </c>
      <c r="C1234" s="8" t="s">
        <v>5627</v>
      </c>
      <c r="D1234" s="9">
        <v>46089.0</v>
      </c>
      <c r="E1234" s="10">
        <v>29.68</v>
      </c>
      <c r="F1234" s="26">
        <v>2.1655</v>
      </c>
      <c r="G1234" s="12">
        <v>1.164655E7</v>
      </c>
      <c r="H1234" s="8" t="s">
        <v>88</v>
      </c>
      <c r="I1234" s="11">
        <v>3.4507</v>
      </c>
      <c r="J1234" s="12">
        <v>1.7125480046E10</v>
      </c>
      <c r="K1234" s="13"/>
      <c r="L1234" s="13">
        <v>-0.075</v>
      </c>
      <c r="M1234" s="8" t="s">
        <v>5628</v>
      </c>
      <c r="N1234" s="8" t="s">
        <v>5429</v>
      </c>
      <c r="O1234" s="13">
        <v>-3.6792</v>
      </c>
      <c r="P1234" s="13">
        <v>-5.178</v>
      </c>
      <c r="Q1234" s="13">
        <v>28.9562</v>
      </c>
      <c r="R1234" s="13">
        <v>0.058</v>
      </c>
      <c r="S1234" s="13">
        <v>1.3963</v>
      </c>
      <c r="T1234" s="14">
        <f>IFERROR(__xludf.DUMMYFUNCTION("IFERROR(GOOGLEFINANCE(B1234,""price""),"""")"),25.85)</f>
        <v>25.85</v>
      </c>
    </row>
    <row r="1235">
      <c r="A1235" s="15">
        <v>46086.626355552464</v>
      </c>
      <c r="B1235" s="16" t="s">
        <v>5981</v>
      </c>
      <c r="C1235" s="16" t="s">
        <v>5982</v>
      </c>
      <c r="D1235" s="17">
        <v>46089.0</v>
      </c>
      <c r="E1235" s="18">
        <v>27.099</v>
      </c>
      <c r="F1235" s="27">
        <v>1.8094</v>
      </c>
      <c r="G1235" s="20">
        <v>1.0781445E7</v>
      </c>
      <c r="H1235" s="16" t="s">
        <v>137</v>
      </c>
      <c r="I1235" s="19">
        <v>-2.3107</v>
      </c>
      <c r="J1235" s="20">
        <v>1.0078707499E10</v>
      </c>
      <c r="K1235" s="21">
        <v>12.1373</v>
      </c>
      <c r="L1235" s="21">
        <v>2.2327</v>
      </c>
      <c r="M1235" s="16" t="s">
        <v>5983</v>
      </c>
      <c r="N1235" s="16" t="s">
        <v>5984</v>
      </c>
      <c r="O1235" s="21">
        <v>25.0958</v>
      </c>
      <c r="P1235" s="21">
        <v>7.363</v>
      </c>
      <c r="Q1235" s="21">
        <v>0.2888</v>
      </c>
      <c r="R1235" s="21">
        <v>1.5125</v>
      </c>
      <c r="S1235" s="21">
        <v>1.72</v>
      </c>
      <c r="T1235" s="22">
        <f>IFERROR(__xludf.DUMMYFUNCTION("IFERROR(GOOGLEFINANCE(B1235,""price""),"""")"),26.3)</f>
        <v>26.3</v>
      </c>
    </row>
    <row r="1236">
      <c r="A1236" s="7">
        <v>46086.626355552464</v>
      </c>
      <c r="B1236" s="8" t="s">
        <v>4359</v>
      </c>
      <c r="C1236" s="8" t="s">
        <v>4360</v>
      </c>
      <c r="D1236" s="9">
        <v>46089.0</v>
      </c>
      <c r="E1236" s="10">
        <v>76.5598</v>
      </c>
      <c r="F1236" s="26">
        <v>1.6375</v>
      </c>
      <c r="G1236" s="12">
        <v>2.1643989E7</v>
      </c>
      <c r="H1236" s="8" t="s">
        <v>308</v>
      </c>
      <c r="I1236" s="11">
        <v>-1.9595</v>
      </c>
      <c r="J1236" s="12">
        <v>6.687114109E10</v>
      </c>
      <c r="K1236" s="13">
        <v>26.8076</v>
      </c>
      <c r="L1236" s="13">
        <v>2.8559</v>
      </c>
      <c r="M1236" s="8" t="s">
        <v>4362</v>
      </c>
      <c r="N1236" s="8" t="s">
        <v>5414</v>
      </c>
      <c r="O1236" s="13">
        <v>18.0404</v>
      </c>
      <c r="P1236" s="13">
        <v>14.7203</v>
      </c>
      <c r="Q1236" s="13">
        <v>44.9539</v>
      </c>
      <c r="R1236" s="13">
        <v>0.358</v>
      </c>
      <c r="S1236" s="13">
        <v>2.0143</v>
      </c>
      <c r="T1236" s="14">
        <f>IFERROR(__xludf.DUMMYFUNCTION("IFERROR(GOOGLEFINANCE(B1236,""price""),"""")"),128.49)</f>
        <v>128.49</v>
      </c>
    </row>
    <row r="1237">
      <c r="A1237" s="15">
        <v>46086.626355552464</v>
      </c>
      <c r="B1237" s="16" t="s">
        <v>5499</v>
      </c>
      <c r="C1237" s="16" t="s">
        <v>5500</v>
      </c>
      <c r="D1237" s="17">
        <v>46089.0</v>
      </c>
      <c r="E1237" s="18">
        <v>4.5</v>
      </c>
      <c r="F1237" s="27">
        <v>1.375</v>
      </c>
      <c r="G1237" s="20">
        <v>1.8918686E7</v>
      </c>
      <c r="H1237" s="16" t="s">
        <v>117</v>
      </c>
      <c r="I1237" s="19">
        <v>5.6338</v>
      </c>
      <c r="J1237" s="20">
        <v>1.853827339E9</v>
      </c>
      <c r="K1237" s="21"/>
      <c r="L1237" s="21">
        <v>-1.1209</v>
      </c>
      <c r="M1237" s="16" t="s">
        <v>5501</v>
      </c>
      <c r="N1237" s="16" t="s">
        <v>5502</v>
      </c>
      <c r="O1237" s="21">
        <v>-55.4977</v>
      </c>
      <c r="P1237" s="21">
        <v>-151.1805</v>
      </c>
      <c r="Q1237" s="21">
        <v>60.5668</v>
      </c>
      <c r="R1237" s="21">
        <v>0.0708</v>
      </c>
      <c r="S1237" s="21">
        <v>3.1996</v>
      </c>
      <c r="T1237" s="22">
        <f>IFERROR(__xludf.DUMMYFUNCTION("IFERROR(GOOGLEFINANCE(B1237,""price""),"""")"),3.7)</f>
        <v>3.7</v>
      </c>
    </row>
    <row r="1238">
      <c r="A1238" s="7">
        <v>46086.626355552464</v>
      </c>
      <c r="B1238" s="8" t="s">
        <v>5527</v>
      </c>
      <c r="C1238" s="8" t="s">
        <v>5528</v>
      </c>
      <c r="D1238" s="9">
        <v>46089.0</v>
      </c>
      <c r="E1238" s="10">
        <v>15.08</v>
      </c>
      <c r="F1238" s="26">
        <v>1.2285</v>
      </c>
      <c r="G1238" s="12">
        <v>1.8094993E7</v>
      </c>
      <c r="H1238" s="8" t="s">
        <v>88</v>
      </c>
      <c r="I1238" s="11">
        <v>2.3761</v>
      </c>
      <c r="J1238" s="12">
        <v>1.800116729E9</v>
      </c>
      <c r="K1238" s="13"/>
      <c r="L1238" s="13"/>
      <c r="M1238" s="8" t="s">
        <v>5529</v>
      </c>
      <c r="N1238" s="8" t="s">
        <v>5429</v>
      </c>
      <c r="O1238" s="13"/>
      <c r="P1238" s="13"/>
      <c r="Q1238" s="13"/>
      <c r="R1238" s="13">
        <v>0.0885</v>
      </c>
      <c r="S1238" s="13">
        <v>10.416</v>
      </c>
      <c r="T1238" s="14">
        <f>IFERROR(__xludf.DUMMYFUNCTION("IFERROR(GOOGLEFINANCE(B1238,""price""),"""")"),12.37)</f>
        <v>12.37</v>
      </c>
    </row>
    <row r="1239">
      <c r="A1239" s="15">
        <v>46086.626355552464</v>
      </c>
      <c r="B1239" s="16" t="s">
        <v>1077</v>
      </c>
      <c r="C1239" s="16" t="s">
        <v>1078</v>
      </c>
      <c r="D1239" s="17">
        <v>46089.0</v>
      </c>
      <c r="E1239" s="18">
        <v>9.25</v>
      </c>
      <c r="F1239" s="27">
        <v>1.2285</v>
      </c>
      <c r="G1239" s="20">
        <v>1.1578809E7</v>
      </c>
      <c r="H1239" s="16" t="s">
        <v>335</v>
      </c>
      <c r="I1239" s="19">
        <v>-4.4421</v>
      </c>
      <c r="J1239" s="20">
        <v>1.29532947E9</v>
      </c>
      <c r="K1239" s="21"/>
      <c r="L1239" s="21">
        <v>-0.041</v>
      </c>
      <c r="M1239" s="16" t="s">
        <v>1079</v>
      </c>
      <c r="N1239" s="16" t="s">
        <v>5506</v>
      </c>
      <c r="O1239" s="21">
        <v>-10.5913</v>
      </c>
      <c r="P1239" s="21">
        <v>-18.9471</v>
      </c>
      <c r="Q1239" s="21">
        <v>240.123</v>
      </c>
      <c r="R1239" s="21">
        <v>0.0037</v>
      </c>
      <c r="S1239" s="21">
        <v>5.0784</v>
      </c>
      <c r="T1239" s="22">
        <f>IFERROR(__xludf.DUMMYFUNCTION("IFERROR(GOOGLEFINANCE(B1239,""price""),"""")"),8.36)</f>
        <v>8.36</v>
      </c>
    </row>
    <row r="1240">
      <c r="A1240" s="7">
        <v>46086.626355552464</v>
      </c>
      <c r="B1240" s="8" t="s">
        <v>5533</v>
      </c>
      <c r="C1240" s="8" t="s">
        <v>5534</v>
      </c>
      <c r="D1240" s="9">
        <v>46089.0</v>
      </c>
      <c r="E1240" s="10">
        <v>6.83</v>
      </c>
      <c r="F1240" s="26">
        <v>1.1445</v>
      </c>
      <c r="G1240" s="12">
        <v>1.0263865E7</v>
      </c>
      <c r="H1240" s="8" t="s">
        <v>102</v>
      </c>
      <c r="I1240" s="11">
        <v>-3.8028</v>
      </c>
      <c r="J1240" s="12">
        <v>1.848012301E9</v>
      </c>
      <c r="K1240" s="13"/>
      <c r="L1240" s="13">
        <v>-3.7839</v>
      </c>
      <c r="M1240" s="8" t="s">
        <v>5535</v>
      </c>
      <c r="N1240" s="8" t="s">
        <v>5536</v>
      </c>
      <c r="O1240" s="13">
        <v>-55.984</v>
      </c>
      <c r="P1240" s="13">
        <v>-31.1477</v>
      </c>
      <c r="Q1240" s="13"/>
      <c r="R1240" s="13">
        <v>4.5088</v>
      </c>
      <c r="S1240" s="13">
        <v>1.1293</v>
      </c>
      <c r="T1240" s="14">
        <f>IFERROR(__xludf.DUMMYFUNCTION("IFERROR(GOOGLEFINANCE(B1240,""price""),"""")"),4.69)</f>
        <v>4.69</v>
      </c>
    </row>
    <row r="1241">
      <c r="A1241" s="15">
        <v>46086.626355552464</v>
      </c>
      <c r="B1241" s="16" t="s">
        <v>5773</v>
      </c>
      <c r="C1241" s="16" t="s">
        <v>5774</v>
      </c>
      <c r="D1241" s="17">
        <v>46089.0</v>
      </c>
      <c r="E1241" s="18">
        <v>2.535</v>
      </c>
      <c r="F1241" s="27">
        <v>1.1328</v>
      </c>
      <c r="G1241" s="20">
        <v>2.5646326E7</v>
      </c>
      <c r="H1241" s="16" t="s">
        <v>245</v>
      </c>
      <c r="I1241" s="19">
        <v>-0.1969</v>
      </c>
      <c r="J1241" s="20">
        <v>1.219398032E9</v>
      </c>
      <c r="K1241" s="21"/>
      <c r="L1241" s="21">
        <v>-1.4644</v>
      </c>
      <c r="M1241" s="16" t="s">
        <v>5775</v>
      </c>
      <c r="N1241" s="16" t="s">
        <v>5776</v>
      </c>
      <c r="O1241" s="21">
        <v>-80.9463</v>
      </c>
      <c r="P1241" s="21">
        <v>-20.4446</v>
      </c>
      <c r="Q1241" s="21">
        <v>-22.6468</v>
      </c>
      <c r="R1241" s="21">
        <v>5.7984</v>
      </c>
      <c r="S1241" s="21">
        <v>0.7476</v>
      </c>
      <c r="T1241" s="22">
        <f>IFERROR(__xludf.DUMMYFUNCTION("IFERROR(GOOGLEFINANCE(B1241,""price""),"""")"),2.57)</f>
        <v>2.57</v>
      </c>
    </row>
    <row r="1242">
      <c r="A1242" s="7">
        <v>46086.626355552464</v>
      </c>
      <c r="B1242" s="8" t="s">
        <v>5514</v>
      </c>
      <c r="C1242" s="8" t="s">
        <v>5515</v>
      </c>
      <c r="D1242" s="9">
        <v>46089.0</v>
      </c>
      <c r="E1242" s="10">
        <v>8.845</v>
      </c>
      <c r="F1242" s="26">
        <v>1.1289</v>
      </c>
      <c r="G1242" s="12">
        <v>1.6880041E7</v>
      </c>
      <c r="H1242" s="8" t="s">
        <v>117</v>
      </c>
      <c r="I1242" s="11">
        <v>-1.7222</v>
      </c>
      <c r="J1242" s="12">
        <v>9.093645777E9</v>
      </c>
      <c r="K1242" s="13"/>
      <c r="L1242" s="13">
        <v>-0.3898</v>
      </c>
      <c r="M1242" s="8" t="s">
        <v>5516</v>
      </c>
      <c r="N1242" s="8" t="s">
        <v>5491</v>
      </c>
      <c r="O1242" s="13"/>
      <c r="P1242" s="13">
        <v>-225.9966</v>
      </c>
      <c r="Q1242" s="13">
        <v>668.3147</v>
      </c>
      <c r="R1242" s="13"/>
      <c r="S1242" s="13">
        <v>5.0989</v>
      </c>
      <c r="T1242" s="14">
        <f>IFERROR(__xludf.DUMMYFUNCTION("IFERROR(GOOGLEFINANCE(B1242,""price""),"""")"),7.28)</f>
        <v>7.28</v>
      </c>
    </row>
    <row r="1243">
      <c r="A1243" s="15">
        <v>46086.626355552464</v>
      </c>
      <c r="B1243" s="16" t="s">
        <v>5712</v>
      </c>
      <c r="C1243" s="16" t="s">
        <v>5713</v>
      </c>
      <c r="D1243" s="17">
        <v>46089.0</v>
      </c>
      <c r="E1243" s="18">
        <v>9.91</v>
      </c>
      <c r="F1243" s="27">
        <v>1.127</v>
      </c>
      <c r="G1243" s="20">
        <v>3.9947095E7</v>
      </c>
      <c r="H1243" s="16" t="s">
        <v>102</v>
      </c>
      <c r="I1243" s="19">
        <v>33.3782</v>
      </c>
      <c r="J1243" s="20">
        <v>4.16590731E8</v>
      </c>
      <c r="K1243" s="21"/>
      <c r="L1243" s="21">
        <v>-1.6935</v>
      </c>
      <c r="M1243" s="16" t="s">
        <v>5714</v>
      </c>
      <c r="N1243" s="16" t="s">
        <v>5632</v>
      </c>
      <c r="O1243" s="21">
        <v>-110.1067</v>
      </c>
      <c r="P1243" s="21">
        <v>-680.4878</v>
      </c>
      <c r="Q1243" s="21">
        <v>-44.0741</v>
      </c>
      <c r="R1243" s="21">
        <v>0.1966</v>
      </c>
      <c r="S1243" s="21">
        <v>13.5558</v>
      </c>
      <c r="T1243" s="22">
        <f>IFERROR(__xludf.DUMMYFUNCTION("IFERROR(GOOGLEFINANCE(B1243,""price""),"""")"),6.48)</f>
        <v>6.48</v>
      </c>
    </row>
    <row r="1244">
      <c r="A1244" s="7">
        <v>46086.626355552464</v>
      </c>
      <c r="B1244" s="8" t="s">
        <v>5517</v>
      </c>
      <c r="C1244" s="8" t="s">
        <v>5518</v>
      </c>
      <c r="D1244" s="9">
        <v>46089.0</v>
      </c>
      <c r="E1244" s="10">
        <v>9.045</v>
      </c>
      <c r="F1244" s="26">
        <v>1.125</v>
      </c>
      <c r="G1244" s="12">
        <v>1.222799E7</v>
      </c>
      <c r="H1244" s="8" t="s">
        <v>308</v>
      </c>
      <c r="I1244" s="11">
        <v>-2.5323</v>
      </c>
      <c r="J1244" s="12">
        <v>1.736421057E9</v>
      </c>
      <c r="K1244" s="13"/>
      <c r="L1244" s="13">
        <v>-2.3761</v>
      </c>
      <c r="M1244" s="8" t="s">
        <v>5519</v>
      </c>
      <c r="N1244" s="8" t="s">
        <v>5520</v>
      </c>
      <c r="O1244" s="13">
        <v>-52.0031</v>
      </c>
      <c r="P1244" s="13">
        <v>-43.4124</v>
      </c>
      <c r="Q1244" s="13">
        <v>10.2861</v>
      </c>
      <c r="R1244" s="13">
        <v>0.1895</v>
      </c>
      <c r="S1244" s="13">
        <v>1.6246</v>
      </c>
      <c r="T1244" s="14">
        <f>IFERROR(__xludf.DUMMYFUNCTION("IFERROR(GOOGLEFINANCE(B1244,""price""),"""")"),9.29)</f>
        <v>9.29</v>
      </c>
    </row>
    <row r="1245">
      <c r="A1245" s="15">
        <v>46086.626355552464</v>
      </c>
      <c r="B1245" s="16" t="s">
        <v>6115</v>
      </c>
      <c r="C1245" s="16" t="s">
        <v>6116</v>
      </c>
      <c r="D1245" s="17">
        <v>46089.0</v>
      </c>
      <c r="E1245" s="18">
        <v>8.9601</v>
      </c>
      <c r="F1245" s="27">
        <v>1.1055</v>
      </c>
      <c r="G1245" s="20">
        <v>1.3390975E7</v>
      </c>
      <c r="H1245" s="16" t="s">
        <v>88</v>
      </c>
      <c r="I1245" s="19">
        <v>-11.8968</v>
      </c>
      <c r="J1245" s="20">
        <v>3.09607278E9</v>
      </c>
      <c r="K1245" s="21"/>
      <c r="L1245" s="21">
        <v>-5.7613</v>
      </c>
      <c r="M1245" s="16" t="s">
        <v>6117</v>
      </c>
      <c r="N1245" s="16" t="s">
        <v>5495</v>
      </c>
      <c r="O1245" s="21">
        <v>-115.6778</v>
      </c>
      <c r="P1245" s="21">
        <v>-72.9718</v>
      </c>
      <c r="Q1245" s="21">
        <v>-1.4377</v>
      </c>
      <c r="R1245" s="21">
        <v>0.7761</v>
      </c>
      <c r="S1245" s="21">
        <v>1.0355</v>
      </c>
      <c r="T1245" s="22">
        <f>IFERROR(__xludf.DUMMYFUNCTION("IFERROR(GOOGLEFINANCE(B1245,""price""),"""")"),6.27)</f>
        <v>6.27</v>
      </c>
    </row>
    <row r="1246">
      <c r="A1246" s="7">
        <v>46086.626355552464</v>
      </c>
      <c r="B1246" s="8" t="s">
        <v>5434</v>
      </c>
      <c r="C1246" s="8" t="s">
        <v>5435</v>
      </c>
      <c r="D1246" s="9">
        <v>46089.0</v>
      </c>
      <c r="E1246" s="10">
        <v>10.48</v>
      </c>
      <c r="F1246" s="26">
        <v>1.0889</v>
      </c>
      <c r="G1246" s="12">
        <v>7.9900029E7</v>
      </c>
      <c r="H1246" s="8" t="s">
        <v>308</v>
      </c>
      <c r="I1246" s="11">
        <v>-0.2854</v>
      </c>
      <c r="J1246" s="12">
        <v>4.711424697E9</v>
      </c>
      <c r="K1246" s="13"/>
      <c r="L1246" s="13">
        <v>-0.4034</v>
      </c>
      <c r="M1246" s="8" t="s">
        <v>5436</v>
      </c>
      <c r="N1246" s="8" t="s">
        <v>5437</v>
      </c>
      <c r="O1246" s="13">
        <v>-17.0422</v>
      </c>
      <c r="P1246" s="13">
        <v>-176.0921</v>
      </c>
      <c r="Q1246" s="13">
        <v>208.4002</v>
      </c>
      <c r="R1246" s="13">
        <v>0.037</v>
      </c>
      <c r="S1246" s="13">
        <v>15.2957</v>
      </c>
      <c r="T1246" s="14">
        <f>IFERROR(__xludf.DUMMYFUNCTION("IFERROR(GOOGLEFINANCE(B1246,""price""),"""")"),9.13)</f>
        <v>9.13</v>
      </c>
    </row>
    <row r="1247">
      <c r="A1247" s="15">
        <v>46086.626355552464</v>
      </c>
      <c r="B1247" s="16" t="s">
        <v>6034</v>
      </c>
      <c r="C1247" s="16" t="s">
        <v>6035</v>
      </c>
      <c r="D1247" s="17">
        <v>46089.0</v>
      </c>
      <c r="E1247" s="18">
        <v>10.72</v>
      </c>
      <c r="F1247" s="27">
        <v>1.0557</v>
      </c>
      <c r="G1247" s="20">
        <v>8305345.0</v>
      </c>
      <c r="H1247" s="16" t="s">
        <v>117</v>
      </c>
      <c r="I1247" s="19">
        <v>18.5841</v>
      </c>
      <c r="J1247" s="20">
        <v>6.60392424E8</v>
      </c>
      <c r="K1247" s="21"/>
      <c r="L1247" s="21">
        <v>-3.4809</v>
      </c>
      <c r="M1247" s="16" t="s">
        <v>6036</v>
      </c>
      <c r="N1247" s="16" t="s">
        <v>5502</v>
      </c>
      <c r="O1247" s="21">
        <v>-207.1007</v>
      </c>
      <c r="P1247" s="21">
        <v>-1202.0872</v>
      </c>
      <c r="Q1247" s="21">
        <v>-40.6394</v>
      </c>
      <c r="R1247" s="21">
        <v>2.6978</v>
      </c>
      <c r="S1247" s="21">
        <v>10.4259</v>
      </c>
      <c r="T1247" s="22">
        <f>IFERROR(__xludf.DUMMYFUNCTION("IFERROR(GOOGLEFINANCE(B1247,""price""),"""")"),15.38)</f>
        <v>15.38</v>
      </c>
    </row>
    <row r="1248">
      <c r="A1248" s="7">
        <v>46086.626355552464</v>
      </c>
      <c r="B1248" s="8" t="s">
        <v>5558</v>
      </c>
      <c r="C1248" s="8" t="s">
        <v>5559</v>
      </c>
      <c r="D1248" s="9">
        <v>46089.0</v>
      </c>
      <c r="E1248" s="10">
        <v>6.755</v>
      </c>
      <c r="F1248" s="26">
        <v>1.0488</v>
      </c>
      <c r="G1248" s="12">
        <v>1.9369837E7</v>
      </c>
      <c r="H1248" s="8" t="s">
        <v>102</v>
      </c>
      <c r="I1248" s="11">
        <v>0.0741</v>
      </c>
      <c r="J1248" s="12">
        <v>2.292878461E9</v>
      </c>
      <c r="K1248" s="13"/>
      <c r="L1248" s="13">
        <v>-6.9942</v>
      </c>
      <c r="M1248" s="8" t="s">
        <v>5560</v>
      </c>
      <c r="N1248" s="8" t="s">
        <v>5536</v>
      </c>
      <c r="O1248" s="13"/>
      <c r="P1248" s="13">
        <v>-225.4661</v>
      </c>
      <c r="Q1248" s="13">
        <v>631.7891</v>
      </c>
      <c r="R1248" s="13"/>
      <c r="S1248" s="13">
        <v>4.9358</v>
      </c>
      <c r="T1248" s="14">
        <f>IFERROR(__xludf.DUMMYFUNCTION("IFERROR(GOOGLEFINANCE(B1248,""price""),"""")"),5.62)</f>
        <v>5.62</v>
      </c>
    </row>
    <row r="1249">
      <c r="A1249" s="15">
        <v>46086.626355552464</v>
      </c>
      <c r="B1249" s="16" t="s">
        <v>5604</v>
      </c>
      <c r="C1249" s="16" t="s">
        <v>5605</v>
      </c>
      <c r="D1249" s="17">
        <v>46089.0</v>
      </c>
      <c r="E1249" s="18">
        <v>100.415</v>
      </c>
      <c r="F1249" s="27">
        <v>1.0417</v>
      </c>
      <c r="G1249" s="20">
        <v>9186561.0</v>
      </c>
      <c r="H1249" s="16" t="s">
        <v>308</v>
      </c>
      <c r="I1249" s="19">
        <v>0.7071</v>
      </c>
      <c r="J1249" s="20">
        <v>7.551089644E9</v>
      </c>
      <c r="K1249" s="21"/>
      <c r="L1249" s="21">
        <v>-0.6555</v>
      </c>
      <c r="M1249" s="16" t="s">
        <v>5606</v>
      </c>
      <c r="N1249" s="16" t="s">
        <v>5414</v>
      </c>
      <c r="O1249" s="21">
        <v>-7.9391</v>
      </c>
      <c r="P1249" s="21">
        <v>-11.9814</v>
      </c>
      <c r="Q1249" s="21">
        <v>82.7502</v>
      </c>
      <c r="R1249" s="21">
        <v>0.338</v>
      </c>
      <c r="S1249" s="21">
        <v>2.6264</v>
      </c>
      <c r="T1249" s="22">
        <f>IFERROR(__xludf.DUMMYFUNCTION("IFERROR(GOOGLEFINANCE(B1249,""price""),"""")"),150.6)</f>
        <v>150.6</v>
      </c>
    </row>
    <row r="1250">
      <c r="A1250" s="7">
        <v>46086.626355552464</v>
      </c>
      <c r="B1250" s="8" t="s">
        <v>2714</v>
      </c>
      <c r="C1250" s="8" t="s">
        <v>2715</v>
      </c>
      <c r="D1250" s="9">
        <v>46089.0</v>
      </c>
      <c r="E1250" s="10">
        <v>13.625</v>
      </c>
      <c r="F1250" s="26">
        <v>1.0352</v>
      </c>
      <c r="G1250" s="12">
        <v>9355458.0</v>
      </c>
      <c r="H1250" s="8" t="s">
        <v>335</v>
      </c>
      <c r="I1250" s="11">
        <v>-9.4082</v>
      </c>
      <c r="J1250" s="12">
        <v>6.586017206E9</v>
      </c>
      <c r="K1250" s="13"/>
      <c r="L1250" s="13">
        <v>-0.1778</v>
      </c>
      <c r="M1250" s="8" t="s">
        <v>2717</v>
      </c>
      <c r="N1250" s="8" t="s">
        <v>5506</v>
      </c>
      <c r="O1250" s="13">
        <v>-7.2866</v>
      </c>
      <c r="P1250" s="13">
        <v>-180.4947</v>
      </c>
      <c r="Q1250" s="13">
        <v>189.1937</v>
      </c>
      <c r="R1250" s="13">
        <v>0.0</v>
      </c>
      <c r="S1250" s="13">
        <v>27.716</v>
      </c>
      <c r="T1250" s="14">
        <f>IFERROR(__xludf.DUMMYFUNCTION("IFERROR(GOOGLEFINANCE(B1250,""price""),"""")"),13.53)</f>
        <v>13.53</v>
      </c>
    </row>
    <row r="1251">
      <c r="A1251" s="15">
        <v>46086.626355552464</v>
      </c>
      <c r="B1251" s="16" t="s">
        <v>5122</v>
      </c>
      <c r="C1251" s="16" t="s">
        <v>5123</v>
      </c>
      <c r="D1251" s="17">
        <v>46089.0</v>
      </c>
      <c r="E1251" s="18">
        <v>14.63</v>
      </c>
      <c r="F1251" s="27">
        <v>1.0332</v>
      </c>
      <c r="G1251" s="20">
        <v>2.4729525E7</v>
      </c>
      <c r="H1251" s="16" t="s">
        <v>102</v>
      </c>
      <c r="I1251" s="19">
        <v>16.5737</v>
      </c>
      <c r="J1251" s="20">
        <v>1.908978622E9</v>
      </c>
      <c r="K1251" s="21"/>
      <c r="L1251" s="21">
        <v>-0.3472</v>
      </c>
      <c r="M1251" s="16" t="s">
        <v>5124</v>
      </c>
      <c r="N1251" s="16" t="s">
        <v>5536</v>
      </c>
      <c r="O1251" s="21">
        <v>-50.8105</v>
      </c>
      <c r="P1251" s="21">
        <v>-33.0389</v>
      </c>
      <c r="Q1251" s="21">
        <v>202.1103</v>
      </c>
      <c r="R1251" s="21">
        <v>0.3841</v>
      </c>
      <c r="S1251" s="21">
        <v>7.0758</v>
      </c>
      <c r="T1251" s="22">
        <f>IFERROR(__xludf.DUMMYFUNCTION("IFERROR(GOOGLEFINANCE(B1251,""price""),"""")"),17.22)</f>
        <v>17.22</v>
      </c>
    </row>
    <row r="1252">
      <c r="A1252" s="7">
        <v>46086.626355552464</v>
      </c>
      <c r="B1252" s="8" t="s">
        <v>5567</v>
      </c>
      <c r="C1252" s="8" t="s">
        <v>5568</v>
      </c>
      <c r="D1252" s="9">
        <v>46089.0</v>
      </c>
      <c r="E1252" s="10">
        <v>158.51</v>
      </c>
      <c r="F1252" s="26">
        <v>0.9979</v>
      </c>
      <c r="G1252" s="12">
        <v>8074320.0</v>
      </c>
      <c r="H1252" s="8" t="s">
        <v>308</v>
      </c>
      <c r="I1252" s="11">
        <v>-3.8051</v>
      </c>
      <c r="J1252" s="12">
        <v>4.446969767E10</v>
      </c>
      <c r="K1252" s="13"/>
      <c r="L1252" s="13">
        <v>-0.3809</v>
      </c>
      <c r="M1252" s="8" t="s">
        <v>5569</v>
      </c>
      <c r="N1252" s="8" t="s">
        <v>5433</v>
      </c>
      <c r="O1252" s="13">
        <v>-13.2874</v>
      </c>
      <c r="P1252" s="13">
        <v>5.4633</v>
      </c>
      <c r="Q1252" s="13">
        <v>37.3263</v>
      </c>
      <c r="R1252" s="13">
        <v>3.8975</v>
      </c>
      <c r="S1252" s="13">
        <v>5.9285</v>
      </c>
      <c r="T1252" s="14">
        <f>IFERROR(__xludf.DUMMYFUNCTION("IFERROR(GOOGLEFINANCE(B1252,""price""),"""")"),166.7)</f>
        <v>166.7</v>
      </c>
    </row>
    <row r="1253">
      <c r="A1253" s="15">
        <v>46086.626355552464</v>
      </c>
      <c r="B1253" s="16" t="s">
        <v>832</v>
      </c>
      <c r="C1253" s="16" t="s">
        <v>833</v>
      </c>
      <c r="D1253" s="17">
        <v>46089.0</v>
      </c>
      <c r="E1253" s="18">
        <v>2.555</v>
      </c>
      <c r="F1253" s="27">
        <v>0.9961</v>
      </c>
      <c r="G1253" s="20">
        <v>8684014.0</v>
      </c>
      <c r="H1253" s="16" t="s">
        <v>308</v>
      </c>
      <c r="I1253" s="19">
        <v>-0.969</v>
      </c>
      <c r="J1253" s="20">
        <v>5.71468708E8</v>
      </c>
      <c r="K1253" s="21"/>
      <c r="L1253" s="21">
        <v>-0.7304</v>
      </c>
      <c r="M1253" s="16" t="s">
        <v>834</v>
      </c>
      <c r="N1253" s="16" t="s">
        <v>5414</v>
      </c>
      <c r="O1253" s="21">
        <v>-37.1102</v>
      </c>
      <c r="P1253" s="21">
        <v>-66.7456</v>
      </c>
      <c r="Q1253" s="21">
        <v>0.3286</v>
      </c>
      <c r="R1253" s="21">
        <v>1.0325</v>
      </c>
      <c r="S1253" s="21">
        <v>3.7333</v>
      </c>
      <c r="T1253" s="22">
        <f>IFERROR(__xludf.DUMMYFUNCTION("IFERROR(GOOGLEFINANCE(B1253,""price""),"""")"),2.91)</f>
        <v>2.91</v>
      </c>
    </row>
    <row r="1254">
      <c r="A1254" s="7">
        <v>46086.626355552464</v>
      </c>
      <c r="B1254" s="8" t="s">
        <v>6078</v>
      </c>
      <c r="C1254" s="8" t="s">
        <v>6079</v>
      </c>
      <c r="D1254" s="9">
        <v>46089.0</v>
      </c>
      <c r="E1254" s="10">
        <v>11.995</v>
      </c>
      <c r="F1254" s="26">
        <v>0.9951</v>
      </c>
      <c r="G1254" s="12">
        <v>3.8113551E7</v>
      </c>
      <c r="H1254" s="8" t="s">
        <v>270</v>
      </c>
      <c r="I1254" s="11">
        <v>7.4821</v>
      </c>
      <c r="J1254" s="12">
        <v>2.9476102904E10</v>
      </c>
      <c r="K1254" s="13">
        <v>12.9676</v>
      </c>
      <c r="L1254" s="13">
        <v>0.925</v>
      </c>
      <c r="M1254" s="8" t="s">
        <v>6080</v>
      </c>
      <c r="N1254" s="8" t="s">
        <v>5777</v>
      </c>
      <c r="O1254" s="13">
        <v>41.9277</v>
      </c>
      <c r="P1254" s="13">
        <v>37.1124</v>
      </c>
      <c r="Q1254" s="13">
        <v>176.9308</v>
      </c>
      <c r="R1254" s="13">
        <v>4.1736</v>
      </c>
      <c r="S1254" s="13">
        <v>0.93</v>
      </c>
      <c r="T1254" s="14">
        <f>IFERROR(__xludf.DUMMYFUNCTION("IFERROR(GOOGLEFINANCE(B1254,""price""),"""")"),12.97)</f>
        <v>12.97</v>
      </c>
    </row>
    <row r="1255">
      <c r="A1255" s="15">
        <v>46086.626355552464</v>
      </c>
      <c r="B1255" s="16" t="s">
        <v>5649</v>
      </c>
      <c r="C1255" s="16" t="s">
        <v>5650</v>
      </c>
      <c r="D1255" s="17">
        <v>46089.0</v>
      </c>
      <c r="E1255" s="18">
        <v>24.54</v>
      </c>
      <c r="F1255" s="27">
        <v>0.9719</v>
      </c>
      <c r="G1255" s="20">
        <v>8263359.0</v>
      </c>
      <c r="H1255" s="16" t="s">
        <v>88</v>
      </c>
      <c r="I1255" s="19">
        <v>-5.6154</v>
      </c>
      <c r="J1255" s="20">
        <v>8.313018446E9</v>
      </c>
      <c r="K1255" s="21"/>
      <c r="L1255" s="21">
        <v>-0.4263</v>
      </c>
      <c r="M1255" s="16" t="s">
        <v>5651</v>
      </c>
      <c r="N1255" s="16" t="s">
        <v>5429</v>
      </c>
      <c r="O1255" s="21">
        <v>-31.8263</v>
      </c>
      <c r="P1255" s="21">
        <v>-26.3989</v>
      </c>
      <c r="Q1255" s="21">
        <v>16.8876</v>
      </c>
      <c r="R1255" s="21">
        <v>1.3198</v>
      </c>
      <c r="S1255" s="21">
        <v>3.9903</v>
      </c>
      <c r="T1255" s="22">
        <f>IFERROR(__xludf.DUMMYFUNCTION("IFERROR(GOOGLEFINANCE(B1255,""price""),"""")"),34.67)</f>
        <v>34.67</v>
      </c>
    </row>
    <row r="1256">
      <c r="A1256" s="7">
        <v>46086.626355552464</v>
      </c>
      <c r="B1256" s="8" t="s">
        <v>5544</v>
      </c>
      <c r="C1256" s="8" t="s">
        <v>6105</v>
      </c>
      <c r="D1256" s="9">
        <v>46089.0</v>
      </c>
      <c r="E1256" s="10">
        <v>15.105</v>
      </c>
      <c r="F1256" s="26">
        <v>0.9609</v>
      </c>
      <c r="G1256" s="12">
        <v>2.129762E7</v>
      </c>
      <c r="H1256" s="8" t="s">
        <v>88</v>
      </c>
      <c r="I1256" s="11">
        <v>-5.8292</v>
      </c>
      <c r="J1256" s="12">
        <v>6.119329117E9</v>
      </c>
      <c r="K1256" s="13"/>
      <c r="L1256" s="13">
        <v>-2.0516</v>
      </c>
      <c r="M1256" s="8" t="s">
        <v>5546</v>
      </c>
      <c r="N1256" s="8" t="s">
        <v>5471</v>
      </c>
      <c r="O1256" s="13">
        <v>-110.5547</v>
      </c>
      <c r="P1256" s="13">
        <v>-76.6975</v>
      </c>
      <c r="Q1256" s="13">
        <v>48.0413</v>
      </c>
      <c r="R1256" s="13">
        <v>3.435</v>
      </c>
      <c r="S1256" s="13">
        <v>3.7948</v>
      </c>
      <c r="T1256" s="14">
        <f>IFERROR(__xludf.DUMMYFUNCTION("IFERROR(GOOGLEFINANCE(B1256,""price""),"""")"),16.53)</f>
        <v>16.53</v>
      </c>
    </row>
    <row r="1257">
      <c r="A1257" s="15">
        <v>46086.626355552464</v>
      </c>
      <c r="B1257" s="16" t="s">
        <v>5554</v>
      </c>
      <c r="C1257" s="16" t="s">
        <v>5555</v>
      </c>
      <c r="D1257" s="17">
        <v>46089.0</v>
      </c>
      <c r="E1257" s="18">
        <v>93.5601</v>
      </c>
      <c r="F1257" s="27">
        <v>0.9546</v>
      </c>
      <c r="G1257" s="20">
        <v>1.3709534E7</v>
      </c>
      <c r="H1257" s="16" t="s">
        <v>873</v>
      </c>
      <c r="I1257" s="19">
        <v>-10.8017</v>
      </c>
      <c r="J1257" s="20">
        <v>3.5742520971E10</v>
      </c>
      <c r="K1257" s="21"/>
      <c r="L1257" s="21">
        <v>-1.3255</v>
      </c>
      <c r="M1257" s="16" t="s">
        <v>5556</v>
      </c>
      <c r="N1257" s="16" t="s">
        <v>5557</v>
      </c>
      <c r="O1257" s="21">
        <v>-29.4701</v>
      </c>
      <c r="P1257" s="21">
        <v>-405.6981</v>
      </c>
      <c r="Q1257" s="21">
        <v>1505.206</v>
      </c>
      <c r="R1257" s="21">
        <v>1.2162</v>
      </c>
      <c r="S1257" s="21">
        <v>16.3526</v>
      </c>
      <c r="T1257" s="22">
        <f>IFERROR(__xludf.DUMMYFUNCTION("IFERROR(GOOGLEFINANCE(B1257,""price""),"""")"),94.9)</f>
        <v>94.9</v>
      </c>
    </row>
    <row r="1258">
      <c r="A1258" s="7">
        <v>46086.626355552464</v>
      </c>
      <c r="B1258" s="8" t="s">
        <v>5574</v>
      </c>
      <c r="C1258" s="8" t="s">
        <v>5575</v>
      </c>
      <c r="D1258" s="9">
        <v>46089.0</v>
      </c>
      <c r="E1258" s="10">
        <v>20.37</v>
      </c>
      <c r="F1258" s="26">
        <v>0.9504</v>
      </c>
      <c r="G1258" s="12">
        <v>1.36203E7</v>
      </c>
      <c r="H1258" s="8" t="s">
        <v>335</v>
      </c>
      <c r="I1258" s="11">
        <v>-6.6025</v>
      </c>
      <c r="J1258" s="12">
        <v>4.921514156E9</v>
      </c>
      <c r="K1258" s="13"/>
      <c r="L1258" s="13">
        <v>-0.3843</v>
      </c>
      <c r="M1258" s="8" t="s">
        <v>5576</v>
      </c>
      <c r="N1258" s="8" t="s">
        <v>5506</v>
      </c>
      <c r="O1258" s="13">
        <v>-14.199</v>
      </c>
      <c r="P1258" s="13">
        <v>-153.4465</v>
      </c>
      <c r="Q1258" s="13">
        <v>-15.608</v>
      </c>
      <c r="R1258" s="13">
        <v>0.996</v>
      </c>
      <c r="S1258" s="13">
        <v>30.6942</v>
      </c>
      <c r="T1258" s="14">
        <f>IFERROR(__xludf.DUMMYFUNCTION("IFERROR(GOOGLEFINANCE(B1258,""price""),"""")"),18.4)</f>
        <v>18.4</v>
      </c>
    </row>
    <row r="1259">
      <c r="A1259" s="15">
        <v>46086.626355552464</v>
      </c>
      <c r="B1259" s="16" t="s">
        <v>2704</v>
      </c>
      <c r="C1259" s="16" t="s">
        <v>2705</v>
      </c>
      <c r="D1259" s="17">
        <v>46089.0</v>
      </c>
      <c r="E1259" s="18">
        <v>28.055</v>
      </c>
      <c r="F1259" s="27">
        <v>0.9441</v>
      </c>
      <c r="G1259" s="20">
        <v>1.4312084E7</v>
      </c>
      <c r="H1259" s="16" t="s">
        <v>88</v>
      </c>
      <c r="I1259" s="19">
        <v>-2.0768</v>
      </c>
      <c r="J1259" s="20">
        <v>7.843779947E9</v>
      </c>
      <c r="K1259" s="21"/>
      <c r="L1259" s="21">
        <v>-0.5438</v>
      </c>
      <c r="M1259" s="16" t="s">
        <v>2707</v>
      </c>
      <c r="N1259" s="16" t="s">
        <v>5471</v>
      </c>
      <c r="O1259" s="21">
        <v>-11.4029</v>
      </c>
      <c r="P1259" s="21">
        <v>-26.4624</v>
      </c>
      <c r="Q1259" s="21">
        <v>33.135</v>
      </c>
      <c r="R1259" s="21">
        <v>1.6778</v>
      </c>
      <c r="S1259" s="21">
        <v>4.8227</v>
      </c>
      <c r="T1259" s="22">
        <f>IFERROR(__xludf.DUMMYFUNCTION("IFERROR(GOOGLEFINANCE(B1259,""price""),"""")"),26.24)</f>
        <v>26.24</v>
      </c>
    </row>
    <row r="1260">
      <c r="A1260" s="7">
        <v>46086.626355552464</v>
      </c>
      <c r="B1260" s="8" t="s">
        <v>5561</v>
      </c>
      <c r="C1260" s="8" t="s">
        <v>5562</v>
      </c>
      <c r="D1260" s="9">
        <v>46089.0</v>
      </c>
      <c r="E1260" s="10">
        <v>12.195</v>
      </c>
      <c r="F1260" s="26">
        <v>0.9424</v>
      </c>
      <c r="G1260" s="12">
        <v>1.6073779E7</v>
      </c>
      <c r="H1260" s="8" t="s">
        <v>102</v>
      </c>
      <c r="I1260" s="11">
        <v>-2.7512</v>
      </c>
      <c r="J1260" s="12">
        <v>4.122109186E9</v>
      </c>
      <c r="K1260" s="13"/>
      <c r="L1260" s="13">
        <v>-2.2522</v>
      </c>
      <c r="M1260" s="8" t="s">
        <v>5563</v>
      </c>
      <c r="N1260" s="8" t="s">
        <v>5536</v>
      </c>
      <c r="O1260" s="13">
        <v>-39.8083</v>
      </c>
      <c r="P1260" s="13">
        <v>-2190.5747</v>
      </c>
      <c r="Q1260" s="13">
        <v>-15.025</v>
      </c>
      <c r="R1260" s="13">
        <v>0.0</v>
      </c>
      <c r="S1260" s="13">
        <v>4.2984</v>
      </c>
      <c r="T1260" s="14">
        <f>IFERROR(__xludf.DUMMYFUNCTION("IFERROR(GOOGLEFINANCE(B1260,""price""),"""")"),9.21)</f>
        <v>9.21</v>
      </c>
    </row>
    <row r="1261">
      <c r="A1261" s="15">
        <v>46086.626355552464</v>
      </c>
      <c r="B1261" s="16" t="s">
        <v>5591</v>
      </c>
      <c r="C1261" s="16" t="s">
        <v>5592</v>
      </c>
      <c r="D1261" s="17">
        <v>46089.0</v>
      </c>
      <c r="E1261" s="18">
        <v>8.895</v>
      </c>
      <c r="F1261" s="27">
        <v>0.9414</v>
      </c>
      <c r="G1261" s="20">
        <v>1.0934408E7</v>
      </c>
      <c r="H1261" s="16" t="s">
        <v>308</v>
      </c>
      <c r="I1261" s="19">
        <v>-3.5249</v>
      </c>
      <c r="J1261" s="20">
        <v>2.052901752E9</v>
      </c>
      <c r="K1261" s="21"/>
      <c r="L1261" s="21">
        <v>-0.5698</v>
      </c>
      <c r="M1261" s="16" t="s">
        <v>5593</v>
      </c>
      <c r="N1261" s="16" t="s">
        <v>5414</v>
      </c>
      <c r="O1261" s="21">
        <v>-29.5457</v>
      </c>
      <c r="P1261" s="21">
        <v>-195.3894</v>
      </c>
      <c r="Q1261" s="21">
        <v>-44.8801</v>
      </c>
      <c r="R1261" s="21">
        <v>0.0146</v>
      </c>
      <c r="S1261" s="21">
        <v>4.9867</v>
      </c>
      <c r="T1261" s="22">
        <f>IFERROR(__xludf.DUMMYFUNCTION("IFERROR(GOOGLEFINANCE(B1261,""price""),"""")"),9.54)</f>
        <v>9.54</v>
      </c>
    </row>
    <row r="1262">
      <c r="A1262" s="7">
        <v>46087.62558234205</v>
      </c>
      <c r="B1262" s="8" t="s">
        <v>6090</v>
      </c>
      <c r="C1262" s="8" t="s">
        <v>6091</v>
      </c>
      <c r="D1262" s="9">
        <v>46089.0</v>
      </c>
      <c r="E1262" s="10">
        <v>2.625</v>
      </c>
      <c r="F1262" s="26">
        <v>3.0625</v>
      </c>
      <c r="G1262" s="12">
        <v>7637056.0</v>
      </c>
      <c r="H1262" s="8" t="s">
        <v>117</v>
      </c>
      <c r="I1262" s="11">
        <v>-7.2438</v>
      </c>
      <c r="J1262" s="12">
        <v>8.08763616E8</v>
      </c>
      <c r="K1262" s="13">
        <v>155.3254</v>
      </c>
      <c r="L1262" s="13">
        <v>0.0169</v>
      </c>
      <c r="M1262" s="8" t="s">
        <v>6092</v>
      </c>
      <c r="N1262" s="8" t="s">
        <v>5491</v>
      </c>
      <c r="O1262" s="13"/>
      <c r="P1262" s="13">
        <v>15.0636</v>
      </c>
      <c r="Q1262" s="13">
        <v>22.2281</v>
      </c>
      <c r="R1262" s="13"/>
      <c r="S1262" s="13">
        <v>1.7048</v>
      </c>
      <c r="T1262" s="14">
        <f>IFERROR(__xludf.DUMMYFUNCTION("IFERROR(GOOGLEFINANCE(B1262,""price""),"""")"),2.57)</f>
        <v>2.57</v>
      </c>
    </row>
    <row r="1263">
      <c r="A1263" s="15">
        <v>46087.62558234205</v>
      </c>
      <c r="B1263" s="16" t="s">
        <v>6034</v>
      </c>
      <c r="C1263" s="16" t="s">
        <v>6035</v>
      </c>
      <c r="D1263" s="17">
        <v>46089.0</v>
      </c>
      <c r="E1263" s="18">
        <v>14.13</v>
      </c>
      <c r="F1263" s="27">
        <v>2.3604</v>
      </c>
      <c r="G1263" s="20">
        <v>1.2302782E7</v>
      </c>
      <c r="H1263" s="16" t="s">
        <v>117</v>
      </c>
      <c r="I1263" s="19">
        <v>32.6761</v>
      </c>
      <c r="J1263" s="20">
        <v>8.70461256E8</v>
      </c>
      <c r="K1263" s="21"/>
      <c r="L1263" s="21">
        <v>-3.4809</v>
      </c>
      <c r="M1263" s="16" t="s">
        <v>6036</v>
      </c>
      <c r="N1263" s="16" t="s">
        <v>5502</v>
      </c>
      <c r="O1263" s="21">
        <v>-207.1007</v>
      </c>
      <c r="P1263" s="21">
        <v>-1202.0872</v>
      </c>
      <c r="Q1263" s="21">
        <v>-40.6394</v>
      </c>
      <c r="R1263" s="21">
        <v>2.6978</v>
      </c>
      <c r="S1263" s="21">
        <v>10.4259</v>
      </c>
      <c r="T1263" s="22">
        <f>IFERROR(__xludf.DUMMYFUNCTION("IFERROR(GOOGLEFINANCE(B1263,""price""),"""")"),15.38)</f>
        <v>15.38</v>
      </c>
    </row>
    <row r="1264">
      <c r="A1264" s="7">
        <v>46087.62558234205</v>
      </c>
      <c r="B1264" s="8" t="s">
        <v>5623</v>
      </c>
      <c r="C1264" s="8" t="s">
        <v>5624</v>
      </c>
      <c r="D1264" s="9">
        <v>46089.0</v>
      </c>
      <c r="E1264" s="10">
        <v>4.455</v>
      </c>
      <c r="F1264" s="26">
        <v>2.0</v>
      </c>
      <c r="G1264" s="12">
        <v>1.5784486E7</v>
      </c>
      <c r="H1264" s="8" t="s">
        <v>88</v>
      </c>
      <c r="I1264" s="11">
        <v>-0.3356</v>
      </c>
      <c r="J1264" s="12">
        <v>8.681962319E9</v>
      </c>
      <c r="K1264" s="13"/>
      <c r="L1264" s="13">
        <v>-0.4446</v>
      </c>
      <c r="M1264" s="8" t="s">
        <v>5625</v>
      </c>
      <c r="N1264" s="8" t="s">
        <v>5429</v>
      </c>
      <c r="O1264" s="13">
        <v>-40.6476</v>
      </c>
      <c r="P1264" s="13">
        <v>-30033.3333</v>
      </c>
      <c r="Q1264" s="13"/>
      <c r="R1264" s="13">
        <v>0.0393</v>
      </c>
      <c r="S1264" s="13">
        <v>11.8649</v>
      </c>
      <c r="T1264" s="14">
        <f>IFERROR(__xludf.DUMMYFUNCTION("IFERROR(GOOGLEFINANCE(B1264,""price""),"""")"),4.15)</f>
        <v>4.15</v>
      </c>
    </row>
    <row r="1265">
      <c r="A1265" s="15">
        <v>46087.62558234205</v>
      </c>
      <c r="B1265" s="16" t="s">
        <v>5778</v>
      </c>
      <c r="C1265" s="16" t="s">
        <v>5779</v>
      </c>
      <c r="D1265" s="17">
        <v>46089.0</v>
      </c>
      <c r="E1265" s="18">
        <v>1.545</v>
      </c>
      <c r="F1265" s="27">
        <v>1.3281</v>
      </c>
      <c r="G1265" s="20">
        <v>1.6959938E7</v>
      </c>
      <c r="H1265" s="16" t="s">
        <v>117</v>
      </c>
      <c r="I1265" s="19">
        <v>8.8028</v>
      </c>
      <c r="J1265" s="20">
        <v>9.89641497E8</v>
      </c>
      <c r="K1265" s="21"/>
      <c r="L1265" s="21">
        <v>-0.1287</v>
      </c>
      <c r="M1265" s="16" t="s">
        <v>5780</v>
      </c>
      <c r="N1265" s="16" t="s">
        <v>5502</v>
      </c>
      <c r="O1265" s="21">
        <v>-33.8931</v>
      </c>
      <c r="P1265" s="21">
        <v>-29.2771</v>
      </c>
      <c r="Q1265" s="21">
        <v>138.822</v>
      </c>
      <c r="R1265" s="21">
        <v>1.1138</v>
      </c>
      <c r="S1265" s="21">
        <v>4.6644</v>
      </c>
      <c r="T1265" s="22">
        <f>IFERROR(__xludf.DUMMYFUNCTION("IFERROR(GOOGLEFINANCE(B1265,""price""),"""")"),1.67)</f>
        <v>1.67</v>
      </c>
    </row>
    <row r="1266">
      <c r="A1266" s="7">
        <v>46087.62558234205</v>
      </c>
      <c r="B1266" s="8" t="s">
        <v>5998</v>
      </c>
      <c r="C1266" s="8" t="s">
        <v>5999</v>
      </c>
      <c r="D1266" s="9">
        <v>46089.0</v>
      </c>
      <c r="E1266" s="10">
        <v>11.4499</v>
      </c>
      <c r="F1266" s="26">
        <v>1.2148</v>
      </c>
      <c r="G1266" s="12">
        <v>9634786.0</v>
      </c>
      <c r="H1266" s="8" t="s">
        <v>308</v>
      </c>
      <c r="I1266" s="11">
        <v>-2.8846</v>
      </c>
      <c r="J1266" s="12">
        <v>2.684914535E9</v>
      </c>
      <c r="K1266" s="13">
        <v>6.6658</v>
      </c>
      <c r="L1266" s="13">
        <v>1.7177</v>
      </c>
      <c r="M1266" s="8" t="s">
        <v>6000</v>
      </c>
      <c r="N1266" s="8" t="s">
        <v>5414</v>
      </c>
      <c r="O1266" s="13">
        <v>15.9043</v>
      </c>
      <c r="P1266" s="13">
        <v>-4.5123</v>
      </c>
      <c r="Q1266" s="13">
        <v>45.1131</v>
      </c>
      <c r="R1266" s="13">
        <v>4.7347</v>
      </c>
      <c r="S1266" s="13">
        <v>1.6552</v>
      </c>
      <c r="T1266" s="14">
        <f>IFERROR(__xludf.DUMMYFUNCTION("IFERROR(GOOGLEFINANCE(B1266,""price""),"""")"),13.28)</f>
        <v>13.28</v>
      </c>
    </row>
    <row r="1267">
      <c r="A1267" s="15">
        <v>46087.62558234205</v>
      </c>
      <c r="B1267" s="16" t="s">
        <v>5499</v>
      </c>
      <c r="C1267" s="16" t="s">
        <v>5500</v>
      </c>
      <c r="D1267" s="17">
        <v>46089.0</v>
      </c>
      <c r="E1267" s="18">
        <v>5.13</v>
      </c>
      <c r="F1267" s="27">
        <v>1.1719</v>
      </c>
      <c r="G1267" s="20">
        <v>4.0363071E7</v>
      </c>
      <c r="H1267" s="16" t="s">
        <v>117</v>
      </c>
      <c r="I1267" s="19">
        <v>12.0087</v>
      </c>
      <c r="J1267" s="20">
        <v>2.113363018E9</v>
      </c>
      <c r="K1267" s="21"/>
      <c r="L1267" s="21">
        <v>-1.1209</v>
      </c>
      <c r="M1267" s="16" t="s">
        <v>5501</v>
      </c>
      <c r="N1267" s="16" t="s">
        <v>5502</v>
      </c>
      <c r="O1267" s="21">
        <v>-55.4977</v>
      </c>
      <c r="P1267" s="21">
        <v>-151.1805</v>
      </c>
      <c r="Q1267" s="21">
        <v>60.5668</v>
      </c>
      <c r="R1267" s="21">
        <v>0.0708</v>
      </c>
      <c r="S1267" s="21">
        <v>3.1996</v>
      </c>
      <c r="T1267" s="22">
        <f>IFERROR(__xludf.DUMMYFUNCTION("IFERROR(GOOGLEFINANCE(B1267,""price""),"""")"),3.7)</f>
        <v>3.7</v>
      </c>
    </row>
    <row r="1268">
      <c r="A1268" s="7">
        <v>46087.62558234205</v>
      </c>
      <c r="B1268" s="8" t="s">
        <v>5773</v>
      </c>
      <c r="C1268" s="8" t="s">
        <v>5774</v>
      </c>
      <c r="D1268" s="9">
        <v>46089.0</v>
      </c>
      <c r="E1268" s="10">
        <v>2.5382</v>
      </c>
      <c r="F1268" s="26">
        <v>1.1563</v>
      </c>
      <c r="G1268" s="12">
        <v>2.9344915E7</v>
      </c>
      <c r="H1268" s="8" t="s">
        <v>245</v>
      </c>
      <c r="I1268" s="11">
        <v>0.3241</v>
      </c>
      <c r="J1268" s="12">
        <v>1.220937316E9</v>
      </c>
      <c r="K1268" s="13"/>
      <c r="L1268" s="13">
        <v>-1.4644</v>
      </c>
      <c r="M1268" s="8" t="s">
        <v>5775</v>
      </c>
      <c r="N1268" s="8" t="s">
        <v>5776</v>
      </c>
      <c r="O1268" s="13">
        <v>-80.9463</v>
      </c>
      <c r="P1268" s="13">
        <v>-20.4446</v>
      </c>
      <c r="Q1268" s="13">
        <v>-22.6468</v>
      </c>
      <c r="R1268" s="13">
        <v>5.7984</v>
      </c>
      <c r="S1268" s="13">
        <v>0.7476</v>
      </c>
      <c r="T1268" s="14">
        <f>IFERROR(__xludf.DUMMYFUNCTION("IFERROR(GOOGLEFINANCE(B1268,""price""),"""")"),2.57)</f>
        <v>2.57</v>
      </c>
    </row>
    <row r="1269">
      <c r="A1269" s="15">
        <v>46087.62558234205</v>
      </c>
      <c r="B1269" s="16" t="s">
        <v>6099</v>
      </c>
      <c r="C1269" s="16" t="s">
        <v>6100</v>
      </c>
      <c r="D1269" s="17">
        <v>46089.0</v>
      </c>
      <c r="E1269" s="18">
        <v>3.105</v>
      </c>
      <c r="F1269" s="27">
        <v>1.0352</v>
      </c>
      <c r="G1269" s="20">
        <v>1.0667048E7</v>
      </c>
      <c r="H1269" s="16" t="s">
        <v>245</v>
      </c>
      <c r="I1269" s="19">
        <v>10.4982</v>
      </c>
      <c r="J1269" s="20">
        <v>4.61953263E8</v>
      </c>
      <c r="K1269" s="21"/>
      <c r="L1269" s="21">
        <v>-0.988</v>
      </c>
      <c r="M1269" s="16" t="s">
        <v>6101</v>
      </c>
      <c r="N1269" s="16" t="s">
        <v>5410</v>
      </c>
      <c r="O1269" s="21"/>
      <c r="P1269" s="21">
        <v>-10.1375</v>
      </c>
      <c r="Q1269" s="21">
        <v>-6.917</v>
      </c>
      <c r="R1269" s="21"/>
      <c r="S1269" s="21">
        <v>1.0997</v>
      </c>
      <c r="T1269" s="22">
        <f>IFERROR(__xludf.DUMMYFUNCTION("IFERROR(GOOGLEFINANCE(B1269,""price""),"""")"),2.76)</f>
        <v>2.76</v>
      </c>
    </row>
    <row r="1270">
      <c r="A1270" s="7">
        <v>46087.62558234205</v>
      </c>
      <c r="B1270" s="8" t="s">
        <v>5649</v>
      </c>
      <c r="C1270" s="8" t="s">
        <v>5650</v>
      </c>
      <c r="D1270" s="9">
        <v>46089.0</v>
      </c>
      <c r="E1270" s="10">
        <v>25.19</v>
      </c>
      <c r="F1270" s="26">
        <v>0.9949</v>
      </c>
      <c r="G1270" s="12">
        <v>1.2166112E7</v>
      </c>
      <c r="H1270" s="8" t="s">
        <v>88</v>
      </c>
      <c r="I1270" s="11">
        <v>2.44</v>
      </c>
      <c r="J1270" s="12">
        <v>8.533208475E9</v>
      </c>
      <c r="K1270" s="13"/>
      <c r="L1270" s="13">
        <v>-0.4263</v>
      </c>
      <c r="M1270" s="8" t="s">
        <v>5651</v>
      </c>
      <c r="N1270" s="8" t="s">
        <v>5429</v>
      </c>
      <c r="O1270" s="13">
        <v>-31.8263</v>
      </c>
      <c r="P1270" s="13">
        <v>-26.3989</v>
      </c>
      <c r="Q1270" s="13">
        <v>16.8876</v>
      </c>
      <c r="R1270" s="13">
        <v>1.3198</v>
      </c>
      <c r="S1270" s="13">
        <v>3.9903</v>
      </c>
      <c r="T1270" s="14">
        <f>IFERROR(__xludf.DUMMYFUNCTION("IFERROR(GOOGLEFINANCE(B1270,""price""),"""")"),34.67)</f>
        <v>34.67</v>
      </c>
    </row>
    <row r="1271">
      <c r="A1271" s="15">
        <v>46087.62558234205</v>
      </c>
      <c r="B1271" s="16" t="s">
        <v>5122</v>
      </c>
      <c r="C1271" s="16" t="s">
        <v>5123</v>
      </c>
      <c r="D1271" s="17">
        <v>46089.0</v>
      </c>
      <c r="E1271" s="18">
        <v>16.22</v>
      </c>
      <c r="F1271" s="27">
        <v>0.9922</v>
      </c>
      <c r="G1271" s="20">
        <v>2.1960044E7</v>
      </c>
      <c r="H1271" s="16" t="s">
        <v>102</v>
      </c>
      <c r="I1271" s="19">
        <v>8.9322</v>
      </c>
      <c r="J1271" s="20">
        <v>2.116447948E9</v>
      </c>
      <c r="K1271" s="21"/>
      <c r="L1271" s="21">
        <v>-0.3472</v>
      </c>
      <c r="M1271" s="16" t="s">
        <v>5124</v>
      </c>
      <c r="N1271" s="16" t="s">
        <v>5536</v>
      </c>
      <c r="O1271" s="21">
        <v>-50.8105</v>
      </c>
      <c r="P1271" s="21">
        <v>-33.0389</v>
      </c>
      <c r="Q1271" s="21">
        <v>202.1103</v>
      </c>
      <c r="R1271" s="21">
        <v>0.3841</v>
      </c>
      <c r="S1271" s="21">
        <v>7.0758</v>
      </c>
      <c r="T1271" s="22">
        <f>IFERROR(__xludf.DUMMYFUNCTION("IFERROR(GOOGLEFINANCE(B1271,""price""),"""")"),17.22)</f>
        <v>17.22</v>
      </c>
    </row>
    <row r="1272">
      <c r="A1272" s="7">
        <v>46087.62558234205</v>
      </c>
      <c r="B1272" s="8" t="s">
        <v>6031</v>
      </c>
      <c r="C1272" s="8" t="s">
        <v>6032</v>
      </c>
      <c r="D1272" s="9">
        <v>46089.0</v>
      </c>
      <c r="E1272" s="10">
        <v>14.27</v>
      </c>
      <c r="F1272" s="26">
        <v>0.9583</v>
      </c>
      <c r="G1272" s="12">
        <v>1.2630152E7</v>
      </c>
      <c r="H1272" s="8" t="s">
        <v>245</v>
      </c>
      <c r="I1272" s="11">
        <v>3.0325</v>
      </c>
      <c r="J1272" s="12">
        <v>2.101173292E9</v>
      </c>
      <c r="K1272" s="13"/>
      <c r="L1272" s="13">
        <v>-3.9917</v>
      </c>
      <c r="M1272" s="8" t="s">
        <v>6033</v>
      </c>
      <c r="N1272" s="8" t="s">
        <v>5776</v>
      </c>
      <c r="O1272" s="13">
        <v>-89.3124</v>
      </c>
      <c r="P1272" s="13"/>
      <c r="Q1272" s="13"/>
      <c r="R1272" s="13">
        <v>1.7643</v>
      </c>
      <c r="S1272" s="13">
        <v>0.1326</v>
      </c>
      <c r="T1272" s="14">
        <f>IFERROR(__xludf.DUMMYFUNCTION("IFERROR(GOOGLEFINANCE(B1272,""price""),"""")"),13.14)</f>
        <v>13.14</v>
      </c>
    </row>
    <row r="1273">
      <c r="A1273" s="15">
        <v>46087.62558234205</v>
      </c>
      <c r="B1273" s="16" t="s">
        <v>6022</v>
      </c>
      <c r="C1273" s="16" t="s">
        <v>6023</v>
      </c>
      <c r="D1273" s="17">
        <v>46089.0</v>
      </c>
      <c r="E1273" s="18">
        <v>2.0898</v>
      </c>
      <c r="F1273" s="27">
        <v>0.9375</v>
      </c>
      <c r="G1273" s="20">
        <v>9657571.0</v>
      </c>
      <c r="H1273" s="16" t="s">
        <v>88</v>
      </c>
      <c r="I1273" s="19">
        <v>-12.1933</v>
      </c>
      <c r="J1273" s="20">
        <v>5.09058863E8</v>
      </c>
      <c r="K1273" s="21"/>
      <c r="L1273" s="21">
        <v>-0.9503</v>
      </c>
      <c r="M1273" s="16" t="s">
        <v>6024</v>
      </c>
      <c r="N1273" s="16" t="s">
        <v>5471</v>
      </c>
      <c r="O1273" s="21"/>
      <c r="P1273" s="21">
        <v>-2.7255</v>
      </c>
      <c r="Q1273" s="21">
        <v>-1.8779</v>
      </c>
      <c r="R1273" s="21"/>
      <c r="S1273" s="21">
        <v>0.6754</v>
      </c>
      <c r="T1273" s="22">
        <f>IFERROR(__xludf.DUMMYFUNCTION("IFERROR(GOOGLEFINANCE(B1273,""price""),"""")"),1.32)</f>
        <v>1.32</v>
      </c>
    </row>
    <row r="1274">
      <c r="A1274" s="7">
        <v>46087.62558234205</v>
      </c>
      <c r="B1274" s="8" t="s">
        <v>4884</v>
      </c>
      <c r="C1274" s="8" t="s">
        <v>4885</v>
      </c>
      <c r="D1274" s="9">
        <v>46089.0</v>
      </c>
      <c r="E1274" s="10">
        <v>14.98</v>
      </c>
      <c r="F1274" s="26">
        <v>0.9336</v>
      </c>
      <c r="G1274" s="12">
        <v>1.0620096E7</v>
      </c>
      <c r="H1274" s="8" t="s">
        <v>88</v>
      </c>
      <c r="I1274" s="11">
        <v>-6.375</v>
      </c>
      <c r="J1274" s="12">
        <v>4.723682972E9</v>
      </c>
      <c r="K1274" s="13">
        <v>13.0363</v>
      </c>
      <c r="L1274" s="13">
        <v>1.1491</v>
      </c>
      <c r="M1274" s="8" t="s">
        <v>4886</v>
      </c>
      <c r="N1274" s="8" t="s">
        <v>5471</v>
      </c>
      <c r="O1274" s="13"/>
      <c r="P1274" s="13">
        <v>-60.4814</v>
      </c>
      <c r="Q1274" s="13">
        <v>-37.5296</v>
      </c>
      <c r="R1274" s="13"/>
      <c r="S1274" s="13">
        <v>1.1461</v>
      </c>
      <c r="T1274" s="14">
        <f>IFERROR(__xludf.DUMMYFUNCTION("IFERROR(GOOGLEFINANCE(B1274,""price""),"""")"),18.32)</f>
        <v>18.32</v>
      </c>
    </row>
    <row r="1275">
      <c r="A1275" s="15">
        <v>46087.62558234205</v>
      </c>
      <c r="B1275" s="16" t="s">
        <v>5888</v>
      </c>
      <c r="C1275" s="16" t="s">
        <v>5889</v>
      </c>
      <c r="D1275" s="17">
        <v>46089.0</v>
      </c>
      <c r="E1275" s="18">
        <v>6.2725</v>
      </c>
      <c r="F1275" s="27">
        <v>0.8789</v>
      </c>
      <c r="G1275" s="20">
        <v>2.6894755E7</v>
      </c>
      <c r="H1275" s="16" t="s">
        <v>308</v>
      </c>
      <c r="I1275" s="19">
        <v>-2.9025</v>
      </c>
      <c r="J1275" s="20">
        <v>4.670119766E9</v>
      </c>
      <c r="K1275" s="21"/>
      <c r="L1275" s="21">
        <v>-0.9895</v>
      </c>
      <c r="M1275" s="16" t="s">
        <v>5890</v>
      </c>
      <c r="N1275" s="16" t="s">
        <v>5520</v>
      </c>
      <c r="O1275" s="21">
        <v>-41.8353</v>
      </c>
      <c r="P1275" s="21">
        <v>-243100.0</v>
      </c>
      <c r="Q1275" s="21"/>
      <c r="R1275" s="21">
        <v>0.0553</v>
      </c>
      <c r="S1275" s="21">
        <v>19.886</v>
      </c>
      <c r="T1275" s="22">
        <f>IFERROR(__xludf.DUMMYFUNCTION("IFERROR(GOOGLEFINANCE(B1275,""price""),"""")"),5.4)</f>
        <v>5.4</v>
      </c>
    </row>
    <row r="1276">
      <c r="A1276" s="7">
        <v>46087.62558234205</v>
      </c>
      <c r="B1276" s="8" t="s">
        <v>2704</v>
      </c>
      <c r="C1276" s="8" t="s">
        <v>2705</v>
      </c>
      <c r="D1276" s="9">
        <v>46089.0</v>
      </c>
      <c r="E1276" s="10">
        <v>25.6101</v>
      </c>
      <c r="F1276" s="26">
        <v>0.8578</v>
      </c>
      <c r="G1276" s="12">
        <v>1.6766237E7</v>
      </c>
      <c r="H1276" s="8" t="s">
        <v>88</v>
      </c>
      <c r="I1276" s="11">
        <v>-8.8284</v>
      </c>
      <c r="J1276" s="12">
        <v>7.160220731E9</v>
      </c>
      <c r="K1276" s="13"/>
      <c r="L1276" s="13">
        <v>-0.5438</v>
      </c>
      <c r="M1276" s="8" t="s">
        <v>2707</v>
      </c>
      <c r="N1276" s="8" t="s">
        <v>5471</v>
      </c>
      <c r="O1276" s="13">
        <v>-11.4029</v>
      </c>
      <c r="P1276" s="13">
        <v>-26.4624</v>
      </c>
      <c r="Q1276" s="13">
        <v>33.135</v>
      </c>
      <c r="R1276" s="13">
        <v>1.6778</v>
      </c>
      <c r="S1276" s="13">
        <v>4.8227</v>
      </c>
      <c r="T1276" s="14">
        <f>IFERROR(__xludf.DUMMYFUNCTION("IFERROR(GOOGLEFINANCE(B1276,""price""),"""")"),26.24)</f>
        <v>26.24</v>
      </c>
    </row>
    <row r="1277">
      <c r="A1277" s="15">
        <v>46087.62558234205</v>
      </c>
      <c r="B1277" s="16" t="s">
        <v>5567</v>
      </c>
      <c r="C1277" s="16" t="s">
        <v>5568</v>
      </c>
      <c r="D1277" s="17">
        <v>46089.0</v>
      </c>
      <c r="E1277" s="18">
        <v>138.21</v>
      </c>
      <c r="F1277" s="27">
        <v>0.8552</v>
      </c>
      <c r="G1277" s="20">
        <v>1.2562766E7</v>
      </c>
      <c r="H1277" s="16" t="s">
        <v>308</v>
      </c>
      <c r="I1277" s="19">
        <v>-13.5863</v>
      </c>
      <c r="J1277" s="20">
        <v>3.877457051E10</v>
      </c>
      <c r="K1277" s="21"/>
      <c r="L1277" s="21">
        <v>-0.3809</v>
      </c>
      <c r="M1277" s="16" t="s">
        <v>5569</v>
      </c>
      <c r="N1277" s="16" t="s">
        <v>5433</v>
      </c>
      <c r="O1277" s="21">
        <v>-13.2874</v>
      </c>
      <c r="P1277" s="21">
        <v>5.4633</v>
      </c>
      <c r="Q1277" s="21">
        <v>37.3263</v>
      </c>
      <c r="R1277" s="21">
        <v>3.8975</v>
      </c>
      <c r="S1277" s="21">
        <v>5.9285</v>
      </c>
      <c r="T1277" s="22">
        <f>IFERROR(__xludf.DUMMYFUNCTION("IFERROR(GOOGLEFINANCE(B1277,""price""),"""")"),166.7)</f>
        <v>166.7</v>
      </c>
    </row>
    <row r="1278">
      <c r="A1278" s="7">
        <v>46087.62558234205</v>
      </c>
      <c r="B1278" s="8" t="s">
        <v>5604</v>
      </c>
      <c r="C1278" s="8" t="s">
        <v>5605</v>
      </c>
      <c r="D1278" s="9">
        <v>46089.0</v>
      </c>
      <c r="E1278" s="10">
        <v>97.935</v>
      </c>
      <c r="F1278" s="26">
        <v>0.8457</v>
      </c>
      <c r="G1278" s="12">
        <v>1.3182368E7</v>
      </c>
      <c r="H1278" s="8" t="s">
        <v>308</v>
      </c>
      <c r="I1278" s="11">
        <v>-3.1689</v>
      </c>
      <c r="J1278" s="12">
        <v>7.36459659E9</v>
      </c>
      <c r="K1278" s="13"/>
      <c r="L1278" s="13">
        <v>-0.6555</v>
      </c>
      <c r="M1278" s="8" t="s">
        <v>5606</v>
      </c>
      <c r="N1278" s="8" t="s">
        <v>5414</v>
      </c>
      <c r="O1278" s="13">
        <v>-7.9391</v>
      </c>
      <c r="P1278" s="13">
        <v>-11.9814</v>
      </c>
      <c r="Q1278" s="13">
        <v>82.7502</v>
      </c>
      <c r="R1278" s="13">
        <v>0.338</v>
      </c>
      <c r="S1278" s="13">
        <v>2.6264</v>
      </c>
      <c r="T1278" s="14">
        <f>IFERROR(__xludf.DUMMYFUNCTION("IFERROR(GOOGLEFINANCE(B1278,""price""),"""")"),150.6)</f>
        <v>150.6</v>
      </c>
    </row>
    <row r="1279">
      <c r="A1279" s="15">
        <v>46087.62558234205</v>
      </c>
      <c r="B1279" s="16" t="s">
        <v>5514</v>
      </c>
      <c r="C1279" s="16" t="s">
        <v>5515</v>
      </c>
      <c r="D1279" s="17">
        <v>46089.0</v>
      </c>
      <c r="E1279" s="18">
        <v>8.6215</v>
      </c>
      <c r="F1279" s="27">
        <v>0.8379</v>
      </c>
      <c r="G1279" s="20">
        <v>2.0308219E7</v>
      </c>
      <c r="H1279" s="16" t="s">
        <v>117</v>
      </c>
      <c r="I1279" s="19">
        <v>-3.7779</v>
      </c>
      <c r="J1279" s="20">
        <v>8.863862906E9</v>
      </c>
      <c r="K1279" s="21"/>
      <c r="L1279" s="21">
        <v>-0.3898</v>
      </c>
      <c r="M1279" s="16" t="s">
        <v>5516</v>
      </c>
      <c r="N1279" s="16" t="s">
        <v>5491</v>
      </c>
      <c r="O1279" s="21"/>
      <c r="P1279" s="21">
        <v>-225.9966</v>
      </c>
      <c r="Q1279" s="21">
        <v>668.3147</v>
      </c>
      <c r="R1279" s="21"/>
      <c r="S1279" s="21">
        <v>5.0989</v>
      </c>
      <c r="T1279" s="22">
        <f>IFERROR(__xludf.DUMMYFUNCTION("IFERROR(GOOGLEFINANCE(B1279,""price""),"""")"),7.28)</f>
        <v>7.28</v>
      </c>
    </row>
    <row r="1280">
      <c r="A1280" s="7">
        <v>46087.62558234205</v>
      </c>
      <c r="B1280" s="8" t="s">
        <v>5517</v>
      </c>
      <c r="C1280" s="8" t="s">
        <v>5518</v>
      </c>
      <c r="D1280" s="9">
        <v>46089.0</v>
      </c>
      <c r="E1280" s="10">
        <v>8.545</v>
      </c>
      <c r="F1280" s="26">
        <v>0.832</v>
      </c>
      <c r="G1280" s="12">
        <v>1.5583465E7</v>
      </c>
      <c r="H1280" s="8" t="s">
        <v>308</v>
      </c>
      <c r="I1280" s="11">
        <v>-5.7883</v>
      </c>
      <c r="J1280" s="12">
        <v>1.640433152E9</v>
      </c>
      <c r="K1280" s="13"/>
      <c r="L1280" s="13">
        <v>-2.3761</v>
      </c>
      <c r="M1280" s="8" t="s">
        <v>5519</v>
      </c>
      <c r="N1280" s="8" t="s">
        <v>5520</v>
      </c>
      <c r="O1280" s="13">
        <v>-52.0031</v>
      </c>
      <c r="P1280" s="13">
        <v>-43.4124</v>
      </c>
      <c r="Q1280" s="13">
        <v>10.2861</v>
      </c>
      <c r="R1280" s="13">
        <v>0.1895</v>
      </c>
      <c r="S1280" s="13">
        <v>1.6246</v>
      </c>
      <c r="T1280" s="14">
        <f>IFERROR(__xludf.DUMMYFUNCTION("IFERROR(GOOGLEFINANCE(B1280,""price""),"""")"),9.29)</f>
        <v>9.29</v>
      </c>
    </row>
    <row r="1281">
      <c r="A1281" s="15">
        <v>46087.62558234205</v>
      </c>
      <c r="B1281" s="16" t="s">
        <v>5795</v>
      </c>
      <c r="C1281" s="16" t="s">
        <v>5796</v>
      </c>
      <c r="D1281" s="17">
        <v>46089.0</v>
      </c>
      <c r="E1281" s="18">
        <v>30.225</v>
      </c>
      <c r="F1281" s="27">
        <v>0.8154</v>
      </c>
      <c r="G1281" s="20">
        <v>1.3707282E7</v>
      </c>
      <c r="H1281" s="16" t="s">
        <v>88</v>
      </c>
      <c r="I1281" s="19">
        <v>-0.9341</v>
      </c>
      <c r="J1281" s="20">
        <v>1.7802525134E10</v>
      </c>
      <c r="K1281" s="21">
        <v>55.3774</v>
      </c>
      <c r="L1281" s="21">
        <v>0.5458</v>
      </c>
      <c r="M1281" s="16" t="s">
        <v>5797</v>
      </c>
      <c r="N1281" s="16" t="s">
        <v>5429</v>
      </c>
      <c r="O1281" s="21">
        <v>18.6427</v>
      </c>
      <c r="P1281" s="21">
        <v>4.9407</v>
      </c>
      <c r="Q1281" s="21">
        <v>24.0524</v>
      </c>
      <c r="R1281" s="21">
        <v>0.0094</v>
      </c>
      <c r="S1281" s="21">
        <v>2.6533</v>
      </c>
      <c r="T1281" s="22">
        <f>IFERROR(__xludf.DUMMYFUNCTION("IFERROR(GOOGLEFINANCE(B1281,""price""),"""")"),25.4)</f>
        <v>25.4</v>
      </c>
    </row>
    <row r="1282">
      <c r="A1282" s="7">
        <v>46087.62558234205</v>
      </c>
      <c r="B1282" s="8" t="s">
        <v>5574</v>
      </c>
      <c r="C1282" s="8" t="s">
        <v>5575</v>
      </c>
      <c r="D1282" s="9">
        <v>46089.0</v>
      </c>
      <c r="E1282" s="10">
        <v>18.98</v>
      </c>
      <c r="F1282" s="26">
        <v>0.8135</v>
      </c>
      <c r="G1282" s="12">
        <v>8946733.0</v>
      </c>
      <c r="H1282" s="8" t="s">
        <v>335</v>
      </c>
      <c r="I1282" s="11">
        <v>-6.5945</v>
      </c>
      <c r="J1282" s="12">
        <v>4.585681864E9</v>
      </c>
      <c r="K1282" s="13"/>
      <c r="L1282" s="13">
        <v>-0.3843</v>
      </c>
      <c r="M1282" s="8" t="s">
        <v>5576</v>
      </c>
      <c r="N1282" s="8" t="s">
        <v>5506</v>
      </c>
      <c r="O1282" s="13">
        <v>-14.199</v>
      </c>
      <c r="P1282" s="13">
        <v>-153.4465</v>
      </c>
      <c r="Q1282" s="13">
        <v>-15.608</v>
      </c>
      <c r="R1282" s="13">
        <v>0.996</v>
      </c>
      <c r="S1282" s="13">
        <v>30.6942</v>
      </c>
      <c r="T1282" s="14">
        <f>IFERROR(__xludf.DUMMYFUNCTION("IFERROR(GOOGLEFINANCE(B1282,""price""),"""")"),18.4)</f>
        <v>18.4</v>
      </c>
    </row>
    <row r="1283">
      <c r="A1283" s="15">
        <v>46087.62558234205</v>
      </c>
      <c r="B1283" s="16" t="s">
        <v>4359</v>
      </c>
      <c r="C1283" s="16" t="s">
        <v>4360</v>
      </c>
      <c r="D1283" s="17">
        <v>46089.0</v>
      </c>
      <c r="E1283" s="18">
        <v>89.6599</v>
      </c>
      <c r="F1283" s="27">
        <v>0.7981</v>
      </c>
      <c r="G1283" s="20">
        <v>7.9774424E7</v>
      </c>
      <c r="H1283" s="16" t="s">
        <v>308</v>
      </c>
      <c r="I1283" s="19">
        <v>18.4724</v>
      </c>
      <c r="J1283" s="20">
        <v>7.8313424648E10</v>
      </c>
      <c r="K1283" s="21">
        <v>29.0321</v>
      </c>
      <c r="L1283" s="21">
        <v>3.0883</v>
      </c>
      <c r="M1283" s="16" t="s">
        <v>4362</v>
      </c>
      <c r="N1283" s="16" t="s">
        <v>5414</v>
      </c>
      <c r="O1283" s="21">
        <v>19.2541</v>
      </c>
      <c r="P1283" s="21">
        <v>16.3327</v>
      </c>
      <c r="Q1283" s="21">
        <v>42.0873</v>
      </c>
      <c r="R1283" s="21">
        <v>0.3124</v>
      </c>
      <c r="S1283" s="21">
        <v>2.0061</v>
      </c>
      <c r="T1283" s="22">
        <f>IFERROR(__xludf.DUMMYFUNCTION("IFERROR(GOOGLEFINANCE(B1283,""price""),"""")"),128.49)</f>
        <v>128.49</v>
      </c>
    </row>
    <row r="1284">
      <c r="A1284" s="7">
        <v>46087.62558234205</v>
      </c>
      <c r="B1284" s="8" t="s">
        <v>5792</v>
      </c>
      <c r="C1284" s="8" t="s">
        <v>5793</v>
      </c>
      <c r="D1284" s="9">
        <v>46089.0</v>
      </c>
      <c r="E1284" s="10">
        <v>8.725</v>
      </c>
      <c r="F1284" s="26">
        <v>0.7881</v>
      </c>
      <c r="G1284" s="12">
        <v>1.5594012E7</v>
      </c>
      <c r="H1284" s="8" t="s">
        <v>88</v>
      </c>
      <c r="I1284" s="11">
        <v>-6.7842</v>
      </c>
      <c r="J1284" s="12">
        <v>6.56466438E9</v>
      </c>
      <c r="K1284" s="13"/>
      <c r="L1284" s="13">
        <v>-0.1082</v>
      </c>
      <c r="M1284" s="8" t="s">
        <v>5794</v>
      </c>
      <c r="N1284" s="8" t="s">
        <v>5429</v>
      </c>
      <c r="O1284" s="13">
        <v>-9.8204</v>
      </c>
      <c r="P1284" s="13">
        <v>-0.3965</v>
      </c>
      <c r="Q1284" s="13">
        <v>23.6716</v>
      </c>
      <c r="R1284" s="13">
        <v>0.609</v>
      </c>
      <c r="S1284" s="13">
        <v>0.8636</v>
      </c>
      <c r="T1284" s="14">
        <f>IFERROR(__xludf.DUMMYFUNCTION("IFERROR(GOOGLEFINANCE(B1284,""price""),"""")"),7.14)</f>
        <v>7.14</v>
      </c>
    </row>
    <row r="1285">
      <c r="A1285" s="15">
        <v>46087.62558234205</v>
      </c>
      <c r="B1285" s="16" t="s">
        <v>5449</v>
      </c>
      <c r="C1285" s="16" t="s">
        <v>5450</v>
      </c>
      <c r="D1285" s="17">
        <v>46089.0</v>
      </c>
      <c r="E1285" s="18">
        <v>18.405</v>
      </c>
      <c r="F1285" s="27">
        <v>0.7871</v>
      </c>
      <c r="G1285" s="20">
        <v>1.4727961E7</v>
      </c>
      <c r="H1285" s="16" t="s">
        <v>286</v>
      </c>
      <c r="I1285" s="19">
        <v>0.8493</v>
      </c>
      <c r="J1285" s="20">
        <v>3.5277455732E10</v>
      </c>
      <c r="K1285" s="21">
        <v>24.0903</v>
      </c>
      <c r="L1285" s="21">
        <v>0.764</v>
      </c>
      <c r="M1285" s="16" t="s">
        <v>5451</v>
      </c>
      <c r="N1285" s="16" t="s">
        <v>5452</v>
      </c>
      <c r="O1285" s="21">
        <v>14.3885</v>
      </c>
      <c r="P1285" s="21">
        <v>18.0916</v>
      </c>
      <c r="Q1285" s="21">
        <v>-2.1545</v>
      </c>
      <c r="R1285" s="21">
        <v>0.8058</v>
      </c>
      <c r="S1285" s="21">
        <v>0.9583</v>
      </c>
      <c r="T1285" s="22">
        <f>IFERROR(__xludf.DUMMYFUNCTION("IFERROR(GOOGLEFINANCE(B1285,""price""),"""")"),17.35)</f>
        <v>17.35</v>
      </c>
    </row>
    <row r="1286">
      <c r="A1286" s="7">
        <v>46087.62558234205</v>
      </c>
      <c r="B1286" s="8" t="s">
        <v>6118</v>
      </c>
      <c r="C1286" s="8" t="s">
        <v>6119</v>
      </c>
      <c r="D1286" s="9">
        <v>46089.0</v>
      </c>
      <c r="E1286" s="10">
        <v>6.715</v>
      </c>
      <c r="F1286" s="26">
        <v>0.7734</v>
      </c>
      <c r="G1286" s="12">
        <v>7812460.0</v>
      </c>
      <c r="H1286" s="8" t="s">
        <v>102</v>
      </c>
      <c r="I1286" s="11">
        <v>-5.9524</v>
      </c>
      <c r="J1286" s="12">
        <v>1.026380907E9</v>
      </c>
      <c r="K1286" s="13"/>
      <c r="L1286" s="13">
        <v>-0.7349</v>
      </c>
      <c r="M1286" s="8" t="s">
        <v>6120</v>
      </c>
      <c r="N1286" s="8" t="s">
        <v>5536</v>
      </c>
      <c r="O1286" s="13">
        <v>-19.0214</v>
      </c>
      <c r="P1286" s="13">
        <v>5.836</v>
      </c>
      <c r="Q1286" s="13">
        <v>40.2196</v>
      </c>
      <c r="R1286" s="13">
        <v>2.9425</v>
      </c>
      <c r="S1286" s="13">
        <v>2.3051</v>
      </c>
      <c r="T1286" s="14">
        <f>IFERROR(__xludf.DUMMYFUNCTION("IFERROR(GOOGLEFINANCE(B1286,""price""),"""")"),7.16)</f>
        <v>7.16</v>
      </c>
    </row>
    <row r="1287">
      <c r="A1287" s="15">
        <v>46087.62558234205</v>
      </c>
      <c r="B1287" s="16" t="s">
        <v>5038</v>
      </c>
      <c r="C1287" s="16" t="s">
        <v>5039</v>
      </c>
      <c r="D1287" s="17">
        <v>46089.0</v>
      </c>
      <c r="E1287" s="18">
        <v>11.475</v>
      </c>
      <c r="F1287" s="27">
        <v>0.7725</v>
      </c>
      <c r="G1287" s="20">
        <v>9179611.0</v>
      </c>
      <c r="H1287" s="16" t="s">
        <v>107</v>
      </c>
      <c r="I1287" s="19">
        <v>-8.5657</v>
      </c>
      <c r="J1287" s="20">
        <v>1.996757188E9</v>
      </c>
      <c r="K1287" s="21"/>
      <c r="L1287" s="21">
        <v>-1.5921</v>
      </c>
      <c r="M1287" s="16" t="s">
        <v>5040</v>
      </c>
      <c r="N1287" s="16" t="s">
        <v>5919</v>
      </c>
      <c r="O1287" s="21">
        <v>-9.6339</v>
      </c>
      <c r="P1287" s="21">
        <v>-0.6863</v>
      </c>
      <c r="Q1287" s="21">
        <v>-5.8482</v>
      </c>
      <c r="R1287" s="21">
        <v>0.8731</v>
      </c>
      <c r="S1287" s="21">
        <v>1.2989</v>
      </c>
      <c r="T1287" s="22">
        <f>IFERROR(__xludf.DUMMYFUNCTION("IFERROR(GOOGLEFINANCE(B1287,""price""),"""")"),13.65)</f>
        <v>13.65</v>
      </c>
    </row>
    <row r="1288">
      <c r="A1288" s="7">
        <v>46087.62558234205</v>
      </c>
      <c r="B1288" s="8" t="s">
        <v>2475</v>
      </c>
      <c r="C1288" s="8" t="s">
        <v>2476</v>
      </c>
      <c r="D1288" s="9">
        <v>46089.0</v>
      </c>
      <c r="E1288" s="10">
        <v>18.155</v>
      </c>
      <c r="F1288" s="26">
        <v>0.7573</v>
      </c>
      <c r="G1288" s="12">
        <v>1.6912522E7</v>
      </c>
      <c r="H1288" s="8" t="s">
        <v>917</v>
      </c>
      <c r="I1288" s="11">
        <v>0.1379</v>
      </c>
      <c r="J1288" s="12">
        <v>3.9904107512E10</v>
      </c>
      <c r="K1288" s="13">
        <v>15.5797</v>
      </c>
      <c r="L1288" s="13">
        <v>1.1653</v>
      </c>
      <c r="M1288" s="8" t="s">
        <v>2477</v>
      </c>
      <c r="N1288" s="8" t="s">
        <v>5883</v>
      </c>
      <c r="O1288" s="13">
        <v>8.6235</v>
      </c>
      <c r="P1288" s="13">
        <v>19.5869</v>
      </c>
      <c r="Q1288" s="13">
        <v>2.1131</v>
      </c>
      <c r="R1288" s="13">
        <v>1.8849</v>
      </c>
      <c r="S1288" s="13">
        <v>0.9712</v>
      </c>
      <c r="T1288" s="14">
        <f>IFERROR(__xludf.DUMMYFUNCTION("IFERROR(GOOGLEFINANCE(B1288,""price""),"""")"),18.54)</f>
        <v>18.54</v>
      </c>
    </row>
    <row r="1289">
      <c r="A1289" s="15">
        <v>46087.62558234205</v>
      </c>
      <c r="B1289" s="16" t="s">
        <v>6121</v>
      </c>
      <c r="C1289" s="16" t="s">
        <v>6122</v>
      </c>
      <c r="D1289" s="17">
        <v>46089.0</v>
      </c>
      <c r="E1289" s="18">
        <v>44.29</v>
      </c>
      <c r="F1289" s="27">
        <v>0.7445</v>
      </c>
      <c r="G1289" s="20">
        <v>1.0128058E7</v>
      </c>
      <c r="H1289" s="16" t="s">
        <v>245</v>
      </c>
      <c r="I1289" s="19">
        <v>-0.5166</v>
      </c>
      <c r="J1289" s="20">
        <v>2.7459800283E10</v>
      </c>
      <c r="K1289" s="21">
        <v>10.6079</v>
      </c>
      <c r="L1289" s="21">
        <v>4.1752</v>
      </c>
      <c r="M1289" s="16" t="s">
        <v>6123</v>
      </c>
      <c r="N1289" s="16" t="s">
        <v>5776</v>
      </c>
      <c r="O1289" s="21">
        <v>17.5993</v>
      </c>
      <c r="P1289" s="21">
        <v>20.4089</v>
      </c>
      <c r="Q1289" s="21">
        <v>7.4581</v>
      </c>
      <c r="R1289" s="21">
        <v>0.5595</v>
      </c>
      <c r="S1289" s="21">
        <v>0.9804</v>
      </c>
      <c r="T1289" s="22">
        <f>IFERROR(__xludf.DUMMYFUNCTION("IFERROR(GOOGLEFINANCE(B1289,""price""),"""")"),47.79)</f>
        <v>47.79</v>
      </c>
    </row>
    <row r="1290">
      <c r="A1290" s="7">
        <v>46087.62558234205</v>
      </c>
      <c r="B1290" s="8" t="s">
        <v>5675</v>
      </c>
      <c r="C1290" s="8" t="s">
        <v>5676</v>
      </c>
      <c r="D1290" s="9">
        <v>46089.0</v>
      </c>
      <c r="E1290" s="10">
        <v>9.94</v>
      </c>
      <c r="F1290" s="26">
        <v>0.7422</v>
      </c>
      <c r="G1290" s="12">
        <v>2.8759008E7</v>
      </c>
      <c r="H1290" s="8" t="s">
        <v>93</v>
      </c>
      <c r="I1290" s="11">
        <v>-4.6065</v>
      </c>
      <c r="J1290" s="12">
        <v>1.5452421462E10</v>
      </c>
      <c r="K1290" s="13">
        <v>161.1021</v>
      </c>
      <c r="L1290" s="13">
        <v>0.0617</v>
      </c>
      <c r="M1290" s="8" t="s">
        <v>5677</v>
      </c>
      <c r="N1290" s="8" t="s">
        <v>5678</v>
      </c>
      <c r="O1290" s="13">
        <v>3.6386</v>
      </c>
      <c r="P1290" s="13">
        <v>17.7694</v>
      </c>
      <c r="Q1290" s="13">
        <v>25.039</v>
      </c>
      <c r="R1290" s="13">
        <v>1.7514</v>
      </c>
      <c r="S1290" s="13">
        <v>1.2905</v>
      </c>
      <c r="T1290" s="14">
        <f>IFERROR(__xludf.DUMMYFUNCTION("IFERROR(GOOGLEFINANCE(B1290,""price""),"""")"),8.23)</f>
        <v>8.23</v>
      </c>
    </row>
    <row r="1291">
      <c r="A1291" s="15">
        <v>46087.62558234205</v>
      </c>
      <c r="B1291" s="16" t="s">
        <v>5614</v>
      </c>
      <c r="C1291" s="16" t="s">
        <v>5615</v>
      </c>
      <c r="D1291" s="17">
        <v>46089.0</v>
      </c>
      <c r="E1291" s="18">
        <v>41.16</v>
      </c>
      <c r="F1291" s="27">
        <v>0.7402</v>
      </c>
      <c r="G1291" s="20">
        <v>9867985.0</v>
      </c>
      <c r="H1291" s="16" t="s">
        <v>162</v>
      </c>
      <c r="I1291" s="19">
        <v>-6.2415</v>
      </c>
      <c r="J1291" s="20">
        <v>2.0222649302E10</v>
      </c>
      <c r="K1291" s="21">
        <v>47.6886</v>
      </c>
      <c r="L1291" s="21">
        <v>0.8631</v>
      </c>
      <c r="M1291" s="16" t="s">
        <v>5616</v>
      </c>
      <c r="N1291" s="16" t="s">
        <v>5490</v>
      </c>
      <c r="O1291" s="21">
        <v>4.8224</v>
      </c>
      <c r="P1291" s="21">
        <v>2.783</v>
      </c>
      <c r="Q1291" s="21">
        <v>2.1067</v>
      </c>
      <c r="R1291" s="21">
        <v>0.7494</v>
      </c>
      <c r="S1291" s="21">
        <v>0.5169</v>
      </c>
      <c r="T1291" s="22">
        <f>IFERROR(__xludf.DUMMYFUNCTION("IFERROR(GOOGLEFINANCE(B1291,""price""),"""")"),39.56)</f>
        <v>39.56</v>
      </c>
    </row>
    <row r="1292">
      <c r="A1292" s="7">
        <v>46090.667681124</v>
      </c>
      <c r="B1292" s="8" t="s">
        <v>6034</v>
      </c>
      <c r="C1292" s="8" t="s">
        <v>6035</v>
      </c>
      <c r="D1292" s="9">
        <v>46096.0</v>
      </c>
      <c r="E1292" s="10">
        <v>17.99</v>
      </c>
      <c r="F1292" s="26">
        <v>2.1055</v>
      </c>
      <c r="G1292" s="12">
        <v>1.5285187E7</v>
      </c>
      <c r="H1292" s="8" t="s">
        <v>117</v>
      </c>
      <c r="I1292" s="11">
        <v>26.0687</v>
      </c>
      <c r="J1292" s="12">
        <v>1.108251879E9</v>
      </c>
      <c r="K1292" s="13"/>
      <c r="L1292" s="13">
        <v>-3.4809</v>
      </c>
      <c r="M1292" s="8" t="s">
        <v>6036</v>
      </c>
      <c r="N1292" s="8" t="s">
        <v>5502</v>
      </c>
      <c r="O1292" s="13">
        <v>-207.1007</v>
      </c>
      <c r="P1292" s="13">
        <v>-1202.0872</v>
      </c>
      <c r="Q1292" s="13">
        <v>-40.6394</v>
      </c>
      <c r="R1292" s="13">
        <v>2.6978</v>
      </c>
      <c r="S1292" s="13">
        <v>10.4259</v>
      </c>
      <c r="T1292" s="14">
        <f>IFERROR(__xludf.DUMMYFUNCTION("IFERROR(GOOGLEFINANCE(B1292,""price""),"""")"),15.38)</f>
        <v>15.38</v>
      </c>
    </row>
    <row r="1293">
      <c r="A1293" s="15">
        <v>46090.667681124</v>
      </c>
      <c r="B1293" s="16" t="s">
        <v>5898</v>
      </c>
      <c r="C1293" s="16" t="s">
        <v>5899</v>
      </c>
      <c r="D1293" s="17">
        <v>46096.0</v>
      </c>
      <c r="E1293" s="18">
        <v>11.97</v>
      </c>
      <c r="F1293" s="27">
        <v>1.793</v>
      </c>
      <c r="G1293" s="20">
        <v>5.0042815E7</v>
      </c>
      <c r="H1293" s="16" t="s">
        <v>88</v>
      </c>
      <c r="I1293" s="19">
        <v>0.9275</v>
      </c>
      <c r="J1293" s="20">
        <v>6.400953665E9</v>
      </c>
      <c r="K1293" s="21">
        <v>28.2311</v>
      </c>
      <c r="L1293" s="21">
        <v>0.424</v>
      </c>
      <c r="M1293" s="16" t="s">
        <v>5900</v>
      </c>
      <c r="N1293" s="16" t="s">
        <v>5429</v>
      </c>
      <c r="O1293" s="21">
        <v>12.562</v>
      </c>
      <c r="P1293" s="21">
        <v>1.5172</v>
      </c>
      <c r="Q1293" s="21">
        <v>10.0505</v>
      </c>
      <c r="R1293" s="21">
        <v>0.0426</v>
      </c>
      <c r="S1293" s="21">
        <v>2.5445</v>
      </c>
      <c r="T1293" s="22">
        <f>IFERROR(__xludf.DUMMYFUNCTION("IFERROR(GOOGLEFINANCE(B1293,""price""),"""")"),9.38)</f>
        <v>9.38</v>
      </c>
    </row>
    <row r="1294">
      <c r="A1294" s="7">
        <v>46090.667681124</v>
      </c>
      <c r="B1294" s="8" t="s">
        <v>790</v>
      </c>
      <c r="C1294" s="8" t="s">
        <v>791</v>
      </c>
      <c r="D1294" s="9">
        <v>46096.0</v>
      </c>
      <c r="E1294" s="10">
        <v>1.91</v>
      </c>
      <c r="F1294" s="26">
        <v>1.4844</v>
      </c>
      <c r="G1294" s="12">
        <v>1.1133869E7</v>
      </c>
      <c r="H1294" s="8" t="s">
        <v>245</v>
      </c>
      <c r="I1294" s="11">
        <v>19.375</v>
      </c>
      <c r="J1294" s="12">
        <v>1.13925027E8</v>
      </c>
      <c r="K1294" s="13"/>
      <c r="L1294" s="13">
        <v>-4.271</v>
      </c>
      <c r="M1294" s="8" t="s">
        <v>792</v>
      </c>
      <c r="N1294" s="8" t="s">
        <v>5776</v>
      </c>
      <c r="O1294" s="13">
        <v>24.2703</v>
      </c>
      <c r="P1294" s="13">
        <v>27.878</v>
      </c>
      <c r="Q1294" s="13">
        <v>18320.007</v>
      </c>
      <c r="R1294" s="13">
        <v>5.6874</v>
      </c>
      <c r="S1294" s="13">
        <v>0.8343</v>
      </c>
      <c r="T1294" s="14">
        <f>IFERROR(__xludf.DUMMYFUNCTION("IFERROR(GOOGLEFINANCE(B1294,""price""),"""")"),1.44)</f>
        <v>1.44</v>
      </c>
    </row>
    <row r="1295">
      <c r="A1295" s="15">
        <v>46090.667681124</v>
      </c>
      <c r="B1295" s="16" t="s">
        <v>5527</v>
      </c>
      <c r="C1295" s="16" t="s">
        <v>5528</v>
      </c>
      <c r="D1295" s="17">
        <v>46096.0</v>
      </c>
      <c r="E1295" s="18">
        <v>14.095</v>
      </c>
      <c r="F1295" s="27">
        <v>1.4333</v>
      </c>
      <c r="G1295" s="20">
        <v>3.253752E7</v>
      </c>
      <c r="H1295" s="16" t="s">
        <v>88</v>
      </c>
      <c r="I1295" s="19">
        <v>-8.2357</v>
      </c>
      <c r="J1295" s="20">
        <v>1.682536174E9</v>
      </c>
      <c r="K1295" s="21"/>
      <c r="L1295" s="21"/>
      <c r="M1295" s="16" t="s">
        <v>5529</v>
      </c>
      <c r="N1295" s="16" t="s">
        <v>5429</v>
      </c>
      <c r="O1295" s="21"/>
      <c r="P1295" s="21"/>
      <c r="Q1295" s="21"/>
      <c r="R1295" s="21">
        <v>0.0885</v>
      </c>
      <c r="S1295" s="21">
        <v>10.416</v>
      </c>
      <c r="T1295" s="22">
        <f>IFERROR(__xludf.DUMMYFUNCTION("IFERROR(GOOGLEFINANCE(B1295,""price""),"""")"),12.37)</f>
        <v>12.37</v>
      </c>
    </row>
    <row r="1296">
      <c r="A1296" s="7">
        <v>46090.667681124</v>
      </c>
      <c r="B1296" s="8" t="s">
        <v>1077</v>
      </c>
      <c r="C1296" s="8" t="s">
        <v>1078</v>
      </c>
      <c r="D1296" s="9">
        <v>46096.0</v>
      </c>
      <c r="E1296" s="10">
        <v>9.6</v>
      </c>
      <c r="F1296" s="26">
        <v>1.417</v>
      </c>
      <c r="G1296" s="12">
        <v>1.1518789E7</v>
      </c>
      <c r="H1296" s="8" t="s">
        <v>335</v>
      </c>
      <c r="I1296" s="11">
        <v>0.3135</v>
      </c>
      <c r="J1296" s="12">
        <v>1.344341851E9</v>
      </c>
      <c r="K1296" s="13"/>
      <c r="L1296" s="13">
        <v>-0.041</v>
      </c>
      <c r="M1296" s="8" t="s">
        <v>1079</v>
      </c>
      <c r="N1296" s="8" t="s">
        <v>5506</v>
      </c>
      <c r="O1296" s="13">
        <v>-10.5913</v>
      </c>
      <c r="P1296" s="13">
        <v>-18.9471</v>
      </c>
      <c r="Q1296" s="13">
        <v>240.123</v>
      </c>
      <c r="R1296" s="13">
        <v>0.0037</v>
      </c>
      <c r="S1296" s="13">
        <v>5.0784</v>
      </c>
      <c r="T1296" s="14">
        <f>IFERROR(__xludf.DUMMYFUNCTION("IFERROR(GOOGLEFINANCE(B1296,""price""),"""")"),8.36)</f>
        <v>8.36</v>
      </c>
    </row>
    <row r="1297">
      <c r="A1297" s="15">
        <v>46090.667681124</v>
      </c>
      <c r="B1297" s="16" t="s">
        <v>6099</v>
      </c>
      <c r="C1297" s="16" t="s">
        <v>6100</v>
      </c>
      <c r="D1297" s="17">
        <v>46096.0</v>
      </c>
      <c r="E1297" s="18">
        <v>3.09</v>
      </c>
      <c r="F1297" s="27">
        <v>1.4102</v>
      </c>
      <c r="G1297" s="20">
        <v>2.7210524E7</v>
      </c>
      <c r="H1297" s="16" t="s">
        <v>245</v>
      </c>
      <c r="I1297" s="19">
        <v>-1.5924</v>
      </c>
      <c r="J1297" s="20">
        <v>4.59721631E8</v>
      </c>
      <c r="K1297" s="21"/>
      <c r="L1297" s="21">
        <v>-0.988</v>
      </c>
      <c r="M1297" s="16" t="s">
        <v>6101</v>
      </c>
      <c r="N1297" s="16" t="s">
        <v>5410</v>
      </c>
      <c r="O1297" s="21"/>
      <c r="P1297" s="21">
        <v>-10.1375</v>
      </c>
      <c r="Q1297" s="21">
        <v>-6.917</v>
      </c>
      <c r="R1297" s="21"/>
      <c r="S1297" s="21">
        <v>1.0997</v>
      </c>
      <c r="T1297" s="22">
        <f>IFERROR(__xludf.DUMMYFUNCTION("IFERROR(GOOGLEFINANCE(B1297,""price""),"""")"),2.76)</f>
        <v>2.76</v>
      </c>
    </row>
    <row r="1298">
      <c r="A1298" s="7">
        <v>46090.667681124</v>
      </c>
      <c r="B1298" s="8" t="s">
        <v>5604</v>
      </c>
      <c r="C1298" s="8" t="s">
        <v>5605</v>
      </c>
      <c r="D1298" s="9">
        <v>46096.0</v>
      </c>
      <c r="E1298" s="10">
        <v>110.62</v>
      </c>
      <c r="F1298" s="26">
        <v>1.3687</v>
      </c>
      <c r="G1298" s="12">
        <v>1.3727787E7</v>
      </c>
      <c r="H1298" s="8" t="s">
        <v>308</v>
      </c>
      <c r="I1298" s="11">
        <v>15.7355</v>
      </c>
      <c r="J1298" s="12">
        <v>8.318493852E9</v>
      </c>
      <c r="K1298" s="13"/>
      <c r="L1298" s="13">
        <v>-0.6555</v>
      </c>
      <c r="M1298" s="8" t="s">
        <v>5606</v>
      </c>
      <c r="N1298" s="8" t="s">
        <v>5414</v>
      </c>
      <c r="O1298" s="13">
        <v>-7.9391</v>
      </c>
      <c r="P1298" s="13">
        <v>-11.9814</v>
      </c>
      <c r="Q1298" s="13">
        <v>82.7502</v>
      </c>
      <c r="R1298" s="13">
        <v>0.338</v>
      </c>
      <c r="S1298" s="13">
        <v>2.6264</v>
      </c>
      <c r="T1298" s="14">
        <f>IFERROR(__xludf.DUMMYFUNCTION("IFERROR(GOOGLEFINANCE(B1298,""price""),"""")"),150.6)</f>
        <v>150.6</v>
      </c>
    </row>
    <row r="1299">
      <c r="A1299" s="15">
        <v>46090.667681124</v>
      </c>
      <c r="B1299" s="16" t="s">
        <v>5434</v>
      </c>
      <c r="C1299" s="16" t="s">
        <v>5435</v>
      </c>
      <c r="D1299" s="17">
        <v>46096.0</v>
      </c>
      <c r="E1299" s="18">
        <v>9.72</v>
      </c>
      <c r="F1299" s="27">
        <v>1.292</v>
      </c>
      <c r="G1299" s="20">
        <v>9.0520837E7</v>
      </c>
      <c r="H1299" s="16" t="s">
        <v>308</v>
      </c>
      <c r="I1299" s="19">
        <v>-1.119</v>
      </c>
      <c r="J1299" s="20">
        <v>4.369756365E9</v>
      </c>
      <c r="K1299" s="21"/>
      <c r="L1299" s="21">
        <v>-0.4034</v>
      </c>
      <c r="M1299" s="16" t="s">
        <v>5436</v>
      </c>
      <c r="N1299" s="16" t="s">
        <v>5437</v>
      </c>
      <c r="O1299" s="21">
        <v>-17.0422</v>
      </c>
      <c r="P1299" s="21">
        <v>-176.0921</v>
      </c>
      <c r="Q1299" s="21">
        <v>208.4002</v>
      </c>
      <c r="R1299" s="21">
        <v>0.037</v>
      </c>
      <c r="S1299" s="21">
        <v>15.2957</v>
      </c>
      <c r="T1299" s="22">
        <f>IFERROR(__xludf.DUMMYFUNCTION("IFERROR(GOOGLEFINANCE(B1299,""price""),"""")"),9.13)</f>
        <v>9.13</v>
      </c>
    </row>
    <row r="1300">
      <c r="A1300" s="7">
        <v>46090.667681124</v>
      </c>
      <c r="B1300" s="8" t="s">
        <v>5744</v>
      </c>
      <c r="C1300" s="8" t="s">
        <v>5745</v>
      </c>
      <c r="D1300" s="9">
        <v>46096.0</v>
      </c>
      <c r="E1300" s="10">
        <v>22.16</v>
      </c>
      <c r="F1300" s="26">
        <v>1.2787</v>
      </c>
      <c r="G1300" s="12">
        <v>1.74139632E8</v>
      </c>
      <c r="H1300" s="8" t="s">
        <v>190</v>
      </c>
      <c r="I1300" s="11">
        <v>40.7878</v>
      </c>
      <c r="J1300" s="12">
        <v>5.051122958E9</v>
      </c>
      <c r="K1300" s="13">
        <v>42.444</v>
      </c>
      <c r="L1300" s="13">
        <v>0.5221</v>
      </c>
      <c r="M1300" s="8" t="s">
        <v>5746</v>
      </c>
      <c r="N1300" s="8" t="s">
        <v>5747</v>
      </c>
      <c r="O1300" s="13">
        <v>25.2279</v>
      </c>
      <c r="P1300" s="13">
        <v>5.1834</v>
      </c>
      <c r="Q1300" s="13">
        <v>58.9986</v>
      </c>
      <c r="R1300" s="13">
        <v>2.0716</v>
      </c>
      <c r="S1300" s="13">
        <v>1.8981</v>
      </c>
      <c r="T1300" s="14">
        <f>IFERROR(__xludf.DUMMYFUNCTION("IFERROR(GOOGLEFINANCE(B1300,""price""),"""")"),19.43)</f>
        <v>19.43</v>
      </c>
    </row>
    <row r="1301">
      <c r="A1301" s="15">
        <v>46090.667681124</v>
      </c>
      <c r="B1301" s="16" t="s">
        <v>5567</v>
      </c>
      <c r="C1301" s="16" t="s">
        <v>5568</v>
      </c>
      <c r="D1301" s="17">
        <v>46096.0</v>
      </c>
      <c r="E1301" s="18">
        <v>151.32</v>
      </c>
      <c r="F1301" s="27">
        <v>1.2601</v>
      </c>
      <c r="G1301" s="20">
        <v>1.2891551E7</v>
      </c>
      <c r="H1301" s="16" t="s">
        <v>308</v>
      </c>
      <c r="I1301" s="19">
        <v>11.9314</v>
      </c>
      <c r="J1301" s="20">
        <v>4.245255708E10</v>
      </c>
      <c r="K1301" s="21"/>
      <c r="L1301" s="21">
        <v>-0.3809</v>
      </c>
      <c r="M1301" s="16" t="s">
        <v>5569</v>
      </c>
      <c r="N1301" s="16" t="s">
        <v>5433</v>
      </c>
      <c r="O1301" s="21">
        <v>-13.2874</v>
      </c>
      <c r="P1301" s="21">
        <v>5.4633</v>
      </c>
      <c r="Q1301" s="21">
        <v>37.3263</v>
      </c>
      <c r="R1301" s="21">
        <v>3.8975</v>
      </c>
      <c r="S1301" s="21">
        <v>5.9285</v>
      </c>
      <c r="T1301" s="22">
        <f>IFERROR(__xludf.DUMMYFUNCTION("IFERROR(GOOGLEFINANCE(B1301,""price""),"""")"),166.7)</f>
        <v>166.7</v>
      </c>
    </row>
    <row r="1302">
      <c r="A1302" s="7">
        <v>46090.667681124</v>
      </c>
      <c r="B1302" s="8" t="s">
        <v>5499</v>
      </c>
      <c r="C1302" s="8" t="s">
        <v>5500</v>
      </c>
      <c r="D1302" s="9">
        <v>46096.0</v>
      </c>
      <c r="E1302" s="10">
        <v>5.41</v>
      </c>
      <c r="F1302" s="26">
        <v>1.25</v>
      </c>
      <c r="G1302" s="12">
        <v>2.7485891E7</v>
      </c>
      <c r="H1302" s="8" t="s">
        <v>117</v>
      </c>
      <c r="I1302" s="11">
        <v>5.4581</v>
      </c>
      <c r="J1302" s="12">
        <v>2.228712354E9</v>
      </c>
      <c r="K1302" s="13"/>
      <c r="L1302" s="13">
        <v>-1.1209</v>
      </c>
      <c r="M1302" s="8" t="s">
        <v>5501</v>
      </c>
      <c r="N1302" s="8" t="s">
        <v>5502</v>
      </c>
      <c r="O1302" s="13">
        <v>-55.4977</v>
      </c>
      <c r="P1302" s="13">
        <v>-151.1805</v>
      </c>
      <c r="Q1302" s="13">
        <v>60.5668</v>
      </c>
      <c r="R1302" s="13">
        <v>0.0708</v>
      </c>
      <c r="S1302" s="13">
        <v>3.1996</v>
      </c>
      <c r="T1302" s="14">
        <f>IFERROR(__xludf.DUMMYFUNCTION("IFERROR(GOOGLEFINANCE(B1302,""price""),"""")"),3.7)</f>
        <v>3.7</v>
      </c>
    </row>
    <row r="1303">
      <c r="A1303" s="15">
        <v>46090.667681124</v>
      </c>
      <c r="B1303" s="16" t="s">
        <v>6124</v>
      </c>
      <c r="C1303" s="16" t="s">
        <v>6125</v>
      </c>
      <c r="D1303" s="17">
        <v>46096.0</v>
      </c>
      <c r="E1303" s="18">
        <v>7.17</v>
      </c>
      <c r="F1303" s="27">
        <v>1.2266</v>
      </c>
      <c r="G1303" s="20">
        <v>4.2810178E7</v>
      </c>
      <c r="H1303" s="16" t="s">
        <v>117</v>
      </c>
      <c r="I1303" s="19">
        <v>61.1236</v>
      </c>
      <c r="J1303" s="20">
        <v>5.25802075E8</v>
      </c>
      <c r="K1303" s="21"/>
      <c r="L1303" s="21">
        <v>-1.7971</v>
      </c>
      <c r="M1303" s="16" t="s">
        <v>6126</v>
      </c>
      <c r="N1303" s="16" t="s">
        <v>5491</v>
      </c>
      <c r="O1303" s="21">
        <v>-196.7904</v>
      </c>
      <c r="P1303" s="21"/>
      <c r="Q1303" s="21"/>
      <c r="R1303" s="21">
        <v>0.0</v>
      </c>
      <c r="S1303" s="21">
        <v>2.8623</v>
      </c>
      <c r="T1303" s="22">
        <f>IFERROR(__xludf.DUMMYFUNCTION("IFERROR(GOOGLEFINANCE(B1303,""price""),"""")"),7.29)</f>
        <v>7.29</v>
      </c>
    </row>
    <row r="1304">
      <c r="A1304" s="7">
        <v>46090.667681124</v>
      </c>
      <c r="B1304" s="8" t="s">
        <v>5514</v>
      </c>
      <c r="C1304" s="8" t="s">
        <v>5515</v>
      </c>
      <c r="D1304" s="9">
        <v>46096.0</v>
      </c>
      <c r="E1304" s="10">
        <v>8.45</v>
      </c>
      <c r="F1304" s="26">
        <v>1.2012</v>
      </c>
      <c r="G1304" s="12">
        <v>2.5518257E7</v>
      </c>
      <c r="H1304" s="8" t="s">
        <v>117</v>
      </c>
      <c r="I1304" s="11">
        <v>-2.5375</v>
      </c>
      <c r="J1304" s="12">
        <v>8.687541831E9</v>
      </c>
      <c r="K1304" s="13"/>
      <c r="L1304" s="13">
        <v>-0.3898</v>
      </c>
      <c r="M1304" s="8" t="s">
        <v>5516</v>
      </c>
      <c r="N1304" s="8" t="s">
        <v>5491</v>
      </c>
      <c r="O1304" s="13"/>
      <c r="P1304" s="13">
        <v>-225.9966</v>
      </c>
      <c r="Q1304" s="13">
        <v>668.3147</v>
      </c>
      <c r="R1304" s="13"/>
      <c r="S1304" s="13">
        <v>5.0989</v>
      </c>
      <c r="T1304" s="14">
        <f>IFERROR(__xludf.DUMMYFUNCTION("IFERROR(GOOGLEFINANCE(B1304,""price""),"""")"),7.28)</f>
        <v>7.28</v>
      </c>
    </row>
    <row r="1305">
      <c r="A1305" s="15">
        <v>46090.667681124</v>
      </c>
      <c r="B1305" s="16" t="s">
        <v>6127</v>
      </c>
      <c r="C1305" s="16" t="s">
        <v>6128</v>
      </c>
      <c r="D1305" s="17">
        <v>46096.0</v>
      </c>
      <c r="E1305" s="18">
        <v>151.56</v>
      </c>
      <c r="F1305" s="27">
        <v>1.1981</v>
      </c>
      <c r="G1305" s="20">
        <v>3.0948268E7</v>
      </c>
      <c r="H1305" s="16" t="s">
        <v>88</v>
      </c>
      <c r="I1305" s="19">
        <v>-0.9153</v>
      </c>
      <c r="J1305" s="20">
        <v>4.35597260848E11</v>
      </c>
      <c r="K1305" s="21">
        <v>28.4834</v>
      </c>
      <c r="L1305" s="21">
        <v>5.321</v>
      </c>
      <c r="M1305" s="16" t="s">
        <v>6129</v>
      </c>
      <c r="N1305" s="16" t="s">
        <v>5429</v>
      </c>
      <c r="O1305" s="21">
        <v>70.5998</v>
      </c>
      <c r="P1305" s="21">
        <v>31.9436</v>
      </c>
      <c r="Q1305" s="21">
        <v>11.0753</v>
      </c>
      <c r="R1305" s="21">
        <v>4.3982</v>
      </c>
      <c r="S1305" s="21">
        <v>0.9093</v>
      </c>
      <c r="T1305" s="22">
        <f>IFERROR(__xludf.DUMMYFUNCTION("IFERROR(GOOGLEFINANCE(B1305,""price""),"""")"),138.09)</f>
        <v>138.09</v>
      </c>
    </row>
    <row r="1306">
      <c r="A1306" s="7">
        <v>46090.667681124</v>
      </c>
      <c r="B1306" s="8" t="s">
        <v>5122</v>
      </c>
      <c r="C1306" s="8" t="s">
        <v>5123</v>
      </c>
      <c r="D1306" s="9">
        <v>46096.0</v>
      </c>
      <c r="E1306" s="10">
        <v>17.72</v>
      </c>
      <c r="F1306" s="26">
        <v>1.1968</v>
      </c>
      <c r="G1306" s="12">
        <v>1.4963404E7</v>
      </c>
      <c r="H1306" s="8" t="s">
        <v>102</v>
      </c>
      <c r="I1306" s="11">
        <v>8.5119</v>
      </c>
      <c r="J1306" s="12">
        <v>2.312173651E9</v>
      </c>
      <c r="K1306" s="13"/>
      <c r="L1306" s="13">
        <v>-0.3472</v>
      </c>
      <c r="M1306" s="8" t="s">
        <v>5124</v>
      </c>
      <c r="N1306" s="8" t="s">
        <v>5536</v>
      </c>
      <c r="O1306" s="13">
        <v>-50.8105</v>
      </c>
      <c r="P1306" s="13">
        <v>-33.0389</v>
      </c>
      <c r="Q1306" s="13">
        <v>202.1103</v>
      </c>
      <c r="R1306" s="13">
        <v>0.3841</v>
      </c>
      <c r="S1306" s="13">
        <v>7.0758</v>
      </c>
      <c r="T1306" s="14">
        <f>IFERROR(__xludf.DUMMYFUNCTION("IFERROR(GOOGLEFINANCE(B1306,""price""),"""")"),17.22)</f>
        <v>17.22</v>
      </c>
    </row>
    <row r="1307">
      <c r="A1307" s="15">
        <v>46090.667681124</v>
      </c>
      <c r="B1307" s="16" t="s">
        <v>5558</v>
      </c>
      <c r="C1307" s="16" t="s">
        <v>5559</v>
      </c>
      <c r="D1307" s="17">
        <v>46096.0</v>
      </c>
      <c r="E1307" s="18">
        <v>6.17</v>
      </c>
      <c r="F1307" s="27">
        <v>1.1914</v>
      </c>
      <c r="G1307" s="20">
        <v>2.2535201E7</v>
      </c>
      <c r="H1307" s="16" t="s">
        <v>102</v>
      </c>
      <c r="I1307" s="19">
        <v>0.6525</v>
      </c>
      <c r="J1307" s="20">
        <v>2.094309455E9</v>
      </c>
      <c r="K1307" s="21"/>
      <c r="L1307" s="21">
        <v>-6.9942</v>
      </c>
      <c r="M1307" s="16" t="s">
        <v>5560</v>
      </c>
      <c r="N1307" s="16" t="s">
        <v>5536</v>
      </c>
      <c r="O1307" s="21"/>
      <c r="P1307" s="21">
        <v>-225.4661</v>
      </c>
      <c r="Q1307" s="21">
        <v>631.7891</v>
      </c>
      <c r="R1307" s="21"/>
      <c r="S1307" s="21">
        <v>4.9358</v>
      </c>
      <c r="T1307" s="22">
        <f>IFERROR(__xludf.DUMMYFUNCTION("IFERROR(GOOGLEFINANCE(B1307,""price""),"""")"),5.62)</f>
        <v>5.62</v>
      </c>
    </row>
    <row r="1308">
      <c r="A1308" s="7">
        <v>46090.667681124</v>
      </c>
      <c r="B1308" s="8" t="s">
        <v>2704</v>
      </c>
      <c r="C1308" s="8" t="s">
        <v>2705</v>
      </c>
      <c r="D1308" s="9">
        <v>46096.0</v>
      </c>
      <c r="E1308" s="10">
        <v>27.03</v>
      </c>
      <c r="F1308" s="26">
        <v>1.1647</v>
      </c>
      <c r="G1308" s="12">
        <v>1.8486114E7</v>
      </c>
      <c r="H1308" s="8" t="s">
        <v>88</v>
      </c>
      <c r="I1308" s="11">
        <v>7.5179</v>
      </c>
      <c r="J1308" s="12">
        <v>7.557204407E9</v>
      </c>
      <c r="K1308" s="13"/>
      <c r="L1308" s="13">
        <v>-0.5438</v>
      </c>
      <c r="M1308" s="8" t="s">
        <v>2707</v>
      </c>
      <c r="N1308" s="8" t="s">
        <v>5471</v>
      </c>
      <c r="O1308" s="13">
        <v>-11.4029</v>
      </c>
      <c r="P1308" s="13">
        <v>-26.4624</v>
      </c>
      <c r="Q1308" s="13">
        <v>33.135</v>
      </c>
      <c r="R1308" s="13">
        <v>1.6778</v>
      </c>
      <c r="S1308" s="13">
        <v>4.8227</v>
      </c>
      <c r="T1308" s="14">
        <f>IFERROR(__xludf.DUMMYFUNCTION("IFERROR(GOOGLEFINANCE(B1308,""price""),"""")"),26.24)</f>
        <v>26.24</v>
      </c>
    </row>
    <row r="1309">
      <c r="A1309" s="15">
        <v>46090.667681124</v>
      </c>
      <c r="B1309" s="16" t="s">
        <v>5544</v>
      </c>
      <c r="C1309" s="16" t="s">
        <v>6105</v>
      </c>
      <c r="D1309" s="17">
        <v>46096.0</v>
      </c>
      <c r="E1309" s="18">
        <v>14.31</v>
      </c>
      <c r="F1309" s="27">
        <v>1.1628</v>
      </c>
      <c r="G1309" s="20">
        <v>2.3909647E7</v>
      </c>
      <c r="H1309" s="16" t="s">
        <v>88</v>
      </c>
      <c r="I1309" s="19">
        <v>5.0661</v>
      </c>
      <c r="J1309" s="20">
        <v>5.797258784E9</v>
      </c>
      <c r="K1309" s="21"/>
      <c r="L1309" s="21">
        <v>-2.0516</v>
      </c>
      <c r="M1309" s="16" t="s">
        <v>5546</v>
      </c>
      <c r="N1309" s="16" t="s">
        <v>5471</v>
      </c>
      <c r="O1309" s="21">
        <v>-110.5547</v>
      </c>
      <c r="P1309" s="21">
        <v>-76.6975</v>
      </c>
      <c r="Q1309" s="21">
        <v>48.0413</v>
      </c>
      <c r="R1309" s="21">
        <v>3.435</v>
      </c>
      <c r="S1309" s="21">
        <v>3.7948</v>
      </c>
      <c r="T1309" s="22">
        <f>IFERROR(__xludf.DUMMYFUNCTION("IFERROR(GOOGLEFINANCE(B1309,""price""),"""")"),16.53)</f>
        <v>16.53</v>
      </c>
    </row>
    <row r="1310">
      <c r="A1310" s="7">
        <v>46090.667681124</v>
      </c>
      <c r="B1310" s="8" t="s">
        <v>5773</v>
      </c>
      <c r="C1310" s="8" t="s">
        <v>5774</v>
      </c>
      <c r="D1310" s="9">
        <v>46096.0</v>
      </c>
      <c r="E1310" s="10">
        <v>2.56</v>
      </c>
      <c r="F1310" s="26">
        <v>1.1563</v>
      </c>
      <c r="G1310" s="12">
        <v>3.1750881E7</v>
      </c>
      <c r="H1310" s="8" t="s">
        <v>245</v>
      </c>
      <c r="I1310" s="11">
        <v>-0.3891</v>
      </c>
      <c r="J1310" s="12">
        <v>1.231423639E9</v>
      </c>
      <c r="K1310" s="13"/>
      <c r="L1310" s="13">
        <v>-1.4644</v>
      </c>
      <c r="M1310" s="8" t="s">
        <v>5775</v>
      </c>
      <c r="N1310" s="8" t="s">
        <v>5776</v>
      </c>
      <c r="O1310" s="13">
        <v>-80.9463</v>
      </c>
      <c r="P1310" s="13">
        <v>-20.4446</v>
      </c>
      <c r="Q1310" s="13">
        <v>-22.6468</v>
      </c>
      <c r="R1310" s="13">
        <v>5.7984</v>
      </c>
      <c r="S1310" s="13">
        <v>0.7476</v>
      </c>
      <c r="T1310" s="14">
        <f>IFERROR(__xludf.DUMMYFUNCTION("IFERROR(GOOGLEFINANCE(B1310,""price""),"""")"),2.57)</f>
        <v>2.57</v>
      </c>
    </row>
    <row r="1311">
      <c r="A1311" s="15">
        <v>46090.667681124</v>
      </c>
      <c r="B1311" s="16" t="s">
        <v>2714</v>
      </c>
      <c r="C1311" s="16" t="s">
        <v>2715</v>
      </c>
      <c r="D1311" s="17">
        <v>46096.0</v>
      </c>
      <c r="E1311" s="18">
        <v>13.56</v>
      </c>
      <c r="F1311" s="27">
        <v>1.1357</v>
      </c>
      <c r="G1311" s="20">
        <v>1.5413876E7</v>
      </c>
      <c r="H1311" s="16" t="s">
        <v>335</v>
      </c>
      <c r="I1311" s="19">
        <v>4.8724</v>
      </c>
      <c r="J1311" s="20">
        <v>6.554597846E9</v>
      </c>
      <c r="K1311" s="21"/>
      <c r="L1311" s="21">
        <v>-0.1778</v>
      </c>
      <c r="M1311" s="16" t="s">
        <v>2717</v>
      </c>
      <c r="N1311" s="16" t="s">
        <v>5506</v>
      </c>
      <c r="O1311" s="21">
        <v>-7.2866</v>
      </c>
      <c r="P1311" s="21">
        <v>-180.4947</v>
      </c>
      <c r="Q1311" s="21">
        <v>189.1937</v>
      </c>
      <c r="R1311" s="21">
        <v>0.0</v>
      </c>
      <c r="S1311" s="21">
        <v>27.716</v>
      </c>
      <c r="T1311" s="22">
        <f>IFERROR(__xludf.DUMMYFUNCTION("IFERROR(GOOGLEFINANCE(B1311,""price""),"""")"),13.53)</f>
        <v>13.53</v>
      </c>
    </row>
    <row r="1312">
      <c r="A1312" s="7">
        <v>46090.667681124</v>
      </c>
      <c r="B1312" s="8" t="s">
        <v>5561</v>
      </c>
      <c r="C1312" s="8" t="s">
        <v>5562</v>
      </c>
      <c r="D1312" s="9">
        <v>46096.0</v>
      </c>
      <c r="E1312" s="10">
        <v>12.16</v>
      </c>
      <c r="F1312" s="26">
        <v>1.1304</v>
      </c>
      <c r="G1312" s="12">
        <v>1.9402639E7</v>
      </c>
      <c r="H1312" s="8" t="s">
        <v>102</v>
      </c>
      <c r="I1312" s="11">
        <v>4.1988</v>
      </c>
      <c r="J1312" s="12">
        <v>4.110278653E9</v>
      </c>
      <c r="K1312" s="13"/>
      <c r="L1312" s="13">
        <v>-2.2522</v>
      </c>
      <c r="M1312" s="8" t="s">
        <v>5563</v>
      </c>
      <c r="N1312" s="8" t="s">
        <v>5536</v>
      </c>
      <c r="O1312" s="13">
        <v>-39.8083</v>
      </c>
      <c r="P1312" s="13">
        <v>-2190.5747</v>
      </c>
      <c r="Q1312" s="13">
        <v>-15.025</v>
      </c>
      <c r="R1312" s="13">
        <v>0.0</v>
      </c>
      <c r="S1312" s="13">
        <v>4.2984</v>
      </c>
      <c r="T1312" s="14">
        <f>IFERROR(__xludf.DUMMYFUNCTION("IFERROR(GOOGLEFINANCE(B1312,""price""),"""")"),9.21)</f>
        <v>9.21</v>
      </c>
    </row>
    <row r="1313">
      <c r="A1313" s="15">
        <v>46090.667681124</v>
      </c>
      <c r="B1313" s="16" t="s">
        <v>5594</v>
      </c>
      <c r="C1313" s="16" t="s">
        <v>5595</v>
      </c>
      <c r="D1313" s="17">
        <v>46096.0</v>
      </c>
      <c r="E1313" s="18">
        <v>13.85</v>
      </c>
      <c r="F1313" s="27">
        <v>1.1048</v>
      </c>
      <c r="G1313" s="20">
        <v>2.770581E7</v>
      </c>
      <c r="H1313" s="16" t="s">
        <v>88</v>
      </c>
      <c r="I1313" s="19">
        <v>0.7273</v>
      </c>
      <c r="J1313" s="20">
        <v>5.873343396E9</v>
      </c>
      <c r="K1313" s="21"/>
      <c r="L1313" s="21">
        <v>-1.661</v>
      </c>
      <c r="M1313" s="16" t="s">
        <v>5596</v>
      </c>
      <c r="N1313" s="16" t="s">
        <v>5471</v>
      </c>
      <c r="O1313" s="21">
        <v>-343.6909</v>
      </c>
      <c r="P1313" s="21">
        <v>-100.2101</v>
      </c>
      <c r="Q1313" s="21">
        <v>20.2812</v>
      </c>
      <c r="R1313" s="21">
        <v>36.9947</v>
      </c>
      <c r="S1313" s="21">
        <v>2.0038</v>
      </c>
      <c r="T1313" s="22">
        <f>IFERROR(__xludf.DUMMYFUNCTION("IFERROR(GOOGLEFINANCE(B1313,""price""),"""")"),18.88)</f>
        <v>18.88</v>
      </c>
    </row>
    <row r="1314">
      <c r="A1314" s="7">
        <v>46090.667681124</v>
      </c>
      <c r="B1314" s="8" t="s">
        <v>5517</v>
      </c>
      <c r="C1314" s="8" t="s">
        <v>5518</v>
      </c>
      <c r="D1314" s="9">
        <v>46096.0</v>
      </c>
      <c r="E1314" s="10">
        <v>9.65</v>
      </c>
      <c r="F1314" s="26">
        <v>1.0645</v>
      </c>
      <c r="G1314" s="12">
        <v>2.0635199E7</v>
      </c>
      <c r="H1314" s="8" t="s">
        <v>308</v>
      </c>
      <c r="I1314" s="11">
        <v>12.8655</v>
      </c>
      <c r="J1314" s="12">
        <v>1.852566507E9</v>
      </c>
      <c r="K1314" s="13"/>
      <c r="L1314" s="13">
        <v>-2.3761</v>
      </c>
      <c r="M1314" s="8" t="s">
        <v>5519</v>
      </c>
      <c r="N1314" s="8" t="s">
        <v>5520</v>
      </c>
      <c r="O1314" s="13">
        <v>-52.0031</v>
      </c>
      <c r="P1314" s="13">
        <v>-43.4124</v>
      </c>
      <c r="Q1314" s="13">
        <v>10.2861</v>
      </c>
      <c r="R1314" s="13">
        <v>0.1895</v>
      </c>
      <c r="S1314" s="13">
        <v>1.6246</v>
      </c>
      <c r="T1314" s="14">
        <f>IFERROR(__xludf.DUMMYFUNCTION("IFERROR(GOOGLEFINANCE(B1314,""price""),"""")"),9.29)</f>
        <v>9.29</v>
      </c>
    </row>
    <row r="1315">
      <c r="A1315" s="15">
        <v>46090.667681124</v>
      </c>
      <c r="B1315" s="16" t="s">
        <v>5484</v>
      </c>
      <c r="C1315" s="16" t="s">
        <v>5485</v>
      </c>
      <c r="D1315" s="17">
        <v>46096.0</v>
      </c>
      <c r="E1315" s="18">
        <v>38.84</v>
      </c>
      <c r="F1315" s="27">
        <v>1.0552</v>
      </c>
      <c r="G1315" s="20">
        <v>3.1589117E7</v>
      </c>
      <c r="H1315" s="16" t="s">
        <v>88</v>
      </c>
      <c r="I1315" s="19">
        <v>5.8311</v>
      </c>
      <c r="J1315" s="20">
        <v>1.2885527122E10</v>
      </c>
      <c r="K1315" s="21">
        <v>44.5005</v>
      </c>
      <c r="L1315" s="21">
        <v>0.8728</v>
      </c>
      <c r="M1315" s="16" t="s">
        <v>5486</v>
      </c>
      <c r="N1315" s="16" t="s">
        <v>5471</v>
      </c>
      <c r="O1315" s="21">
        <v>22.5116</v>
      </c>
      <c r="P1315" s="21">
        <v>-13.85</v>
      </c>
      <c r="Q1315" s="21">
        <v>123.3192</v>
      </c>
      <c r="R1315" s="21">
        <v>1.5302</v>
      </c>
      <c r="S1315" s="21">
        <v>4.9601</v>
      </c>
      <c r="T1315" s="22">
        <f>IFERROR(__xludf.DUMMYFUNCTION("IFERROR(GOOGLEFINANCE(B1315,""price""),"""")"),39.32)</f>
        <v>39.32</v>
      </c>
    </row>
    <row r="1316">
      <c r="A1316" s="7">
        <v>46090.667681124</v>
      </c>
      <c r="B1316" s="8" t="s">
        <v>5458</v>
      </c>
      <c r="C1316" s="8" t="s">
        <v>5459</v>
      </c>
      <c r="D1316" s="9">
        <v>46096.0</v>
      </c>
      <c r="E1316" s="10">
        <v>4.2</v>
      </c>
      <c r="F1316" s="26">
        <v>1.0469</v>
      </c>
      <c r="G1316" s="12">
        <v>3.6874838E7</v>
      </c>
      <c r="H1316" s="8" t="s">
        <v>88</v>
      </c>
      <c r="I1316" s="11">
        <v>-1.1765</v>
      </c>
      <c r="J1316" s="12">
        <v>1.999437507E9</v>
      </c>
      <c r="K1316" s="13"/>
      <c r="L1316" s="13">
        <v>-1.003</v>
      </c>
      <c r="M1316" s="8" t="s">
        <v>5460</v>
      </c>
      <c r="N1316" s="8" t="s">
        <v>5429</v>
      </c>
      <c r="O1316" s="13">
        <v>-96.6574</v>
      </c>
      <c r="P1316" s="13">
        <v>-65.3283</v>
      </c>
      <c r="Q1316" s="13">
        <v>-19.3155</v>
      </c>
      <c r="R1316" s="13">
        <v>0.1876</v>
      </c>
      <c r="S1316" s="13">
        <v>1.7817</v>
      </c>
      <c r="T1316" s="14">
        <f>IFERROR(__xludf.DUMMYFUNCTION("IFERROR(GOOGLEFINANCE(B1316,""price""),"""")"),3.32)</f>
        <v>3.32</v>
      </c>
    </row>
    <row r="1317">
      <c r="A1317" s="15">
        <v>46090.667681124</v>
      </c>
      <c r="B1317" s="16" t="s">
        <v>6130</v>
      </c>
      <c r="C1317" s="16" t="s">
        <v>6131</v>
      </c>
      <c r="D1317" s="17">
        <v>46096.0</v>
      </c>
      <c r="E1317" s="18">
        <v>21.81</v>
      </c>
      <c r="F1317" s="27">
        <v>1.032</v>
      </c>
      <c r="G1317" s="20">
        <v>3.3151419E7</v>
      </c>
      <c r="H1317" s="16" t="s">
        <v>308</v>
      </c>
      <c r="I1317" s="19">
        <v>3.2182</v>
      </c>
      <c r="J1317" s="20">
        <v>2.8981311616E10</v>
      </c>
      <c r="K1317" s="21"/>
      <c r="L1317" s="21">
        <v>-0.0762</v>
      </c>
      <c r="M1317" s="16" t="s">
        <v>6132</v>
      </c>
      <c r="N1317" s="16" t="s">
        <v>5674</v>
      </c>
      <c r="O1317" s="21">
        <v>0.2303</v>
      </c>
      <c r="P1317" s="21">
        <v>4.8851</v>
      </c>
      <c r="Q1317" s="21">
        <v>14.1712</v>
      </c>
      <c r="R1317" s="21">
        <v>0.9753</v>
      </c>
      <c r="S1317" s="21">
        <v>1.0098</v>
      </c>
      <c r="T1317" s="22">
        <f>IFERROR(__xludf.DUMMYFUNCTION("IFERROR(GOOGLEFINANCE(B1317,""price""),"""")"),24.89)</f>
        <v>24.89</v>
      </c>
    </row>
    <row r="1318">
      <c r="A1318" s="7">
        <v>46090.667681124</v>
      </c>
      <c r="B1318" s="8" t="s">
        <v>5591</v>
      </c>
      <c r="C1318" s="8" t="s">
        <v>5592</v>
      </c>
      <c r="D1318" s="9">
        <v>46096.0</v>
      </c>
      <c r="E1318" s="10">
        <v>8.38</v>
      </c>
      <c r="F1318" s="26">
        <v>1.0264</v>
      </c>
      <c r="G1318" s="12">
        <v>1.5044367E7</v>
      </c>
      <c r="H1318" s="8" t="s">
        <v>308</v>
      </c>
      <c r="I1318" s="11">
        <v>2.1951</v>
      </c>
      <c r="J1318" s="12">
        <v>1.934043371E9</v>
      </c>
      <c r="K1318" s="13"/>
      <c r="L1318" s="13">
        <v>-0.5698</v>
      </c>
      <c r="M1318" s="8" t="s">
        <v>5593</v>
      </c>
      <c r="N1318" s="8" t="s">
        <v>5414</v>
      </c>
      <c r="O1318" s="13">
        <v>-29.5457</v>
      </c>
      <c r="P1318" s="13">
        <v>-195.3894</v>
      </c>
      <c r="Q1318" s="13">
        <v>-44.8801</v>
      </c>
      <c r="R1318" s="13">
        <v>0.0146</v>
      </c>
      <c r="S1318" s="13">
        <v>4.9867</v>
      </c>
      <c r="T1318" s="14">
        <f>IFERROR(__xludf.DUMMYFUNCTION("IFERROR(GOOGLEFINANCE(B1318,""price""),"""")"),9.54)</f>
        <v>9.54</v>
      </c>
    </row>
    <row r="1319">
      <c r="A1319" s="15">
        <v>46090.667681124</v>
      </c>
      <c r="B1319" s="16" t="s">
        <v>5481</v>
      </c>
      <c r="C1319" s="16" t="s">
        <v>5482</v>
      </c>
      <c r="D1319" s="17">
        <v>46096.0</v>
      </c>
      <c r="E1319" s="18">
        <v>9.61</v>
      </c>
      <c r="F1319" s="27">
        <v>0.998</v>
      </c>
      <c r="G1319" s="20">
        <v>1.6217455E7</v>
      </c>
      <c r="H1319" s="16" t="s">
        <v>88</v>
      </c>
      <c r="I1319" s="19">
        <v>4.3431</v>
      </c>
      <c r="J1319" s="20">
        <v>2.457785371E9</v>
      </c>
      <c r="K1319" s="21"/>
      <c r="L1319" s="21">
        <v>-1.071</v>
      </c>
      <c r="M1319" s="16" t="s">
        <v>5483</v>
      </c>
      <c r="N1319" s="16" t="s">
        <v>5471</v>
      </c>
      <c r="O1319" s="21">
        <v>-15.3378</v>
      </c>
      <c r="P1319" s="21">
        <v>-20.8099</v>
      </c>
      <c r="Q1319" s="21">
        <v>67.959</v>
      </c>
      <c r="R1319" s="21">
        <v>1.2945</v>
      </c>
      <c r="S1319" s="21">
        <v>10.5425</v>
      </c>
      <c r="T1319" s="22">
        <f>IFERROR(__xludf.DUMMYFUNCTION("IFERROR(GOOGLEFINANCE(B1319,""price""),"""")"),10.02)</f>
        <v>10.02</v>
      </c>
    </row>
    <row r="1320">
      <c r="A1320" s="7">
        <v>46090.667681124</v>
      </c>
      <c r="B1320" s="8" t="s">
        <v>5649</v>
      </c>
      <c r="C1320" s="8" t="s">
        <v>5650</v>
      </c>
      <c r="D1320" s="9">
        <v>46096.0</v>
      </c>
      <c r="E1320" s="10">
        <v>25.82</v>
      </c>
      <c r="F1320" s="26">
        <v>0.9907</v>
      </c>
      <c r="G1320" s="12">
        <v>1.0838619E7</v>
      </c>
      <c r="H1320" s="8" t="s">
        <v>88</v>
      </c>
      <c r="I1320" s="11">
        <v>2.1361</v>
      </c>
      <c r="J1320" s="12">
        <v>8.746623558E9</v>
      </c>
      <c r="K1320" s="13"/>
      <c r="L1320" s="13">
        <v>-0.4263</v>
      </c>
      <c r="M1320" s="8" t="s">
        <v>5651</v>
      </c>
      <c r="N1320" s="8" t="s">
        <v>5429</v>
      </c>
      <c r="O1320" s="13">
        <v>-31.8263</v>
      </c>
      <c r="P1320" s="13">
        <v>-26.3989</v>
      </c>
      <c r="Q1320" s="13">
        <v>16.8876</v>
      </c>
      <c r="R1320" s="13">
        <v>1.3198</v>
      </c>
      <c r="S1320" s="13">
        <v>3.9903</v>
      </c>
      <c r="T1320" s="14">
        <f>IFERROR(__xludf.DUMMYFUNCTION("IFERROR(GOOGLEFINANCE(B1320,""price""),"""")"),34.67)</f>
        <v>34.67</v>
      </c>
    </row>
    <row r="1321">
      <c r="A1321" s="15">
        <v>46090.667681124</v>
      </c>
      <c r="B1321" s="16" t="s">
        <v>5465</v>
      </c>
      <c r="C1321" s="16" t="s">
        <v>5466</v>
      </c>
      <c r="D1321" s="17">
        <v>46096.0</v>
      </c>
      <c r="E1321" s="18">
        <v>74.41</v>
      </c>
      <c r="F1321" s="27">
        <v>0.9894</v>
      </c>
      <c r="G1321" s="20">
        <v>2.1248049E7</v>
      </c>
      <c r="H1321" s="16" t="s">
        <v>88</v>
      </c>
      <c r="I1321" s="19">
        <v>1.9455</v>
      </c>
      <c r="J1321" s="20">
        <v>3.9116454743E10</v>
      </c>
      <c r="K1321" s="21"/>
      <c r="L1321" s="21">
        <v>-2.5447</v>
      </c>
      <c r="M1321" s="16" t="s">
        <v>5467</v>
      </c>
      <c r="N1321" s="16" t="s">
        <v>5429</v>
      </c>
      <c r="O1321" s="21">
        <v>-50.2755</v>
      </c>
      <c r="P1321" s="21">
        <v>-0.885</v>
      </c>
      <c r="Q1321" s="21">
        <v>167.8828</v>
      </c>
      <c r="R1321" s="21">
        <v>8.9421</v>
      </c>
      <c r="S1321" s="21">
        <v>0.4555</v>
      </c>
      <c r="T1321" s="22">
        <f>IFERROR(__xludf.DUMMYFUNCTION("IFERROR(GOOGLEFINANCE(B1321,""price""),"""")"),102.0)</f>
        <v>102</v>
      </c>
    </row>
    <row r="1322">
      <c r="A1322" s="7">
        <v>46091.66921430331</v>
      </c>
      <c r="B1322" s="8" t="s">
        <v>5898</v>
      </c>
      <c r="C1322" s="8" t="s">
        <v>5899</v>
      </c>
      <c r="D1322" s="9">
        <v>46096.0</v>
      </c>
      <c r="E1322" s="10">
        <v>11.59</v>
      </c>
      <c r="F1322" s="26">
        <v>1.9121</v>
      </c>
      <c r="G1322" s="12">
        <v>4.9927255E7</v>
      </c>
      <c r="H1322" s="8" t="s">
        <v>88</v>
      </c>
      <c r="I1322" s="11">
        <v>-3.1746</v>
      </c>
      <c r="J1322" s="12">
        <v>6.197749104E9</v>
      </c>
      <c r="K1322" s="13">
        <v>27.3349</v>
      </c>
      <c r="L1322" s="13">
        <v>0.424</v>
      </c>
      <c r="M1322" s="8" t="s">
        <v>5900</v>
      </c>
      <c r="N1322" s="8" t="s">
        <v>5429</v>
      </c>
      <c r="O1322" s="13">
        <v>12.562</v>
      </c>
      <c r="P1322" s="13">
        <v>1.5172</v>
      </c>
      <c r="Q1322" s="13">
        <v>10.0505</v>
      </c>
      <c r="R1322" s="13">
        <v>0.0426</v>
      </c>
      <c r="S1322" s="13">
        <v>2.5445</v>
      </c>
      <c r="T1322" s="14">
        <f>IFERROR(__xludf.DUMMYFUNCTION("IFERROR(GOOGLEFINANCE(B1322,""price""),"""")"),9.38)</f>
        <v>9.38</v>
      </c>
    </row>
    <row r="1323">
      <c r="A1323" s="15">
        <v>46091.66921430331</v>
      </c>
      <c r="B1323" s="16" t="s">
        <v>5640</v>
      </c>
      <c r="C1323" s="16" t="s">
        <v>5641</v>
      </c>
      <c r="D1323" s="17">
        <v>46096.0</v>
      </c>
      <c r="E1323" s="18">
        <v>44.3</v>
      </c>
      <c r="F1323" s="27">
        <v>1.751</v>
      </c>
      <c r="G1323" s="20">
        <v>1.4438397E7</v>
      </c>
      <c r="H1323" s="16" t="s">
        <v>308</v>
      </c>
      <c r="I1323" s="19">
        <v>14.8859</v>
      </c>
      <c r="J1323" s="20">
        <v>2.448645308E9</v>
      </c>
      <c r="K1323" s="21"/>
      <c r="L1323" s="21">
        <v>-0.4882</v>
      </c>
      <c r="M1323" s="16" t="s">
        <v>5642</v>
      </c>
      <c r="N1323" s="16" t="s">
        <v>5433</v>
      </c>
      <c r="O1323" s="21">
        <v>-9.1233</v>
      </c>
      <c r="P1323" s="21">
        <v>-24.8806</v>
      </c>
      <c r="Q1323" s="21">
        <v>-11.106</v>
      </c>
      <c r="R1323" s="21">
        <v>0.2351</v>
      </c>
      <c r="S1323" s="21">
        <v>2.7231</v>
      </c>
      <c r="T1323" s="22">
        <f>IFERROR(__xludf.DUMMYFUNCTION("IFERROR(GOOGLEFINANCE(B1323,""price""),"""")"),64.18)</f>
        <v>64.18</v>
      </c>
    </row>
    <row r="1324">
      <c r="A1324" s="7">
        <v>46091.66921430331</v>
      </c>
      <c r="B1324" s="8" t="s">
        <v>6022</v>
      </c>
      <c r="C1324" s="8" t="s">
        <v>6023</v>
      </c>
      <c r="D1324" s="9">
        <v>46096.0</v>
      </c>
      <c r="E1324" s="10">
        <v>1.95</v>
      </c>
      <c r="F1324" s="26">
        <v>1.6563</v>
      </c>
      <c r="G1324" s="12">
        <v>2.7533174E7</v>
      </c>
      <c r="H1324" s="8" t="s">
        <v>88</v>
      </c>
      <c r="I1324" s="11">
        <v>-2.5</v>
      </c>
      <c r="J1324" s="12">
        <v>4.81483106E8</v>
      </c>
      <c r="K1324" s="13"/>
      <c r="L1324" s="13">
        <v>-0.9503</v>
      </c>
      <c r="M1324" s="8" t="s">
        <v>6024</v>
      </c>
      <c r="N1324" s="8" t="s">
        <v>5471</v>
      </c>
      <c r="O1324" s="13"/>
      <c r="P1324" s="13">
        <v>-2.5468</v>
      </c>
      <c r="Q1324" s="13">
        <v>-1.8779</v>
      </c>
      <c r="R1324" s="13"/>
      <c r="S1324" s="13">
        <v>0.6754</v>
      </c>
      <c r="T1324" s="14">
        <f>IFERROR(__xludf.DUMMYFUNCTION("IFERROR(GOOGLEFINANCE(B1324,""price""),"""")"),1.32)</f>
        <v>1.32</v>
      </c>
    </row>
    <row r="1325">
      <c r="A1325" s="15">
        <v>46091.66921430331</v>
      </c>
      <c r="B1325" s="16" t="s">
        <v>5503</v>
      </c>
      <c r="C1325" s="16" t="s">
        <v>5504</v>
      </c>
      <c r="D1325" s="17">
        <v>46096.0</v>
      </c>
      <c r="E1325" s="18">
        <v>10.09</v>
      </c>
      <c r="F1325" s="27">
        <v>1.3867</v>
      </c>
      <c r="G1325" s="20">
        <v>1.3864073E7</v>
      </c>
      <c r="H1325" s="16" t="s">
        <v>335</v>
      </c>
      <c r="I1325" s="19">
        <v>12.8635</v>
      </c>
      <c r="J1325" s="20">
        <v>1.231734737E9</v>
      </c>
      <c r="K1325" s="21"/>
      <c r="L1325" s="21">
        <v>-0.5583</v>
      </c>
      <c r="M1325" s="16" t="s">
        <v>5505</v>
      </c>
      <c r="N1325" s="16" t="s">
        <v>5445</v>
      </c>
      <c r="O1325" s="21">
        <v>-128.3047</v>
      </c>
      <c r="P1325" s="21"/>
      <c r="Q1325" s="21"/>
      <c r="R1325" s="21">
        <v>0.064</v>
      </c>
      <c r="S1325" s="21">
        <v>0.1282</v>
      </c>
      <c r="T1325" s="22">
        <f>IFERROR(__xludf.DUMMYFUNCTION("IFERROR(GOOGLEFINANCE(B1325,""price""),"""")"),8.87)</f>
        <v>8.87</v>
      </c>
    </row>
    <row r="1326">
      <c r="A1326" s="7">
        <v>46091.66921430331</v>
      </c>
      <c r="B1326" s="8" t="s">
        <v>5604</v>
      </c>
      <c r="C1326" s="8" t="s">
        <v>5605</v>
      </c>
      <c r="D1326" s="9">
        <v>46096.0</v>
      </c>
      <c r="E1326" s="10">
        <v>120.49</v>
      </c>
      <c r="F1326" s="26">
        <v>1.3247</v>
      </c>
      <c r="G1326" s="12">
        <v>1.3510538E7</v>
      </c>
      <c r="H1326" s="8" t="s">
        <v>308</v>
      </c>
      <c r="I1326" s="11">
        <v>8.9224</v>
      </c>
      <c r="J1326" s="12">
        <v>9.060706291E9</v>
      </c>
      <c r="K1326" s="13"/>
      <c r="L1326" s="13">
        <v>-0.6555</v>
      </c>
      <c r="M1326" s="8" t="s">
        <v>5606</v>
      </c>
      <c r="N1326" s="8" t="s">
        <v>5414</v>
      </c>
      <c r="O1326" s="13">
        <v>-7.9391</v>
      </c>
      <c r="P1326" s="13">
        <v>-11.9814</v>
      </c>
      <c r="Q1326" s="13">
        <v>82.7502</v>
      </c>
      <c r="R1326" s="13">
        <v>0.338</v>
      </c>
      <c r="S1326" s="13">
        <v>2.6264</v>
      </c>
      <c r="T1326" s="14">
        <f>IFERROR(__xludf.DUMMYFUNCTION("IFERROR(GOOGLEFINANCE(B1326,""price""),"""")"),150.6)</f>
        <v>150.6</v>
      </c>
    </row>
    <row r="1327">
      <c r="A1327" s="15">
        <v>46091.66921430331</v>
      </c>
      <c r="B1327" s="16" t="s">
        <v>6004</v>
      </c>
      <c r="C1327" s="16" t="s">
        <v>6005</v>
      </c>
      <c r="D1327" s="17">
        <v>46096.0</v>
      </c>
      <c r="E1327" s="18">
        <v>39.59</v>
      </c>
      <c r="F1327" s="27">
        <v>1.3127</v>
      </c>
      <c r="G1327" s="20">
        <v>3.0775373E7</v>
      </c>
      <c r="H1327" s="16" t="s">
        <v>93</v>
      </c>
      <c r="I1327" s="19">
        <v>21.2929</v>
      </c>
      <c r="J1327" s="20">
        <v>8.536666522E9</v>
      </c>
      <c r="K1327" s="21"/>
      <c r="L1327" s="21"/>
      <c r="M1327" s="16" t="s">
        <v>6006</v>
      </c>
      <c r="N1327" s="16" t="s">
        <v>5590</v>
      </c>
      <c r="O1327" s="21"/>
      <c r="P1327" s="21"/>
      <c r="Q1327" s="21"/>
      <c r="R1327" s="21"/>
      <c r="S1327" s="21"/>
      <c r="T1327" s="22">
        <f>IFERROR(__xludf.DUMMYFUNCTION("IFERROR(GOOGLEFINANCE(B1327,""price""),"""")"),34.08)</f>
        <v>34.08</v>
      </c>
    </row>
    <row r="1328">
      <c r="A1328" s="7">
        <v>46091.66921430331</v>
      </c>
      <c r="B1328" s="8" t="s">
        <v>5527</v>
      </c>
      <c r="C1328" s="8" t="s">
        <v>5528</v>
      </c>
      <c r="D1328" s="9">
        <v>46096.0</v>
      </c>
      <c r="E1328" s="10">
        <v>14.67</v>
      </c>
      <c r="F1328" s="26">
        <v>1.2992</v>
      </c>
      <c r="G1328" s="12">
        <v>2.265836E7</v>
      </c>
      <c r="H1328" s="8" t="s">
        <v>88</v>
      </c>
      <c r="I1328" s="11">
        <v>4.0795</v>
      </c>
      <c r="J1328" s="12">
        <v>1.75117465E9</v>
      </c>
      <c r="K1328" s="13"/>
      <c r="L1328" s="13"/>
      <c r="M1328" s="8" t="s">
        <v>5529</v>
      </c>
      <c r="N1328" s="8" t="s">
        <v>5429</v>
      </c>
      <c r="O1328" s="13"/>
      <c r="P1328" s="13"/>
      <c r="Q1328" s="13"/>
      <c r="R1328" s="13">
        <v>0.0885</v>
      </c>
      <c r="S1328" s="13">
        <v>10.416</v>
      </c>
      <c r="T1328" s="14">
        <f>IFERROR(__xludf.DUMMYFUNCTION("IFERROR(GOOGLEFINANCE(B1328,""price""),"""")"),12.37)</f>
        <v>12.37</v>
      </c>
    </row>
    <row r="1329">
      <c r="A1329" s="15">
        <v>46091.66921430331</v>
      </c>
      <c r="B1329" s="16" t="s">
        <v>1077</v>
      </c>
      <c r="C1329" s="16" t="s">
        <v>1078</v>
      </c>
      <c r="D1329" s="17">
        <v>46096.0</v>
      </c>
      <c r="E1329" s="18">
        <v>11.23</v>
      </c>
      <c r="F1329" s="27">
        <v>1.293</v>
      </c>
      <c r="G1329" s="20">
        <v>2.112865E7</v>
      </c>
      <c r="H1329" s="16" t="s">
        <v>335</v>
      </c>
      <c r="I1329" s="19">
        <v>16.9792</v>
      </c>
      <c r="J1329" s="20">
        <v>1.572600008E9</v>
      </c>
      <c r="K1329" s="21"/>
      <c r="L1329" s="21">
        <v>-0.041</v>
      </c>
      <c r="M1329" s="16" t="s">
        <v>1079</v>
      </c>
      <c r="N1329" s="16" t="s">
        <v>5506</v>
      </c>
      <c r="O1329" s="21">
        <v>-10.5913</v>
      </c>
      <c r="P1329" s="21">
        <v>-18.9471</v>
      </c>
      <c r="Q1329" s="21">
        <v>240.123</v>
      </c>
      <c r="R1329" s="21">
        <v>0.0037</v>
      </c>
      <c r="S1329" s="21">
        <v>5.0784</v>
      </c>
      <c r="T1329" s="22">
        <f>IFERROR(__xludf.DUMMYFUNCTION("IFERROR(GOOGLEFINANCE(B1329,""price""),"""")"),8.36)</f>
        <v>8.36</v>
      </c>
    </row>
    <row r="1330">
      <c r="A1330" s="7">
        <v>46091.66921430331</v>
      </c>
      <c r="B1330" s="8" t="s">
        <v>5499</v>
      </c>
      <c r="C1330" s="8" t="s">
        <v>5500</v>
      </c>
      <c r="D1330" s="9">
        <v>46096.0</v>
      </c>
      <c r="E1330" s="10">
        <v>5.2</v>
      </c>
      <c r="F1330" s="26">
        <v>1.2891</v>
      </c>
      <c r="G1330" s="12">
        <v>1.9733653E7</v>
      </c>
      <c r="H1330" s="8" t="s">
        <v>117</v>
      </c>
      <c r="I1330" s="11">
        <v>-3.8817</v>
      </c>
      <c r="J1330" s="12">
        <v>2.142200306E9</v>
      </c>
      <c r="K1330" s="13"/>
      <c r="L1330" s="13">
        <v>-1.1209</v>
      </c>
      <c r="M1330" s="8" t="s">
        <v>5501</v>
      </c>
      <c r="N1330" s="8" t="s">
        <v>5502</v>
      </c>
      <c r="O1330" s="13">
        <v>-55.4977</v>
      </c>
      <c r="P1330" s="13">
        <v>-151.1805</v>
      </c>
      <c r="Q1330" s="13">
        <v>60.5668</v>
      </c>
      <c r="R1330" s="13">
        <v>0.0708</v>
      </c>
      <c r="S1330" s="13">
        <v>3.1996</v>
      </c>
      <c r="T1330" s="14">
        <f>IFERROR(__xludf.DUMMYFUNCTION("IFERROR(GOOGLEFINANCE(B1330,""price""),"""")"),3.7)</f>
        <v>3.7</v>
      </c>
    </row>
    <row r="1331">
      <c r="A1331" s="15">
        <v>46091.66921430331</v>
      </c>
      <c r="B1331" s="16" t="s">
        <v>5580</v>
      </c>
      <c r="C1331" s="16" t="s">
        <v>5581</v>
      </c>
      <c r="D1331" s="17">
        <v>46096.0</v>
      </c>
      <c r="E1331" s="18">
        <v>2.86</v>
      </c>
      <c r="F1331" s="27">
        <v>1.25</v>
      </c>
      <c r="G1331" s="20">
        <v>1.2136711E7</v>
      </c>
      <c r="H1331" s="16" t="s">
        <v>88</v>
      </c>
      <c r="I1331" s="19">
        <v>6.3197</v>
      </c>
      <c r="J1331" s="20">
        <v>1.140646979E9</v>
      </c>
      <c r="K1331" s="21"/>
      <c r="L1331" s="21"/>
      <c r="M1331" s="16" t="s">
        <v>5582</v>
      </c>
      <c r="N1331" s="16" t="s">
        <v>5429</v>
      </c>
      <c r="O1331" s="21"/>
      <c r="P1331" s="21"/>
      <c r="Q1331" s="21"/>
      <c r="R1331" s="21"/>
      <c r="S1331" s="21">
        <v>0.2412</v>
      </c>
      <c r="T1331" s="22">
        <f>IFERROR(__xludf.DUMMYFUNCTION("IFERROR(GOOGLEFINANCE(B1331,""price""),"""")"),2.38)</f>
        <v>2.38</v>
      </c>
    </row>
    <row r="1332">
      <c r="A1332" s="7">
        <v>46091.66921430331</v>
      </c>
      <c r="B1332" s="8" t="s">
        <v>5533</v>
      </c>
      <c r="C1332" s="8" t="s">
        <v>5534</v>
      </c>
      <c r="D1332" s="9">
        <v>46096.0</v>
      </c>
      <c r="E1332" s="10">
        <v>7.98</v>
      </c>
      <c r="F1332" s="26">
        <v>1.2344</v>
      </c>
      <c r="G1332" s="12">
        <v>1.8401065E7</v>
      </c>
      <c r="H1332" s="8" t="s">
        <v>102</v>
      </c>
      <c r="I1332" s="11">
        <v>11.4525</v>
      </c>
      <c r="J1332" s="12">
        <v>2.159171018E9</v>
      </c>
      <c r="K1332" s="13"/>
      <c r="L1332" s="13">
        <v>-3.7839</v>
      </c>
      <c r="M1332" s="8" t="s">
        <v>5535</v>
      </c>
      <c r="N1332" s="8" t="s">
        <v>5536</v>
      </c>
      <c r="O1332" s="13">
        <v>-55.984</v>
      </c>
      <c r="P1332" s="13">
        <v>-31.1477</v>
      </c>
      <c r="Q1332" s="13"/>
      <c r="R1332" s="13">
        <v>4.5088</v>
      </c>
      <c r="S1332" s="13">
        <v>1.1293</v>
      </c>
      <c r="T1332" s="14">
        <f>IFERROR(__xludf.DUMMYFUNCTION("IFERROR(GOOGLEFINANCE(B1332,""price""),"""")"),4.69)</f>
        <v>4.69</v>
      </c>
    </row>
    <row r="1333">
      <c r="A1333" s="15">
        <v>46091.66921430331</v>
      </c>
      <c r="B1333" s="16" t="s">
        <v>6127</v>
      </c>
      <c r="C1333" s="16" t="s">
        <v>6128</v>
      </c>
      <c r="D1333" s="17">
        <v>46096.0</v>
      </c>
      <c r="E1333" s="18">
        <v>149.4</v>
      </c>
      <c r="F1333" s="27">
        <v>1.1878</v>
      </c>
      <c r="G1333" s="20">
        <v>4.5850355E7</v>
      </c>
      <c r="H1333" s="16" t="s">
        <v>88</v>
      </c>
      <c r="I1333" s="19">
        <v>-1.4252</v>
      </c>
      <c r="J1333" s="20">
        <v>4.29389198113E11</v>
      </c>
      <c r="K1333" s="21">
        <v>28.0774</v>
      </c>
      <c r="L1333" s="21">
        <v>5.321</v>
      </c>
      <c r="M1333" s="16" t="s">
        <v>6129</v>
      </c>
      <c r="N1333" s="16" t="s">
        <v>5429</v>
      </c>
      <c r="O1333" s="21">
        <v>70.5998</v>
      </c>
      <c r="P1333" s="21">
        <v>31.9436</v>
      </c>
      <c r="Q1333" s="21">
        <v>11.0753</v>
      </c>
      <c r="R1333" s="21">
        <v>4.3982</v>
      </c>
      <c r="S1333" s="21">
        <v>0.9093</v>
      </c>
      <c r="T1333" s="22">
        <f>IFERROR(__xludf.DUMMYFUNCTION("IFERROR(GOOGLEFINANCE(B1333,""price""),"""")"),138.09)</f>
        <v>138.09</v>
      </c>
    </row>
    <row r="1334">
      <c r="A1334" s="7">
        <v>46091.66921430331</v>
      </c>
      <c r="B1334" s="8" t="s">
        <v>5434</v>
      </c>
      <c r="C1334" s="8" t="s">
        <v>5435</v>
      </c>
      <c r="D1334" s="9">
        <v>46096.0</v>
      </c>
      <c r="E1334" s="10">
        <v>10.01</v>
      </c>
      <c r="F1334" s="26">
        <v>1.1768</v>
      </c>
      <c r="G1334" s="12">
        <v>8.8283981E7</v>
      </c>
      <c r="H1334" s="8" t="s">
        <v>308</v>
      </c>
      <c r="I1334" s="11">
        <v>2.9835</v>
      </c>
      <c r="J1334" s="12">
        <v>4.500129913E9</v>
      </c>
      <c r="K1334" s="13"/>
      <c r="L1334" s="13">
        <v>-0.4034</v>
      </c>
      <c r="M1334" s="8" t="s">
        <v>5436</v>
      </c>
      <c r="N1334" s="8" t="s">
        <v>5437</v>
      </c>
      <c r="O1334" s="13">
        <v>-17.0422</v>
      </c>
      <c r="P1334" s="13">
        <v>-176.0921</v>
      </c>
      <c r="Q1334" s="13">
        <v>208.4002</v>
      </c>
      <c r="R1334" s="13">
        <v>0.037</v>
      </c>
      <c r="S1334" s="13">
        <v>15.2957</v>
      </c>
      <c r="T1334" s="14">
        <f>IFERROR(__xludf.DUMMYFUNCTION("IFERROR(GOOGLEFINANCE(B1334,""price""),"""")"),9.13)</f>
        <v>9.13</v>
      </c>
    </row>
    <row r="1335">
      <c r="A1335" s="15">
        <v>46091.66921430331</v>
      </c>
      <c r="B1335" s="16" t="s">
        <v>6133</v>
      </c>
      <c r="C1335" s="16" t="s">
        <v>6134</v>
      </c>
      <c r="D1335" s="17">
        <v>46096.0</v>
      </c>
      <c r="E1335" s="18">
        <v>15.3</v>
      </c>
      <c r="F1335" s="27">
        <v>1.1768</v>
      </c>
      <c r="G1335" s="20">
        <v>1.0624511E7</v>
      </c>
      <c r="H1335" s="16" t="s">
        <v>186</v>
      </c>
      <c r="I1335" s="19">
        <v>5.9557</v>
      </c>
      <c r="J1335" s="20">
        <v>5.775870764E9</v>
      </c>
      <c r="K1335" s="21"/>
      <c r="L1335" s="21">
        <v>-0.7857</v>
      </c>
      <c r="M1335" s="16" t="s">
        <v>6135</v>
      </c>
      <c r="N1335" s="16" t="s">
        <v>5573</v>
      </c>
      <c r="O1335" s="21">
        <v>-12.8456</v>
      </c>
      <c r="P1335" s="21">
        <v>-6.6401</v>
      </c>
      <c r="Q1335" s="21">
        <v>24.7423</v>
      </c>
      <c r="R1335" s="21">
        <v>0.574</v>
      </c>
      <c r="S1335" s="21">
        <v>1.0158</v>
      </c>
      <c r="T1335" s="22">
        <f>IFERROR(__xludf.DUMMYFUNCTION("IFERROR(GOOGLEFINANCE(B1335,""price""),"""")"),13.04)</f>
        <v>13.04</v>
      </c>
    </row>
    <row r="1336">
      <c r="A1336" s="7">
        <v>46091.66921430331</v>
      </c>
      <c r="B1336" s="8" t="s">
        <v>5567</v>
      </c>
      <c r="C1336" s="8" t="s">
        <v>5568</v>
      </c>
      <c r="D1336" s="9">
        <v>46096.0</v>
      </c>
      <c r="E1336" s="10">
        <v>154.0</v>
      </c>
      <c r="F1336" s="26">
        <v>1.1755</v>
      </c>
      <c r="G1336" s="12">
        <v>1.0743835E7</v>
      </c>
      <c r="H1336" s="8" t="s">
        <v>308</v>
      </c>
      <c r="I1336" s="11">
        <v>1.7711</v>
      </c>
      <c r="J1336" s="12">
        <v>4.3204427628E10</v>
      </c>
      <c r="K1336" s="13"/>
      <c r="L1336" s="13">
        <v>-0.3809</v>
      </c>
      <c r="M1336" s="8" t="s">
        <v>5569</v>
      </c>
      <c r="N1336" s="8" t="s">
        <v>5433</v>
      </c>
      <c r="O1336" s="13">
        <v>-13.2874</v>
      </c>
      <c r="P1336" s="13">
        <v>5.4633</v>
      </c>
      <c r="Q1336" s="13">
        <v>37.3263</v>
      </c>
      <c r="R1336" s="13">
        <v>3.8975</v>
      </c>
      <c r="S1336" s="13">
        <v>5.9285</v>
      </c>
      <c r="T1336" s="14">
        <f>IFERROR(__xludf.DUMMYFUNCTION("IFERROR(GOOGLEFINANCE(B1336,""price""),"""")"),166.7)</f>
        <v>166.7</v>
      </c>
    </row>
    <row r="1337">
      <c r="A1337" s="15">
        <v>46091.66921430331</v>
      </c>
      <c r="B1337" s="16" t="s">
        <v>5544</v>
      </c>
      <c r="C1337" s="16" t="s">
        <v>6105</v>
      </c>
      <c r="D1337" s="17">
        <v>46096.0</v>
      </c>
      <c r="E1337" s="18">
        <v>13.96</v>
      </c>
      <c r="F1337" s="27">
        <v>1.125</v>
      </c>
      <c r="G1337" s="20">
        <v>2.1944862E7</v>
      </c>
      <c r="H1337" s="16" t="s">
        <v>88</v>
      </c>
      <c r="I1337" s="19">
        <v>-2.4458</v>
      </c>
      <c r="J1337" s="20">
        <v>5.655467203E9</v>
      </c>
      <c r="K1337" s="21"/>
      <c r="L1337" s="21">
        <v>-2.0516</v>
      </c>
      <c r="M1337" s="16" t="s">
        <v>5546</v>
      </c>
      <c r="N1337" s="16" t="s">
        <v>5471</v>
      </c>
      <c r="O1337" s="21">
        <v>-110.5547</v>
      </c>
      <c r="P1337" s="21">
        <v>-76.6975</v>
      </c>
      <c r="Q1337" s="21">
        <v>48.0413</v>
      </c>
      <c r="R1337" s="21">
        <v>3.435</v>
      </c>
      <c r="S1337" s="21">
        <v>3.7948</v>
      </c>
      <c r="T1337" s="22">
        <f>IFERROR(__xludf.DUMMYFUNCTION("IFERROR(GOOGLEFINANCE(B1337,""price""),"""")"),16.53)</f>
        <v>16.53</v>
      </c>
    </row>
    <row r="1338">
      <c r="A1338" s="7">
        <v>46091.66921430331</v>
      </c>
      <c r="B1338" s="8" t="s">
        <v>2704</v>
      </c>
      <c r="C1338" s="8" t="s">
        <v>2705</v>
      </c>
      <c r="D1338" s="9">
        <v>46096.0</v>
      </c>
      <c r="E1338" s="10">
        <v>27.4</v>
      </c>
      <c r="F1338" s="26">
        <v>1.1173</v>
      </c>
      <c r="G1338" s="12">
        <v>1.3522864E7</v>
      </c>
      <c r="H1338" s="8" t="s">
        <v>88</v>
      </c>
      <c r="I1338" s="11">
        <v>1.3688</v>
      </c>
      <c r="J1338" s="12">
        <v>7.660651537E9</v>
      </c>
      <c r="K1338" s="13"/>
      <c r="L1338" s="13">
        <v>-0.5438</v>
      </c>
      <c r="M1338" s="8" t="s">
        <v>2707</v>
      </c>
      <c r="N1338" s="8" t="s">
        <v>5471</v>
      </c>
      <c r="O1338" s="13">
        <v>-11.4029</v>
      </c>
      <c r="P1338" s="13">
        <v>-26.4624</v>
      </c>
      <c r="Q1338" s="13">
        <v>33.135</v>
      </c>
      <c r="R1338" s="13">
        <v>1.6778</v>
      </c>
      <c r="S1338" s="13">
        <v>4.8227</v>
      </c>
      <c r="T1338" s="14">
        <f>IFERROR(__xludf.DUMMYFUNCTION("IFERROR(GOOGLEFINANCE(B1338,""price""),"""")"),26.24)</f>
        <v>26.24</v>
      </c>
    </row>
    <row r="1339">
      <c r="A1339" s="15">
        <v>46091.66921430331</v>
      </c>
      <c r="B1339" s="16" t="s">
        <v>5561</v>
      </c>
      <c r="C1339" s="16" t="s">
        <v>5562</v>
      </c>
      <c r="D1339" s="17">
        <v>46096.0</v>
      </c>
      <c r="E1339" s="18">
        <v>12.03</v>
      </c>
      <c r="F1339" s="27">
        <v>1.11</v>
      </c>
      <c r="G1339" s="20">
        <v>1.711933E7</v>
      </c>
      <c r="H1339" s="16" t="s">
        <v>102</v>
      </c>
      <c r="I1339" s="19">
        <v>-1.0691</v>
      </c>
      <c r="J1339" s="20">
        <v>4.066336452E9</v>
      </c>
      <c r="K1339" s="21"/>
      <c r="L1339" s="21">
        <v>-2.2522</v>
      </c>
      <c r="M1339" s="16" t="s">
        <v>5563</v>
      </c>
      <c r="N1339" s="16" t="s">
        <v>5536</v>
      </c>
      <c r="O1339" s="21">
        <v>-39.8083</v>
      </c>
      <c r="P1339" s="21">
        <v>-2190.5747</v>
      </c>
      <c r="Q1339" s="21">
        <v>-15.025</v>
      </c>
      <c r="R1339" s="21">
        <v>0.0</v>
      </c>
      <c r="S1339" s="21">
        <v>4.2984</v>
      </c>
      <c r="T1339" s="22">
        <f>IFERROR(__xludf.DUMMYFUNCTION("IFERROR(GOOGLEFINANCE(B1339,""price""),"""")"),9.21)</f>
        <v>9.21</v>
      </c>
    </row>
    <row r="1340">
      <c r="A1340" s="7">
        <v>46091.66921430331</v>
      </c>
      <c r="B1340" s="8" t="s">
        <v>5484</v>
      </c>
      <c r="C1340" s="8" t="s">
        <v>5485</v>
      </c>
      <c r="D1340" s="9">
        <v>46096.0</v>
      </c>
      <c r="E1340" s="10">
        <v>38.12</v>
      </c>
      <c r="F1340" s="26">
        <v>1.0889</v>
      </c>
      <c r="G1340" s="12">
        <v>2.7948951E7</v>
      </c>
      <c r="H1340" s="8" t="s">
        <v>88</v>
      </c>
      <c r="I1340" s="11">
        <v>-1.8538</v>
      </c>
      <c r="J1340" s="12">
        <v>1.2646660288E10</v>
      </c>
      <c r="K1340" s="13">
        <v>43.6755</v>
      </c>
      <c r="L1340" s="13">
        <v>0.8728</v>
      </c>
      <c r="M1340" s="8" t="s">
        <v>5486</v>
      </c>
      <c r="N1340" s="8" t="s">
        <v>5471</v>
      </c>
      <c r="O1340" s="13">
        <v>22.5116</v>
      </c>
      <c r="P1340" s="13">
        <v>-13.85</v>
      </c>
      <c r="Q1340" s="13">
        <v>123.3192</v>
      </c>
      <c r="R1340" s="13">
        <v>1.5302</v>
      </c>
      <c r="S1340" s="13">
        <v>4.9601</v>
      </c>
      <c r="T1340" s="14">
        <f>IFERROR(__xludf.DUMMYFUNCTION("IFERROR(GOOGLEFINANCE(B1340,""price""),"""")"),39.32)</f>
        <v>39.32</v>
      </c>
    </row>
    <row r="1341">
      <c r="A1341" s="15">
        <v>46091.66921430331</v>
      </c>
      <c r="B1341" s="16" t="s">
        <v>5558</v>
      </c>
      <c r="C1341" s="16" t="s">
        <v>5559</v>
      </c>
      <c r="D1341" s="17">
        <v>46096.0</v>
      </c>
      <c r="E1341" s="18">
        <v>6.41</v>
      </c>
      <c r="F1341" s="27">
        <v>1.0859</v>
      </c>
      <c r="G1341" s="20">
        <v>1.7532423E7</v>
      </c>
      <c r="H1341" s="16" t="s">
        <v>102</v>
      </c>
      <c r="I1341" s="19">
        <v>3.8898</v>
      </c>
      <c r="J1341" s="20">
        <v>2.175773667E9</v>
      </c>
      <c r="K1341" s="21"/>
      <c r="L1341" s="21">
        <v>-6.9942</v>
      </c>
      <c r="M1341" s="16" t="s">
        <v>5560</v>
      </c>
      <c r="N1341" s="16" t="s">
        <v>5536</v>
      </c>
      <c r="O1341" s="21"/>
      <c r="P1341" s="21">
        <v>-225.4661</v>
      </c>
      <c r="Q1341" s="21">
        <v>631.7891</v>
      </c>
      <c r="R1341" s="21"/>
      <c r="S1341" s="21">
        <v>4.9358</v>
      </c>
      <c r="T1341" s="22">
        <f>IFERROR(__xludf.DUMMYFUNCTION("IFERROR(GOOGLEFINANCE(B1341,""price""),"""")"),5.62)</f>
        <v>5.62</v>
      </c>
    </row>
    <row r="1342">
      <c r="A1342" s="7">
        <v>46091.66921430331</v>
      </c>
      <c r="B1342" s="8" t="s">
        <v>5773</v>
      </c>
      <c r="C1342" s="8" t="s">
        <v>5774</v>
      </c>
      <c r="D1342" s="9">
        <v>46096.0</v>
      </c>
      <c r="E1342" s="10">
        <v>2.41</v>
      </c>
      <c r="F1342" s="26">
        <v>1.0859</v>
      </c>
      <c r="G1342" s="12">
        <v>2.8602353E7</v>
      </c>
      <c r="H1342" s="8" t="s">
        <v>245</v>
      </c>
      <c r="I1342" s="11">
        <v>-5.8594</v>
      </c>
      <c r="J1342" s="12">
        <v>1.159269915E9</v>
      </c>
      <c r="K1342" s="13"/>
      <c r="L1342" s="13">
        <v>-1.4644</v>
      </c>
      <c r="M1342" s="8" t="s">
        <v>5775</v>
      </c>
      <c r="N1342" s="8" t="s">
        <v>5776</v>
      </c>
      <c r="O1342" s="13">
        <v>-80.9463</v>
      </c>
      <c r="P1342" s="13">
        <v>-20.4446</v>
      </c>
      <c r="Q1342" s="13">
        <v>-22.6468</v>
      </c>
      <c r="R1342" s="13">
        <v>5.7984</v>
      </c>
      <c r="S1342" s="13">
        <v>0.7476</v>
      </c>
      <c r="T1342" s="14">
        <f>IFERROR(__xludf.DUMMYFUNCTION("IFERROR(GOOGLEFINANCE(B1342,""price""),"""")"),2.57)</f>
        <v>2.57</v>
      </c>
    </row>
    <row r="1343">
      <c r="A1343" s="15">
        <v>46091.66921430331</v>
      </c>
      <c r="B1343" s="16" t="s">
        <v>5554</v>
      </c>
      <c r="C1343" s="16" t="s">
        <v>5555</v>
      </c>
      <c r="D1343" s="17">
        <v>46096.0</v>
      </c>
      <c r="E1343" s="18">
        <v>87.53</v>
      </c>
      <c r="F1343" s="27">
        <v>1.0671</v>
      </c>
      <c r="G1343" s="20">
        <v>1.1395417E7</v>
      </c>
      <c r="H1343" s="16" t="s">
        <v>873</v>
      </c>
      <c r="I1343" s="19">
        <v>-2.4844</v>
      </c>
      <c r="J1343" s="20">
        <v>3.3438858586E10</v>
      </c>
      <c r="K1343" s="21"/>
      <c r="L1343" s="21">
        <v>-1.3255</v>
      </c>
      <c r="M1343" s="16" t="s">
        <v>5556</v>
      </c>
      <c r="N1343" s="16" t="s">
        <v>5557</v>
      </c>
      <c r="O1343" s="21">
        <v>-29.4701</v>
      </c>
      <c r="P1343" s="21">
        <v>-405.6981</v>
      </c>
      <c r="Q1343" s="21">
        <v>1505.206</v>
      </c>
      <c r="R1343" s="21">
        <v>1.2162</v>
      </c>
      <c r="S1343" s="21">
        <v>16.3526</v>
      </c>
      <c r="T1343" s="22">
        <f>IFERROR(__xludf.DUMMYFUNCTION("IFERROR(GOOGLEFINANCE(B1343,""price""),"""")"),94.9)</f>
        <v>94.9</v>
      </c>
    </row>
    <row r="1344">
      <c r="A1344" s="7">
        <v>46091.66921430331</v>
      </c>
      <c r="B1344" s="8" t="s">
        <v>5517</v>
      </c>
      <c r="C1344" s="8" t="s">
        <v>5518</v>
      </c>
      <c r="D1344" s="9">
        <v>46096.0</v>
      </c>
      <c r="E1344" s="10">
        <v>9.23</v>
      </c>
      <c r="F1344" s="26">
        <v>1.0537</v>
      </c>
      <c r="G1344" s="12">
        <v>1.2127871E7</v>
      </c>
      <c r="H1344" s="8" t="s">
        <v>308</v>
      </c>
      <c r="I1344" s="11">
        <v>-4.3523</v>
      </c>
      <c r="J1344" s="12">
        <v>1.77193656E9</v>
      </c>
      <c r="K1344" s="13"/>
      <c r="L1344" s="13">
        <v>-2.3761</v>
      </c>
      <c r="M1344" s="8" t="s">
        <v>5519</v>
      </c>
      <c r="N1344" s="8" t="s">
        <v>5520</v>
      </c>
      <c r="O1344" s="13">
        <v>-52.0031</v>
      </c>
      <c r="P1344" s="13">
        <v>-43.4124</v>
      </c>
      <c r="Q1344" s="13">
        <v>10.2861</v>
      </c>
      <c r="R1344" s="13">
        <v>0.1895</v>
      </c>
      <c r="S1344" s="13">
        <v>1.6246</v>
      </c>
      <c r="T1344" s="14">
        <f>IFERROR(__xludf.DUMMYFUNCTION("IFERROR(GOOGLEFINANCE(B1344,""price""),"""")"),9.29)</f>
        <v>9.29</v>
      </c>
    </row>
    <row r="1345">
      <c r="A1345" s="15">
        <v>46091.66921430331</v>
      </c>
      <c r="B1345" s="16" t="s">
        <v>5594</v>
      </c>
      <c r="C1345" s="16" t="s">
        <v>5595</v>
      </c>
      <c r="D1345" s="17">
        <v>46096.0</v>
      </c>
      <c r="E1345" s="18">
        <v>14.35</v>
      </c>
      <c r="F1345" s="27">
        <v>1.0492</v>
      </c>
      <c r="G1345" s="20">
        <v>2.4168077E7</v>
      </c>
      <c r="H1345" s="16" t="s">
        <v>88</v>
      </c>
      <c r="I1345" s="19">
        <v>3.6101</v>
      </c>
      <c r="J1345" s="20">
        <v>6.085377621E9</v>
      </c>
      <c r="K1345" s="21"/>
      <c r="L1345" s="21">
        <v>-1.661</v>
      </c>
      <c r="M1345" s="16" t="s">
        <v>5596</v>
      </c>
      <c r="N1345" s="16" t="s">
        <v>5471</v>
      </c>
      <c r="O1345" s="21">
        <v>-343.6909</v>
      </c>
      <c r="P1345" s="21">
        <v>-100.2101</v>
      </c>
      <c r="Q1345" s="21">
        <v>20.2812</v>
      </c>
      <c r="R1345" s="21">
        <v>36.9947</v>
      </c>
      <c r="S1345" s="21">
        <v>2.0038</v>
      </c>
      <c r="T1345" s="22">
        <f>IFERROR(__xludf.DUMMYFUNCTION("IFERROR(GOOGLEFINANCE(B1345,""price""),"""")"),18.88)</f>
        <v>18.88</v>
      </c>
    </row>
    <row r="1346">
      <c r="A1346" s="7">
        <v>46091.66921430331</v>
      </c>
      <c r="B1346" s="8" t="s">
        <v>5744</v>
      </c>
      <c r="C1346" s="8" t="s">
        <v>5745</v>
      </c>
      <c r="D1346" s="9">
        <v>46096.0</v>
      </c>
      <c r="E1346" s="10">
        <v>23.47</v>
      </c>
      <c r="F1346" s="26">
        <v>1.0467</v>
      </c>
      <c r="G1346" s="12">
        <v>1.18016849E8</v>
      </c>
      <c r="H1346" s="8" t="s">
        <v>190</v>
      </c>
      <c r="I1346" s="11">
        <v>5.9116</v>
      </c>
      <c r="J1346" s="12">
        <v>5.349722777E9</v>
      </c>
      <c r="K1346" s="13">
        <v>44.9531</v>
      </c>
      <c r="L1346" s="13">
        <v>0.5221</v>
      </c>
      <c r="M1346" s="8" t="s">
        <v>5746</v>
      </c>
      <c r="N1346" s="8" t="s">
        <v>5747</v>
      </c>
      <c r="O1346" s="13">
        <v>25.2279</v>
      </c>
      <c r="P1346" s="13">
        <v>5.1834</v>
      </c>
      <c r="Q1346" s="13">
        <v>58.9986</v>
      </c>
      <c r="R1346" s="13">
        <v>2.0716</v>
      </c>
      <c r="S1346" s="13">
        <v>1.8981</v>
      </c>
      <c r="T1346" s="14">
        <f>IFERROR(__xludf.DUMMYFUNCTION("IFERROR(GOOGLEFINANCE(B1346,""price""),"""")"),19.43)</f>
        <v>19.43</v>
      </c>
    </row>
    <row r="1347">
      <c r="A1347" s="15">
        <v>46091.66921430331</v>
      </c>
      <c r="B1347" s="16" t="s">
        <v>5122</v>
      </c>
      <c r="C1347" s="16" t="s">
        <v>5123</v>
      </c>
      <c r="D1347" s="17">
        <v>46096.0</v>
      </c>
      <c r="E1347" s="18">
        <v>18.0</v>
      </c>
      <c r="F1347" s="27">
        <v>1.0449</v>
      </c>
      <c r="G1347" s="20">
        <v>1.4060199E7</v>
      </c>
      <c r="H1347" s="16" t="s">
        <v>102</v>
      </c>
      <c r="I1347" s="19">
        <v>1.5801</v>
      </c>
      <c r="J1347" s="20">
        <v>2.466341854E9</v>
      </c>
      <c r="K1347" s="21"/>
      <c r="L1347" s="21">
        <v>-0.3472</v>
      </c>
      <c r="M1347" s="16" t="s">
        <v>5124</v>
      </c>
      <c r="N1347" s="16" t="s">
        <v>5536</v>
      </c>
      <c r="O1347" s="21">
        <v>-50.8105</v>
      </c>
      <c r="P1347" s="21">
        <v>-33.0389</v>
      </c>
      <c r="Q1347" s="21">
        <v>202.1103</v>
      </c>
      <c r="R1347" s="21">
        <v>0.3841</v>
      </c>
      <c r="S1347" s="21">
        <v>7.0758</v>
      </c>
      <c r="T1347" s="22">
        <f>IFERROR(__xludf.DUMMYFUNCTION("IFERROR(GOOGLEFINANCE(B1347,""price""),"""")"),17.22)</f>
        <v>17.22</v>
      </c>
    </row>
    <row r="1348">
      <c r="A1348" s="7">
        <v>46091.66921430331</v>
      </c>
      <c r="B1348" s="8" t="s">
        <v>5422</v>
      </c>
      <c r="C1348" s="8" t="s">
        <v>5423</v>
      </c>
      <c r="D1348" s="9">
        <v>46096.0</v>
      </c>
      <c r="E1348" s="10">
        <v>20.45</v>
      </c>
      <c r="F1348" s="26">
        <v>1.033</v>
      </c>
      <c r="G1348" s="12">
        <v>1.6588409E7</v>
      </c>
      <c r="H1348" s="8" t="s">
        <v>102</v>
      </c>
      <c r="I1348" s="11">
        <v>9.2998</v>
      </c>
      <c r="J1348" s="12">
        <v>4.456885938E9</v>
      </c>
      <c r="K1348" s="13"/>
      <c r="L1348" s="13">
        <v>-2.5128</v>
      </c>
      <c r="M1348" s="8" t="s">
        <v>5424</v>
      </c>
      <c r="N1348" s="8" t="s">
        <v>5425</v>
      </c>
      <c r="O1348" s="13">
        <v>-255.9098</v>
      </c>
      <c r="P1348" s="13"/>
      <c r="Q1348" s="13"/>
      <c r="R1348" s="13"/>
      <c r="S1348" s="13">
        <v>16.5111</v>
      </c>
      <c r="T1348" s="14">
        <f>IFERROR(__xludf.DUMMYFUNCTION("IFERROR(GOOGLEFINANCE(B1348,""price""),"""")"),16.15)</f>
        <v>16.15</v>
      </c>
    </row>
    <row r="1349">
      <c r="A1349" s="15">
        <v>46091.66921430331</v>
      </c>
      <c r="B1349" s="16" t="s">
        <v>5591</v>
      </c>
      <c r="C1349" s="16" t="s">
        <v>5592</v>
      </c>
      <c r="D1349" s="17">
        <v>46096.0</v>
      </c>
      <c r="E1349" s="18">
        <v>8.68</v>
      </c>
      <c r="F1349" s="27">
        <v>1.0293</v>
      </c>
      <c r="G1349" s="20">
        <v>1.5598992E7</v>
      </c>
      <c r="H1349" s="16" t="s">
        <v>308</v>
      </c>
      <c r="I1349" s="19">
        <v>3.58</v>
      </c>
      <c r="J1349" s="20">
        <v>2.003281274E9</v>
      </c>
      <c r="K1349" s="21"/>
      <c r="L1349" s="21">
        <v>-0.5698</v>
      </c>
      <c r="M1349" s="16" t="s">
        <v>5593</v>
      </c>
      <c r="N1349" s="16" t="s">
        <v>5414</v>
      </c>
      <c r="O1349" s="21">
        <v>-29.5457</v>
      </c>
      <c r="P1349" s="21">
        <v>-195.3894</v>
      </c>
      <c r="Q1349" s="21">
        <v>-44.8801</v>
      </c>
      <c r="R1349" s="21">
        <v>0.0146</v>
      </c>
      <c r="S1349" s="21">
        <v>4.9867</v>
      </c>
      <c r="T1349" s="22">
        <f>IFERROR(__xludf.DUMMYFUNCTION("IFERROR(GOOGLEFINANCE(B1349,""price""),"""")"),9.54)</f>
        <v>9.54</v>
      </c>
    </row>
    <row r="1350">
      <c r="A1350" s="7">
        <v>46091.66921430331</v>
      </c>
      <c r="B1350" s="8" t="s">
        <v>5574</v>
      </c>
      <c r="C1350" s="8" t="s">
        <v>5575</v>
      </c>
      <c r="D1350" s="9">
        <v>46096.0</v>
      </c>
      <c r="E1350" s="10">
        <v>20.31</v>
      </c>
      <c r="F1350" s="26">
        <v>1.0278</v>
      </c>
      <c r="G1350" s="12">
        <v>9862353.0</v>
      </c>
      <c r="H1350" s="8" t="s">
        <v>335</v>
      </c>
      <c r="I1350" s="11">
        <v>2.2144</v>
      </c>
      <c r="J1350" s="12">
        <v>4.907018125E9</v>
      </c>
      <c r="K1350" s="13"/>
      <c r="L1350" s="13">
        <v>-0.3843</v>
      </c>
      <c r="M1350" s="8" t="s">
        <v>5576</v>
      </c>
      <c r="N1350" s="8" t="s">
        <v>5506</v>
      </c>
      <c r="O1350" s="13">
        <v>-14.199</v>
      </c>
      <c r="P1350" s="13">
        <v>-153.4465</v>
      </c>
      <c r="Q1350" s="13">
        <v>-15.608</v>
      </c>
      <c r="R1350" s="13">
        <v>0.996</v>
      </c>
      <c r="S1350" s="13">
        <v>30.6942</v>
      </c>
      <c r="T1350" s="14">
        <f>IFERROR(__xludf.DUMMYFUNCTION("IFERROR(GOOGLEFINANCE(B1350,""price""),"""")"),18.4)</f>
        <v>18.4</v>
      </c>
    </row>
    <row r="1351">
      <c r="A1351" s="15">
        <v>46091.66921430331</v>
      </c>
      <c r="B1351" s="16" t="s">
        <v>5514</v>
      </c>
      <c r="C1351" s="16" t="s">
        <v>5515</v>
      </c>
      <c r="D1351" s="17">
        <v>46096.0</v>
      </c>
      <c r="E1351" s="18">
        <v>8.01</v>
      </c>
      <c r="F1351" s="27">
        <v>1.0098</v>
      </c>
      <c r="G1351" s="20">
        <v>2.4257776E7</v>
      </c>
      <c r="H1351" s="16" t="s">
        <v>117</v>
      </c>
      <c r="I1351" s="19">
        <v>-5.2071</v>
      </c>
      <c r="J1351" s="20">
        <v>8.23517253E9</v>
      </c>
      <c r="K1351" s="21"/>
      <c r="L1351" s="21">
        <v>-0.3898</v>
      </c>
      <c r="M1351" s="16" t="s">
        <v>5516</v>
      </c>
      <c r="N1351" s="16" t="s">
        <v>5491</v>
      </c>
      <c r="O1351" s="21"/>
      <c r="P1351" s="21">
        <v>-225.9966</v>
      </c>
      <c r="Q1351" s="21">
        <v>668.3147</v>
      </c>
      <c r="R1351" s="21"/>
      <c r="S1351" s="21">
        <v>5.0989</v>
      </c>
      <c r="T1351" s="22">
        <f>IFERROR(__xludf.DUMMYFUNCTION("IFERROR(GOOGLEFINANCE(B1351,""price""),"""")"),7.28)</f>
        <v>7.28</v>
      </c>
    </row>
    <row r="1352">
      <c r="A1352" s="7">
        <v>46092.66771414615</v>
      </c>
      <c r="B1352" s="8" t="s">
        <v>6136</v>
      </c>
      <c r="C1352" s="8" t="s">
        <v>6137</v>
      </c>
      <c r="D1352" s="9">
        <v>46096.0</v>
      </c>
      <c r="E1352" s="10">
        <v>2.4</v>
      </c>
      <c r="F1352" s="26">
        <v>2.5</v>
      </c>
      <c r="G1352" s="12">
        <v>9744334.0</v>
      </c>
      <c r="H1352" s="8" t="s">
        <v>137</v>
      </c>
      <c r="I1352" s="11">
        <v>3.0043</v>
      </c>
      <c r="J1352" s="12">
        <v>6.74986391E8</v>
      </c>
      <c r="K1352" s="13"/>
      <c r="L1352" s="13">
        <v>-0.0108</v>
      </c>
      <c r="M1352" s="8" t="s">
        <v>6138</v>
      </c>
      <c r="N1352" s="8" t="s">
        <v>5743</v>
      </c>
      <c r="O1352" s="13">
        <v>-0.1926</v>
      </c>
      <c r="P1352" s="13">
        <v>2.0129</v>
      </c>
      <c r="Q1352" s="13">
        <v>-3.8523</v>
      </c>
      <c r="R1352" s="13">
        <v>2.5652</v>
      </c>
      <c r="S1352" s="13">
        <v>0.9129</v>
      </c>
      <c r="T1352" s="14">
        <f>IFERROR(__xludf.DUMMYFUNCTION("IFERROR(GOOGLEFINANCE(B1352,""price""),"""")"),2.79)</f>
        <v>2.79</v>
      </c>
    </row>
    <row r="1353">
      <c r="A1353" s="15">
        <v>46092.66771414615</v>
      </c>
      <c r="B1353" s="16" t="s">
        <v>5898</v>
      </c>
      <c r="C1353" s="16" t="s">
        <v>5899</v>
      </c>
      <c r="D1353" s="17">
        <v>46096.0</v>
      </c>
      <c r="E1353" s="18">
        <v>12.38</v>
      </c>
      <c r="F1353" s="27">
        <v>2.4902</v>
      </c>
      <c r="G1353" s="20">
        <v>1.12893048E8</v>
      </c>
      <c r="H1353" s="16" t="s">
        <v>88</v>
      </c>
      <c r="I1353" s="19">
        <v>6.8162</v>
      </c>
      <c r="J1353" s="20">
        <v>6.620201312E9</v>
      </c>
      <c r="K1353" s="21">
        <v>29.1981</v>
      </c>
      <c r="L1353" s="21">
        <v>0.424</v>
      </c>
      <c r="M1353" s="16" t="s">
        <v>5900</v>
      </c>
      <c r="N1353" s="16" t="s">
        <v>5429</v>
      </c>
      <c r="O1353" s="21">
        <v>12.562</v>
      </c>
      <c r="P1353" s="21">
        <v>1.5172</v>
      </c>
      <c r="Q1353" s="21">
        <v>10.0505</v>
      </c>
      <c r="R1353" s="21">
        <v>0.0426</v>
      </c>
      <c r="S1353" s="21">
        <v>2.5445</v>
      </c>
      <c r="T1353" s="22">
        <f>IFERROR(__xludf.DUMMYFUNCTION("IFERROR(GOOGLEFINANCE(B1353,""price""),"""")"),9.38)</f>
        <v>9.38</v>
      </c>
    </row>
    <row r="1354">
      <c r="A1354" s="7">
        <v>46092.66771414615</v>
      </c>
      <c r="B1354" s="8" t="s">
        <v>6031</v>
      </c>
      <c r="C1354" s="8" t="s">
        <v>6032</v>
      </c>
      <c r="D1354" s="9">
        <v>46096.0</v>
      </c>
      <c r="E1354" s="10">
        <v>16.58</v>
      </c>
      <c r="F1354" s="26">
        <v>1.7758</v>
      </c>
      <c r="G1354" s="12">
        <v>1.873007E7</v>
      </c>
      <c r="H1354" s="8" t="s">
        <v>245</v>
      </c>
      <c r="I1354" s="11">
        <v>15.059</v>
      </c>
      <c r="J1354" s="12">
        <v>2.441307066E9</v>
      </c>
      <c r="K1354" s="13"/>
      <c r="L1354" s="13">
        <v>-4.2396</v>
      </c>
      <c r="M1354" s="8" t="s">
        <v>6033</v>
      </c>
      <c r="N1354" s="8" t="s">
        <v>5776</v>
      </c>
      <c r="O1354" s="13">
        <v>-89.3124</v>
      </c>
      <c r="P1354" s="13"/>
      <c r="Q1354" s="13"/>
      <c r="R1354" s="13">
        <v>1.7643</v>
      </c>
      <c r="S1354" s="13">
        <v>0.1326</v>
      </c>
      <c r="T1354" s="14">
        <f>IFERROR(__xludf.DUMMYFUNCTION("IFERROR(GOOGLEFINANCE(B1354,""price""),"""")"),13.14)</f>
        <v>13.14</v>
      </c>
    </row>
    <row r="1355">
      <c r="A1355" s="15">
        <v>46092.66771414615</v>
      </c>
      <c r="B1355" s="16" t="s">
        <v>5640</v>
      </c>
      <c r="C1355" s="16" t="s">
        <v>5641</v>
      </c>
      <c r="D1355" s="17">
        <v>46096.0</v>
      </c>
      <c r="E1355" s="18">
        <v>47.36</v>
      </c>
      <c r="F1355" s="27">
        <v>1.6152</v>
      </c>
      <c r="G1355" s="20">
        <v>1.1106396E7</v>
      </c>
      <c r="H1355" s="16" t="s">
        <v>308</v>
      </c>
      <c r="I1355" s="19">
        <v>6.9074</v>
      </c>
      <c r="J1355" s="20">
        <v>2.6177841E9</v>
      </c>
      <c r="K1355" s="21"/>
      <c r="L1355" s="21">
        <v>-0.4882</v>
      </c>
      <c r="M1355" s="16" t="s">
        <v>5642</v>
      </c>
      <c r="N1355" s="16" t="s">
        <v>5433</v>
      </c>
      <c r="O1355" s="21">
        <v>-9.1233</v>
      </c>
      <c r="P1355" s="21">
        <v>-24.8806</v>
      </c>
      <c r="Q1355" s="21">
        <v>-11.106</v>
      </c>
      <c r="R1355" s="21">
        <v>0.2351</v>
      </c>
      <c r="S1355" s="21">
        <v>2.7231</v>
      </c>
      <c r="T1355" s="22">
        <f>IFERROR(__xludf.DUMMYFUNCTION("IFERROR(GOOGLEFINANCE(B1355,""price""),"""")"),64.18)</f>
        <v>64.18</v>
      </c>
    </row>
    <row r="1356">
      <c r="A1356" s="7">
        <v>46092.66771414615</v>
      </c>
      <c r="B1356" s="8" t="s">
        <v>5836</v>
      </c>
      <c r="C1356" s="8" t="s">
        <v>5837</v>
      </c>
      <c r="D1356" s="9">
        <v>46096.0</v>
      </c>
      <c r="E1356" s="10">
        <v>8.675</v>
      </c>
      <c r="F1356" s="26">
        <v>1.3086</v>
      </c>
      <c r="G1356" s="12">
        <v>1.0868676E7</v>
      </c>
      <c r="H1356" s="8" t="s">
        <v>93</v>
      </c>
      <c r="I1356" s="11">
        <v>7.764</v>
      </c>
      <c r="J1356" s="12">
        <v>5.32667039E9</v>
      </c>
      <c r="K1356" s="13"/>
      <c r="L1356" s="13"/>
      <c r="M1356" s="8" t="s">
        <v>5838</v>
      </c>
      <c r="N1356" s="8" t="s">
        <v>5839</v>
      </c>
      <c r="O1356" s="13"/>
      <c r="P1356" s="13"/>
      <c r="Q1356" s="13"/>
      <c r="R1356" s="13">
        <v>0.4147</v>
      </c>
      <c r="S1356" s="13">
        <v>2.8104</v>
      </c>
      <c r="T1356" s="14">
        <f>IFERROR(__xludf.DUMMYFUNCTION("IFERROR(GOOGLEFINANCE(B1356,""price""),"""")"),4.87)</f>
        <v>4.87</v>
      </c>
    </row>
    <row r="1357">
      <c r="A1357" s="15">
        <v>46092.66771414615</v>
      </c>
      <c r="B1357" s="16" t="s">
        <v>6139</v>
      </c>
      <c r="C1357" s="16" t="s">
        <v>6140</v>
      </c>
      <c r="D1357" s="17">
        <v>46096.0</v>
      </c>
      <c r="E1357" s="18">
        <v>11.94</v>
      </c>
      <c r="F1357" s="27">
        <v>1.2904</v>
      </c>
      <c r="G1357" s="20">
        <v>1.3451438E7</v>
      </c>
      <c r="H1357" s="16" t="s">
        <v>88</v>
      </c>
      <c r="I1357" s="19">
        <v>8.0543</v>
      </c>
      <c r="J1357" s="20">
        <v>3.44409753E8</v>
      </c>
      <c r="K1357" s="21">
        <v>60.7325</v>
      </c>
      <c r="L1357" s="21">
        <v>0.1966</v>
      </c>
      <c r="M1357" s="16" t="s">
        <v>6141</v>
      </c>
      <c r="N1357" s="16" t="s">
        <v>5664</v>
      </c>
      <c r="O1357" s="21">
        <v>36.1095</v>
      </c>
      <c r="P1357" s="21">
        <v>3.4807</v>
      </c>
      <c r="Q1357" s="21">
        <v>91.6614</v>
      </c>
      <c r="R1357" s="21">
        <v>0.5433</v>
      </c>
      <c r="S1357" s="21">
        <v>1.6348</v>
      </c>
      <c r="T1357" s="22">
        <f>IFERROR(__xludf.DUMMYFUNCTION("IFERROR(GOOGLEFINANCE(B1357,""price""),"""")"),12.42)</f>
        <v>12.42</v>
      </c>
    </row>
    <row r="1358">
      <c r="A1358" s="7">
        <v>46092.66771414615</v>
      </c>
      <c r="B1358" s="8" t="s">
        <v>5527</v>
      </c>
      <c r="C1358" s="8" t="s">
        <v>5528</v>
      </c>
      <c r="D1358" s="9">
        <v>46096.0</v>
      </c>
      <c r="E1358" s="10">
        <v>16.16</v>
      </c>
      <c r="F1358" s="26">
        <v>1.279</v>
      </c>
      <c r="G1358" s="12">
        <v>2.20958E7</v>
      </c>
      <c r="H1358" s="8" t="s">
        <v>88</v>
      </c>
      <c r="I1358" s="11">
        <v>10.1568</v>
      </c>
      <c r="J1358" s="12">
        <v>1.929037625E9</v>
      </c>
      <c r="K1358" s="13"/>
      <c r="L1358" s="13"/>
      <c r="M1358" s="8" t="s">
        <v>5529</v>
      </c>
      <c r="N1358" s="8" t="s">
        <v>5429</v>
      </c>
      <c r="O1358" s="13"/>
      <c r="P1358" s="13"/>
      <c r="Q1358" s="13"/>
      <c r="R1358" s="13">
        <v>0.0885</v>
      </c>
      <c r="S1358" s="13">
        <v>10.416</v>
      </c>
      <c r="T1358" s="14">
        <f>IFERROR(__xludf.DUMMYFUNCTION("IFERROR(GOOGLEFINANCE(B1358,""price""),"""")"),12.37)</f>
        <v>12.37</v>
      </c>
    </row>
    <row r="1359">
      <c r="A1359" s="15">
        <v>46092.66771414615</v>
      </c>
      <c r="B1359" s="16" t="s">
        <v>6004</v>
      </c>
      <c r="C1359" s="16" t="s">
        <v>6005</v>
      </c>
      <c r="D1359" s="17">
        <v>46096.0</v>
      </c>
      <c r="E1359" s="18">
        <v>38.08</v>
      </c>
      <c r="F1359" s="27">
        <v>1.2656</v>
      </c>
      <c r="G1359" s="20">
        <v>1.1646406E7</v>
      </c>
      <c r="H1359" s="16" t="s">
        <v>93</v>
      </c>
      <c r="I1359" s="19">
        <v>-3.8141</v>
      </c>
      <c r="J1359" s="20">
        <v>8.211070181E9</v>
      </c>
      <c r="K1359" s="21"/>
      <c r="L1359" s="21"/>
      <c r="M1359" s="16" t="s">
        <v>6006</v>
      </c>
      <c r="N1359" s="16" t="s">
        <v>5590</v>
      </c>
      <c r="O1359" s="21"/>
      <c r="P1359" s="21"/>
      <c r="Q1359" s="21"/>
      <c r="R1359" s="21"/>
      <c r="S1359" s="21"/>
      <c r="T1359" s="22">
        <f>IFERROR(__xludf.DUMMYFUNCTION("IFERROR(GOOGLEFINANCE(B1359,""price""),"""")"),34.08)</f>
        <v>34.08</v>
      </c>
    </row>
    <row r="1360">
      <c r="A1360" s="7">
        <v>46092.66771414615</v>
      </c>
      <c r="B1360" s="8" t="s">
        <v>5591</v>
      </c>
      <c r="C1360" s="8" t="s">
        <v>5592</v>
      </c>
      <c r="D1360" s="9">
        <v>46096.0</v>
      </c>
      <c r="E1360" s="10">
        <v>10.84</v>
      </c>
      <c r="F1360" s="26">
        <v>1.2344</v>
      </c>
      <c r="G1360" s="12">
        <v>5.5152199E7</v>
      </c>
      <c r="H1360" s="8" t="s">
        <v>308</v>
      </c>
      <c r="I1360" s="11">
        <v>24.8848</v>
      </c>
      <c r="J1360" s="12">
        <v>2.501793718E9</v>
      </c>
      <c r="K1360" s="13"/>
      <c r="L1360" s="13">
        <v>-0.5698</v>
      </c>
      <c r="M1360" s="8" t="s">
        <v>5593</v>
      </c>
      <c r="N1360" s="8" t="s">
        <v>5414</v>
      </c>
      <c r="O1360" s="13">
        <v>-29.5457</v>
      </c>
      <c r="P1360" s="13">
        <v>-195.3894</v>
      </c>
      <c r="Q1360" s="13">
        <v>-44.8801</v>
      </c>
      <c r="R1360" s="13">
        <v>0.0146</v>
      </c>
      <c r="S1360" s="13">
        <v>4.9867</v>
      </c>
      <c r="T1360" s="14">
        <f>IFERROR(__xludf.DUMMYFUNCTION("IFERROR(GOOGLEFINANCE(B1360,""price""),"""")"),9.54)</f>
        <v>9.54</v>
      </c>
    </row>
    <row r="1361">
      <c r="A1361" s="15">
        <v>46092.66771414615</v>
      </c>
      <c r="B1361" s="16" t="s">
        <v>5604</v>
      </c>
      <c r="C1361" s="16" t="s">
        <v>5605</v>
      </c>
      <c r="D1361" s="17">
        <v>46096.0</v>
      </c>
      <c r="E1361" s="18">
        <v>127.01</v>
      </c>
      <c r="F1361" s="27">
        <v>1.2313</v>
      </c>
      <c r="G1361" s="20">
        <v>1.0216486E7</v>
      </c>
      <c r="H1361" s="16" t="s">
        <v>308</v>
      </c>
      <c r="I1361" s="19">
        <v>5.4112</v>
      </c>
      <c r="J1361" s="20">
        <v>9.551002216E9</v>
      </c>
      <c r="K1361" s="21"/>
      <c r="L1361" s="21">
        <v>-0.6555</v>
      </c>
      <c r="M1361" s="16" t="s">
        <v>5606</v>
      </c>
      <c r="N1361" s="16" t="s">
        <v>5414</v>
      </c>
      <c r="O1361" s="21">
        <v>-7.9391</v>
      </c>
      <c r="P1361" s="21">
        <v>-11.9814</v>
      </c>
      <c r="Q1361" s="21">
        <v>82.7502</v>
      </c>
      <c r="R1361" s="21">
        <v>0.338</v>
      </c>
      <c r="S1361" s="21">
        <v>2.6264</v>
      </c>
      <c r="T1361" s="22">
        <f>IFERROR(__xludf.DUMMYFUNCTION("IFERROR(GOOGLEFINANCE(B1361,""price""),"""")"),150.6)</f>
        <v>150.6</v>
      </c>
    </row>
    <row r="1362">
      <c r="A1362" s="7">
        <v>46092.66771414615</v>
      </c>
      <c r="B1362" s="8" t="s">
        <v>5514</v>
      </c>
      <c r="C1362" s="8" t="s">
        <v>5515</v>
      </c>
      <c r="D1362" s="9">
        <v>46096.0</v>
      </c>
      <c r="E1362" s="10">
        <v>8.27</v>
      </c>
      <c r="F1362" s="26">
        <v>1.166</v>
      </c>
      <c r="G1362" s="12">
        <v>1.7186169E7</v>
      </c>
      <c r="H1362" s="8" t="s">
        <v>117</v>
      </c>
      <c r="I1362" s="11">
        <v>3.2459</v>
      </c>
      <c r="J1362" s="12">
        <v>8.502481936E9</v>
      </c>
      <c r="K1362" s="13"/>
      <c r="L1362" s="13">
        <v>-0.3898</v>
      </c>
      <c r="M1362" s="8" t="s">
        <v>5516</v>
      </c>
      <c r="N1362" s="8" t="s">
        <v>5491</v>
      </c>
      <c r="O1362" s="13"/>
      <c r="P1362" s="13">
        <v>-225.9966</v>
      </c>
      <c r="Q1362" s="13">
        <v>668.3147</v>
      </c>
      <c r="R1362" s="13"/>
      <c r="S1362" s="13">
        <v>5.0989</v>
      </c>
      <c r="T1362" s="14">
        <f>IFERROR(__xludf.DUMMYFUNCTION("IFERROR(GOOGLEFINANCE(B1362,""price""),"""")"),7.28)</f>
        <v>7.28</v>
      </c>
    </row>
    <row r="1363">
      <c r="A1363" s="15">
        <v>46092.66771414615</v>
      </c>
      <c r="B1363" s="16" t="s">
        <v>5533</v>
      </c>
      <c r="C1363" s="16" t="s">
        <v>5534</v>
      </c>
      <c r="D1363" s="17">
        <v>46096.0</v>
      </c>
      <c r="E1363" s="18">
        <v>8.14</v>
      </c>
      <c r="F1363" s="27">
        <v>1.166</v>
      </c>
      <c r="G1363" s="20">
        <v>1.7271989E7</v>
      </c>
      <c r="H1363" s="16" t="s">
        <v>102</v>
      </c>
      <c r="I1363" s="19">
        <v>2.005</v>
      </c>
      <c r="J1363" s="20">
        <v>2.202462718E9</v>
      </c>
      <c r="K1363" s="21"/>
      <c r="L1363" s="21">
        <v>-3.7839</v>
      </c>
      <c r="M1363" s="16" t="s">
        <v>5535</v>
      </c>
      <c r="N1363" s="16" t="s">
        <v>5536</v>
      </c>
      <c r="O1363" s="21">
        <v>-55.984</v>
      </c>
      <c r="P1363" s="21">
        <v>-31.1477</v>
      </c>
      <c r="Q1363" s="21"/>
      <c r="R1363" s="21">
        <v>4.5088</v>
      </c>
      <c r="S1363" s="21">
        <v>1.1293</v>
      </c>
      <c r="T1363" s="22">
        <f>IFERROR(__xludf.DUMMYFUNCTION("IFERROR(GOOGLEFINANCE(B1363,""price""),"""")"),4.69)</f>
        <v>4.69</v>
      </c>
    </row>
    <row r="1364">
      <c r="A1364" s="7">
        <v>46092.66771414615</v>
      </c>
      <c r="B1364" s="8" t="s">
        <v>5773</v>
      </c>
      <c r="C1364" s="8" t="s">
        <v>5774</v>
      </c>
      <c r="D1364" s="9">
        <v>46096.0</v>
      </c>
      <c r="E1364" s="10">
        <v>2.01</v>
      </c>
      <c r="F1364" s="26">
        <v>1.1328</v>
      </c>
      <c r="G1364" s="12">
        <v>1.15980211E8</v>
      </c>
      <c r="H1364" s="8" t="s">
        <v>245</v>
      </c>
      <c r="I1364" s="11">
        <v>-16.5975</v>
      </c>
      <c r="J1364" s="12">
        <v>9.66860026E8</v>
      </c>
      <c r="K1364" s="13"/>
      <c r="L1364" s="13">
        <v>-1.4644</v>
      </c>
      <c r="M1364" s="8" t="s">
        <v>5775</v>
      </c>
      <c r="N1364" s="8" t="s">
        <v>5776</v>
      </c>
      <c r="O1364" s="13">
        <v>-80.9463</v>
      </c>
      <c r="P1364" s="13">
        <v>-20.4446</v>
      </c>
      <c r="Q1364" s="13">
        <v>-22.6468</v>
      </c>
      <c r="R1364" s="13">
        <v>5.7984</v>
      </c>
      <c r="S1364" s="13">
        <v>0.7476</v>
      </c>
      <c r="T1364" s="14">
        <f>IFERROR(__xludf.DUMMYFUNCTION("IFERROR(GOOGLEFINANCE(B1364,""price""),"""")"),2.57)</f>
        <v>2.57</v>
      </c>
    </row>
    <row r="1365">
      <c r="A1365" s="15">
        <v>46092.66771414615</v>
      </c>
      <c r="B1365" s="16" t="s">
        <v>6087</v>
      </c>
      <c r="C1365" s="16" t="s">
        <v>6088</v>
      </c>
      <c r="D1365" s="17">
        <v>46096.0</v>
      </c>
      <c r="E1365" s="18">
        <v>7.44</v>
      </c>
      <c r="F1365" s="27">
        <v>1.0879</v>
      </c>
      <c r="G1365" s="20">
        <v>9096300.0</v>
      </c>
      <c r="H1365" s="16" t="s">
        <v>102</v>
      </c>
      <c r="I1365" s="19">
        <v>6.2857</v>
      </c>
      <c r="J1365" s="20">
        <v>1.136171191E9</v>
      </c>
      <c r="K1365" s="21"/>
      <c r="L1365" s="21">
        <v>-0.6318</v>
      </c>
      <c r="M1365" s="16" t="s">
        <v>6089</v>
      </c>
      <c r="N1365" s="16" t="s">
        <v>5536</v>
      </c>
      <c r="O1365" s="21">
        <v>-104.168</v>
      </c>
      <c r="P1365" s="21">
        <v>-5151.455</v>
      </c>
      <c r="Q1365" s="21">
        <v>535.8653</v>
      </c>
      <c r="R1365" s="21">
        <v>0.1096</v>
      </c>
      <c r="S1365" s="21">
        <v>2.2985</v>
      </c>
      <c r="T1365" s="22">
        <f>IFERROR(__xludf.DUMMYFUNCTION("IFERROR(GOOGLEFINANCE(B1365,""price""),"""")"),7.04)</f>
        <v>7.04</v>
      </c>
    </row>
    <row r="1366">
      <c r="A1366" s="7">
        <v>46092.66771414615</v>
      </c>
      <c r="B1366" s="8" t="s">
        <v>5537</v>
      </c>
      <c r="C1366" s="8" t="s">
        <v>5538</v>
      </c>
      <c r="D1366" s="9">
        <v>46096.0</v>
      </c>
      <c r="E1366" s="10">
        <v>2.43</v>
      </c>
      <c r="F1366" s="26">
        <v>1.0469</v>
      </c>
      <c r="G1366" s="12">
        <v>1.0063889E7</v>
      </c>
      <c r="H1366" s="8" t="s">
        <v>112</v>
      </c>
      <c r="I1366" s="11">
        <v>-1.6194</v>
      </c>
      <c r="J1366" s="12">
        <v>5.43338197E8</v>
      </c>
      <c r="K1366" s="13"/>
      <c r="L1366" s="13">
        <v>-0.135</v>
      </c>
      <c r="M1366" s="8" t="s">
        <v>5539</v>
      </c>
      <c r="N1366" s="8" t="s">
        <v>5540</v>
      </c>
      <c r="O1366" s="13">
        <v>-10.5751</v>
      </c>
      <c r="P1366" s="13">
        <v>-523.9108</v>
      </c>
      <c r="Q1366" s="13">
        <v>12.4146</v>
      </c>
      <c r="R1366" s="13">
        <v>0.0018</v>
      </c>
      <c r="S1366" s="13">
        <v>35.7348</v>
      </c>
      <c r="T1366" s="14">
        <f>IFERROR(__xludf.DUMMYFUNCTION("IFERROR(GOOGLEFINANCE(B1366,""price""),"""")"),2.01)</f>
        <v>2.01</v>
      </c>
    </row>
    <row r="1367">
      <c r="A1367" s="15">
        <v>46092.66771414615</v>
      </c>
      <c r="B1367" s="16" t="s">
        <v>5434</v>
      </c>
      <c r="C1367" s="16" t="s">
        <v>5435</v>
      </c>
      <c r="D1367" s="17">
        <v>46096.0</v>
      </c>
      <c r="E1367" s="18">
        <v>9.83</v>
      </c>
      <c r="F1367" s="27">
        <v>1.0449</v>
      </c>
      <c r="G1367" s="20">
        <v>8.7318856E7</v>
      </c>
      <c r="H1367" s="16" t="s">
        <v>308</v>
      </c>
      <c r="I1367" s="19">
        <v>-1.7982</v>
      </c>
      <c r="J1367" s="20">
        <v>4.419208475E9</v>
      </c>
      <c r="K1367" s="21"/>
      <c r="L1367" s="21">
        <v>-0.4034</v>
      </c>
      <c r="M1367" s="16" t="s">
        <v>5436</v>
      </c>
      <c r="N1367" s="16" t="s">
        <v>5437</v>
      </c>
      <c r="O1367" s="21">
        <v>-17.0422</v>
      </c>
      <c r="P1367" s="21">
        <v>-176.0921</v>
      </c>
      <c r="Q1367" s="21">
        <v>208.4002</v>
      </c>
      <c r="R1367" s="21">
        <v>0.037</v>
      </c>
      <c r="S1367" s="21">
        <v>15.2957</v>
      </c>
      <c r="T1367" s="22">
        <f>IFERROR(__xludf.DUMMYFUNCTION("IFERROR(GOOGLEFINANCE(B1367,""price""),"""")"),9.13)</f>
        <v>9.13</v>
      </c>
    </row>
    <row r="1368">
      <c r="A1368" s="7">
        <v>46092.66771414615</v>
      </c>
      <c r="B1368" s="8" t="s">
        <v>5544</v>
      </c>
      <c r="C1368" s="8" t="s">
        <v>6105</v>
      </c>
      <c r="D1368" s="9">
        <v>46096.0</v>
      </c>
      <c r="E1368" s="10">
        <v>14.11</v>
      </c>
      <c r="F1368" s="26">
        <v>1.0443</v>
      </c>
      <c r="G1368" s="12">
        <v>2.6744898E7</v>
      </c>
      <c r="H1368" s="8" t="s">
        <v>88</v>
      </c>
      <c r="I1368" s="11">
        <v>1.0745</v>
      </c>
      <c r="J1368" s="12">
        <v>5.716234965E9</v>
      </c>
      <c r="K1368" s="13"/>
      <c r="L1368" s="13">
        <v>-2.0516</v>
      </c>
      <c r="M1368" s="8" t="s">
        <v>5546</v>
      </c>
      <c r="N1368" s="8" t="s">
        <v>5471</v>
      </c>
      <c r="O1368" s="13">
        <v>-110.5547</v>
      </c>
      <c r="P1368" s="13">
        <v>-76.6975</v>
      </c>
      <c r="Q1368" s="13">
        <v>48.0413</v>
      </c>
      <c r="R1368" s="13">
        <v>3.435</v>
      </c>
      <c r="S1368" s="13">
        <v>3.7948</v>
      </c>
      <c r="T1368" s="14">
        <f>IFERROR(__xludf.DUMMYFUNCTION("IFERROR(GOOGLEFINANCE(B1368,""price""),"""")"),16.53)</f>
        <v>16.53</v>
      </c>
    </row>
    <row r="1369">
      <c r="A1369" s="15">
        <v>46092.66771414615</v>
      </c>
      <c r="B1369" s="16" t="s">
        <v>5744</v>
      </c>
      <c r="C1369" s="16" t="s">
        <v>5745</v>
      </c>
      <c r="D1369" s="17">
        <v>46096.0</v>
      </c>
      <c r="E1369" s="18">
        <v>25.88</v>
      </c>
      <c r="F1369" s="27">
        <v>1.0402</v>
      </c>
      <c r="G1369" s="20">
        <v>1.10682985E8</v>
      </c>
      <c r="H1369" s="16" t="s">
        <v>190</v>
      </c>
      <c r="I1369" s="19">
        <v>10.2684</v>
      </c>
      <c r="J1369" s="20">
        <v>5.899055064E9</v>
      </c>
      <c r="K1369" s="21">
        <v>49.569</v>
      </c>
      <c r="L1369" s="21">
        <v>0.5221</v>
      </c>
      <c r="M1369" s="16" t="s">
        <v>5746</v>
      </c>
      <c r="N1369" s="16" t="s">
        <v>5747</v>
      </c>
      <c r="O1369" s="21">
        <v>25.2279</v>
      </c>
      <c r="P1369" s="21">
        <v>5.1834</v>
      </c>
      <c r="Q1369" s="21">
        <v>58.9986</v>
      </c>
      <c r="R1369" s="21">
        <v>2.0716</v>
      </c>
      <c r="S1369" s="21">
        <v>1.8981</v>
      </c>
      <c r="T1369" s="22">
        <f>IFERROR(__xludf.DUMMYFUNCTION("IFERROR(GOOGLEFINANCE(B1369,""price""),"""")"),19.43)</f>
        <v>19.43</v>
      </c>
    </row>
    <row r="1370">
      <c r="A1370" s="7">
        <v>46092.66771414615</v>
      </c>
      <c r="B1370" s="8" t="s">
        <v>5754</v>
      </c>
      <c r="C1370" s="8" t="s">
        <v>5755</v>
      </c>
      <c r="D1370" s="9">
        <v>46096.0</v>
      </c>
      <c r="E1370" s="10">
        <v>5.27</v>
      </c>
      <c r="F1370" s="26">
        <v>1.0352</v>
      </c>
      <c r="G1370" s="12">
        <v>5.282246E7</v>
      </c>
      <c r="H1370" s="8" t="s">
        <v>93</v>
      </c>
      <c r="I1370" s="11">
        <v>5.1896</v>
      </c>
      <c r="J1370" s="12">
        <v>5.050375619E9</v>
      </c>
      <c r="K1370" s="13"/>
      <c r="L1370" s="13">
        <v>-1.5386</v>
      </c>
      <c r="M1370" s="8" t="s">
        <v>5756</v>
      </c>
      <c r="N1370" s="8" t="s">
        <v>5757</v>
      </c>
      <c r="O1370" s="13">
        <v>-151.3388</v>
      </c>
      <c r="P1370" s="13">
        <v>-6.2457</v>
      </c>
      <c r="Q1370" s="13">
        <v>-15.1756</v>
      </c>
      <c r="R1370" s="13">
        <v>1.3134</v>
      </c>
      <c r="S1370" s="13">
        <v>7.0306</v>
      </c>
      <c r="T1370" s="14">
        <f>IFERROR(__xludf.DUMMYFUNCTION("IFERROR(GOOGLEFINANCE(B1370,""price""),"""")"),4.32)</f>
        <v>4.32</v>
      </c>
    </row>
    <row r="1371">
      <c r="A1371" s="15">
        <v>46092.66771414615</v>
      </c>
      <c r="B1371" s="16" t="s">
        <v>5567</v>
      </c>
      <c r="C1371" s="16" t="s">
        <v>5568</v>
      </c>
      <c r="D1371" s="17">
        <v>46096.0</v>
      </c>
      <c r="E1371" s="18">
        <v>159.21</v>
      </c>
      <c r="F1371" s="27">
        <v>1.031</v>
      </c>
      <c r="G1371" s="20">
        <v>9302112.0</v>
      </c>
      <c r="H1371" s="16" t="s">
        <v>308</v>
      </c>
      <c r="I1371" s="19">
        <v>3.3831</v>
      </c>
      <c r="J1371" s="20">
        <v>4.4666081752E10</v>
      </c>
      <c r="K1371" s="21"/>
      <c r="L1371" s="21">
        <v>-0.3809</v>
      </c>
      <c r="M1371" s="16" t="s">
        <v>5569</v>
      </c>
      <c r="N1371" s="16" t="s">
        <v>5433</v>
      </c>
      <c r="O1371" s="21">
        <v>-13.2874</v>
      </c>
      <c r="P1371" s="21">
        <v>5.4633</v>
      </c>
      <c r="Q1371" s="21">
        <v>37.3263</v>
      </c>
      <c r="R1371" s="21">
        <v>3.8975</v>
      </c>
      <c r="S1371" s="21">
        <v>5.9285</v>
      </c>
      <c r="T1371" s="22">
        <f>IFERROR(__xludf.DUMMYFUNCTION("IFERROR(GOOGLEFINANCE(B1371,""price""),"""")"),166.7)</f>
        <v>166.7</v>
      </c>
    </row>
    <row r="1372">
      <c r="A1372" s="7">
        <v>46092.66771414615</v>
      </c>
      <c r="B1372" s="8" t="s">
        <v>5122</v>
      </c>
      <c r="C1372" s="8" t="s">
        <v>5123</v>
      </c>
      <c r="D1372" s="9">
        <v>46096.0</v>
      </c>
      <c r="E1372" s="10">
        <v>18.59</v>
      </c>
      <c r="F1372" s="26">
        <v>1.0249</v>
      </c>
      <c r="G1372" s="12">
        <v>1.0957256E7</v>
      </c>
      <c r="H1372" s="8" t="s">
        <v>102</v>
      </c>
      <c r="I1372" s="11">
        <v>3.2778</v>
      </c>
      <c r="J1372" s="12">
        <v>2.547183157E9</v>
      </c>
      <c r="K1372" s="13"/>
      <c r="L1372" s="13">
        <v>-0.3472</v>
      </c>
      <c r="M1372" s="8" t="s">
        <v>5124</v>
      </c>
      <c r="N1372" s="8" t="s">
        <v>5536</v>
      </c>
      <c r="O1372" s="13">
        <v>-50.8105</v>
      </c>
      <c r="P1372" s="13">
        <v>-33.0389</v>
      </c>
      <c r="Q1372" s="13">
        <v>202.1103</v>
      </c>
      <c r="R1372" s="13">
        <v>0.3841</v>
      </c>
      <c r="S1372" s="13">
        <v>7.0758</v>
      </c>
      <c r="T1372" s="14">
        <f>IFERROR(__xludf.DUMMYFUNCTION("IFERROR(GOOGLEFINANCE(B1372,""price""),"""")"),17.22)</f>
        <v>17.22</v>
      </c>
    </row>
    <row r="1373">
      <c r="A1373" s="15">
        <v>46092.66771414615</v>
      </c>
      <c r="B1373" s="16" t="s">
        <v>5561</v>
      </c>
      <c r="C1373" s="16" t="s">
        <v>5562</v>
      </c>
      <c r="D1373" s="17">
        <v>46096.0</v>
      </c>
      <c r="E1373" s="18">
        <v>12.38</v>
      </c>
      <c r="F1373" s="27">
        <v>1.0225</v>
      </c>
      <c r="G1373" s="20">
        <v>1.7048876E7</v>
      </c>
      <c r="H1373" s="16" t="s">
        <v>102</v>
      </c>
      <c r="I1373" s="19">
        <v>2.9094</v>
      </c>
      <c r="J1373" s="20">
        <v>4.184642127E9</v>
      </c>
      <c r="K1373" s="21"/>
      <c r="L1373" s="21">
        <v>-2.2522</v>
      </c>
      <c r="M1373" s="16" t="s">
        <v>5563</v>
      </c>
      <c r="N1373" s="16" t="s">
        <v>5536</v>
      </c>
      <c r="O1373" s="21">
        <v>-39.8083</v>
      </c>
      <c r="P1373" s="21">
        <v>-2190.5747</v>
      </c>
      <c r="Q1373" s="21">
        <v>-15.025</v>
      </c>
      <c r="R1373" s="21">
        <v>0.0</v>
      </c>
      <c r="S1373" s="21">
        <v>4.2984</v>
      </c>
      <c r="T1373" s="22">
        <f>IFERROR(__xludf.DUMMYFUNCTION("IFERROR(GOOGLEFINANCE(B1373,""price""),"""")"),9.21)</f>
        <v>9.21</v>
      </c>
    </row>
    <row r="1374">
      <c r="A1374" s="7">
        <v>46092.66771414615</v>
      </c>
      <c r="B1374" s="8" t="s">
        <v>5594</v>
      </c>
      <c r="C1374" s="8" t="s">
        <v>5595</v>
      </c>
      <c r="D1374" s="9">
        <v>46096.0</v>
      </c>
      <c r="E1374" s="10">
        <v>15.22</v>
      </c>
      <c r="F1374" s="26">
        <v>1.0078</v>
      </c>
      <c r="G1374" s="12">
        <v>3.1809515E7</v>
      </c>
      <c r="H1374" s="8" t="s">
        <v>88</v>
      </c>
      <c r="I1374" s="11">
        <v>6.0627</v>
      </c>
      <c r="J1374" s="12">
        <v>6.454316885E9</v>
      </c>
      <c r="K1374" s="13"/>
      <c r="L1374" s="13">
        <v>-1.661</v>
      </c>
      <c r="M1374" s="8" t="s">
        <v>5596</v>
      </c>
      <c r="N1374" s="8" t="s">
        <v>5471</v>
      </c>
      <c r="O1374" s="13">
        <v>-343.6909</v>
      </c>
      <c r="P1374" s="13">
        <v>-100.2101</v>
      </c>
      <c r="Q1374" s="13">
        <v>20.2812</v>
      </c>
      <c r="R1374" s="13">
        <v>36.9947</v>
      </c>
      <c r="S1374" s="13">
        <v>2.0038</v>
      </c>
      <c r="T1374" s="14">
        <f>IFERROR(__xludf.DUMMYFUNCTION("IFERROR(GOOGLEFINANCE(B1374,""price""),"""")"),18.88)</f>
        <v>18.88</v>
      </c>
    </row>
    <row r="1375">
      <c r="A1375" s="15">
        <v>46092.66771414615</v>
      </c>
      <c r="B1375" s="16" t="s">
        <v>5422</v>
      </c>
      <c r="C1375" s="16" t="s">
        <v>5423</v>
      </c>
      <c r="D1375" s="17">
        <v>46096.0</v>
      </c>
      <c r="E1375" s="18">
        <v>21.09</v>
      </c>
      <c r="F1375" s="27">
        <v>1.0005</v>
      </c>
      <c r="G1375" s="20">
        <v>1.3492334E7</v>
      </c>
      <c r="H1375" s="16" t="s">
        <v>102</v>
      </c>
      <c r="I1375" s="19">
        <v>3.1296</v>
      </c>
      <c r="J1375" s="20">
        <v>4.596368339E9</v>
      </c>
      <c r="K1375" s="21"/>
      <c r="L1375" s="21">
        <v>-2.5128</v>
      </c>
      <c r="M1375" s="16" t="s">
        <v>5424</v>
      </c>
      <c r="N1375" s="16" t="s">
        <v>5425</v>
      </c>
      <c r="O1375" s="21">
        <v>-255.9098</v>
      </c>
      <c r="P1375" s="21"/>
      <c r="Q1375" s="21"/>
      <c r="R1375" s="21"/>
      <c r="S1375" s="21">
        <v>16.5111</v>
      </c>
      <c r="T1375" s="22">
        <f>IFERROR(__xludf.DUMMYFUNCTION("IFERROR(GOOGLEFINANCE(B1375,""price""),"""")"),16.15)</f>
        <v>16.15</v>
      </c>
    </row>
    <row r="1376">
      <c r="A1376" s="7">
        <v>46092.66771414615</v>
      </c>
      <c r="B1376" s="8" t="s">
        <v>5607</v>
      </c>
      <c r="C1376" s="8" t="s">
        <v>5608</v>
      </c>
      <c r="D1376" s="9">
        <v>46096.0</v>
      </c>
      <c r="E1376" s="10">
        <v>18.45</v>
      </c>
      <c r="F1376" s="26">
        <v>0.9974</v>
      </c>
      <c r="G1376" s="12">
        <v>1.4292662E7</v>
      </c>
      <c r="H1376" s="8" t="s">
        <v>308</v>
      </c>
      <c r="I1376" s="11">
        <v>4.3552</v>
      </c>
      <c r="J1376" s="12">
        <v>3.749225861E9</v>
      </c>
      <c r="K1376" s="13"/>
      <c r="L1376" s="13">
        <v>-1.8673</v>
      </c>
      <c r="M1376" s="8" t="s">
        <v>5609</v>
      </c>
      <c r="N1376" s="8" t="s">
        <v>5520</v>
      </c>
      <c r="O1376" s="13"/>
      <c r="P1376" s="13">
        <v>-30.7058</v>
      </c>
      <c r="Q1376" s="13">
        <v>8.0687</v>
      </c>
      <c r="R1376" s="13"/>
      <c r="S1376" s="13">
        <v>6.2531</v>
      </c>
      <c r="T1376" s="14">
        <f>IFERROR(__xludf.DUMMYFUNCTION("IFERROR(GOOGLEFINANCE(B1376,""price""),"""")"),23.57)</f>
        <v>23.57</v>
      </c>
    </row>
    <row r="1377">
      <c r="A1377" s="15">
        <v>46092.66771414615</v>
      </c>
      <c r="B1377" s="16" t="s">
        <v>5558</v>
      </c>
      <c r="C1377" s="16" t="s">
        <v>5559</v>
      </c>
      <c r="D1377" s="17">
        <v>46096.0</v>
      </c>
      <c r="E1377" s="18">
        <v>6.45</v>
      </c>
      <c r="F1377" s="27">
        <v>0.9922</v>
      </c>
      <c r="G1377" s="20">
        <v>1.403748E7</v>
      </c>
      <c r="H1377" s="16" t="s">
        <v>102</v>
      </c>
      <c r="I1377" s="19">
        <v>0.624</v>
      </c>
      <c r="J1377" s="20">
        <v>2.189350958E9</v>
      </c>
      <c r="K1377" s="21"/>
      <c r="L1377" s="21">
        <v>-6.9942</v>
      </c>
      <c r="M1377" s="16" t="s">
        <v>5560</v>
      </c>
      <c r="N1377" s="16" t="s">
        <v>5536</v>
      </c>
      <c r="O1377" s="21"/>
      <c r="P1377" s="21">
        <v>-225.4661</v>
      </c>
      <c r="Q1377" s="21">
        <v>631.7891</v>
      </c>
      <c r="R1377" s="21"/>
      <c r="S1377" s="21">
        <v>4.9358</v>
      </c>
      <c r="T1377" s="22">
        <f>IFERROR(__xludf.DUMMYFUNCTION("IFERROR(GOOGLEFINANCE(B1377,""price""),"""")"),5.62)</f>
        <v>5.62</v>
      </c>
    </row>
    <row r="1378">
      <c r="A1378" s="7">
        <v>46092.66771414615</v>
      </c>
      <c r="B1378" s="8" t="s">
        <v>5499</v>
      </c>
      <c r="C1378" s="8" t="s">
        <v>5500</v>
      </c>
      <c r="D1378" s="9">
        <v>46096.0</v>
      </c>
      <c r="E1378" s="10">
        <v>4.84</v>
      </c>
      <c r="F1378" s="26">
        <v>0.9883</v>
      </c>
      <c r="G1378" s="12">
        <v>2.0691412E7</v>
      </c>
      <c r="H1378" s="8" t="s">
        <v>117</v>
      </c>
      <c r="I1378" s="11">
        <v>-6.9231</v>
      </c>
      <c r="J1378" s="12">
        <v>1.993894114E9</v>
      </c>
      <c r="K1378" s="13"/>
      <c r="L1378" s="13">
        <v>-1.1209</v>
      </c>
      <c r="M1378" s="8" t="s">
        <v>5501</v>
      </c>
      <c r="N1378" s="8" t="s">
        <v>5502</v>
      </c>
      <c r="O1378" s="13">
        <v>-55.4977</v>
      </c>
      <c r="P1378" s="13">
        <v>-151.1805</v>
      </c>
      <c r="Q1378" s="13">
        <v>60.5668</v>
      </c>
      <c r="R1378" s="13">
        <v>0.0708</v>
      </c>
      <c r="S1378" s="13">
        <v>3.1996</v>
      </c>
      <c r="T1378" s="14">
        <f>IFERROR(__xludf.DUMMYFUNCTION("IFERROR(GOOGLEFINANCE(B1378,""price""),"""")"),3.7)</f>
        <v>3.7</v>
      </c>
    </row>
    <row r="1379">
      <c r="A1379" s="15">
        <v>46092.66771414615</v>
      </c>
      <c r="B1379" s="16" t="s">
        <v>2704</v>
      </c>
      <c r="C1379" s="16" t="s">
        <v>2705</v>
      </c>
      <c r="D1379" s="17">
        <v>46096.0</v>
      </c>
      <c r="E1379" s="18">
        <v>28.52</v>
      </c>
      <c r="F1379" s="27">
        <v>0.9795</v>
      </c>
      <c r="G1379" s="20">
        <v>1.7775041E7</v>
      </c>
      <c r="H1379" s="16" t="s">
        <v>88</v>
      </c>
      <c r="I1379" s="19">
        <v>4.0876</v>
      </c>
      <c r="J1379" s="20">
        <v>7.973787345E9</v>
      </c>
      <c r="K1379" s="21"/>
      <c r="L1379" s="21">
        <v>-0.5438</v>
      </c>
      <c r="M1379" s="16" t="s">
        <v>2707</v>
      </c>
      <c r="N1379" s="16" t="s">
        <v>5471</v>
      </c>
      <c r="O1379" s="21">
        <v>-11.4029</v>
      </c>
      <c r="P1379" s="21">
        <v>-26.4624</v>
      </c>
      <c r="Q1379" s="21">
        <v>33.135</v>
      </c>
      <c r="R1379" s="21">
        <v>1.6778</v>
      </c>
      <c r="S1379" s="21">
        <v>4.8227</v>
      </c>
      <c r="T1379" s="22">
        <f>IFERROR(__xludf.DUMMYFUNCTION("IFERROR(GOOGLEFINANCE(B1379,""price""),"""")"),26.24)</f>
        <v>26.24</v>
      </c>
    </row>
    <row r="1380">
      <c r="A1380" s="7">
        <v>46092.66771414615</v>
      </c>
      <c r="B1380" s="8" t="s">
        <v>5554</v>
      </c>
      <c r="C1380" s="8" t="s">
        <v>5555</v>
      </c>
      <c r="D1380" s="9">
        <v>46096.0</v>
      </c>
      <c r="E1380" s="10">
        <v>88.21</v>
      </c>
      <c r="F1380" s="26">
        <v>0.9757</v>
      </c>
      <c r="G1380" s="12">
        <v>1.0033502E7</v>
      </c>
      <c r="H1380" s="8" t="s">
        <v>873</v>
      </c>
      <c r="I1380" s="11">
        <v>0.7769</v>
      </c>
      <c r="J1380" s="12">
        <v>3.3698635948E10</v>
      </c>
      <c r="K1380" s="13"/>
      <c r="L1380" s="13">
        <v>-1.3255</v>
      </c>
      <c r="M1380" s="8" t="s">
        <v>5556</v>
      </c>
      <c r="N1380" s="8" t="s">
        <v>5557</v>
      </c>
      <c r="O1380" s="13">
        <v>-29.4701</v>
      </c>
      <c r="P1380" s="13">
        <v>-405.6981</v>
      </c>
      <c r="Q1380" s="13">
        <v>1505.206</v>
      </c>
      <c r="R1380" s="13">
        <v>1.2162</v>
      </c>
      <c r="S1380" s="13">
        <v>16.3526</v>
      </c>
      <c r="T1380" s="14">
        <f>IFERROR(__xludf.DUMMYFUNCTION("IFERROR(GOOGLEFINANCE(B1380,""price""),"""")"),94.9)</f>
        <v>94.9</v>
      </c>
    </row>
    <row r="1381">
      <c r="A1381" s="15">
        <v>46092.66771414615</v>
      </c>
      <c r="B1381" s="16" t="s">
        <v>5517</v>
      </c>
      <c r="C1381" s="16" t="s">
        <v>5518</v>
      </c>
      <c r="D1381" s="17">
        <v>46096.0</v>
      </c>
      <c r="E1381" s="18">
        <v>9.46</v>
      </c>
      <c r="F1381" s="27">
        <v>0.9707</v>
      </c>
      <c r="G1381" s="20">
        <v>1.4323745E7</v>
      </c>
      <c r="H1381" s="16" t="s">
        <v>308</v>
      </c>
      <c r="I1381" s="19">
        <v>2.4919</v>
      </c>
      <c r="J1381" s="20">
        <v>1.816090974E9</v>
      </c>
      <c r="K1381" s="21"/>
      <c r="L1381" s="21">
        <v>-2.3761</v>
      </c>
      <c r="M1381" s="16" t="s">
        <v>5519</v>
      </c>
      <c r="N1381" s="16" t="s">
        <v>5520</v>
      </c>
      <c r="O1381" s="21">
        <v>-52.0031</v>
      </c>
      <c r="P1381" s="21">
        <v>-43.4124</v>
      </c>
      <c r="Q1381" s="21">
        <v>10.2861</v>
      </c>
      <c r="R1381" s="21">
        <v>0.1895</v>
      </c>
      <c r="S1381" s="21">
        <v>1.6246</v>
      </c>
      <c r="T1381" s="22">
        <f>IFERROR(__xludf.DUMMYFUNCTION("IFERROR(GOOGLEFINANCE(B1381,""price""),"""")"),9.29)</f>
        <v>9.29</v>
      </c>
    </row>
    <row r="1382">
      <c r="A1382" s="7">
        <v>46093.67034086053</v>
      </c>
      <c r="B1382" s="8" t="s">
        <v>981</v>
      </c>
      <c r="C1382" s="8" t="s">
        <v>982</v>
      </c>
      <c r="D1382" s="9">
        <v>46096.0</v>
      </c>
      <c r="E1382" s="10">
        <v>2.4</v>
      </c>
      <c r="F1382" s="26">
        <v>2.1094</v>
      </c>
      <c r="G1382" s="12">
        <v>4.6846097E7</v>
      </c>
      <c r="H1382" s="8" t="s">
        <v>137</v>
      </c>
      <c r="I1382" s="11">
        <v>47.2393</v>
      </c>
      <c r="J1382" s="12">
        <v>7.313655E7</v>
      </c>
      <c r="K1382" s="13"/>
      <c r="L1382" s="13">
        <v>-0.5819</v>
      </c>
      <c r="M1382" s="8" t="s">
        <v>984</v>
      </c>
      <c r="N1382" s="8" t="s">
        <v>5984</v>
      </c>
      <c r="O1382" s="13">
        <v>-18.7643</v>
      </c>
      <c r="P1382" s="13">
        <v>-12.1429</v>
      </c>
      <c r="Q1382" s="13">
        <v>-2.7865</v>
      </c>
      <c r="R1382" s="13">
        <v>2.002</v>
      </c>
      <c r="S1382" s="13">
        <v>1.2505</v>
      </c>
      <c r="T1382" s="14">
        <f>IFERROR(__xludf.DUMMYFUNCTION("IFERROR(GOOGLEFINANCE(B1382,""price""),"""")"),5.05)</f>
        <v>5.05</v>
      </c>
    </row>
    <row r="1383">
      <c r="A1383" s="15">
        <v>46093.67034086053</v>
      </c>
      <c r="B1383" s="16" t="s">
        <v>6142</v>
      </c>
      <c r="C1383" s="16" t="s">
        <v>6143</v>
      </c>
      <c r="D1383" s="17">
        <v>46096.0</v>
      </c>
      <c r="E1383" s="18">
        <v>13.78</v>
      </c>
      <c r="F1383" s="27">
        <v>1.8906</v>
      </c>
      <c r="G1383" s="20">
        <v>1.248943E7</v>
      </c>
      <c r="H1383" s="16" t="s">
        <v>88</v>
      </c>
      <c r="I1383" s="19">
        <v>-2.6836</v>
      </c>
      <c r="J1383" s="20">
        <v>4.68339434E9</v>
      </c>
      <c r="K1383" s="21"/>
      <c r="L1383" s="21">
        <v>-1.2538</v>
      </c>
      <c r="M1383" s="16" t="s">
        <v>6144</v>
      </c>
      <c r="N1383" s="16" t="s">
        <v>5429</v>
      </c>
      <c r="O1383" s="21">
        <v>-25.7908</v>
      </c>
      <c r="P1383" s="21">
        <v>-32.4439</v>
      </c>
      <c r="Q1383" s="21">
        <v>24.0913</v>
      </c>
      <c r="R1383" s="21">
        <v>0.0067</v>
      </c>
      <c r="S1383" s="21">
        <v>1.4169</v>
      </c>
      <c r="T1383" s="22">
        <f>IFERROR(__xludf.DUMMYFUNCTION("IFERROR(GOOGLEFINANCE(B1383,""price""),"""")"),11.94)</f>
        <v>11.94</v>
      </c>
    </row>
    <row r="1384">
      <c r="A1384" s="7">
        <v>46093.67034086053</v>
      </c>
      <c r="B1384" s="8" t="s">
        <v>6145</v>
      </c>
      <c r="C1384" s="8" t="s">
        <v>6146</v>
      </c>
      <c r="D1384" s="9">
        <v>46096.0</v>
      </c>
      <c r="E1384" s="10">
        <v>7.08</v>
      </c>
      <c r="F1384" s="26">
        <v>1.8184</v>
      </c>
      <c r="G1384" s="12">
        <v>3.1245482E7</v>
      </c>
      <c r="H1384" s="8" t="s">
        <v>107</v>
      </c>
      <c r="I1384" s="11">
        <v>41.0359</v>
      </c>
      <c r="J1384" s="12">
        <v>1.029648774E9</v>
      </c>
      <c r="K1384" s="13"/>
      <c r="L1384" s="13">
        <v>-0.1621</v>
      </c>
      <c r="M1384" s="8" t="s">
        <v>6147</v>
      </c>
      <c r="N1384" s="8" t="s">
        <v>5613</v>
      </c>
      <c r="O1384" s="13">
        <v>-54.375</v>
      </c>
      <c r="P1384" s="13">
        <v>-20561.9065</v>
      </c>
      <c r="Q1384" s="13">
        <v>-11.1185</v>
      </c>
      <c r="R1384" s="13">
        <v>0.0641</v>
      </c>
      <c r="S1384" s="13">
        <v>31.0569</v>
      </c>
      <c r="T1384" s="14">
        <f>IFERROR(__xludf.DUMMYFUNCTION("IFERROR(GOOGLEFINANCE(B1384,""price""),"""")"),10.6)</f>
        <v>10.6</v>
      </c>
    </row>
    <row r="1385">
      <c r="A1385" s="15">
        <v>46093.67034086053</v>
      </c>
      <c r="B1385" s="16" t="s">
        <v>5640</v>
      </c>
      <c r="C1385" s="16" t="s">
        <v>5641</v>
      </c>
      <c r="D1385" s="17">
        <v>46096.0</v>
      </c>
      <c r="E1385" s="18">
        <v>46.73</v>
      </c>
      <c r="F1385" s="27">
        <v>1.6138</v>
      </c>
      <c r="G1385" s="20">
        <v>1.1855175E7</v>
      </c>
      <c r="H1385" s="16" t="s">
        <v>308</v>
      </c>
      <c r="I1385" s="19">
        <v>-1.3302</v>
      </c>
      <c r="J1385" s="20">
        <v>2.582961459E9</v>
      </c>
      <c r="K1385" s="21"/>
      <c r="L1385" s="21">
        <v>-0.4882</v>
      </c>
      <c r="M1385" s="16" t="s">
        <v>5642</v>
      </c>
      <c r="N1385" s="16" t="s">
        <v>5433</v>
      </c>
      <c r="O1385" s="21">
        <v>-9.1233</v>
      </c>
      <c r="P1385" s="21">
        <v>-24.8806</v>
      </c>
      <c r="Q1385" s="21">
        <v>-11.106</v>
      </c>
      <c r="R1385" s="21">
        <v>0.2351</v>
      </c>
      <c r="S1385" s="21">
        <v>2.7231</v>
      </c>
      <c r="T1385" s="22">
        <f>IFERROR(__xludf.DUMMYFUNCTION("IFERROR(GOOGLEFINANCE(B1385,""price""),"""")"),64.18)</f>
        <v>64.18</v>
      </c>
    </row>
    <row r="1386">
      <c r="A1386" s="7">
        <v>46093.67034086053</v>
      </c>
      <c r="B1386" s="8" t="s">
        <v>5551</v>
      </c>
      <c r="C1386" s="8" t="s">
        <v>5552</v>
      </c>
      <c r="D1386" s="9">
        <v>46096.0</v>
      </c>
      <c r="E1386" s="10">
        <v>1.05</v>
      </c>
      <c r="F1386" s="26">
        <v>1.5</v>
      </c>
      <c r="G1386" s="12">
        <v>2.1774276E7</v>
      </c>
      <c r="H1386" s="8" t="s">
        <v>88</v>
      </c>
      <c r="I1386" s="11">
        <v>-7.0796</v>
      </c>
      <c r="J1386" s="12">
        <v>9.73985245E8</v>
      </c>
      <c r="K1386" s="13"/>
      <c r="L1386" s="13">
        <v>-4.0733</v>
      </c>
      <c r="M1386" s="8" t="s">
        <v>5553</v>
      </c>
      <c r="N1386" s="8" t="s">
        <v>5471</v>
      </c>
      <c r="O1386" s="13"/>
      <c r="P1386" s="13">
        <v>12.2</v>
      </c>
      <c r="Q1386" s="13">
        <v>608.2915</v>
      </c>
      <c r="R1386" s="13"/>
      <c r="S1386" s="13"/>
      <c r="T1386" s="14">
        <f>IFERROR(__xludf.DUMMYFUNCTION("IFERROR(GOOGLEFINANCE(B1386,""price""),"""")"),0.95)</f>
        <v>0.95</v>
      </c>
    </row>
    <row r="1387">
      <c r="A1387" s="15">
        <v>46093.67034086053</v>
      </c>
      <c r="B1387" s="16" t="s">
        <v>6148</v>
      </c>
      <c r="C1387" s="16" t="s">
        <v>6149</v>
      </c>
      <c r="D1387" s="17">
        <v>46096.0</v>
      </c>
      <c r="E1387" s="18">
        <v>22.15</v>
      </c>
      <c r="F1387" s="27">
        <v>1.3096</v>
      </c>
      <c r="G1387" s="20">
        <v>1.0255245E7</v>
      </c>
      <c r="H1387" s="16" t="s">
        <v>308</v>
      </c>
      <c r="I1387" s="19">
        <v>11.6431</v>
      </c>
      <c r="J1387" s="20">
        <v>8.16793424E8</v>
      </c>
      <c r="K1387" s="21"/>
      <c r="L1387" s="21">
        <v>-0.7527</v>
      </c>
      <c r="M1387" s="16" t="s">
        <v>6150</v>
      </c>
      <c r="N1387" s="16" t="s">
        <v>6151</v>
      </c>
      <c r="O1387" s="21">
        <v>-20.2296</v>
      </c>
      <c r="P1387" s="21">
        <v>-224.5876</v>
      </c>
      <c r="Q1387" s="21">
        <v>101.2323</v>
      </c>
      <c r="R1387" s="21">
        <v>0.015</v>
      </c>
      <c r="S1387" s="21">
        <v>61.3188</v>
      </c>
      <c r="T1387" s="22">
        <f>IFERROR(__xludf.DUMMYFUNCTION("IFERROR(GOOGLEFINANCE(B1387,""price""),"""")"),13.7)</f>
        <v>13.7</v>
      </c>
    </row>
    <row r="1388">
      <c r="A1388" s="7">
        <v>46093.67034086053</v>
      </c>
      <c r="B1388" s="8" t="s">
        <v>6152</v>
      </c>
      <c r="C1388" s="8" t="s">
        <v>6153</v>
      </c>
      <c r="D1388" s="9">
        <v>46096.0</v>
      </c>
      <c r="E1388" s="10">
        <v>17.55</v>
      </c>
      <c r="F1388" s="26">
        <v>1.2432</v>
      </c>
      <c r="G1388" s="12">
        <v>1.1354586E7</v>
      </c>
      <c r="H1388" s="8" t="s">
        <v>186</v>
      </c>
      <c r="I1388" s="11">
        <v>-11.0942</v>
      </c>
      <c r="J1388" s="12">
        <v>5.079240304E9</v>
      </c>
      <c r="K1388" s="13"/>
      <c r="L1388" s="13">
        <v>-2.3028</v>
      </c>
      <c r="M1388" s="8" t="s">
        <v>6154</v>
      </c>
      <c r="N1388" s="8" t="s">
        <v>6155</v>
      </c>
      <c r="O1388" s="13"/>
      <c r="P1388" s="13">
        <v>5.6328</v>
      </c>
      <c r="Q1388" s="13">
        <v>-61.7068</v>
      </c>
      <c r="R1388" s="13">
        <v>0.0</v>
      </c>
      <c r="S1388" s="13">
        <v>2.2583</v>
      </c>
      <c r="T1388" s="14">
        <f>IFERROR(__xludf.DUMMYFUNCTION("IFERROR(GOOGLEFINANCE(B1388,""price""),"""")"),16.19)</f>
        <v>16.19</v>
      </c>
    </row>
    <row r="1389">
      <c r="A1389" s="15">
        <v>46093.67034086053</v>
      </c>
      <c r="B1389" s="16" t="s">
        <v>6087</v>
      </c>
      <c r="C1389" s="16" t="s">
        <v>6088</v>
      </c>
      <c r="D1389" s="17">
        <v>46096.0</v>
      </c>
      <c r="E1389" s="18">
        <v>7.44</v>
      </c>
      <c r="F1389" s="27">
        <v>1.1836</v>
      </c>
      <c r="G1389" s="20">
        <v>2.2287195E7</v>
      </c>
      <c r="H1389" s="16" t="s">
        <v>102</v>
      </c>
      <c r="I1389" s="19">
        <v>0.0</v>
      </c>
      <c r="J1389" s="20">
        <v>1.1361712E9</v>
      </c>
      <c r="K1389" s="21"/>
      <c r="L1389" s="21">
        <v>-0.6318</v>
      </c>
      <c r="M1389" s="16" t="s">
        <v>6089</v>
      </c>
      <c r="N1389" s="16" t="s">
        <v>5536</v>
      </c>
      <c r="O1389" s="21">
        <v>-104.168</v>
      </c>
      <c r="P1389" s="21">
        <v>-5151.455</v>
      </c>
      <c r="Q1389" s="21">
        <v>535.8653</v>
      </c>
      <c r="R1389" s="21">
        <v>0.1096</v>
      </c>
      <c r="S1389" s="21">
        <v>2.2985</v>
      </c>
      <c r="T1389" s="22">
        <f>IFERROR(__xludf.DUMMYFUNCTION("IFERROR(GOOGLEFINANCE(B1389,""price""),"""")"),7.04)</f>
        <v>7.04</v>
      </c>
    </row>
    <row r="1390">
      <c r="A1390" s="7">
        <v>46093.67034086053</v>
      </c>
      <c r="B1390" s="8" t="s">
        <v>5527</v>
      </c>
      <c r="C1390" s="8" t="s">
        <v>5528</v>
      </c>
      <c r="D1390" s="9">
        <v>46096.0</v>
      </c>
      <c r="E1390" s="10">
        <v>16.16</v>
      </c>
      <c r="F1390" s="26">
        <v>1.1823</v>
      </c>
      <c r="G1390" s="12">
        <v>2.2525738E7</v>
      </c>
      <c r="H1390" s="8" t="s">
        <v>88</v>
      </c>
      <c r="I1390" s="11">
        <v>0.0</v>
      </c>
      <c r="J1390" s="12">
        <v>1.929037597E9</v>
      </c>
      <c r="K1390" s="13"/>
      <c r="L1390" s="13"/>
      <c r="M1390" s="8" t="s">
        <v>5529</v>
      </c>
      <c r="N1390" s="8" t="s">
        <v>5429</v>
      </c>
      <c r="O1390" s="13"/>
      <c r="P1390" s="13"/>
      <c r="Q1390" s="13"/>
      <c r="R1390" s="13">
        <v>0.0885</v>
      </c>
      <c r="S1390" s="13">
        <v>10.416</v>
      </c>
      <c r="T1390" s="14">
        <f>IFERROR(__xludf.DUMMYFUNCTION("IFERROR(GOOGLEFINANCE(B1390,""price""),"""")"),12.37)</f>
        <v>12.37</v>
      </c>
    </row>
    <row r="1391">
      <c r="A1391" s="15">
        <v>46093.67034086053</v>
      </c>
      <c r="B1391" s="16" t="s">
        <v>1005</v>
      </c>
      <c r="C1391" s="16" t="s">
        <v>1006</v>
      </c>
      <c r="D1391" s="17">
        <v>46096.0</v>
      </c>
      <c r="E1391" s="18">
        <v>3.81</v>
      </c>
      <c r="F1391" s="27">
        <v>1.082</v>
      </c>
      <c r="G1391" s="20">
        <v>3.3901884E7</v>
      </c>
      <c r="H1391" s="16" t="s">
        <v>88</v>
      </c>
      <c r="I1391" s="19">
        <v>34.1549</v>
      </c>
      <c r="J1391" s="20">
        <v>4.2953556E8</v>
      </c>
      <c r="K1391" s="21"/>
      <c r="L1391" s="21">
        <v>-6.0528</v>
      </c>
      <c r="M1391" s="16" t="s">
        <v>1007</v>
      </c>
      <c r="N1391" s="16" t="s">
        <v>5429</v>
      </c>
      <c r="O1391" s="21">
        <v>-101.4453</v>
      </c>
      <c r="P1391" s="21">
        <v>26.1255</v>
      </c>
      <c r="Q1391" s="21">
        <v>-9.89</v>
      </c>
      <c r="R1391" s="21">
        <v>1.0504</v>
      </c>
      <c r="S1391" s="21">
        <v>2.2122</v>
      </c>
      <c r="T1391" s="22">
        <f>IFERROR(__xludf.DUMMYFUNCTION("IFERROR(GOOGLEFINANCE(B1391,""price""),"""")"),3.4)</f>
        <v>3.4</v>
      </c>
    </row>
    <row r="1392">
      <c r="A1392" s="7">
        <v>46093.67034086053</v>
      </c>
      <c r="B1392" s="8" t="s">
        <v>5604</v>
      </c>
      <c r="C1392" s="8" t="s">
        <v>5605</v>
      </c>
      <c r="D1392" s="9">
        <v>46096.0</v>
      </c>
      <c r="E1392" s="10">
        <v>106.19</v>
      </c>
      <c r="F1392" s="26">
        <v>1.074</v>
      </c>
      <c r="G1392" s="12">
        <v>1.5179282E7</v>
      </c>
      <c r="H1392" s="8" t="s">
        <v>308</v>
      </c>
      <c r="I1392" s="11">
        <v>-16.3924</v>
      </c>
      <c r="J1392" s="12">
        <v>7.985363045E9</v>
      </c>
      <c r="K1392" s="13"/>
      <c r="L1392" s="13">
        <v>-0.6555</v>
      </c>
      <c r="M1392" s="8" t="s">
        <v>5606</v>
      </c>
      <c r="N1392" s="8" t="s">
        <v>5414</v>
      </c>
      <c r="O1392" s="13">
        <v>-7.9391</v>
      </c>
      <c r="P1392" s="13">
        <v>-11.9814</v>
      </c>
      <c r="Q1392" s="13">
        <v>82.7502</v>
      </c>
      <c r="R1392" s="13">
        <v>0.338</v>
      </c>
      <c r="S1392" s="13">
        <v>2.6264</v>
      </c>
      <c r="T1392" s="14">
        <f>IFERROR(__xludf.DUMMYFUNCTION("IFERROR(GOOGLEFINANCE(B1392,""price""),"""")"),150.6)</f>
        <v>150.6</v>
      </c>
    </row>
    <row r="1393">
      <c r="A1393" s="15">
        <v>46093.67034086053</v>
      </c>
      <c r="B1393" s="16" t="s">
        <v>6156</v>
      </c>
      <c r="C1393" s="16" t="s">
        <v>6157</v>
      </c>
      <c r="D1393" s="17">
        <v>46096.0</v>
      </c>
      <c r="E1393" s="18">
        <v>7.69</v>
      </c>
      <c r="F1393" s="27">
        <v>1.0391</v>
      </c>
      <c r="G1393" s="20">
        <v>1.4301514E7</v>
      </c>
      <c r="H1393" s="16" t="s">
        <v>186</v>
      </c>
      <c r="I1393" s="19">
        <v>-8.9941</v>
      </c>
      <c r="J1393" s="20">
        <v>1.701102449E9</v>
      </c>
      <c r="K1393" s="21"/>
      <c r="L1393" s="21"/>
      <c r="M1393" s="16" t="s">
        <v>6158</v>
      </c>
      <c r="N1393" s="16" t="s">
        <v>5573</v>
      </c>
      <c r="O1393" s="21"/>
      <c r="P1393" s="21"/>
      <c r="Q1393" s="21"/>
      <c r="R1393" s="21">
        <v>0.8792</v>
      </c>
      <c r="S1393" s="21">
        <v>2.4069</v>
      </c>
      <c r="T1393" s="22">
        <f>IFERROR(__xludf.DUMMYFUNCTION("IFERROR(GOOGLEFINANCE(B1393,""price""),"""")"),7.15)</f>
        <v>7.15</v>
      </c>
    </row>
    <row r="1394">
      <c r="A1394" s="7">
        <v>46093.67034086053</v>
      </c>
      <c r="B1394" s="8" t="s">
        <v>5122</v>
      </c>
      <c r="C1394" s="8" t="s">
        <v>5123</v>
      </c>
      <c r="D1394" s="9">
        <v>46096.0</v>
      </c>
      <c r="E1394" s="10">
        <v>18.295</v>
      </c>
      <c r="F1394" s="26">
        <v>1.0366</v>
      </c>
      <c r="G1394" s="12">
        <v>1.0666065E7</v>
      </c>
      <c r="H1394" s="8" t="s">
        <v>102</v>
      </c>
      <c r="I1394" s="11">
        <v>-1.5869</v>
      </c>
      <c r="J1394" s="12">
        <v>2.506762574E9</v>
      </c>
      <c r="K1394" s="13"/>
      <c r="L1394" s="13">
        <v>-0.3472</v>
      </c>
      <c r="M1394" s="8" t="s">
        <v>5124</v>
      </c>
      <c r="N1394" s="8" t="s">
        <v>5536</v>
      </c>
      <c r="O1394" s="13">
        <v>-50.8105</v>
      </c>
      <c r="P1394" s="13">
        <v>-33.0389</v>
      </c>
      <c r="Q1394" s="13">
        <v>202.1103</v>
      </c>
      <c r="R1394" s="13">
        <v>0.3841</v>
      </c>
      <c r="S1394" s="13">
        <v>7.0758</v>
      </c>
      <c r="T1394" s="14">
        <f>IFERROR(__xludf.DUMMYFUNCTION("IFERROR(GOOGLEFINANCE(B1394,""price""),"""")"),17.22)</f>
        <v>17.22</v>
      </c>
    </row>
    <row r="1395">
      <c r="A1395" s="15">
        <v>46093.67034086053</v>
      </c>
      <c r="B1395" s="16" t="s">
        <v>5434</v>
      </c>
      <c r="C1395" s="16" t="s">
        <v>5435</v>
      </c>
      <c r="D1395" s="17">
        <v>46096.0</v>
      </c>
      <c r="E1395" s="18">
        <v>10.33</v>
      </c>
      <c r="F1395" s="27">
        <v>1.0234</v>
      </c>
      <c r="G1395" s="20">
        <v>1.35492996E8</v>
      </c>
      <c r="H1395" s="16" t="s">
        <v>308</v>
      </c>
      <c r="I1395" s="19">
        <v>5.0865</v>
      </c>
      <c r="J1395" s="20">
        <v>4.643990046E9</v>
      </c>
      <c r="K1395" s="21"/>
      <c r="L1395" s="21">
        <v>-0.4034</v>
      </c>
      <c r="M1395" s="16" t="s">
        <v>5436</v>
      </c>
      <c r="N1395" s="16" t="s">
        <v>5437</v>
      </c>
      <c r="O1395" s="21">
        <v>-17.0422</v>
      </c>
      <c r="P1395" s="21">
        <v>-176.0921</v>
      </c>
      <c r="Q1395" s="21">
        <v>208.4002</v>
      </c>
      <c r="R1395" s="21">
        <v>0.037</v>
      </c>
      <c r="S1395" s="21">
        <v>15.2957</v>
      </c>
      <c r="T1395" s="22">
        <f>IFERROR(__xludf.DUMMYFUNCTION("IFERROR(GOOGLEFINANCE(B1395,""price""),"""")"),9.13)</f>
        <v>9.13</v>
      </c>
    </row>
    <row r="1396">
      <c r="A1396" s="7">
        <v>46093.67034086053</v>
      </c>
      <c r="B1396" s="8" t="s">
        <v>5499</v>
      </c>
      <c r="C1396" s="8" t="s">
        <v>5500</v>
      </c>
      <c r="D1396" s="9">
        <v>46096.0</v>
      </c>
      <c r="E1396" s="10">
        <v>4.07</v>
      </c>
      <c r="F1396" s="26">
        <v>1.0234</v>
      </c>
      <c r="G1396" s="12">
        <v>2.633707E7</v>
      </c>
      <c r="H1396" s="8" t="s">
        <v>117</v>
      </c>
      <c r="I1396" s="11">
        <v>-15.9091</v>
      </c>
      <c r="J1396" s="12">
        <v>1.676683801E9</v>
      </c>
      <c r="K1396" s="13"/>
      <c r="L1396" s="13">
        <v>-1.1209</v>
      </c>
      <c r="M1396" s="8" t="s">
        <v>5501</v>
      </c>
      <c r="N1396" s="8" t="s">
        <v>5502</v>
      </c>
      <c r="O1396" s="13">
        <v>-55.4977</v>
      </c>
      <c r="P1396" s="13">
        <v>-151.1805</v>
      </c>
      <c r="Q1396" s="13">
        <v>60.5668</v>
      </c>
      <c r="R1396" s="13">
        <v>0.0708</v>
      </c>
      <c r="S1396" s="13">
        <v>3.1996</v>
      </c>
      <c r="T1396" s="14">
        <f>IFERROR(__xludf.DUMMYFUNCTION("IFERROR(GOOGLEFINANCE(B1396,""price""),"""")"),3.7)</f>
        <v>3.7</v>
      </c>
    </row>
    <row r="1397">
      <c r="A1397" s="15">
        <v>46093.67034086053</v>
      </c>
      <c r="B1397" s="16" t="s">
        <v>6159</v>
      </c>
      <c r="C1397" s="16" t="s">
        <v>6160</v>
      </c>
      <c r="D1397" s="17">
        <v>46096.0</v>
      </c>
      <c r="E1397" s="18">
        <v>9.55</v>
      </c>
      <c r="F1397" s="27">
        <v>1.0195</v>
      </c>
      <c r="G1397" s="20">
        <v>2.0800732E7</v>
      </c>
      <c r="H1397" s="16" t="s">
        <v>88</v>
      </c>
      <c r="I1397" s="19">
        <v>-21.2696</v>
      </c>
      <c r="J1397" s="20">
        <v>3.755622201E9</v>
      </c>
      <c r="K1397" s="21"/>
      <c r="L1397" s="21">
        <v>-1.7981</v>
      </c>
      <c r="M1397" s="16" t="s">
        <v>6161</v>
      </c>
      <c r="N1397" s="16" t="s">
        <v>5429</v>
      </c>
      <c r="O1397" s="21"/>
      <c r="P1397" s="21">
        <v>-87.6454</v>
      </c>
      <c r="Q1397" s="21">
        <v>31.2671</v>
      </c>
      <c r="R1397" s="21">
        <v>5.3961</v>
      </c>
      <c r="S1397" s="21">
        <v>2.2439</v>
      </c>
      <c r="T1397" s="22">
        <f>IFERROR(__xludf.DUMMYFUNCTION("IFERROR(GOOGLEFINANCE(B1397,""price""),"""")"),8.67)</f>
        <v>8.67</v>
      </c>
    </row>
    <row r="1398">
      <c r="A1398" s="7">
        <v>46093.67034086053</v>
      </c>
      <c r="B1398" s="8" t="s">
        <v>5591</v>
      </c>
      <c r="C1398" s="8" t="s">
        <v>5592</v>
      </c>
      <c r="D1398" s="9">
        <v>46096.0</v>
      </c>
      <c r="E1398" s="10">
        <v>9.98</v>
      </c>
      <c r="F1398" s="26">
        <v>1.0186</v>
      </c>
      <c r="G1398" s="12">
        <v>2.793155E7</v>
      </c>
      <c r="H1398" s="8" t="s">
        <v>308</v>
      </c>
      <c r="I1398" s="11">
        <v>-7.9336</v>
      </c>
      <c r="J1398" s="12">
        <v>2.303311881E9</v>
      </c>
      <c r="K1398" s="13"/>
      <c r="L1398" s="13">
        <v>-0.5698</v>
      </c>
      <c r="M1398" s="8" t="s">
        <v>5593</v>
      </c>
      <c r="N1398" s="8" t="s">
        <v>5414</v>
      </c>
      <c r="O1398" s="13">
        <v>-29.5457</v>
      </c>
      <c r="P1398" s="13">
        <v>-195.3894</v>
      </c>
      <c r="Q1398" s="13">
        <v>-44.8801</v>
      </c>
      <c r="R1398" s="13">
        <v>0.0146</v>
      </c>
      <c r="S1398" s="13">
        <v>4.9867</v>
      </c>
      <c r="T1398" s="14">
        <f>IFERROR(__xludf.DUMMYFUNCTION("IFERROR(GOOGLEFINANCE(B1398,""price""),"""")"),9.54)</f>
        <v>9.54</v>
      </c>
    </row>
    <row r="1399">
      <c r="A1399" s="15">
        <v>46093.67034086053</v>
      </c>
      <c r="B1399" s="16" t="s">
        <v>5558</v>
      </c>
      <c r="C1399" s="16" t="s">
        <v>5559</v>
      </c>
      <c r="D1399" s="17">
        <v>46096.0</v>
      </c>
      <c r="E1399" s="18">
        <v>6.12</v>
      </c>
      <c r="F1399" s="27">
        <v>0.9375</v>
      </c>
      <c r="G1399" s="20">
        <v>1.2953542E7</v>
      </c>
      <c r="H1399" s="16" t="s">
        <v>102</v>
      </c>
      <c r="I1399" s="19">
        <v>-5.1163</v>
      </c>
      <c r="J1399" s="20">
        <v>2.077337641E9</v>
      </c>
      <c r="K1399" s="21"/>
      <c r="L1399" s="21">
        <v>-6.9942</v>
      </c>
      <c r="M1399" s="16" t="s">
        <v>5560</v>
      </c>
      <c r="N1399" s="16" t="s">
        <v>5536</v>
      </c>
      <c r="O1399" s="21"/>
      <c r="P1399" s="21">
        <v>-225.4661</v>
      </c>
      <c r="Q1399" s="21">
        <v>631.7891</v>
      </c>
      <c r="R1399" s="21"/>
      <c r="S1399" s="21">
        <v>4.9358</v>
      </c>
      <c r="T1399" s="22">
        <f>IFERROR(__xludf.DUMMYFUNCTION("IFERROR(GOOGLEFINANCE(B1399,""price""),"""")"),5.62)</f>
        <v>5.62</v>
      </c>
    </row>
    <row r="1400">
      <c r="A1400" s="7">
        <v>46093.67034086053</v>
      </c>
      <c r="B1400" s="8" t="s">
        <v>5517</v>
      </c>
      <c r="C1400" s="8" t="s">
        <v>5518</v>
      </c>
      <c r="D1400" s="9">
        <v>46096.0</v>
      </c>
      <c r="E1400" s="10">
        <v>9.48</v>
      </c>
      <c r="F1400" s="26">
        <v>0.9375</v>
      </c>
      <c r="G1400" s="12">
        <v>1.5557105E7</v>
      </c>
      <c r="H1400" s="8" t="s">
        <v>308</v>
      </c>
      <c r="I1400" s="11">
        <v>0.2114</v>
      </c>
      <c r="J1400" s="12">
        <v>1.819930587E9</v>
      </c>
      <c r="K1400" s="13"/>
      <c r="L1400" s="13">
        <v>-2.3761</v>
      </c>
      <c r="M1400" s="8" t="s">
        <v>5519</v>
      </c>
      <c r="N1400" s="8" t="s">
        <v>5520</v>
      </c>
      <c r="O1400" s="13">
        <v>-52.0031</v>
      </c>
      <c r="P1400" s="13">
        <v>-43.4124</v>
      </c>
      <c r="Q1400" s="13">
        <v>10.2861</v>
      </c>
      <c r="R1400" s="13">
        <v>0.1895</v>
      </c>
      <c r="S1400" s="13">
        <v>1.6246</v>
      </c>
      <c r="T1400" s="14">
        <f>IFERROR(__xludf.DUMMYFUNCTION("IFERROR(GOOGLEFINANCE(B1400,""price""),"""")"),9.29)</f>
        <v>9.29</v>
      </c>
    </row>
    <row r="1401">
      <c r="A1401" s="15">
        <v>46093.67034086053</v>
      </c>
      <c r="B1401" s="16" t="s">
        <v>5514</v>
      </c>
      <c r="C1401" s="16" t="s">
        <v>5515</v>
      </c>
      <c r="D1401" s="17">
        <v>46096.0</v>
      </c>
      <c r="E1401" s="18">
        <v>7.82</v>
      </c>
      <c r="F1401" s="27">
        <v>0.9238</v>
      </c>
      <c r="G1401" s="20">
        <v>1.4553102E7</v>
      </c>
      <c r="H1401" s="16" t="s">
        <v>117</v>
      </c>
      <c r="I1401" s="19">
        <v>-5.4414</v>
      </c>
      <c r="J1401" s="20">
        <v>8.039831986E9</v>
      </c>
      <c r="K1401" s="21"/>
      <c r="L1401" s="21">
        <v>-0.3898</v>
      </c>
      <c r="M1401" s="16" t="s">
        <v>5516</v>
      </c>
      <c r="N1401" s="16" t="s">
        <v>5491</v>
      </c>
      <c r="O1401" s="21"/>
      <c r="P1401" s="21">
        <v>-225.9966</v>
      </c>
      <c r="Q1401" s="21">
        <v>668.3147</v>
      </c>
      <c r="R1401" s="21"/>
      <c r="S1401" s="21">
        <v>5.0989</v>
      </c>
      <c r="T1401" s="22">
        <f>IFERROR(__xludf.DUMMYFUNCTION("IFERROR(GOOGLEFINANCE(B1401,""price""),"""")"),7.28)</f>
        <v>7.28</v>
      </c>
    </row>
    <row r="1402">
      <c r="A1402" s="7">
        <v>46093.67034086053</v>
      </c>
      <c r="B1402" s="8" t="s">
        <v>5544</v>
      </c>
      <c r="C1402" s="8" t="s">
        <v>6105</v>
      </c>
      <c r="D1402" s="9">
        <v>46096.0</v>
      </c>
      <c r="E1402" s="10">
        <v>13.71</v>
      </c>
      <c r="F1402" s="26">
        <v>0.917</v>
      </c>
      <c r="G1402" s="12">
        <v>2.4889188E7</v>
      </c>
      <c r="H1402" s="8" t="s">
        <v>88</v>
      </c>
      <c r="I1402" s="11">
        <v>-2.8349</v>
      </c>
      <c r="J1402" s="12">
        <v>5.554187049E9</v>
      </c>
      <c r="K1402" s="13"/>
      <c r="L1402" s="13">
        <v>-2.0516</v>
      </c>
      <c r="M1402" s="8" t="s">
        <v>5546</v>
      </c>
      <c r="N1402" s="8" t="s">
        <v>5471</v>
      </c>
      <c r="O1402" s="13">
        <v>-110.5547</v>
      </c>
      <c r="P1402" s="13">
        <v>-76.6975</v>
      </c>
      <c r="Q1402" s="13">
        <v>48.0413</v>
      </c>
      <c r="R1402" s="13">
        <v>3.435</v>
      </c>
      <c r="S1402" s="13">
        <v>3.7948</v>
      </c>
      <c r="T1402" s="14">
        <f>IFERROR(__xludf.DUMMYFUNCTION("IFERROR(GOOGLEFINANCE(B1402,""price""),"""")"),16.53)</f>
        <v>16.53</v>
      </c>
    </row>
    <row r="1403">
      <c r="A1403" s="15">
        <v>46093.67034086053</v>
      </c>
      <c r="B1403" s="16" t="s">
        <v>4218</v>
      </c>
      <c r="C1403" s="16" t="s">
        <v>4219</v>
      </c>
      <c r="D1403" s="17">
        <v>46096.0</v>
      </c>
      <c r="E1403" s="18">
        <v>136.0</v>
      </c>
      <c r="F1403" s="27">
        <v>0.9055</v>
      </c>
      <c r="G1403" s="20">
        <v>1.4002396E7</v>
      </c>
      <c r="H1403" s="16" t="s">
        <v>107</v>
      </c>
      <c r="I1403" s="19">
        <v>13.2107</v>
      </c>
      <c r="J1403" s="20">
        <v>2.0898959483E10</v>
      </c>
      <c r="K1403" s="21">
        <v>15.123</v>
      </c>
      <c r="L1403" s="21">
        <v>8.9929</v>
      </c>
      <c r="M1403" s="16" t="s">
        <v>4221</v>
      </c>
      <c r="N1403" s="16" t="s">
        <v>6162</v>
      </c>
      <c r="O1403" s="21">
        <v>29.6244</v>
      </c>
      <c r="P1403" s="21">
        <v>37.1118</v>
      </c>
      <c r="Q1403" s="21">
        <v>19.3396</v>
      </c>
      <c r="R1403" s="21">
        <v>0.7516</v>
      </c>
      <c r="S1403" s="21">
        <v>3.3653</v>
      </c>
      <c r="T1403" s="22">
        <f>IFERROR(__xludf.DUMMYFUNCTION("IFERROR(GOOGLEFINANCE(B1403,""price""),"""")"),121.32)</f>
        <v>121.32</v>
      </c>
    </row>
    <row r="1404">
      <c r="A1404" s="7">
        <v>46093.67034086053</v>
      </c>
      <c r="B1404" s="8" t="s">
        <v>5770</v>
      </c>
      <c r="C1404" s="8" t="s">
        <v>5771</v>
      </c>
      <c r="D1404" s="9">
        <v>46096.0</v>
      </c>
      <c r="E1404" s="10">
        <v>18.01</v>
      </c>
      <c r="F1404" s="26">
        <v>0.8978</v>
      </c>
      <c r="G1404" s="12">
        <v>1.2051718E7</v>
      </c>
      <c r="H1404" s="8" t="s">
        <v>117</v>
      </c>
      <c r="I1404" s="11">
        <v>-0.2216</v>
      </c>
      <c r="J1404" s="12">
        <v>9.265965432E9</v>
      </c>
      <c r="K1404" s="13"/>
      <c r="L1404" s="13">
        <v>-1.679</v>
      </c>
      <c r="M1404" s="8" t="s">
        <v>5772</v>
      </c>
      <c r="N1404" s="8" t="s">
        <v>5418</v>
      </c>
      <c r="O1404" s="13">
        <v>-13.7478</v>
      </c>
      <c r="P1404" s="13">
        <v>6.1277</v>
      </c>
      <c r="Q1404" s="13">
        <v>-12.5389</v>
      </c>
      <c r="R1404" s="13">
        <v>1.5957</v>
      </c>
      <c r="S1404" s="13">
        <v>2.3138</v>
      </c>
      <c r="T1404" s="14">
        <f>IFERROR(__xludf.DUMMYFUNCTION("IFERROR(GOOGLEFINANCE(B1404,""price""),"""")"),17.15)</f>
        <v>17.15</v>
      </c>
    </row>
    <row r="1405">
      <c r="A1405" s="15">
        <v>46093.67034086053</v>
      </c>
      <c r="B1405" s="16" t="s">
        <v>5481</v>
      </c>
      <c r="C1405" s="16" t="s">
        <v>5482</v>
      </c>
      <c r="D1405" s="17">
        <v>46096.0</v>
      </c>
      <c r="E1405" s="18">
        <v>9.55</v>
      </c>
      <c r="F1405" s="27">
        <v>0.8906</v>
      </c>
      <c r="G1405" s="20">
        <v>1.3911019E7</v>
      </c>
      <c r="H1405" s="16" t="s">
        <v>88</v>
      </c>
      <c r="I1405" s="19">
        <v>-2.6504</v>
      </c>
      <c r="J1405" s="20">
        <v>2.442440291E9</v>
      </c>
      <c r="K1405" s="21"/>
      <c r="L1405" s="21">
        <v>-1.071</v>
      </c>
      <c r="M1405" s="16" t="s">
        <v>5483</v>
      </c>
      <c r="N1405" s="16" t="s">
        <v>5471</v>
      </c>
      <c r="O1405" s="21">
        <v>-15.3378</v>
      </c>
      <c r="P1405" s="21">
        <v>-20.8099</v>
      </c>
      <c r="Q1405" s="21">
        <v>67.959</v>
      </c>
      <c r="R1405" s="21">
        <v>1.2945</v>
      </c>
      <c r="S1405" s="21">
        <v>10.5425</v>
      </c>
      <c r="T1405" s="22">
        <f>IFERROR(__xludf.DUMMYFUNCTION("IFERROR(GOOGLEFINANCE(B1405,""price""),"""")"),10.02)</f>
        <v>10.02</v>
      </c>
    </row>
    <row r="1406">
      <c r="A1406" s="7">
        <v>46093.67034086053</v>
      </c>
      <c r="B1406" s="8" t="s">
        <v>2714</v>
      </c>
      <c r="C1406" s="8" t="s">
        <v>2715</v>
      </c>
      <c r="D1406" s="9">
        <v>46096.0</v>
      </c>
      <c r="E1406" s="10">
        <v>14.09</v>
      </c>
      <c r="F1406" s="26">
        <v>0.8848</v>
      </c>
      <c r="G1406" s="12">
        <v>1.0222262E7</v>
      </c>
      <c r="H1406" s="8" t="s">
        <v>335</v>
      </c>
      <c r="I1406" s="11">
        <v>-0.424</v>
      </c>
      <c r="J1406" s="12">
        <v>6.907210811E9</v>
      </c>
      <c r="K1406" s="13"/>
      <c r="L1406" s="13">
        <v>-0.1824</v>
      </c>
      <c r="M1406" s="8" t="s">
        <v>2717</v>
      </c>
      <c r="N1406" s="8" t="s">
        <v>5506</v>
      </c>
      <c r="O1406" s="13">
        <v>-7.121</v>
      </c>
      <c r="P1406" s="13">
        <v>-542.5005</v>
      </c>
      <c r="Q1406" s="13">
        <v>-69.7772</v>
      </c>
      <c r="R1406" s="13">
        <v>0.0</v>
      </c>
      <c r="S1406" s="13">
        <v>28.725</v>
      </c>
      <c r="T1406" s="14">
        <f>IFERROR(__xludf.DUMMYFUNCTION("IFERROR(GOOGLEFINANCE(B1406,""price""),"""")"),13.53)</f>
        <v>13.53</v>
      </c>
    </row>
    <row r="1407">
      <c r="A1407" s="15">
        <v>46093.67034086053</v>
      </c>
      <c r="B1407" s="16" t="s">
        <v>5422</v>
      </c>
      <c r="C1407" s="16" t="s">
        <v>5423</v>
      </c>
      <c r="D1407" s="17">
        <v>46096.0</v>
      </c>
      <c r="E1407" s="18">
        <v>19.75</v>
      </c>
      <c r="F1407" s="27">
        <v>0.8799</v>
      </c>
      <c r="G1407" s="20">
        <v>1.0573252E7</v>
      </c>
      <c r="H1407" s="16" t="s">
        <v>102</v>
      </c>
      <c r="I1407" s="19">
        <v>-6.3537</v>
      </c>
      <c r="J1407" s="20">
        <v>4.304327737E9</v>
      </c>
      <c r="K1407" s="21"/>
      <c r="L1407" s="21">
        <v>-2.5128</v>
      </c>
      <c r="M1407" s="16" t="s">
        <v>5424</v>
      </c>
      <c r="N1407" s="16" t="s">
        <v>5425</v>
      </c>
      <c r="O1407" s="21">
        <v>-255.9098</v>
      </c>
      <c r="P1407" s="21"/>
      <c r="Q1407" s="21"/>
      <c r="R1407" s="21"/>
      <c r="S1407" s="21">
        <v>16.5111</v>
      </c>
      <c r="T1407" s="22">
        <f>IFERROR(__xludf.DUMMYFUNCTION("IFERROR(GOOGLEFINANCE(B1407,""price""),"""")"),16.15)</f>
        <v>16.15</v>
      </c>
    </row>
    <row r="1408">
      <c r="A1408" s="7">
        <v>46093.67034086053</v>
      </c>
      <c r="B1408" s="8" t="s">
        <v>5744</v>
      </c>
      <c r="C1408" s="8" t="s">
        <v>5745</v>
      </c>
      <c r="D1408" s="9">
        <v>46096.0</v>
      </c>
      <c r="E1408" s="10">
        <v>23.84</v>
      </c>
      <c r="F1408" s="26">
        <v>0.8666</v>
      </c>
      <c r="G1408" s="12">
        <v>6.7753497E7</v>
      </c>
      <c r="H1408" s="8" t="s">
        <v>190</v>
      </c>
      <c r="I1408" s="11">
        <v>-7.8825</v>
      </c>
      <c r="J1408" s="12">
        <v>5.434059981E9</v>
      </c>
      <c r="K1408" s="13">
        <v>45.6618</v>
      </c>
      <c r="L1408" s="13">
        <v>0.5221</v>
      </c>
      <c r="M1408" s="8" t="s">
        <v>5746</v>
      </c>
      <c r="N1408" s="8" t="s">
        <v>5747</v>
      </c>
      <c r="O1408" s="13">
        <v>25.2279</v>
      </c>
      <c r="P1408" s="13">
        <v>5.1834</v>
      </c>
      <c r="Q1408" s="13">
        <v>58.9986</v>
      </c>
      <c r="R1408" s="13">
        <v>2.0716</v>
      </c>
      <c r="S1408" s="13">
        <v>1.8981</v>
      </c>
      <c r="T1408" s="14">
        <f>IFERROR(__xludf.DUMMYFUNCTION("IFERROR(GOOGLEFINANCE(B1408,""price""),"""")"),19.43)</f>
        <v>19.43</v>
      </c>
    </row>
    <row r="1409">
      <c r="A1409" s="15">
        <v>46093.67034086053</v>
      </c>
      <c r="B1409" s="16" t="s">
        <v>5458</v>
      </c>
      <c r="C1409" s="16" t="s">
        <v>5459</v>
      </c>
      <c r="D1409" s="17">
        <v>46096.0</v>
      </c>
      <c r="E1409" s="18">
        <v>4.03</v>
      </c>
      <c r="F1409" s="27">
        <v>0.8594</v>
      </c>
      <c r="G1409" s="20">
        <v>3.4578751E7</v>
      </c>
      <c r="H1409" s="16" t="s">
        <v>88</v>
      </c>
      <c r="I1409" s="19">
        <v>-2.657</v>
      </c>
      <c r="J1409" s="20">
        <v>1.918507831E9</v>
      </c>
      <c r="K1409" s="21"/>
      <c r="L1409" s="21">
        <v>-1.003</v>
      </c>
      <c r="M1409" s="16" t="s">
        <v>5460</v>
      </c>
      <c r="N1409" s="16" t="s">
        <v>5429</v>
      </c>
      <c r="O1409" s="21">
        <v>-96.6574</v>
      </c>
      <c r="P1409" s="21">
        <v>-65.3283</v>
      </c>
      <c r="Q1409" s="21">
        <v>-19.3155</v>
      </c>
      <c r="R1409" s="21">
        <v>0.1876</v>
      </c>
      <c r="S1409" s="21">
        <v>1.7817</v>
      </c>
      <c r="T1409" s="22">
        <f>IFERROR(__xludf.DUMMYFUNCTION("IFERROR(GOOGLEFINANCE(B1409,""price""),"""")"),3.32)</f>
        <v>3.32</v>
      </c>
    </row>
    <row r="1410">
      <c r="A1410" s="7">
        <v>46093.67034086053</v>
      </c>
      <c r="B1410" s="8" t="s">
        <v>5594</v>
      </c>
      <c r="C1410" s="8" t="s">
        <v>5595</v>
      </c>
      <c r="D1410" s="9">
        <v>46096.0</v>
      </c>
      <c r="E1410" s="10">
        <v>14.67</v>
      </c>
      <c r="F1410" s="26">
        <v>0.8503</v>
      </c>
      <c r="G1410" s="12">
        <v>2.475447E7</v>
      </c>
      <c r="H1410" s="8" t="s">
        <v>88</v>
      </c>
      <c r="I1410" s="11">
        <v>-3.6137</v>
      </c>
      <c r="J1410" s="12">
        <v>6.22107936E9</v>
      </c>
      <c r="K1410" s="13"/>
      <c r="L1410" s="13">
        <v>-1.661</v>
      </c>
      <c r="M1410" s="8" t="s">
        <v>5596</v>
      </c>
      <c r="N1410" s="8" t="s">
        <v>5471</v>
      </c>
      <c r="O1410" s="13">
        <v>-343.6909</v>
      </c>
      <c r="P1410" s="13">
        <v>-100.2101</v>
      </c>
      <c r="Q1410" s="13">
        <v>20.2812</v>
      </c>
      <c r="R1410" s="13">
        <v>36.9947</v>
      </c>
      <c r="S1410" s="13">
        <v>2.0038</v>
      </c>
      <c r="T1410" s="14">
        <f>IFERROR(__xludf.DUMMYFUNCTION("IFERROR(GOOGLEFINANCE(B1410,""price""),"""")"),18.88)</f>
        <v>18.88</v>
      </c>
    </row>
    <row r="1411">
      <c r="A1411" s="15">
        <v>46093.67034086053</v>
      </c>
      <c r="B1411" s="16" t="s">
        <v>5038</v>
      </c>
      <c r="C1411" s="16" t="s">
        <v>5039</v>
      </c>
      <c r="D1411" s="17">
        <v>46096.0</v>
      </c>
      <c r="E1411" s="18">
        <v>12.8</v>
      </c>
      <c r="F1411" s="27">
        <v>0.8457</v>
      </c>
      <c r="G1411" s="20">
        <v>1.0396306E7</v>
      </c>
      <c r="H1411" s="16" t="s">
        <v>107</v>
      </c>
      <c r="I1411" s="19">
        <v>8.9362</v>
      </c>
      <c r="J1411" s="20">
        <v>2.227319531E9</v>
      </c>
      <c r="K1411" s="21"/>
      <c r="L1411" s="21">
        <v>-1.5921</v>
      </c>
      <c r="M1411" s="16" t="s">
        <v>5040</v>
      </c>
      <c r="N1411" s="16" t="s">
        <v>5919</v>
      </c>
      <c r="O1411" s="21">
        <v>-9.6339</v>
      </c>
      <c r="P1411" s="21">
        <v>-0.6863</v>
      </c>
      <c r="Q1411" s="21">
        <v>-5.8482</v>
      </c>
      <c r="R1411" s="21">
        <v>0.8731</v>
      </c>
      <c r="S1411" s="21">
        <v>1.2989</v>
      </c>
      <c r="T1411" s="22">
        <f>IFERROR(__xludf.DUMMYFUNCTION("IFERROR(GOOGLEFINANCE(B1411,""price""),"""")"),13.65)</f>
        <v>13.65</v>
      </c>
    </row>
    <row r="1412">
      <c r="A1412" s="7">
        <v>46094.66714775647</v>
      </c>
      <c r="B1412" s="8" t="s">
        <v>4936</v>
      </c>
      <c r="C1412" s="8" t="s">
        <v>4937</v>
      </c>
      <c r="D1412" s="9">
        <v>46096.0</v>
      </c>
      <c r="E1412" s="10">
        <v>18.2</v>
      </c>
      <c r="F1412" s="26">
        <v>1.9381</v>
      </c>
      <c r="G1412" s="12">
        <v>1.0476966E7</v>
      </c>
      <c r="H1412" s="8" t="s">
        <v>93</v>
      </c>
      <c r="I1412" s="11">
        <v>0.7752</v>
      </c>
      <c r="J1412" s="12">
        <v>9.590347079E9</v>
      </c>
      <c r="K1412" s="13"/>
      <c r="L1412" s="13"/>
      <c r="M1412" s="8" t="s">
        <v>4938</v>
      </c>
      <c r="N1412" s="8" t="s">
        <v>5708</v>
      </c>
      <c r="O1412" s="13">
        <v>24.5666</v>
      </c>
      <c r="P1412" s="13">
        <v>32.3937</v>
      </c>
      <c r="Q1412" s="13">
        <v>3.1882</v>
      </c>
      <c r="R1412" s="13">
        <v>3.6244</v>
      </c>
      <c r="S1412" s="13">
        <v>0.2582</v>
      </c>
      <c r="T1412" s="14">
        <f>IFERROR(__xludf.DUMMYFUNCTION("IFERROR(GOOGLEFINANCE(B1412,""price""),"""")"),19.99)</f>
        <v>19.99</v>
      </c>
    </row>
    <row r="1413">
      <c r="A1413" s="15">
        <v>46094.66714775647</v>
      </c>
      <c r="B1413" s="16" t="s">
        <v>6136</v>
      </c>
      <c r="C1413" s="16" t="s">
        <v>6137</v>
      </c>
      <c r="D1413" s="17">
        <v>46096.0</v>
      </c>
      <c r="E1413" s="18">
        <v>3.62</v>
      </c>
      <c r="F1413" s="27">
        <v>1.7813</v>
      </c>
      <c r="G1413" s="20">
        <v>1.0549946E7</v>
      </c>
      <c r="H1413" s="16" t="s">
        <v>137</v>
      </c>
      <c r="I1413" s="19">
        <v>12.0743</v>
      </c>
      <c r="J1413" s="20">
        <v>1.018137092E9</v>
      </c>
      <c r="K1413" s="21">
        <v>120.2658</v>
      </c>
      <c r="L1413" s="21">
        <v>0.0301</v>
      </c>
      <c r="M1413" s="16" t="s">
        <v>6138</v>
      </c>
      <c r="N1413" s="16" t="s">
        <v>5743</v>
      </c>
      <c r="O1413" s="21">
        <v>0.796</v>
      </c>
      <c r="P1413" s="21">
        <v>2.1416</v>
      </c>
      <c r="Q1413" s="21">
        <v>-2.5341</v>
      </c>
      <c r="R1413" s="21">
        <v>2.4569</v>
      </c>
      <c r="S1413" s="21">
        <v>0.8992</v>
      </c>
      <c r="T1413" s="22">
        <f>IFERROR(__xludf.DUMMYFUNCTION("IFERROR(GOOGLEFINANCE(B1413,""price""),"""")"),2.79)</f>
        <v>2.79</v>
      </c>
    </row>
    <row r="1414">
      <c r="A1414" s="7">
        <v>46094.66714775647</v>
      </c>
      <c r="B1414" s="8" t="s">
        <v>5551</v>
      </c>
      <c r="C1414" s="8" t="s">
        <v>5552</v>
      </c>
      <c r="D1414" s="9">
        <v>46096.0</v>
      </c>
      <c r="E1414" s="10">
        <v>1.04</v>
      </c>
      <c r="F1414" s="26">
        <v>1.5313</v>
      </c>
      <c r="G1414" s="12">
        <v>2.4132443E7</v>
      </c>
      <c r="H1414" s="8" t="s">
        <v>88</v>
      </c>
      <c r="I1414" s="11">
        <v>-0.9524</v>
      </c>
      <c r="J1414" s="12">
        <v>9.64709155E8</v>
      </c>
      <c r="K1414" s="13"/>
      <c r="L1414" s="13">
        <v>-4.0733</v>
      </c>
      <c r="M1414" s="8" t="s">
        <v>5553</v>
      </c>
      <c r="N1414" s="8" t="s">
        <v>5471</v>
      </c>
      <c r="O1414" s="13"/>
      <c r="P1414" s="13">
        <v>12.2</v>
      </c>
      <c r="Q1414" s="13">
        <v>608.2915</v>
      </c>
      <c r="R1414" s="13"/>
      <c r="S1414" s="13"/>
      <c r="T1414" s="14">
        <f>IFERROR(__xludf.DUMMYFUNCTION("IFERROR(GOOGLEFINANCE(B1414,""price""),"""")"),0.95)</f>
        <v>0.95</v>
      </c>
    </row>
    <row r="1415">
      <c r="A1415" s="15">
        <v>46094.66714775647</v>
      </c>
      <c r="B1415" s="16" t="s">
        <v>5640</v>
      </c>
      <c r="C1415" s="16" t="s">
        <v>5641</v>
      </c>
      <c r="D1415" s="17">
        <v>46096.0</v>
      </c>
      <c r="E1415" s="18">
        <v>48.86</v>
      </c>
      <c r="F1415" s="27">
        <v>1.5283</v>
      </c>
      <c r="G1415" s="20">
        <v>1.06018E7</v>
      </c>
      <c r="H1415" s="16" t="s">
        <v>308</v>
      </c>
      <c r="I1415" s="19">
        <v>4.5581</v>
      </c>
      <c r="J1415" s="20">
        <v>2.700695356E9</v>
      </c>
      <c r="K1415" s="21"/>
      <c r="L1415" s="21">
        <v>-0.4882</v>
      </c>
      <c r="M1415" s="16" t="s">
        <v>5642</v>
      </c>
      <c r="N1415" s="16" t="s">
        <v>5433</v>
      </c>
      <c r="O1415" s="21">
        <v>-9.1233</v>
      </c>
      <c r="P1415" s="21">
        <v>-24.8806</v>
      </c>
      <c r="Q1415" s="21">
        <v>-11.106</v>
      </c>
      <c r="R1415" s="21">
        <v>0.2351</v>
      </c>
      <c r="S1415" s="21">
        <v>2.7231</v>
      </c>
      <c r="T1415" s="22">
        <f>IFERROR(__xludf.DUMMYFUNCTION("IFERROR(GOOGLEFINANCE(B1415,""price""),"""")"),64.18)</f>
        <v>64.18</v>
      </c>
    </row>
    <row r="1416">
      <c r="A1416" s="7">
        <v>46094.66714775647</v>
      </c>
      <c r="B1416" s="8" t="s">
        <v>5821</v>
      </c>
      <c r="C1416" s="8" t="s">
        <v>5822</v>
      </c>
      <c r="D1416" s="9">
        <v>46096.0</v>
      </c>
      <c r="E1416" s="10">
        <v>5.83</v>
      </c>
      <c r="F1416" s="26">
        <v>1.5078</v>
      </c>
      <c r="G1416" s="12">
        <v>9377663.0</v>
      </c>
      <c r="H1416" s="8" t="s">
        <v>88</v>
      </c>
      <c r="I1416" s="11">
        <v>-2.8333</v>
      </c>
      <c r="J1416" s="12">
        <v>1.779867793E9</v>
      </c>
      <c r="K1416" s="13">
        <v>15.0646</v>
      </c>
      <c r="L1416" s="13">
        <v>0.387</v>
      </c>
      <c r="M1416" s="8" t="s">
        <v>5823</v>
      </c>
      <c r="N1416" s="8" t="s">
        <v>5429</v>
      </c>
      <c r="O1416" s="13">
        <v>7.7572</v>
      </c>
      <c r="P1416" s="13">
        <v>21.2885</v>
      </c>
      <c r="Q1416" s="13">
        <v>2.8988</v>
      </c>
      <c r="R1416" s="13">
        <v>1.0401</v>
      </c>
      <c r="S1416" s="13">
        <v>0.7173</v>
      </c>
      <c r="T1416" s="14">
        <f>IFERROR(__xludf.DUMMYFUNCTION("IFERROR(GOOGLEFINANCE(B1416,""price""),"""")"),5.23)</f>
        <v>5.23</v>
      </c>
    </row>
    <row r="1417">
      <c r="A1417" s="15">
        <v>46094.66714775647</v>
      </c>
      <c r="B1417" s="16" t="s">
        <v>5533</v>
      </c>
      <c r="C1417" s="16" t="s">
        <v>5534</v>
      </c>
      <c r="D1417" s="17">
        <v>46096.0</v>
      </c>
      <c r="E1417" s="18">
        <v>7.62</v>
      </c>
      <c r="F1417" s="27">
        <v>1.4941</v>
      </c>
      <c r="G1417" s="20">
        <v>1.4122508E7</v>
      </c>
      <c r="H1417" s="16" t="s">
        <v>102</v>
      </c>
      <c r="I1417" s="19">
        <v>-1.5504</v>
      </c>
      <c r="J1417" s="20">
        <v>2.061764789E9</v>
      </c>
      <c r="K1417" s="21"/>
      <c r="L1417" s="21">
        <v>-3.7839</v>
      </c>
      <c r="M1417" s="16" t="s">
        <v>5535</v>
      </c>
      <c r="N1417" s="16" t="s">
        <v>5536</v>
      </c>
      <c r="O1417" s="21">
        <v>-55.984</v>
      </c>
      <c r="P1417" s="21">
        <v>-31.1477</v>
      </c>
      <c r="Q1417" s="21"/>
      <c r="R1417" s="21">
        <v>4.5088</v>
      </c>
      <c r="S1417" s="21">
        <v>1.1293</v>
      </c>
      <c r="T1417" s="22">
        <f>IFERROR(__xludf.DUMMYFUNCTION("IFERROR(GOOGLEFINANCE(B1417,""price""),"""")"),4.69)</f>
        <v>4.69</v>
      </c>
    </row>
    <row r="1418">
      <c r="A1418" s="7">
        <v>46094.66714775647</v>
      </c>
      <c r="B1418" s="8" t="s">
        <v>6163</v>
      </c>
      <c r="C1418" s="8" t="s">
        <v>6164</v>
      </c>
      <c r="D1418" s="9">
        <v>46096.0</v>
      </c>
      <c r="E1418" s="10">
        <v>10.51</v>
      </c>
      <c r="F1418" s="26">
        <v>1.3652</v>
      </c>
      <c r="G1418" s="12">
        <v>1.1108605E7</v>
      </c>
      <c r="H1418" s="8" t="s">
        <v>308</v>
      </c>
      <c r="I1418" s="11">
        <v>-19.4636</v>
      </c>
      <c r="J1418" s="12">
        <v>1.167662123E9</v>
      </c>
      <c r="K1418" s="13"/>
      <c r="L1418" s="13">
        <v>-0.696</v>
      </c>
      <c r="M1418" s="8" t="s">
        <v>6165</v>
      </c>
      <c r="N1418" s="8" t="s">
        <v>6151</v>
      </c>
      <c r="O1418" s="13"/>
      <c r="P1418" s="13">
        <v>5.6223</v>
      </c>
      <c r="Q1418" s="13">
        <v>-11.4415</v>
      </c>
      <c r="R1418" s="13"/>
      <c r="S1418" s="13">
        <v>1.2172</v>
      </c>
      <c r="T1418" s="14">
        <f>IFERROR(__xludf.DUMMYFUNCTION("IFERROR(GOOGLEFINANCE(B1418,""price""),"""")"),17.44)</f>
        <v>17.44</v>
      </c>
    </row>
    <row r="1419">
      <c r="A1419" s="15">
        <v>46094.66714775647</v>
      </c>
      <c r="B1419" s="16" t="s">
        <v>627</v>
      </c>
      <c r="C1419" s="16" t="s">
        <v>628</v>
      </c>
      <c r="D1419" s="17">
        <v>46096.0</v>
      </c>
      <c r="E1419" s="18">
        <v>2.48</v>
      </c>
      <c r="F1419" s="27">
        <v>1.2773</v>
      </c>
      <c r="G1419" s="20">
        <v>1.539054E7</v>
      </c>
      <c r="H1419" s="16" t="s">
        <v>117</v>
      </c>
      <c r="I1419" s="19">
        <v>5.9829</v>
      </c>
      <c r="J1419" s="20">
        <v>8.13185219E8</v>
      </c>
      <c r="K1419" s="21"/>
      <c r="L1419" s="21">
        <v>-0.2257</v>
      </c>
      <c r="M1419" s="16" t="s">
        <v>629</v>
      </c>
      <c r="N1419" s="16" t="s">
        <v>5491</v>
      </c>
      <c r="O1419" s="21">
        <v>-776.8922</v>
      </c>
      <c r="P1419" s="21">
        <v>-1425.6968</v>
      </c>
      <c r="Q1419" s="21">
        <v>8.8286</v>
      </c>
      <c r="R1419" s="21"/>
      <c r="S1419" s="21">
        <v>1.0563</v>
      </c>
      <c r="T1419" s="22">
        <f>IFERROR(__xludf.DUMMYFUNCTION("IFERROR(GOOGLEFINANCE(B1419,""price""),"""")"),1.76)</f>
        <v>1.76</v>
      </c>
    </row>
    <row r="1420">
      <c r="A1420" s="7">
        <v>46094.66714775647</v>
      </c>
      <c r="B1420" s="8" t="s">
        <v>5623</v>
      </c>
      <c r="C1420" s="8" t="s">
        <v>5624</v>
      </c>
      <c r="D1420" s="9">
        <v>46096.0</v>
      </c>
      <c r="E1420" s="10">
        <v>4.08</v>
      </c>
      <c r="F1420" s="26">
        <v>1.2578</v>
      </c>
      <c r="G1420" s="12">
        <v>3.4179493E7</v>
      </c>
      <c r="H1420" s="8" t="s">
        <v>88</v>
      </c>
      <c r="I1420" s="11">
        <v>-4.0</v>
      </c>
      <c r="J1420" s="12">
        <v>7.951157783E9</v>
      </c>
      <c r="K1420" s="13"/>
      <c r="L1420" s="13">
        <v>-0.4446</v>
      </c>
      <c r="M1420" s="8" t="s">
        <v>5625</v>
      </c>
      <c r="N1420" s="8" t="s">
        <v>5429</v>
      </c>
      <c r="O1420" s="13">
        <v>-40.6476</v>
      </c>
      <c r="P1420" s="13">
        <v>-30033.3333</v>
      </c>
      <c r="Q1420" s="13"/>
      <c r="R1420" s="13">
        <v>0.0393</v>
      </c>
      <c r="S1420" s="13">
        <v>11.8649</v>
      </c>
      <c r="T1420" s="14">
        <f>IFERROR(__xludf.DUMMYFUNCTION("IFERROR(GOOGLEFINANCE(B1420,""price""),"""")"),4.15)</f>
        <v>4.15</v>
      </c>
    </row>
    <row r="1421">
      <c r="A1421" s="15">
        <v>46094.66714775647</v>
      </c>
      <c r="B1421" s="16" t="s">
        <v>832</v>
      </c>
      <c r="C1421" s="16" t="s">
        <v>833</v>
      </c>
      <c r="D1421" s="17">
        <v>46096.0</v>
      </c>
      <c r="E1421" s="18">
        <v>2.48</v>
      </c>
      <c r="F1421" s="27">
        <v>1.1953</v>
      </c>
      <c r="G1421" s="20">
        <v>1.2903572E7</v>
      </c>
      <c r="H1421" s="16" t="s">
        <v>308</v>
      </c>
      <c r="I1421" s="19">
        <v>1.6393</v>
      </c>
      <c r="J1421" s="20">
        <v>5.54678588E8</v>
      </c>
      <c r="K1421" s="21"/>
      <c r="L1421" s="21">
        <v>-0.7304</v>
      </c>
      <c r="M1421" s="16" t="s">
        <v>834</v>
      </c>
      <c r="N1421" s="16" t="s">
        <v>5414</v>
      </c>
      <c r="O1421" s="21">
        <v>-37.1102</v>
      </c>
      <c r="P1421" s="21">
        <v>-66.7456</v>
      </c>
      <c r="Q1421" s="21">
        <v>0.3286</v>
      </c>
      <c r="R1421" s="21">
        <v>1.0325</v>
      </c>
      <c r="S1421" s="21">
        <v>3.7333</v>
      </c>
      <c r="T1421" s="22">
        <f>IFERROR(__xludf.DUMMYFUNCTION("IFERROR(GOOGLEFINANCE(B1421,""price""),"""")"),2.91)</f>
        <v>2.91</v>
      </c>
    </row>
    <row r="1422">
      <c r="A1422" s="7">
        <v>46094.66714775647</v>
      </c>
      <c r="B1422" s="8" t="s">
        <v>5175</v>
      </c>
      <c r="C1422" s="8" t="s">
        <v>5176</v>
      </c>
      <c r="D1422" s="9">
        <v>46096.0</v>
      </c>
      <c r="E1422" s="10">
        <v>3.66</v>
      </c>
      <c r="F1422" s="26">
        <v>1.0938</v>
      </c>
      <c r="G1422" s="12">
        <v>1.7971232E7</v>
      </c>
      <c r="H1422" s="8" t="s">
        <v>93</v>
      </c>
      <c r="I1422" s="11">
        <v>-2.008</v>
      </c>
      <c r="J1422" s="12">
        <v>5.855805141E9</v>
      </c>
      <c r="K1422" s="13">
        <v>60.0</v>
      </c>
      <c r="L1422" s="13">
        <v>0.061</v>
      </c>
      <c r="M1422" s="8" t="s">
        <v>5177</v>
      </c>
      <c r="N1422" s="8" t="s">
        <v>5590</v>
      </c>
      <c r="O1422" s="13">
        <v>15.1674</v>
      </c>
      <c r="P1422" s="13">
        <v>45.0562</v>
      </c>
      <c r="Q1422" s="13">
        <v>32.5086</v>
      </c>
      <c r="R1422" s="13">
        <v>72.3717</v>
      </c>
      <c r="S1422" s="13">
        <v>0.2525</v>
      </c>
      <c r="T1422" s="14">
        <f>IFERROR(__xludf.DUMMYFUNCTION("IFERROR(GOOGLEFINANCE(B1422,""price""),"""")"),3.69)</f>
        <v>3.69</v>
      </c>
    </row>
    <row r="1423">
      <c r="A1423" s="15">
        <v>46094.66714775647</v>
      </c>
      <c r="B1423" s="16" t="s">
        <v>2475</v>
      </c>
      <c r="C1423" s="16" t="s">
        <v>2476</v>
      </c>
      <c r="D1423" s="17">
        <v>46096.0</v>
      </c>
      <c r="E1423" s="18">
        <v>18.14</v>
      </c>
      <c r="F1423" s="27">
        <v>1.0664</v>
      </c>
      <c r="G1423" s="20">
        <v>1.8914584E7</v>
      </c>
      <c r="H1423" s="16" t="s">
        <v>917</v>
      </c>
      <c r="I1423" s="19">
        <v>0.3874</v>
      </c>
      <c r="J1423" s="20">
        <v>3.9871139166E10</v>
      </c>
      <c r="K1423" s="21">
        <v>15.5668</v>
      </c>
      <c r="L1423" s="21">
        <v>1.1653</v>
      </c>
      <c r="M1423" s="16" t="s">
        <v>2477</v>
      </c>
      <c r="N1423" s="16" t="s">
        <v>5883</v>
      </c>
      <c r="O1423" s="21">
        <v>8.6235</v>
      </c>
      <c r="P1423" s="21">
        <v>19.5869</v>
      </c>
      <c r="Q1423" s="21">
        <v>2.1131</v>
      </c>
      <c r="R1423" s="21">
        <v>1.8849</v>
      </c>
      <c r="S1423" s="21">
        <v>0.9712</v>
      </c>
      <c r="T1423" s="22">
        <f>IFERROR(__xludf.DUMMYFUNCTION("IFERROR(GOOGLEFINANCE(B1423,""price""),"""")"),18.54)</f>
        <v>18.54</v>
      </c>
    </row>
    <row r="1424">
      <c r="A1424" s="7">
        <v>46094.66714775647</v>
      </c>
      <c r="B1424" s="8" t="s">
        <v>5449</v>
      </c>
      <c r="C1424" s="8" t="s">
        <v>5450</v>
      </c>
      <c r="D1424" s="9">
        <v>46096.0</v>
      </c>
      <c r="E1424" s="10">
        <v>17.49</v>
      </c>
      <c r="F1424" s="26">
        <v>1.0332</v>
      </c>
      <c r="G1424" s="12">
        <v>1.9221476E7</v>
      </c>
      <c r="H1424" s="8" t="s">
        <v>286</v>
      </c>
      <c r="I1424" s="11">
        <v>0.575</v>
      </c>
      <c r="J1424" s="12">
        <v>3.3523644612E10</v>
      </c>
      <c r="K1424" s="13">
        <v>22.8927</v>
      </c>
      <c r="L1424" s="13">
        <v>0.764</v>
      </c>
      <c r="M1424" s="8" t="s">
        <v>5451</v>
      </c>
      <c r="N1424" s="8" t="s">
        <v>5452</v>
      </c>
      <c r="O1424" s="13">
        <v>14.3885</v>
      </c>
      <c r="P1424" s="13">
        <v>18.0916</v>
      </c>
      <c r="Q1424" s="13">
        <v>-2.1545</v>
      </c>
      <c r="R1424" s="13">
        <v>0.8058</v>
      </c>
      <c r="S1424" s="13">
        <v>0.9583</v>
      </c>
      <c r="T1424" s="14">
        <f>IFERROR(__xludf.DUMMYFUNCTION("IFERROR(GOOGLEFINANCE(B1424,""price""),"""")"),17.35)</f>
        <v>17.35</v>
      </c>
    </row>
    <row r="1425">
      <c r="A1425" s="15">
        <v>46094.66714775647</v>
      </c>
      <c r="B1425" s="16" t="s">
        <v>5499</v>
      </c>
      <c r="C1425" s="16" t="s">
        <v>5500</v>
      </c>
      <c r="D1425" s="17">
        <v>46096.0</v>
      </c>
      <c r="E1425" s="18">
        <v>3.96</v>
      </c>
      <c r="F1425" s="27">
        <v>1.0313</v>
      </c>
      <c r="G1425" s="20">
        <v>1.9333606E7</v>
      </c>
      <c r="H1425" s="16" t="s">
        <v>117</v>
      </c>
      <c r="I1425" s="19">
        <v>-2.7027</v>
      </c>
      <c r="J1425" s="20">
        <v>1.63136804E9</v>
      </c>
      <c r="K1425" s="21"/>
      <c r="L1425" s="21">
        <v>-1.1209</v>
      </c>
      <c r="M1425" s="16" t="s">
        <v>5501</v>
      </c>
      <c r="N1425" s="16" t="s">
        <v>5502</v>
      </c>
      <c r="O1425" s="21">
        <v>-55.4977</v>
      </c>
      <c r="P1425" s="21">
        <v>-151.1805</v>
      </c>
      <c r="Q1425" s="21">
        <v>60.5668</v>
      </c>
      <c r="R1425" s="21">
        <v>0.0708</v>
      </c>
      <c r="S1425" s="21">
        <v>3.1996</v>
      </c>
      <c r="T1425" s="22">
        <f>IFERROR(__xludf.DUMMYFUNCTION("IFERROR(GOOGLEFINANCE(B1425,""price""),"""")"),3.7)</f>
        <v>3.7</v>
      </c>
    </row>
    <row r="1426">
      <c r="A1426" s="7">
        <v>46094.66714775647</v>
      </c>
      <c r="B1426" s="8" t="s">
        <v>6166</v>
      </c>
      <c r="C1426" s="8" t="s">
        <v>6167</v>
      </c>
      <c r="D1426" s="9">
        <v>46096.0</v>
      </c>
      <c r="E1426" s="10">
        <v>9.72</v>
      </c>
      <c r="F1426" s="26">
        <v>0.9863</v>
      </c>
      <c r="G1426" s="12">
        <v>1.6595615E7</v>
      </c>
      <c r="H1426" s="8" t="s">
        <v>149</v>
      </c>
      <c r="I1426" s="11">
        <v>-0.8163</v>
      </c>
      <c r="J1426" s="12">
        <v>1.0810982408E10</v>
      </c>
      <c r="K1426" s="13"/>
      <c r="L1426" s="13">
        <v>-0.4432</v>
      </c>
      <c r="M1426" s="8" t="s">
        <v>6168</v>
      </c>
      <c r="N1426" s="8" t="s">
        <v>5480</v>
      </c>
      <c r="O1426" s="13">
        <v>-4.4337</v>
      </c>
      <c r="P1426" s="13">
        <v>7.7567</v>
      </c>
      <c r="Q1426" s="13">
        <v>-1.1022</v>
      </c>
      <c r="R1426" s="13">
        <v>1.2907</v>
      </c>
      <c r="S1426" s="13">
        <v>1.2567</v>
      </c>
      <c r="T1426" s="14">
        <f>IFERROR(__xludf.DUMMYFUNCTION("IFERROR(GOOGLEFINANCE(B1426,""price""),"""")"),10.62)</f>
        <v>10.62</v>
      </c>
    </row>
    <row r="1427">
      <c r="A1427" s="15">
        <v>46094.66714775647</v>
      </c>
      <c r="B1427" s="16" t="s">
        <v>5652</v>
      </c>
      <c r="C1427" s="16" t="s">
        <v>5653</v>
      </c>
      <c r="D1427" s="17">
        <v>46096.0</v>
      </c>
      <c r="E1427" s="18">
        <v>3.42</v>
      </c>
      <c r="F1427" s="27">
        <v>0.9844</v>
      </c>
      <c r="G1427" s="20">
        <v>1.4353947E7</v>
      </c>
      <c r="H1427" s="16" t="s">
        <v>117</v>
      </c>
      <c r="I1427" s="19">
        <v>3.9514</v>
      </c>
      <c r="J1427" s="20">
        <v>1.80679395E9</v>
      </c>
      <c r="K1427" s="21"/>
      <c r="L1427" s="21">
        <v>-1.4829</v>
      </c>
      <c r="M1427" s="16" t="s">
        <v>5654</v>
      </c>
      <c r="N1427" s="16" t="s">
        <v>5502</v>
      </c>
      <c r="O1427" s="21">
        <v>-59.5442</v>
      </c>
      <c r="P1427" s="21">
        <v>-867.866</v>
      </c>
      <c r="Q1427" s="21">
        <v>26.9243</v>
      </c>
      <c r="R1427" s="21">
        <v>0.0689</v>
      </c>
      <c r="S1427" s="21">
        <v>5.5031</v>
      </c>
      <c r="T1427" s="22">
        <f>IFERROR(__xludf.DUMMYFUNCTION("IFERROR(GOOGLEFINANCE(B1427,""price""),"""")"),3.28)</f>
        <v>3.28</v>
      </c>
    </row>
    <row r="1428">
      <c r="A1428" s="7">
        <v>46094.66714775647</v>
      </c>
      <c r="B1428" s="8" t="s">
        <v>6169</v>
      </c>
      <c r="C1428" s="8" t="s">
        <v>6170</v>
      </c>
      <c r="D1428" s="9">
        <v>46096.0</v>
      </c>
      <c r="E1428" s="10">
        <v>14.77</v>
      </c>
      <c r="F1428" s="26">
        <v>0.9766</v>
      </c>
      <c r="G1428" s="12">
        <v>1.5288217E7</v>
      </c>
      <c r="H1428" s="8" t="s">
        <v>308</v>
      </c>
      <c r="I1428" s="11">
        <v>-6.8139</v>
      </c>
      <c r="J1428" s="12">
        <v>6.07824414E8</v>
      </c>
      <c r="K1428" s="13"/>
      <c r="L1428" s="13">
        <v>-2.0927</v>
      </c>
      <c r="M1428" s="8" t="s">
        <v>6171</v>
      </c>
      <c r="N1428" s="8" t="s">
        <v>6151</v>
      </c>
      <c r="O1428" s="13">
        <v>-9.9782</v>
      </c>
      <c r="P1428" s="13">
        <v>-13.3347</v>
      </c>
      <c r="Q1428" s="13">
        <v>18.1992</v>
      </c>
      <c r="R1428" s="13">
        <v>0.4876</v>
      </c>
      <c r="S1428" s="13">
        <v>1.6551</v>
      </c>
      <c r="T1428" s="14">
        <f>IFERROR(__xludf.DUMMYFUNCTION("IFERROR(GOOGLEFINANCE(B1428,""price""),"""")"),11.82)</f>
        <v>11.82</v>
      </c>
    </row>
    <row r="1429">
      <c r="A1429" s="15">
        <v>46094.66714775647</v>
      </c>
      <c r="B1429" s="16" t="s">
        <v>2775</v>
      </c>
      <c r="C1429" s="16" t="s">
        <v>2776</v>
      </c>
      <c r="D1429" s="17">
        <v>46096.0</v>
      </c>
      <c r="E1429" s="18">
        <v>51.0</v>
      </c>
      <c r="F1429" s="27">
        <v>0.9633</v>
      </c>
      <c r="G1429" s="20">
        <v>1.0740504E7</v>
      </c>
      <c r="H1429" s="16" t="s">
        <v>93</v>
      </c>
      <c r="I1429" s="19">
        <v>-0.9324</v>
      </c>
      <c r="J1429" s="20">
        <v>7.9238485135E10</v>
      </c>
      <c r="K1429" s="21">
        <v>11.0442</v>
      </c>
      <c r="L1429" s="21">
        <v>4.6178</v>
      </c>
      <c r="M1429" s="16" t="s">
        <v>2778</v>
      </c>
      <c r="N1429" s="16" t="s">
        <v>5464</v>
      </c>
      <c r="O1429" s="21">
        <v>12.1563</v>
      </c>
      <c r="P1429" s="21">
        <v>23.7837</v>
      </c>
      <c r="Q1429" s="21">
        <v>1.4443</v>
      </c>
      <c r="R1429" s="21">
        <v>1.2171</v>
      </c>
      <c r="S1429" s="21">
        <v>0.139</v>
      </c>
      <c r="T1429" s="22">
        <f>IFERROR(__xludf.DUMMYFUNCTION("IFERROR(GOOGLEFINANCE(B1429,""price""),"""")"),55.66)</f>
        <v>55.66</v>
      </c>
    </row>
    <row r="1430">
      <c r="A1430" s="7">
        <v>46094.66714775647</v>
      </c>
      <c r="B1430" s="8" t="s">
        <v>5905</v>
      </c>
      <c r="C1430" s="8" t="s">
        <v>5906</v>
      </c>
      <c r="D1430" s="9">
        <v>46096.0</v>
      </c>
      <c r="E1430" s="10">
        <v>33.69</v>
      </c>
      <c r="F1430" s="26">
        <v>0.9442</v>
      </c>
      <c r="G1430" s="12">
        <v>1.9812495E7</v>
      </c>
      <c r="H1430" s="8" t="s">
        <v>270</v>
      </c>
      <c r="I1430" s="11">
        <v>-3.3008</v>
      </c>
      <c r="J1430" s="12">
        <v>2.8217005749E10</v>
      </c>
      <c r="K1430" s="13">
        <v>22.3305</v>
      </c>
      <c r="L1430" s="13">
        <v>1.5087</v>
      </c>
      <c r="M1430" s="8" t="s">
        <v>5907</v>
      </c>
      <c r="N1430" s="8" t="s">
        <v>5908</v>
      </c>
      <c r="O1430" s="13">
        <v>12.2383</v>
      </c>
      <c r="P1430" s="13">
        <v>13.9335</v>
      </c>
      <c r="Q1430" s="13">
        <v>-3.3124</v>
      </c>
      <c r="R1430" s="13">
        <v>0.795</v>
      </c>
      <c r="S1430" s="13">
        <v>2.0397</v>
      </c>
      <c r="T1430" s="14">
        <f>IFERROR(__xludf.DUMMYFUNCTION("IFERROR(GOOGLEFINANCE(B1430,""price""),"""")"),37.59)</f>
        <v>37.59</v>
      </c>
    </row>
    <row r="1431">
      <c r="A1431" s="15">
        <v>46094.66714775647</v>
      </c>
      <c r="B1431" s="16" t="s">
        <v>6133</v>
      </c>
      <c r="C1431" s="16" t="s">
        <v>6134</v>
      </c>
      <c r="D1431" s="17">
        <v>46096.0</v>
      </c>
      <c r="E1431" s="18">
        <v>15.91</v>
      </c>
      <c r="F1431" s="27">
        <v>0.9094</v>
      </c>
      <c r="G1431" s="20">
        <v>9299024.0</v>
      </c>
      <c r="H1431" s="16" t="s">
        <v>186</v>
      </c>
      <c r="I1431" s="19">
        <v>8.8235</v>
      </c>
      <c r="J1431" s="20">
        <v>6.006150706E9</v>
      </c>
      <c r="K1431" s="21"/>
      <c r="L1431" s="21">
        <v>-0.7857</v>
      </c>
      <c r="M1431" s="16" t="s">
        <v>6135</v>
      </c>
      <c r="N1431" s="16" t="s">
        <v>5573</v>
      </c>
      <c r="O1431" s="21">
        <v>-12.8456</v>
      </c>
      <c r="P1431" s="21">
        <v>-6.6401</v>
      </c>
      <c r="Q1431" s="21">
        <v>24.7423</v>
      </c>
      <c r="R1431" s="21">
        <v>0.574</v>
      </c>
      <c r="S1431" s="21">
        <v>1.0158</v>
      </c>
      <c r="T1431" s="22">
        <f>IFERROR(__xludf.DUMMYFUNCTION("IFERROR(GOOGLEFINANCE(B1431,""price""),"""")"),13.04)</f>
        <v>13.04</v>
      </c>
    </row>
    <row r="1432">
      <c r="A1432" s="7">
        <v>46094.66714775647</v>
      </c>
      <c r="B1432" s="8" t="s">
        <v>6159</v>
      </c>
      <c r="C1432" s="8" t="s">
        <v>6160</v>
      </c>
      <c r="D1432" s="9">
        <v>46096.0</v>
      </c>
      <c r="E1432" s="10">
        <v>9.74</v>
      </c>
      <c r="F1432" s="26">
        <v>0.9053</v>
      </c>
      <c r="G1432" s="12">
        <v>1.0891539E7</v>
      </c>
      <c r="H1432" s="8" t="s">
        <v>88</v>
      </c>
      <c r="I1432" s="11">
        <v>1.9895</v>
      </c>
      <c r="J1432" s="12">
        <v>3.206295231E9</v>
      </c>
      <c r="K1432" s="13"/>
      <c r="L1432" s="13">
        <v>-1.7404</v>
      </c>
      <c r="M1432" s="8" t="s">
        <v>6161</v>
      </c>
      <c r="N1432" s="8" t="s">
        <v>5429</v>
      </c>
      <c r="O1432" s="13"/>
      <c r="P1432" s="13">
        <v>-92.0426</v>
      </c>
      <c r="Q1432" s="13">
        <v>31.7182</v>
      </c>
      <c r="R1432" s="13">
        <v>3.8819</v>
      </c>
      <c r="S1432" s="13">
        <v>2.0467</v>
      </c>
      <c r="T1432" s="14">
        <f>IFERROR(__xludf.DUMMYFUNCTION("IFERROR(GOOGLEFINANCE(B1432,""price""),"""")"),8.67)</f>
        <v>8.67</v>
      </c>
    </row>
    <row r="1433">
      <c r="A1433" s="15">
        <v>46094.66714775647</v>
      </c>
      <c r="B1433" s="16" t="s">
        <v>5843</v>
      </c>
      <c r="C1433" s="16" t="s">
        <v>5844</v>
      </c>
      <c r="D1433" s="17">
        <v>46096.0</v>
      </c>
      <c r="E1433" s="18">
        <v>7.93</v>
      </c>
      <c r="F1433" s="27">
        <v>0.9023</v>
      </c>
      <c r="G1433" s="20">
        <v>1.0372674E7</v>
      </c>
      <c r="H1433" s="16" t="s">
        <v>117</v>
      </c>
      <c r="I1433" s="19">
        <v>0.3797</v>
      </c>
      <c r="J1433" s="20">
        <v>5.408703417E9</v>
      </c>
      <c r="K1433" s="21"/>
      <c r="L1433" s="21">
        <v>-0.7776</v>
      </c>
      <c r="M1433" s="16" t="s">
        <v>5845</v>
      </c>
      <c r="N1433" s="16" t="s">
        <v>5418</v>
      </c>
      <c r="O1433" s="21">
        <v>-9.2035</v>
      </c>
      <c r="P1433" s="21">
        <v>8.797</v>
      </c>
      <c r="Q1433" s="21">
        <v>-3.4112</v>
      </c>
      <c r="R1433" s="21">
        <v>0.7425</v>
      </c>
      <c r="S1433" s="21">
        <v>1.7776</v>
      </c>
      <c r="T1433" s="22">
        <f>IFERROR(__xludf.DUMMYFUNCTION("IFERROR(GOOGLEFINANCE(B1433,""price""),"""")"),7.9)</f>
        <v>7.9</v>
      </c>
    </row>
    <row r="1434">
      <c r="A1434" s="7">
        <v>46094.66714775647</v>
      </c>
      <c r="B1434" s="8" t="s">
        <v>5879</v>
      </c>
      <c r="C1434" s="8" t="s">
        <v>5880</v>
      </c>
      <c r="D1434" s="9">
        <v>46096.0</v>
      </c>
      <c r="E1434" s="10">
        <v>54.89</v>
      </c>
      <c r="F1434" s="26">
        <v>0.8958</v>
      </c>
      <c r="G1434" s="12">
        <v>9734430.0</v>
      </c>
      <c r="H1434" s="8" t="s">
        <v>286</v>
      </c>
      <c r="I1434" s="11">
        <v>0.9936</v>
      </c>
      <c r="J1434" s="12">
        <v>7.0360501968E10</v>
      </c>
      <c r="K1434" s="13">
        <v>29.05</v>
      </c>
      <c r="L1434" s="13">
        <v>1.8895</v>
      </c>
      <c r="M1434" s="8" t="s">
        <v>5881</v>
      </c>
      <c r="N1434" s="8" t="s">
        <v>5882</v>
      </c>
      <c r="O1434" s="13">
        <v>9.2894</v>
      </c>
      <c r="P1434" s="13">
        <v>12.3466</v>
      </c>
      <c r="Q1434" s="13">
        <v>5.7518</v>
      </c>
      <c r="R1434" s="13">
        <v>0.8502</v>
      </c>
      <c r="S1434" s="13">
        <v>0.5923</v>
      </c>
      <c r="T1434" s="14">
        <f>IFERROR(__xludf.DUMMYFUNCTION("IFERROR(GOOGLEFINANCE(B1434,""price""),"""")"),59.0)</f>
        <v>59</v>
      </c>
    </row>
    <row r="1435">
      <c r="A1435" s="15">
        <v>46094.66714775647</v>
      </c>
      <c r="B1435" s="16" t="s">
        <v>3523</v>
      </c>
      <c r="C1435" s="16" t="s">
        <v>3524</v>
      </c>
      <c r="D1435" s="17">
        <v>46096.0</v>
      </c>
      <c r="E1435" s="18">
        <v>39.3</v>
      </c>
      <c r="F1435" s="27">
        <v>0.8828</v>
      </c>
      <c r="G1435" s="20">
        <v>1.189014E7</v>
      </c>
      <c r="H1435" s="16" t="s">
        <v>162</v>
      </c>
      <c r="I1435" s="19">
        <v>0.204</v>
      </c>
      <c r="J1435" s="20">
        <v>7.3080583049E10</v>
      </c>
      <c r="K1435" s="21">
        <v>25.4699</v>
      </c>
      <c r="L1435" s="21">
        <v>1.543</v>
      </c>
      <c r="M1435" s="16" t="s">
        <v>3526</v>
      </c>
      <c r="N1435" s="16" t="s">
        <v>5781</v>
      </c>
      <c r="O1435" s="21">
        <v>22.5202</v>
      </c>
      <c r="P1435" s="21">
        <v>33.2458</v>
      </c>
      <c r="Q1435" s="21">
        <v>-3.0812</v>
      </c>
      <c r="R1435" s="21">
        <v>1.4762</v>
      </c>
      <c r="S1435" s="21">
        <v>0.8139</v>
      </c>
      <c r="T1435" s="22">
        <f>IFERROR(__xludf.DUMMYFUNCTION("IFERROR(GOOGLEFINANCE(B1435,""price""),"""")"),42.24)</f>
        <v>42.24</v>
      </c>
    </row>
    <row r="1436">
      <c r="A1436" s="7">
        <v>46094.66714775647</v>
      </c>
      <c r="B1436" s="8" t="s">
        <v>5514</v>
      </c>
      <c r="C1436" s="8" t="s">
        <v>5515</v>
      </c>
      <c r="D1436" s="9">
        <v>46096.0</v>
      </c>
      <c r="E1436" s="10">
        <v>8.39</v>
      </c>
      <c r="F1436" s="26">
        <v>0.8809</v>
      </c>
      <c r="G1436" s="12">
        <v>3.0467841E7</v>
      </c>
      <c r="H1436" s="8" t="s">
        <v>117</v>
      </c>
      <c r="I1436" s="11">
        <v>7.289</v>
      </c>
      <c r="J1436" s="12">
        <v>8.625855256E9</v>
      </c>
      <c r="K1436" s="13"/>
      <c r="L1436" s="13">
        <v>-0.3898</v>
      </c>
      <c r="M1436" s="8" t="s">
        <v>5516</v>
      </c>
      <c r="N1436" s="8" t="s">
        <v>5491</v>
      </c>
      <c r="O1436" s="13"/>
      <c r="P1436" s="13">
        <v>-225.9966</v>
      </c>
      <c r="Q1436" s="13">
        <v>668.3147</v>
      </c>
      <c r="R1436" s="13"/>
      <c r="S1436" s="13">
        <v>5.0989</v>
      </c>
      <c r="T1436" s="14">
        <f>IFERROR(__xludf.DUMMYFUNCTION("IFERROR(GOOGLEFINANCE(B1436,""price""),"""")"),7.28)</f>
        <v>7.28</v>
      </c>
    </row>
    <row r="1437">
      <c r="A1437" s="15">
        <v>46094.66714775647</v>
      </c>
      <c r="B1437" s="16" t="s">
        <v>5477</v>
      </c>
      <c r="C1437" s="16" t="s">
        <v>5478</v>
      </c>
      <c r="D1437" s="17">
        <v>46096.0</v>
      </c>
      <c r="E1437" s="18">
        <v>30.16</v>
      </c>
      <c r="F1437" s="27">
        <v>0.8628</v>
      </c>
      <c r="G1437" s="20">
        <v>1.9931656E7</v>
      </c>
      <c r="H1437" s="16" t="s">
        <v>149</v>
      </c>
      <c r="I1437" s="19">
        <v>0.0</v>
      </c>
      <c r="J1437" s="20">
        <v>1.08511034399E11</v>
      </c>
      <c r="K1437" s="21">
        <v>5.6103</v>
      </c>
      <c r="L1437" s="21">
        <v>5.3758</v>
      </c>
      <c r="M1437" s="16" t="s">
        <v>5479</v>
      </c>
      <c r="N1437" s="16" t="s">
        <v>5480</v>
      </c>
      <c r="O1437" s="21">
        <v>21.9187</v>
      </c>
      <c r="P1437" s="21">
        <v>16.9011</v>
      </c>
      <c r="Q1437" s="21">
        <v>-0.0186</v>
      </c>
      <c r="R1437" s="21">
        <v>1.0839</v>
      </c>
      <c r="S1437" s="21">
        <v>0.882</v>
      </c>
      <c r="T1437" s="22">
        <f>IFERROR(__xludf.DUMMYFUNCTION("IFERROR(GOOGLEFINANCE(B1437,""price""),"""")"),27.93)</f>
        <v>27.93</v>
      </c>
    </row>
    <row r="1438">
      <c r="A1438" s="7">
        <v>46094.66714775647</v>
      </c>
      <c r="B1438" s="8" t="s">
        <v>5541</v>
      </c>
      <c r="C1438" s="8" t="s">
        <v>5542</v>
      </c>
      <c r="D1438" s="9">
        <v>46096.0</v>
      </c>
      <c r="E1438" s="10">
        <v>4.12</v>
      </c>
      <c r="F1438" s="26">
        <v>0.8594</v>
      </c>
      <c r="G1438" s="12">
        <v>2.4079619E7</v>
      </c>
      <c r="H1438" s="8" t="s">
        <v>162</v>
      </c>
      <c r="I1438" s="11">
        <v>-0.9615</v>
      </c>
      <c r="J1438" s="12">
        <v>1.524892941E9</v>
      </c>
      <c r="K1438" s="13"/>
      <c r="L1438" s="13">
        <v>-1.6664</v>
      </c>
      <c r="M1438" s="8" t="s">
        <v>5543</v>
      </c>
      <c r="N1438" s="8" t="s">
        <v>5490</v>
      </c>
      <c r="O1438" s="13">
        <v>-25.2888</v>
      </c>
      <c r="P1438" s="13">
        <v>-3.7299</v>
      </c>
      <c r="Q1438" s="13">
        <v>-2.3386</v>
      </c>
      <c r="R1438" s="13">
        <v>4.4415</v>
      </c>
      <c r="S1438" s="13">
        <v>0.7356</v>
      </c>
      <c r="T1438" s="14">
        <f>IFERROR(__xludf.DUMMYFUNCTION("IFERROR(GOOGLEFINANCE(B1438,""price""),"""")"),4.74)</f>
        <v>4.74</v>
      </c>
    </row>
    <row r="1439">
      <c r="A1439" s="15">
        <v>46094.66714775647</v>
      </c>
      <c r="B1439" s="16" t="s">
        <v>5422</v>
      </c>
      <c r="C1439" s="16" t="s">
        <v>5423</v>
      </c>
      <c r="D1439" s="17">
        <v>46096.0</v>
      </c>
      <c r="E1439" s="18">
        <v>19.46</v>
      </c>
      <c r="F1439" s="27">
        <v>0.8389</v>
      </c>
      <c r="G1439" s="20">
        <v>1.1420143E7</v>
      </c>
      <c r="H1439" s="16" t="s">
        <v>102</v>
      </c>
      <c r="I1439" s="19">
        <v>-1.4684</v>
      </c>
      <c r="J1439" s="20">
        <v>4.241124918E9</v>
      </c>
      <c r="K1439" s="21"/>
      <c r="L1439" s="21">
        <v>-2.5128</v>
      </c>
      <c r="M1439" s="16" t="s">
        <v>5424</v>
      </c>
      <c r="N1439" s="16" t="s">
        <v>5425</v>
      </c>
      <c r="O1439" s="21">
        <v>-255.9098</v>
      </c>
      <c r="P1439" s="21"/>
      <c r="Q1439" s="21"/>
      <c r="R1439" s="21"/>
      <c r="S1439" s="21">
        <v>16.5111</v>
      </c>
      <c r="T1439" s="22">
        <f>IFERROR(__xludf.DUMMYFUNCTION("IFERROR(GOOGLEFINANCE(B1439,""price""),"""")"),16.15)</f>
        <v>16.15</v>
      </c>
    </row>
    <row r="1440">
      <c r="A1440" s="7">
        <v>46094.66714775647</v>
      </c>
      <c r="B1440" s="8" t="s">
        <v>2735</v>
      </c>
      <c r="C1440" s="8" t="s">
        <v>2736</v>
      </c>
      <c r="D1440" s="9">
        <v>46096.0</v>
      </c>
      <c r="E1440" s="10">
        <v>19.61</v>
      </c>
      <c r="F1440" s="26">
        <v>0.8311</v>
      </c>
      <c r="G1440" s="12">
        <v>1.7003042E7</v>
      </c>
      <c r="H1440" s="8" t="s">
        <v>335</v>
      </c>
      <c r="I1440" s="11">
        <v>-4.4812</v>
      </c>
      <c r="J1440" s="12">
        <v>1.314555987E10</v>
      </c>
      <c r="K1440" s="13">
        <v>40.4998</v>
      </c>
      <c r="L1440" s="13">
        <v>0.4842</v>
      </c>
      <c r="M1440" s="8" t="s">
        <v>2738</v>
      </c>
      <c r="N1440" s="8" t="s">
        <v>5445</v>
      </c>
      <c r="O1440" s="13">
        <v>13.8934</v>
      </c>
      <c r="P1440" s="13">
        <v>37.2072</v>
      </c>
      <c r="Q1440" s="13">
        <v>53.0251</v>
      </c>
      <c r="R1440" s="13">
        <v>0.1111</v>
      </c>
      <c r="S1440" s="13">
        <v>2.7178</v>
      </c>
      <c r="T1440" s="14">
        <f>IFERROR(__xludf.DUMMYFUNCTION("IFERROR(GOOGLEFINANCE(B1440,""price""),"""")"),19.46)</f>
        <v>19.46</v>
      </c>
    </row>
    <row r="1441">
      <c r="A1441" s="15">
        <v>46094.66714775647</v>
      </c>
      <c r="B1441" s="16" t="s">
        <v>5786</v>
      </c>
      <c r="C1441" s="16" t="s">
        <v>5787</v>
      </c>
      <c r="D1441" s="17">
        <v>46096.0</v>
      </c>
      <c r="E1441" s="18">
        <v>69.13</v>
      </c>
      <c r="F1441" s="27">
        <v>0.8169</v>
      </c>
      <c r="G1441" s="20">
        <v>1.1660451E7</v>
      </c>
      <c r="H1441" s="16" t="s">
        <v>117</v>
      </c>
      <c r="I1441" s="19">
        <v>0.8461</v>
      </c>
      <c r="J1441" s="20">
        <v>1.02581009047E11</v>
      </c>
      <c r="K1441" s="21">
        <v>35.6487</v>
      </c>
      <c r="L1441" s="21">
        <v>1.9392</v>
      </c>
      <c r="M1441" s="16" t="s">
        <v>5788</v>
      </c>
      <c r="N1441" s="16" t="s">
        <v>5418</v>
      </c>
      <c r="O1441" s="21">
        <v>12.5992</v>
      </c>
      <c r="P1441" s="21">
        <v>20.279</v>
      </c>
      <c r="Q1441" s="21">
        <v>19.8794</v>
      </c>
      <c r="R1441" s="21">
        <v>0.494</v>
      </c>
      <c r="S1441" s="21">
        <v>1.6168</v>
      </c>
      <c r="T1441" s="22">
        <f>IFERROR(__xludf.DUMMYFUNCTION("IFERROR(GOOGLEFINANCE(B1441,""price""),"""")"),61.79)</f>
        <v>61.79</v>
      </c>
    </row>
    <row r="1442">
      <c r="A1442" s="7">
        <v>46097.6285280692</v>
      </c>
      <c r="B1442" s="8" t="s">
        <v>5649</v>
      </c>
      <c r="C1442" s="8" t="s">
        <v>5650</v>
      </c>
      <c r="D1442" s="9">
        <v>46103.0</v>
      </c>
      <c r="E1442" s="10">
        <v>24.5797</v>
      </c>
      <c r="F1442" s="26">
        <v>2.2206</v>
      </c>
      <c r="G1442" s="12">
        <v>8744275.0</v>
      </c>
      <c r="H1442" s="8" t="s">
        <v>88</v>
      </c>
      <c r="I1442" s="11">
        <v>-0.8483</v>
      </c>
      <c r="J1442" s="12">
        <v>8.326467281E9</v>
      </c>
      <c r="K1442" s="13"/>
      <c r="L1442" s="13">
        <v>-0.4263</v>
      </c>
      <c r="M1442" s="8" t="s">
        <v>5651</v>
      </c>
      <c r="N1442" s="8" t="s">
        <v>5429</v>
      </c>
      <c r="O1442" s="13">
        <v>-31.8263</v>
      </c>
      <c r="P1442" s="13">
        <v>-26.3989</v>
      </c>
      <c r="Q1442" s="13">
        <v>16.8876</v>
      </c>
      <c r="R1442" s="13">
        <v>1.3198</v>
      </c>
      <c r="S1442" s="13">
        <v>3.9903</v>
      </c>
      <c r="T1442" s="14">
        <f>IFERROR(__xludf.DUMMYFUNCTION("IFERROR(GOOGLEFINANCE(B1442,""price""),"""")"),34.67)</f>
        <v>34.67</v>
      </c>
    </row>
    <row r="1443">
      <c r="A1443" s="15">
        <v>46097.6285280692</v>
      </c>
      <c r="B1443" s="16" t="s">
        <v>6145</v>
      </c>
      <c r="C1443" s="16" t="s">
        <v>6146</v>
      </c>
      <c r="D1443" s="17">
        <v>46103.0</v>
      </c>
      <c r="E1443" s="18">
        <v>7.585</v>
      </c>
      <c r="F1443" s="27">
        <v>1.8789</v>
      </c>
      <c r="G1443" s="20">
        <v>6939532.0</v>
      </c>
      <c r="H1443" s="16" t="s">
        <v>107</v>
      </c>
      <c r="I1443" s="19">
        <v>-0.3285</v>
      </c>
      <c r="J1443" s="20">
        <v>1.103091259E9</v>
      </c>
      <c r="K1443" s="21"/>
      <c r="L1443" s="21">
        <v>-0.1621</v>
      </c>
      <c r="M1443" s="16" t="s">
        <v>6147</v>
      </c>
      <c r="N1443" s="16" t="s">
        <v>5613</v>
      </c>
      <c r="O1443" s="21">
        <v>-54.375</v>
      </c>
      <c r="P1443" s="21">
        <v>-20561.9065</v>
      </c>
      <c r="Q1443" s="21">
        <v>-11.1185</v>
      </c>
      <c r="R1443" s="21">
        <v>0.0641</v>
      </c>
      <c r="S1443" s="21">
        <v>31.0569</v>
      </c>
      <c r="T1443" s="22">
        <f>IFERROR(__xludf.DUMMYFUNCTION("IFERROR(GOOGLEFINANCE(B1443,""price""),"""")"),10.6)</f>
        <v>10.6</v>
      </c>
    </row>
    <row r="1444">
      <c r="A1444" s="7">
        <v>46097.6285280692</v>
      </c>
      <c r="B1444" s="8" t="s">
        <v>6099</v>
      </c>
      <c r="C1444" s="8" t="s">
        <v>6100</v>
      </c>
      <c r="D1444" s="9">
        <v>46103.0</v>
      </c>
      <c r="E1444" s="10">
        <v>3.115</v>
      </c>
      <c r="F1444" s="26">
        <v>1.7344</v>
      </c>
      <c r="G1444" s="12">
        <v>8997081.0</v>
      </c>
      <c r="H1444" s="8" t="s">
        <v>245</v>
      </c>
      <c r="I1444" s="11">
        <v>-7.5668</v>
      </c>
      <c r="J1444" s="12">
        <v>4.6344103E8</v>
      </c>
      <c r="K1444" s="13"/>
      <c r="L1444" s="13">
        <v>-1.0118</v>
      </c>
      <c r="M1444" s="8" t="s">
        <v>6101</v>
      </c>
      <c r="N1444" s="8" t="s">
        <v>5410</v>
      </c>
      <c r="O1444" s="13"/>
      <c r="P1444" s="13">
        <v>-10.5298</v>
      </c>
      <c r="Q1444" s="13">
        <v>-4.5309</v>
      </c>
      <c r="R1444" s="13"/>
      <c r="S1444" s="13">
        <v>1.0213</v>
      </c>
      <c r="T1444" s="14">
        <f>IFERROR(__xludf.DUMMYFUNCTION("IFERROR(GOOGLEFINANCE(B1444,""price""),"""")"),2.76)</f>
        <v>2.76</v>
      </c>
    </row>
    <row r="1445">
      <c r="A1445" s="15">
        <v>46097.6285280692</v>
      </c>
      <c r="B1445" s="16" t="s">
        <v>5527</v>
      </c>
      <c r="C1445" s="16" t="s">
        <v>5528</v>
      </c>
      <c r="D1445" s="17">
        <v>46103.0</v>
      </c>
      <c r="E1445" s="18">
        <v>15.55</v>
      </c>
      <c r="F1445" s="27">
        <v>1.6888</v>
      </c>
      <c r="G1445" s="20">
        <v>1.0383541E7</v>
      </c>
      <c r="H1445" s="16" t="s">
        <v>88</v>
      </c>
      <c r="I1445" s="19">
        <v>-1.9546</v>
      </c>
      <c r="J1445" s="20">
        <v>1.85622118E9</v>
      </c>
      <c r="K1445" s="21"/>
      <c r="L1445" s="21"/>
      <c r="M1445" s="16" t="s">
        <v>5529</v>
      </c>
      <c r="N1445" s="16" t="s">
        <v>5429</v>
      </c>
      <c r="O1445" s="21"/>
      <c r="P1445" s="21"/>
      <c r="Q1445" s="21"/>
      <c r="R1445" s="21">
        <v>0.0885</v>
      </c>
      <c r="S1445" s="21">
        <v>10.416</v>
      </c>
      <c r="T1445" s="22">
        <f>IFERROR(__xludf.DUMMYFUNCTION("IFERROR(GOOGLEFINANCE(B1445,""price""),"""")"),12.37)</f>
        <v>12.37</v>
      </c>
    </row>
    <row r="1446">
      <c r="A1446" s="7">
        <v>46097.6285280692</v>
      </c>
      <c r="B1446" s="8" t="s">
        <v>5640</v>
      </c>
      <c r="C1446" s="8" t="s">
        <v>5641</v>
      </c>
      <c r="D1446" s="9">
        <v>46103.0</v>
      </c>
      <c r="E1446" s="10">
        <v>48.355</v>
      </c>
      <c r="F1446" s="26">
        <v>1.5996</v>
      </c>
      <c r="G1446" s="12">
        <v>1.0353798E7</v>
      </c>
      <c r="H1446" s="8" t="s">
        <v>308</v>
      </c>
      <c r="I1446" s="11">
        <v>-1.0336</v>
      </c>
      <c r="J1446" s="12">
        <v>2.672781967E9</v>
      </c>
      <c r="K1446" s="13"/>
      <c r="L1446" s="13">
        <v>-0.4882</v>
      </c>
      <c r="M1446" s="8" t="s">
        <v>5642</v>
      </c>
      <c r="N1446" s="8" t="s">
        <v>5433</v>
      </c>
      <c r="O1446" s="13">
        <v>-9.1233</v>
      </c>
      <c r="P1446" s="13">
        <v>-24.8806</v>
      </c>
      <c r="Q1446" s="13">
        <v>-11.106</v>
      </c>
      <c r="R1446" s="13">
        <v>0.2351</v>
      </c>
      <c r="S1446" s="13">
        <v>2.7231</v>
      </c>
      <c r="T1446" s="14">
        <f>IFERROR(__xludf.DUMMYFUNCTION("IFERROR(GOOGLEFINANCE(B1446,""price""),"""")"),64.18)</f>
        <v>64.18</v>
      </c>
    </row>
    <row r="1447">
      <c r="A1447" s="15">
        <v>46097.6285280692</v>
      </c>
      <c r="B1447" s="16" t="s">
        <v>6031</v>
      </c>
      <c r="C1447" s="16" t="s">
        <v>6032</v>
      </c>
      <c r="D1447" s="17">
        <v>46103.0</v>
      </c>
      <c r="E1447" s="18">
        <v>16.185</v>
      </c>
      <c r="F1447" s="27">
        <v>1.541</v>
      </c>
      <c r="G1447" s="20">
        <v>9062300.0</v>
      </c>
      <c r="H1447" s="16" t="s">
        <v>245</v>
      </c>
      <c r="I1447" s="19">
        <v>-3.8324</v>
      </c>
      <c r="J1447" s="20">
        <v>2.383145664E9</v>
      </c>
      <c r="K1447" s="21"/>
      <c r="L1447" s="21">
        <v>-4.2396</v>
      </c>
      <c r="M1447" s="16" t="s">
        <v>6033</v>
      </c>
      <c r="N1447" s="16" t="s">
        <v>5776</v>
      </c>
      <c r="O1447" s="21">
        <v>-89.3124</v>
      </c>
      <c r="P1447" s="21"/>
      <c r="Q1447" s="21"/>
      <c r="R1447" s="21">
        <v>1.7643</v>
      </c>
      <c r="S1447" s="21">
        <v>0.1326</v>
      </c>
      <c r="T1447" s="22">
        <f>IFERROR(__xludf.DUMMYFUNCTION("IFERROR(GOOGLEFINANCE(B1447,""price""),"""")"),13.14)</f>
        <v>13.14</v>
      </c>
    </row>
    <row r="1448">
      <c r="A1448" s="7">
        <v>46097.6285280692</v>
      </c>
      <c r="B1448" s="8" t="s">
        <v>5604</v>
      </c>
      <c r="C1448" s="8" t="s">
        <v>5605</v>
      </c>
      <c r="D1448" s="9">
        <v>46103.0</v>
      </c>
      <c r="E1448" s="10">
        <v>93.37</v>
      </c>
      <c r="F1448" s="26">
        <v>1.4169</v>
      </c>
      <c r="G1448" s="12">
        <v>9822161.0</v>
      </c>
      <c r="H1448" s="8" t="s">
        <v>308</v>
      </c>
      <c r="I1448" s="11">
        <v>-3.5534</v>
      </c>
      <c r="J1448" s="12">
        <v>7.021313835E9</v>
      </c>
      <c r="K1448" s="13"/>
      <c r="L1448" s="13">
        <v>-0.6555</v>
      </c>
      <c r="M1448" s="8" t="s">
        <v>5606</v>
      </c>
      <c r="N1448" s="8" t="s">
        <v>5414</v>
      </c>
      <c r="O1448" s="13">
        <v>-7.9391</v>
      </c>
      <c r="P1448" s="13">
        <v>-11.9814</v>
      </c>
      <c r="Q1448" s="13">
        <v>82.7502</v>
      </c>
      <c r="R1448" s="13">
        <v>0.338</v>
      </c>
      <c r="S1448" s="13">
        <v>2.6264</v>
      </c>
      <c r="T1448" s="14">
        <f>IFERROR(__xludf.DUMMYFUNCTION("IFERROR(GOOGLEFINANCE(B1448,""price""),"""")"),150.6)</f>
        <v>150.6</v>
      </c>
    </row>
    <row r="1449">
      <c r="A1449" s="15">
        <v>46097.6285280692</v>
      </c>
      <c r="B1449" s="16" t="s">
        <v>5499</v>
      </c>
      <c r="C1449" s="16" t="s">
        <v>5500</v>
      </c>
      <c r="D1449" s="17">
        <v>46103.0</v>
      </c>
      <c r="E1449" s="18">
        <v>4.015</v>
      </c>
      <c r="F1449" s="27">
        <v>1.332</v>
      </c>
      <c r="G1449" s="20">
        <v>1.2555972E7</v>
      </c>
      <c r="H1449" s="16" t="s">
        <v>117</v>
      </c>
      <c r="I1449" s="19">
        <v>1.3889</v>
      </c>
      <c r="J1449" s="20">
        <v>1.654025876E9</v>
      </c>
      <c r="K1449" s="21"/>
      <c r="L1449" s="21">
        <v>-1.1209</v>
      </c>
      <c r="M1449" s="16" t="s">
        <v>5501</v>
      </c>
      <c r="N1449" s="16" t="s">
        <v>5502</v>
      </c>
      <c r="O1449" s="21">
        <v>-55.4977</v>
      </c>
      <c r="P1449" s="21">
        <v>-151.1805</v>
      </c>
      <c r="Q1449" s="21">
        <v>60.5668</v>
      </c>
      <c r="R1449" s="21">
        <v>0.0708</v>
      </c>
      <c r="S1449" s="21">
        <v>3.1996</v>
      </c>
      <c r="T1449" s="22">
        <f>IFERROR(__xludf.DUMMYFUNCTION("IFERROR(GOOGLEFINANCE(B1449,""price""),"""")"),3.7)</f>
        <v>3.7</v>
      </c>
    </row>
    <row r="1450">
      <c r="A1450" s="7">
        <v>46097.6285280692</v>
      </c>
      <c r="B1450" s="8" t="s">
        <v>5533</v>
      </c>
      <c r="C1450" s="8" t="s">
        <v>5534</v>
      </c>
      <c r="D1450" s="9">
        <v>46103.0</v>
      </c>
      <c r="E1450" s="10">
        <v>7.79</v>
      </c>
      <c r="F1450" s="26">
        <v>1.3223</v>
      </c>
      <c r="G1450" s="12">
        <v>1.0444441E7</v>
      </c>
      <c r="H1450" s="8" t="s">
        <v>102</v>
      </c>
      <c r="I1450" s="11">
        <v>2.231</v>
      </c>
      <c r="J1450" s="12">
        <v>2.107762197E9</v>
      </c>
      <c r="K1450" s="13"/>
      <c r="L1450" s="13">
        <v>-3.7839</v>
      </c>
      <c r="M1450" s="8" t="s">
        <v>5535</v>
      </c>
      <c r="N1450" s="8" t="s">
        <v>5536</v>
      </c>
      <c r="O1450" s="13">
        <v>-55.984</v>
      </c>
      <c r="P1450" s="13">
        <v>-31.1477</v>
      </c>
      <c r="Q1450" s="13"/>
      <c r="R1450" s="13">
        <v>4.5088</v>
      </c>
      <c r="S1450" s="13">
        <v>1.1293</v>
      </c>
      <c r="T1450" s="14">
        <f>IFERROR(__xludf.DUMMYFUNCTION("IFERROR(GOOGLEFINANCE(B1450,""price""),"""")"),4.69)</f>
        <v>4.69</v>
      </c>
    </row>
    <row r="1451">
      <c r="A1451" s="15">
        <v>46097.6285280692</v>
      </c>
      <c r="B1451" s="16" t="s">
        <v>5503</v>
      </c>
      <c r="C1451" s="16" t="s">
        <v>5504</v>
      </c>
      <c r="D1451" s="17">
        <v>46103.0</v>
      </c>
      <c r="E1451" s="18">
        <v>9.2</v>
      </c>
      <c r="F1451" s="27">
        <v>1.3174</v>
      </c>
      <c r="G1451" s="20">
        <v>6978855.0</v>
      </c>
      <c r="H1451" s="16" t="s">
        <v>335</v>
      </c>
      <c r="I1451" s="19">
        <v>1.6575</v>
      </c>
      <c r="J1451" s="20">
        <v>1.123088241E9</v>
      </c>
      <c r="K1451" s="21"/>
      <c r="L1451" s="21">
        <v>-1.4123</v>
      </c>
      <c r="M1451" s="16" t="s">
        <v>5505</v>
      </c>
      <c r="N1451" s="16" t="s">
        <v>5445</v>
      </c>
      <c r="O1451" s="21">
        <v>-138.754</v>
      </c>
      <c r="P1451" s="21"/>
      <c r="Q1451" s="21"/>
      <c r="R1451" s="21">
        <v>0.0165</v>
      </c>
      <c r="S1451" s="21">
        <v>0.7469</v>
      </c>
      <c r="T1451" s="22">
        <f>IFERROR(__xludf.DUMMYFUNCTION("IFERROR(GOOGLEFINANCE(B1451,""price""),"""")"),8.87)</f>
        <v>8.87</v>
      </c>
    </row>
    <row r="1452">
      <c r="A1452" s="7">
        <v>46097.6285280692</v>
      </c>
      <c r="B1452" s="8" t="s">
        <v>5551</v>
      </c>
      <c r="C1452" s="8" t="s">
        <v>5552</v>
      </c>
      <c r="D1452" s="9">
        <v>46103.0</v>
      </c>
      <c r="E1452" s="10">
        <v>1.035</v>
      </c>
      <c r="F1452" s="26">
        <v>1.2656</v>
      </c>
      <c r="G1452" s="12">
        <v>2.0656651E7</v>
      </c>
      <c r="H1452" s="8" t="s">
        <v>88</v>
      </c>
      <c r="I1452" s="11">
        <v>-0.4808</v>
      </c>
      <c r="J1452" s="12">
        <v>9.60071139E8</v>
      </c>
      <c r="K1452" s="13"/>
      <c r="L1452" s="13">
        <v>-4.0733</v>
      </c>
      <c r="M1452" s="8" t="s">
        <v>5553</v>
      </c>
      <c r="N1452" s="8" t="s">
        <v>5471</v>
      </c>
      <c r="O1452" s="13"/>
      <c r="P1452" s="13">
        <v>12.2</v>
      </c>
      <c r="Q1452" s="13">
        <v>608.2915</v>
      </c>
      <c r="R1452" s="13"/>
      <c r="S1452" s="13"/>
      <c r="T1452" s="14">
        <f>IFERROR(__xludf.DUMMYFUNCTION("IFERROR(GOOGLEFINANCE(B1452,""price""),"""")"),0.95)</f>
        <v>0.95</v>
      </c>
    </row>
    <row r="1453">
      <c r="A1453" s="15">
        <v>46097.6285280692</v>
      </c>
      <c r="B1453" s="16" t="s">
        <v>5591</v>
      </c>
      <c r="C1453" s="16" t="s">
        <v>5592</v>
      </c>
      <c r="D1453" s="17">
        <v>46103.0</v>
      </c>
      <c r="E1453" s="18">
        <v>10.48</v>
      </c>
      <c r="F1453" s="27">
        <v>1.2376</v>
      </c>
      <c r="G1453" s="20">
        <v>4.2223627E7</v>
      </c>
      <c r="H1453" s="16" t="s">
        <v>308</v>
      </c>
      <c r="I1453" s="19">
        <v>3.7624</v>
      </c>
      <c r="J1453" s="20">
        <v>2.418708325E9</v>
      </c>
      <c r="K1453" s="21"/>
      <c r="L1453" s="21">
        <v>-0.5698</v>
      </c>
      <c r="M1453" s="16" t="s">
        <v>5593</v>
      </c>
      <c r="N1453" s="16" t="s">
        <v>5414</v>
      </c>
      <c r="O1453" s="21">
        <v>-29.5457</v>
      </c>
      <c r="P1453" s="21">
        <v>-195.3894</v>
      </c>
      <c r="Q1453" s="21">
        <v>-44.8801</v>
      </c>
      <c r="R1453" s="21">
        <v>0.0146</v>
      </c>
      <c r="S1453" s="21">
        <v>4.9867</v>
      </c>
      <c r="T1453" s="22">
        <f>IFERROR(__xludf.DUMMYFUNCTION("IFERROR(GOOGLEFINANCE(B1453,""price""),"""")"),9.54)</f>
        <v>9.54</v>
      </c>
    </row>
    <row r="1454">
      <c r="A1454" s="7">
        <v>46097.6285280692</v>
      </c>
      <c r="B1454" s="8" t="s">
        <v>5514</v>
      </c>
      <c r="C1454" s="8" t="s">
        <v>5515</v>
      </c>
      <c r="D1454" s="9">
        <v>46103.0</v>
      </c>
      <c r="E1454" s="10">
        <v>8.195</v>
      </c>
      <c r="F1454" s="26">
        <v>1.209</v>
      </c>
      <c r="G1454" s="12">
        <v>1.4696501E7</v>
      </c>
      <c r="H1454" s="8" t="s">
        <v>117</v>
      </c>
      <c r="I1454" s="11">
        <v>-2.3242</v>
      </c>
      <c r="J1454" s="12">
        <v>8.425373679E9</v>
      </c>
      <c r="K1454" s="13"/>
      <c r="L1454" s="13">
        <v>-0.3898</v>
      </c>
      <c r="M1454" s="8" t="s">
        <v>5516</v>
      </c>
      <c r="N1454" s="8" t="s">
        <v>5491</v>
      </c>
      <c r="O1454" s="13"/>
      <c r="P1454" s="13">
        <v>-225.9966</v>
      </c>
      <c r="Q1454" s="13">
        <v>668.3147</v>
      </c>
      <c r="R1454" s="13"/>
      <c r="S1454" s="13">
        <v>5.0989</v>
      </c>
      <c r="T1454" s="14">
        <f>IFERROR(__xludf.DUMMYFUNCTION("IFERROR(GOOGLEFINANCE(B1454,""price""),"""")"),7.28)</f>
        <v>7.28</v>
      </c>
    </row>
    <row r="1455">
      <c r="A1455" s="15">
        <v>46097.6285280692</v>
      </c>
      <c r="B1455" s="16" t="s">
        <v>5434</v>
      </c>
      <c r="C1455" s="16" t="s">
        <v>5435</v>
      </c>
      <c r="D1455" s="17">
        <v>46103.0</v>
      </c>
      <c r="E1455" s="18">
        <v>10.511</v>
      </c>
      <c r="F1455" s="27">
        <v>1.1523</v>
      </c>
      <c r="G1455" s="20">
        <v>8.2912827E7</v>
      </c>
      <c r="H1455" s="16" t="s">
        <v>308</v>
      </c>
      <c r="I1455" s="19">
        <v>3.4547</v>
      </c>
      <c r="J1455" s="20">
        <v>4.731964045E9</v>
      </c>
      <c r="K1455" s="21"/>
      <c r="L1455" s="21">
        <v>-0.4034</v>
      </c>
      <c r="M1455" s="16" t="s">
        <v>5436</v>
      </c>
      <c r="N1455" s="16" t="s">
        <v>5437</v>
      </c>
      <c r="O1455" s="21">
        <v>-17.0422</v>
      </c>
      <c r="P1455" s="21">
        <v>-176.0921</v>
      </c>
      <c r="Q1455" s="21">
        <v>208.4002</v>
      </c>
      <c r="R1455" s="21">
        <v>0.037</v>
      </c>
      <c r="S1455" s="21">
        <v>15.2957</v>
      </c>
      <c r="T1455" s="22">
        <f>IFERROR(__xludf.DUMMYFUNCTION("IFERROR(GOOGLEFINANCE(B1455,""price""),"""")"),9.13)</f>
        <v>9.13</v>
      </c>
    </row>
    <row r="1456">
      <c r="A1456" s="7">
        <v>46097.6285280692</v>
      </c>
      <c r="B1456" s="8" t="s">
        <v>5558</v>
      </c>
      <c r="C1456" s="8" t="s">
        <v>5559</v>
      </c>
      <c r="D1456" s="9">
        <v>46103.0</v>
      </c>
      <c r="E1456" s="10">
        <v>5.555</v>
      </c>
      <c r="F1456" s="26">
        <v>1.1484</v>
      </c>
      <c r="G1456" s="12">
        <v>2.5375123E7</v>
      </c>
      <c r="H1456" s="8" t="s">
        <v>102</v>
      </c>
      <c r="I1456" s="11">
        <v>-2.7145</v>
      </c>
      <c r="J1456" s="12">
        <v>1.885557356E9</v>
      </c>
      <c r="K1456" s="13"/>
      <c r="L1456" s="13">
        <v>-6.9942</v>
      </c>
      <c r="M1456" s="8" t="s">
        <v>5560</v>
      </c>
      <c r="N1456" s="8" t="s">
        <v>5536</v>
      </c>
      <c r="O1456" s="13"/>
      <c r="P1456" s="13">
        <v>-225.4661</v>
      </c>
      <c r="Q1456" s="13">
        <v>631.7891</v>
      </c>
      <c r="R1456" s="13"/>
      <c r="S1456" s="13">
        <v>4.9358</v>
      </c>
      <c r="T1456" s="14">
        <f>IFERROR(__xludf.DUMMYFUNCTION("IFERROR(GOOGLEFINANCE(B1456,""price""),"""")"),5.62)</f>
        <v>5.62</v>
      </c>
    </row>
    <row r="1457">
      <c r="A1457" s="15">
        <v>46097.6285280692</v>
      </c>
      <c r="B1457" s="16" t="s">
        <v>5544</v>
      </c>
      <c r="C1457" s="16" t="s">
        <v>6105</v>
      </c>
      <c r="D1457" s="17">
        <v>46103.0</v>
      </c>
      <c r="E1457" s="18">
        <v>15.14</v>
      </c>
      <c r="F1457" s="27">
        <v>1.1204</v>
      </c>
      <c r="G1457" s="20">
        <v>1.9300782E7</v>
      </c>
      <c r="H1457" s="16" t="s">
        <v>88</v>
      </c>
      <c r="I1457" s="19">
        <v>7.5284</v>
      </c>
      <c r="J1457" s="20">
        <v>6.133507914E9</v>
      </c>
      <c r="K1457" s="21"/>
      <c r="L1457" s="21">
        <v>-2.0516</v>
      </c>
      <c r="M1457" s="16" t="s">
        <v>5546</v>
      </c>
      <c r="N1457" s="16" t="s">
        <v>5471</v>
      </c>
      <c r="O1457" s="21">
        <v>-110.5547</v>
      </c>
      <c r="P1457" s="21">
        <v>-76.6975</v>
      </c>
      <c r="Q1457" s="21">
        <v>48.0413</v>
      </c>
      <c r="R1457" s="21">
        <v>3.435</v>
      </c>
      <c r="S1457" s="21">
        <v>3.7948</v>
      </c>
      <c r="T1457" s="22">
        <f>IFERROR(__xludf.DUMMYFUNCTION("IFERROR(GOOGLEFINANCE(B1457,""price""),"""")"),16.53)</f>
        <v>16.53</v>
      </c>
    </row>
    <row r="1458">
      <c r="A1458" s="7">
        <v>46097.6285280692</v>
      </c>
      <c r="B1458" s="8" t="s">
        <v>6087</v>
      </c>
      <c r="C1458" s="8" t="s">
        <v>6088</v>
      </c>
      <c r="D1458" s="9">
        <v>46103.0</v>
      </c>
      <c r="E1458" s="10">
        <v>6.88</v>
      </c>
      <c r="F1458" s="26">
        <v>1.1094</v>
      </c>
      <c r="G1458" s="12">
        <v>1.3226624E7</v>
      </c>
      <c r="H1458" s="8" t="s">
        <v>102</v>
      </c>
      <c r="I1458" s="11">
        <v>0.7321</v>
      </c>
      <c r="J1458" s="12">
        <v>1.050652918E9</v>
      </c>
      <c r="K1458" s="13"/>
      <c r="L1458" s="13">
        <v>-0.6318</v>
      </c>
      <c r="M1458" s="8" t="s">
        <v>6089</v>
      </c>
      <c r="N1458" s="8" t="s">
        <v>5536</v>
      </c>
      <c r="O1458" s="13">
        <v>-104.168</v>
      </c>
      <c r="P1458" s="13">
        <v>-5151.455</v>
      </c>
      <c r="Q1458" s="13">
        <v>535.8653</v>
      </c>
      <c r="R1458" s="13">
        <v>0.1096</v>
      </c>
      <c r="S1458" s="13">
        <v>2.2985</v>
      </c>
      <c r="T1458" s="14">
        <f>IFERROR(__xludf.DUMMYFUNCTION("IFERROR(GOOGLEFINANCE(B1458,""price""),"""")"),7.04)</f>
        <v>7.04</v>
      </c>
    </row>
    <row r="1459">
      <c r="A1459" s="15">
        <v>46097.6285280692</v>
      </c>
      <c r="B1459" s="16" t="s">
        <v>5510</v>
      </c>
      <c r="C1459" s="16" t="s">
        <v>5511</v>
      </c>
      <c r="D1459" s="17">
        <v>46103.0</v>
      </c>
      <c r="E1459" s="18">
        <v>699.07</v>
      </c>
      <c r="F1459" s="27">
        <v>1.0882</v>
      </c>
      <c r="G1459" s="20">
        <v>1.7514776E7</v>
      </c>
      <c r="H1459" s="16" t="s">
        <v>308</v>
      </c>
      <c r="I1459" s="19">
        <v>5.6603</v>
      </c>
      <c r="J1459" s="20">
        <v>1.03183407524E11</v>
      </c>
      <c r="K1459" s="21"/>
      <c r="L1459" s="21">
        <v>-7.5894</v>
      </c>
      <c r="M1459" s="16" t="s">
        <v>5512</v>
      </c>
      <c r="N1459" s="16" t="s">
        <v>5513</v>
      </c>
      <c r="O1459" s="21">
        <v>-9.3725</v>
      </c>
      <c r="P1459" s="21">
        <v>14.2905</v>
      </c>
      <c r="Q1459" s="21">
        <v>23.6019</v>
      </c>
      <c r="R1459" s="21">
        <v>0.0796</v>
      </c>
      <c r="S1459" s="21">
        <v>3.1137</v>
      </c>
      <c r="T1459" s="22">
        <f>IFERROR(__xludf.DUMMYFUNCTION("IFERROR(GOOGLEFINANCE(B1459,""price""),"""")"),851.77)</f>
        <v>851.77</v>
      </c>
    </row>
    <row r="1460">
      <c r="A1460" s="7">
        <v>46097.6285280692</v>
      </c>
      <c r="B1460" s="8" t="s">
        <v>2704</v>
      </c>
      <c r="C1460" s="8" t="s">
        <v>2705</v>
      </c>
      <c r="D1460" s="9">
        <v>46103.0</v>
      </c>
      <c r="E1460" s="10">
        <v>27.7</v>
      </c>
      <c r="F1460" s="26">
        <v>1.0869</v>
      </c>
      <c r="G1460" s="12">
        <v>1.2993902E7</v>
      </c>
      <c r="H1460" s="8" t="s">
        <v>88</v>
      </c>
      <c r="I1460" s="11">
        <v>2.403</v>
      </c>
      <c r="J1460" s="12">
        <v>7.744526869E9</v>
      </c>
      <c r="K1460" s="13"/>
      <c r="L1460" s="13">
        <v>-0.5438</v>
      </c>
      <c r="M1460" s="8" t="s">
        <v>2707</v>
      </c>
      <c r="N1460" s="8" t="s">
        <v>5471</v>
      </c>
      <c r="O1460" s="13">
        <v>-11.4029</v>
      </c>
      <c r="P1460" s="13">
        <v>-26.4624</v>
      </c>
      <c r="Q1460" s="13">
        <v>33.135</v>
      </c>
      <c r="R1460" s="13">
        <v>1.6778</v>
      </c>
      <c r="S1460" s="13">
        <v>4.8227</v>
      </c>
      <c r="T1460" s="14">
        <f>IFERROR(__xludf.DUMMYFUNCTION("IFERROR(GOOGLEFINANCE(B1460,""price""),"""")"),26.24)</f>
        <v>26.24</v>
      </c>
    </row>
    <row r="1461">
      <c r="A1461" s="15">
        <v>46097.6285280692</v>
      </c>
      <c r="B1461" s="16" t="s">
        <v>5594</v>
      </c>
      <c r="C1461" s="16" t="s">
        <v>5595</v>
      </c>
      <c r="D1461" s="17">
        <v>46103.0</v>
      </c>
      <c r="E1461" s="18">
        <v>16.375</v>
      </c>
      <c r="F1461" s="27">
        <v>1.0866</v>
      </c>
      <c r="G1461" s="20">
        <v>3.7642118E7</v>
      </c>
      <c r="H1461" s="16" t="s">
        <v>88</v>
      </c>
      <c r="I1461" s="19">
        <v>11.6224</v>
      </c>
      <c r="J1461" s="20">
        <v>6.944115423E9</v>
      </c>
      <c r="K1461" s="21"/>
      <c r="L1461" s="21">
        <v>-1.661</v>
      </c>
      <c r="M1461" s="16" t="s">
        <v>5596</v>
      </c>
      <c r="N1461" s="16" t="s">
        <v>5471</v>
      </c>
      <c r="O1461" s="21">
        <v>-343.6909</v>
      </c>
      <c r="P1461" s="21">
        <v>-100.2101</v>
      </c>
      <c r="Q1461" s="21">
        <v>20.2812</v>
      </c>
      <c r="R1461" s="21">
        <v>36.9947</v>
      </c>
      <c r="S1461" s="21">
        <v>2.0038</v>
      </c>
      <c r="T1461" s="22">
        <f>IFERROR(__xludf.DUMMYFUNCTION("IFERROR(GOOGLEFINANCE(B1461,""price""),"""")"),18.88)</f>
        <v>18.88</v>
      </c>
    </row>
    <row r="1462">
      <c r="A1462" s="7">
        <v>46097.6285280692</v>
      </c>
      <c r="B1462" s="8" t="s">
        <v>5567</v>
      </c>
      <c r="C1462" s="8" t="s">
        <v>5568</v>
      </c>
      <c r="D1462" s="9">
        <v>46103.0</v>
      </c>
      <c r="E1462" s="10">
        <v>153.685</v>
      </c>
      <c r="F1462" s="26">
        <v>1.0786</v>
      </c>
      <c r="G1462" s="12">
        <v>8405862.0</v>
      </c>
      <c r="H1462" s="8" t="s">
        <v>308</v>
      </c>
      <c r="I1462" s="11">
        <v>-0.5339</v>
      </c>
      <c r="J1462" s="12">
        <v>4.3116051316E10</v>
      </c>
      <c r="K1462" s="13"/>
      <c r="L1462" s="13">
        <v>-0.3809</v>
      </c>
      <c r="M1462" s="8" t="s">
        <v>5569</v>
      </c>
      <c r="N1462" s="8" t="s">
        <v>5433</v>
      </c>
      <c r="O1462" s="13">
        <v>-13.2874</v>
      </c>
      <c r="P1462" s="13">
        <v>5.4633</v>
      </c>
      <c r="Q1462" s="13">
        <v>37.3263</v>
      </c>
      <c r="R1462" s="13">
        <v>3.8975</v>
      </c>
      <c r="S1462" s="13">
        <v>5.9285</v>
      </c>
      <c r="T1462" s="14">
        <f>IFERROR(__xludf.DUMMYFUNCTION("IFERROR(GOOGLEFINANCE(B1462,""price""),"""")"),166.7)</f>
        <v>166.7</v>
      </c>
    </row>
    <row r="1463">
      <c r="A1463" s="15">
        <v>46097.6285280692</v>
      </c>
      <c r="B1463" s="16" t="s">
        <v>6172</v>
      </c>
      <c r="C1463" s="16" t="s">
        <v>6173</v>
      </c>
      <c r="D1463" s="17">
        <v>46103.0</v>
      </c>
      <c r="E1463" s="18">
        <v>2.526</v>
      </c>
      <c r="F1463" s="27">
        <v>1.0781</v>
      </c>
      <c r="G1463" s="20">
        <v>8752093.0</v>
      </c>
      <c r="H1463" s="16" t="s">
        <v>117</v>
      </c>
      <c r="I1463" s="19">
        <v>-2.659</v>
      </c>
      <c r="J1463" s="20">
        <v>2.41732356E8</v>
      </c>
      <c r="K1463" s="21"/>
      <c r="L1463" s="21">
        <v>-0.9237</v>
      </c>
      <c r="M1463" s="16" t="s">
        <v>6174</v>
      </c>
      <c r="N1463" s="16" t="s">
        <v>5491</v>
      </c>
      <c r="O1463" s="21">
        <v>-74.0183</v>
      </c>
      <c r="P1463" s="21"/>
      <c r="Q1463" s="21"/>
      <c r="R1463" s="21">
        <v>0.01</v>
      </c>
      <c r="S1463" s="21">
        <v>14.1784</v>
      </c>
      <c r="T1463" s="22">
        <f>IFERROR(__xludf.DUMMYFUNCTION("IFERROR(GOOGLEFINANCE(B1463,""price""),"""")"),3.64)</f>
        <v>3.64</v>
      </c>
    </row>
    <row r="1464">
      <c r="A1464" s="7">
        <v>46097.6285280692</v>
      </c>
      <c r="B1464" s="8" t="s">
        <v>2630</v>
      </c>
      <c r="C1464" s="8" t="s">
        <v>2631</v>
      </c>
      <c r="D1464" s="9">
        <v>46103.0</v>
      </c>
      <c r="E1464" s="10">
        <v>440.125</v>
      </c>
      <c r="F1464" s="26">
        <v>1.0737</v>
      </c>
      <c r="G1464" s="12">
        <v>3.6059364E7</v>
      </c>
      <c r="H1464" s="8" t="s">
        <v>308</v>
      </c>
      <c r="I1464" s="11">
        <v>3.2842</v>
      </c>
      <c r="J1464" s="12">
        <v>4.95364776367E11</v>
      </c>
      <c r="K1464" s="13">
        <v>41.837</v>
      </c>
      <c r="L1464" s="13">
        <v>10.52</v>
      </c>
      <c r="M1464" s="8" t="s">
        <v>2633</v>
      </c>
      <c r="N1464" s="8" t="s">
        <v>5414</v>
      </c>
      <c r="O1464" s="13">
        <v>22.5543</v>
      </c>
      <c r="P1464" s="13">
        <v>32.9221</v>
      </c>
      <c r="Q1464" s="13">
        <v>45.432</v>
      </c>
      <c r="R1464" s="13">
        <v>0.2124</v>
      </c>
      <c r="S1464" s="13">
        <v>2.4598</v>
      </c>
      <c r="T1464" s="14">
        <f>IFERROR(__xludf.DUMMYFUNCTION("IFERROR(GOOGLEFINANCE(B1464,""price""),"""")"),420.59)</f>
        <v>420.59</v>
      </c>
    </row>
    <row r="1465">
      <c r="A1465" s="15">
        <v>46097.6285280692</v>
      </c>
      <c r="B1465" s="16" t="s">
        <v>5719</v>
      </c>
      <c r="C1465" s="16" t="s">
        <v>5720</v>
      </c>
      <c r="D1465" s="17">
        <v>46103.0</v>
      </c>
      <c r="E1465" s="18">
        <v>115.655</v>
      </c>
      <c r="F1465" s="27">
        <v>1.0445</v>
      </c>
      <c r="G1465" s="20">
        <v>6881879.0</v>
      </c>
      <c r="H1465" s="16" t="s">
        <v>88</v>
      </c>
      <c r="I1465" s="19">
        <v>-1.7291</v>
      </c>
      <c r="J1465" s="20">
        <v>2.1332557781E10</v>
      </c>
      <c r="K1465" s="21">
        <v>64.1423</v>
      </c>
      <c r="L1465" s="21">
        <v>1.8031</v>
      </c>
      <c r="M1465" s="16" t="s">
        <v>5721</v>
      </c>
      <c r="N1465" s="16" t="s">
        <v>5664</v>
      </c>
      <c r="O1465" s="21">
        <v>27.5435</v>
      </c>
      <c r="P1465" s="21">
        <v>30.3164</v>
      </c>
      <c r="Q1465" s="21">
        <v>226.1171</v>
      </c>
      <c r="R1465" s="21">
        <v>0.0088</v>
      </c>
      <c r="S1465" s="21">
        <v>10.8153</v>
      </c>
      <c r="T1465" s="22">
        <f>IFERROR(__xludf.DUMMYFUNCTION("IFERROR(GOOGLEFINANCE(B1465,""price""),"""")"),119.59)</f>
        <v>119.59</v>
      </c>
    </row>
    <row r="1466">
      <c r="A1466" s="7">
        <v>46097.6285280692</v>
      </c>
      <c r="B1466" s="8" t="s">
        <v>5554</v>
      </c>
      <c r="C1466" s="8" t="s">
        <v>5555</v>
      </c>
      <c r="D1466" s="9">
        <v>46103.0</v>
      </c>
      <c r="E1466" s="10">
        <v>88.8609</v>
      </c>
      <c r="F1466" s="26">
        <v>1.0233</v>
      </c>
      <c r="G1466" s="12">
        <v>7188959.0</v>
      </c>
      <c r="H1466" s="8" t="s">
        <v>873</v>
      </c>
      <c r="I1466" s="11">
        <v>2.9197</v>
      </c>
      <c r="J1466" s="12">
        <v>3.394729661E10</v>
      </c>
      <c r="K1466" s="13"/>
      <c r="L1466" s="13">
        <v>-1.3255</v>
      </c>
      <c r="M1466" s="8" t="s">
        <v>5556</v>
      </c>
      <c r="N1466" s="8" t="s">
        <v>5557</v>
      </c>
      <c r="O1466" s="13">
        <v>-29.4701</v>
      </c>
      <c r="P1466" s="13">
        <v>-405.6981</v>
      </c>
      <c r="Q1466" s="13">
        <v>1505.206</v>
      </c>
      <c r="R1466" s="13">
        <v>1.2162</v>
      </c>
      <c r="S1466" s="13">
        <v>16.3526</v>
      </c>
      <c r="T1466" s="14">
        <f>IFERROR(__xludf.DUMMYFUNCTION("IFERROR(GOOGLEFINANCE(B1466,""price""),"""")"),94.9)</f>
        <v>94.9</v>
      </c>
    </row>
    <row r="1467">
      <c r="A1467" s="15">
        <v>46097.6285280692</v>
      </c>
      <c r="B1467" s="16" t="s">
        <v>5422</v>
      </c>
      <c r="C1467" s="16" t="s">
        <v>5423</v>
      </c>
      <c r="D1467" s="17">
        <v>46103.0</v>
      </c>
      <c r="E1467" s="18">
        <v>19.505</v>
      </c>
      <c r="F1467" s="27">
        <v>1.0182</v>
      </c>
      <c r="G1467" s="20">
        <v>1.1432695E7</v>
      </c>
      <c r="H1467" s="16" t="s">
        <v>102</v>
      </c>
      <c r="I1467" s="19">
        <v>0.2312</v>
      </c>
      <c r="J1467" s="20">
        <v>4.250932047E9</v>
      </c>
      <c r="K1467" s="21"/>
      <c r="L1467" s="21">
        <v>-2.5128</v>
      </c>
      <c r="M1467" s="16" t="s">
        <v>5424</v>
      </c>
      <c r="N1467" s="16" t="s">
        <v>5425</v>
      </c>
      <c r="O1467" s="21">
        <v>-255.9098</v>
      </c>
      <c r="P1467" s="21"/>
      <c r="Q1467" s="21"/>
      <c r="R1467" s="21"/>
      <c r="S1467" s="21">
        <v>16.5111</v>
      </c>
      <c r="T1467" s="22">
        <f>IFERROR(__xludf.DUMMYFUNCTION("IFERROR(GOOGLEFINANCE(B1467,""price""),"""")"),16.15)</f>
        <v>16.15</v>
      </c>
    </row>
    <row r="1468">
      <c r="A1468" s="7">
        <v>46097.6285280692</v>
      </c>
      <c r="B1468" s="8" t="s">
        <v>5517</v>
      </c>
      <c r="C1468" s="8" t="s">
        <v>5518</v>
      </c>
      <c r="D1468" s="9">
        <v>46103.0</v>
      </c>
      <c r="E1468" s="10">
        <v>9.585</v>
      </c>
      <c r="F1468" s="26">
        <v>1.0176</v>
      </c>
      <c r="G1468" s="12">
        <v>1.2786295E7</v>
      </c>
      <c r="H1468" s="8" t="s">
        <v>308</v>
      </c>
      <c r="I1468" s="11">
        <v>-0.0521</v>
      </c>
      <c r="J1468" s="12">
        <v>1.840088068E9</v>
      </c>
      <c r="K1468" s="13"/>
      <c r="L1468" s="13">
        <v>-2.3761</v>
      </c>
      <c r="M1468" s="8" t="s">
        <v>5519</v>
      </c>
      <c r="N1468" s="8" t="s">
        <v>5520</v>
      </c>
      <c r="O1468" s="13">
        <v>-52.0031</v>
      </c>
      <c r="P1468" s="13">
        <v>-43.4124</v>
      </c>
      <c r="Q1468" s="13">
        <v>10.2861</v>
      </c>
      <c r="R1468" s="13">
        <v>0.1895</v>
      </c>
      <c r="S1468" s="13">
        <v>1.6246</v>
      </c>
      <c r="T1468" s="14">
        <f>IFERROR(__xludf.DUMMYFUNCTION("IFERROR(GOOGLEFINANCE(B1468,""price""),"""")"),9.29)</f>
        <v>9.29</v>
      </c>
    </row>
    <row r="1469">
      <c r="A1469" s="15">
        <v>46097.6285280692</v>
      </c>
      <c r="B1469" s="16" t="s">
        <v>5484</v>
      </c>
      <c r="C1469" s="16" t="s">
        <v>5485</v>
      </c>
      <c r="D1469" s="17">
        <v>46103.0</v>
      </c>
      <c r="E1469" s="18">
        <v>44.9722</v>
      </c>
      <c r="F1469" s="27">
        <v>1.0169</v>
      </c>
      <c r="G1469" s="20">
        <v>3.6083295E7</v>
      </c>
      <c r="H1469" s="16" t="s">
        <v>88</v>
      </c>
      <c r="I1469" s="19">
        <v>8.1582</v>
      </c>
      <c r="J1469" s="20">
        <v>1.4919941202E10</v>
      </c>
      <c r="K1469" s="21">
        <v>51.5264</v>
      </c>
      <c r="L1469" s="21">
        <v>0.8728</v>
      </c>
      <c r="M1469" s="16" t="s">
        <v>5486</v>
      </c>
      <c r="N1469" s="16" t="s">
        <v>5471</v>
      </c>
      <c r="O1469" s="21">
        <v>22.5116</v>
      </c>
      <c r="P1469" s="21">
        <v>-13.85</v>
      </c>
      <c r="Q1469" s="21">
        <v>123.3192</v>
      </c>
      <c r="R1469" s="21">
        <v>1.5302</v>
      </c>
      <c r="S1469" s="21">
        <v>4.9601</v>
      </c>
      <c r="T1469" s="22">
        <f>IFERROR(__xludf.DUMMYFUNCTION("IFERROR(GOOGLEFINANCE(B1469,""price""),"""")"),39.32)</f>
        <v>39.32</v>
      </c>
    </row>
    <row r="1470">
      <c r="A1470" s="7">
        <v>46097.6285280692</v>
      </c>
      <c r="B1470" s="8" t="s">
        <v>5481</v>
      </c>
      <c r="C1470" s="8" t="s">
        <v>5482</v>
      </c>
      <c r="D1470" s="9">
        <v>46103.0</v>
      </c>
      <c r="E1470" s="10">
        <v>10.0201</v>
      </c>
      <c r="F1470" s="26">
        <v>0.998</v>
      </c>
      <c r="G1470" s="12">
        <v>1.7101475E7</v>
      </c>
      <c r="H1470" s="8" t="s">
        <v>88</v>
      </c>
      <c r="I1470" s="11">
        <v>2.665</v>
      </c>
      <c r="J1470" s="12">
        <v>2.562669685E9</v>
      </c>
      <c r="K1470" s="13"/>
      <c r="L1470" s="13">
        <v>-1.071</v>
      </c>
      <c r="M1470" s="8" t="s">
        <v>5483</v>
      </c>
      <c r="N1470" s="8" t="s">
        <v>5471</v>
      </c>
      <c r="O1470" s="13">
        <v>-15.3378</v>
      </c>
      <c r="P1470" s="13">
        <v>-20.8099</v>
      </c>
      <c r="Q1470" s="13">
        <v>67.959</v>
      </c>
      <c r="R1470" s="13">
        <v>1.2945</v>
      </c>
      <c r="S1470" s="13">
        <v>10.5425</v>
      </c>
      <c r="T1470" s="14">
        <f>IFERROR(__xludf.DUMMYFUNCTION("IFERROR(GOOGLEFINANCE(B1470,""price""),"""")"),10.02)</f>
        <v>10.02</v>
      </c>
    </row>
    <row r="1471">
      <c r="A1471" s="15">
        <v>46097.6285280692</v>
      </c>
      <c r="B1471" s="16" t="s">
        <v>5496</v>
      </c>
      <c r="C1471" s="16" t="s">
        <v>5497</v>
      </c>
      <c r="D1471" s="17">
        <v>46103.0</v>
      </c>
      <c r="E1471" s="18">
        <v>9.375</v>
      </c>
      <c r="F1471" s="27">
        <v>0.9941</v>
      </c>
      <c r="G1471" s="20">
        <v>4.2475718E7</v>
      </c>
      <c r="H1471" s="16" t="s">
        <v>88</v>
      </c>
      <c r="I1471" s="19">
        <v>0.5901</v>
      </c>
      <c r="J1471" s="20">
        <v>3.564699437E9</v>
      </c>
      <c r="K1471" s="21"/>
      <c r="L1471" s="21">
        <v>-3.9593</v>
      </c>
      <c r="M1471" s="16" t="s">
        <v>5498</v>
      </c>
      <c r="N1471" s="16" t="s">
        <v>5471</v>
      </c>
      <c r="O1471" s="21">
        <v>-34.5092</v>
      </c>
      <c r="P1471" s="21">
        <v>-90.4167</v>
      </c>
      <c r="Q1471" s="21">
        <v>38.1967</v>
      </c>
      <c r="R1471" s="21">
        <v>1.05</v>
      </c>
      <c r="S1471" s="21">
        <v>1.2728</v>
      </c>
      <c r="T1471" s="22">
        <f>IFERROR(__xludf.DUMMYFUNCTION("IFERROR(GOOGLEFINANCE(B1471,""price""),"""")"),9.54)</f>
        <v>9.54</v>
      </c>
    </row>
    <row r="1472">
      <c r="A1472" s="7">
        <v>46097.668682163065</v>
      </c>
      <c r="B1472" s="8" t="s">
        <v>5649</v>
      </c>
      <c r="C1472" s="8" t="s">
        <v>5650</v>
      </c>
      <c r="D1472" s="9">
        <v>46103.0</v>
      </c>
      <c r="E1472" s="10">
        <v>24.6</v>
      </c>
      <c r="F1472" s="26">
        <v>2.1731</v>
      </c>
      <c r="G1472" s="12">
        <v>1.0472588E7</v>
      </c>
      <c r="H1472" s="8" t="s">
        <v>88</v>
      </c>
      <c r="I1472" s="11">
        <v>-0.7664</v>
      </c>
      <c r="J1472" s="12">
        <v>8.333343983E9</v>
      </c>
      <c r="K1472" s="13"/>
      <c r="L1472" s="13">
        <v>-0.4263</v>
      </c>
      <c r="M1472" s="8" t="s">
        <v>5651</v>
      </c>
      <c r="N1472" s="8" t="s">
        <v>5429</v>
      </c>
      <c r="O1472" s="13">
        <v>-31.8263</v>
      </c>
      <c r="P1472" s="13">
        <v>-26.3989</v>
      </c>
      <c r="Q1472" s="13">
        <v>16.8876</v>
      </c>
      <c r="R1472" s="13">
        <v>1.3198</v>
      </c>
      <c r="S1472" s="13">
        <v>3.9903</v>
      </c>
      <c r="T1472" s="14">
        <f>IFERROR(__xludf.DUMMYFUNCTION("IFERROR(GOOGLEFINANCE(B1472,""price""),"""")"),34.67)</f>
        <v>34.67</v>
      </c>
    </row>
    <row r="1473">
      <c r="A1473" s="15">
        <v>46097.668682163065</v>
      </c>
      <c r="B1473" s="16" t="s">
        <v>5527</v>
      </c>
      <c r="C1473" s="16" t="s">
        <v>5528</v>
      </c>
      <c r="D1473" s="17">
        <v>46103.0</v>
      </c>
      <c r="E1473" s="18">
        <v>15.54</v>
      </c>
      <c r="F1473" s="27">
        <v>1.6497</v>
      </c>
      <c r="G1473" s="20">
        <v>1.1347903E7</v>
      </c>
      <c r="H1473" s="16" t="s">
        <v>88</v>
      </c>
      <c r="I1473" s="19">
        <v>-2.0177</v>
      </c>
      <c r="J1473" s="20">
        <v>1.855027468E9</v>
      </c>
      <c r="K1473" s="21"/>
      <c r="L1473" s="21"/>
      <c r="M1473" s="16" t="s">
        <v>5529</v>
      </c>
      <c r="N1473" s="16" t="s">
        <v>5429</v>
      </c>
      <c r="O1473" s="21"/>
      <c r="P1473" s="21"/>
      <c r="Q1473" s="21"/>
      <c r="R1473" s="21">
        <v>0.0885</v>
      </c>
      <c r="S1473" s="21">
        <v>10.416</v>
      </c>
      <c r="T1473" s="22">
        <f>IFERROR(__xludf.DUMMYFUNCTION("IFERROR(GOOGLEFINANCE(B1473,""price""),"""")"),12.37)</f>
        <v>12.37</v>
      </c>
    </row>
    <row r="1474">
      <c r="A1474" s="7">
        <v>46097.668682163065</v>
      </c>
      <c r="B1474" s="8" t="s">
        <v>6099</v>
      </c>
      <c r="C1474" s="8" t="s">
        <v>6100</v>
      </c>
      <c r="D1474" s="9">
        <v>46103.0</v>
      </c>
      <c r="E1474" s="10">
        <v>3.1</v>
      </c>
      <c r="F1474" s="26">
        <v>1.6484</v>
      </c>
      <c r="G1474" s="12">
        <v>9989486.0</v>
      </c>
      <c r="H1474" s="8" t="s">
        <v>245</v>
      </c>
      <c r="I1474" s="11">
        <v>-8.0119</v>
      </c>
      <c r="J1474" s="12">
        <v>4.61209372E8</v>
      </c>
      <c r="K1474" s="13"/>
      <c r="L1474" s="13">
        <v>-1.0118</v>
      </c>
      <c r="M1474" s="8" t="s">
        <v>6101</v>
      </c>
      <c r="N1474" s="8" t="s">
        <v>5410</v>
      </c>
      <c r="O1474" s="13"/>
      <c r="P1474" s="13">
        <v>-10.5298</v>
      </c>
      <c r="Q1474" s="13">
        <v>-4.5309</v>
      </c>
      <c r="R1474" s="13"/>
      <c r="S1474" s="13">
        <v>1.0213</v>
      </c>
      <c r="T1474" s="14">
        <f>IFERROR(__xludf.DUMMYFUNCTION("IFERROR(GOOGLEFINANCE(B1474,""price""),"""")"),2.76)</f>
        <v>2.76</v>
      </c>
    </row>
    <row r="1475">
      <c r="A1475" s="15">
        <v>46097.668682163065</v>
      </c>
      <c r="B1475" s="16" t="s">
        <v>5640</v>
      </c>
      <c r="C1475" s="16" t="s">
        <v>5641</v>
      </c>
      <c r="D1475" s="17">
        <v>46103.0</v>
      </c>
      <c r="E1475" s="18">
        <v>48.39</v>
      </c>
      <c r="F1475" s="27">
        <v>1.5776</v>
      </c>
      <c r="G1475" s="20">
        <v>1.1060996E7</v>
      </c>
      <c r="H1475" s="16" t="s">
        <v>308</v>
      </c>
      <c r="I1475" s="19">
        <v>-0.9619</v>
      </c>
      <c r="J1475" s="20">
        <v>2.674716562E9</v>
      </c>
      <c r="K1475" s="21"/>
      <c r="L1475" s="21">
        <v>-0.4882</v>
      </c>
      <c r="M1475" s="16" t="s">
        <v>5642</v>
      </c>
      <c r="N1475" s="16" t="s">
        <v>5433</v>
      </c>
      <c r="O1475" s="21">
        <v>-9.1233</v>
      </c>
      <c r="P1475" s="21">
        <v>-24.8806</v>
      </c>
      <c r="Q1475" s="21">
        <v>-11.106</v>
      </c>
      <c r="R1475" s="21">
        <v>0.2351</v>
      </c>
      <c r="S1475" s="21">
        <v>2.7231</v>
      </c>
      <c r="T1475" s="22">
        <f>IFERROR(__xludf.DUMMYFUNCTION("IFERROR(GOOGLEFINANCE(B1475,""price""),"""")"),64.18)</f>
        <v>64.18</v>
      </c>
    </row>
    <row r="1476">
      <c r="A1476" s="7">
        <v>46097.668682163065</v>
      </c>
      <c r="B1476" s="8" t="s">
        <v>6031</v>
      </c>
      <c r="C1476" s="8" t="s">
        <v>6032</v>
      </c>
      <c r="D1476" s="9">
        <v>46103.0</v>
      </c>
      <c r="E1476" s="10">
        <v>16.13</v>
      </c>
      <c r="F1476" s="26">
        <v>1.4378</v>
      </c>
      <c r="G1476" s="12">
        <v>1.0202757E7</v>
      </c>
      <c r="H1476" s="8" t="s">
        <v>245</v>
      </c>
      <c r="I1476" s="11">
        <v>-4.1592</v>
      </c>
      <c r="J1476" s="12">
        <v>2.375047239E9</v>
      </c>
      <c r="K1476" s="13"/>
      <c r="L1476" s="13">
        <v>-4.2396</v>
      </c>
      <c r="M1476" s="8" t="s">
        <v>6033</v>
      </c>
      <c r="N1476" s="8" t="s">
        <v>5776</v>
      </c>
      <c r="O1476" s="13">
        <v>-89.3124</v>
      </c>
      <c r="P1476" s="13"/>
      <c r="Q1476" s="13"/>
      <c r="R1476" s="13">
        <v>1.7643</v>
      </c>
      <c r="S1476" s="13">
        <v>0.1326</v>
      </c>
      <c r="T1476" s="14">
        <f>IFERROR(__xludf.DUMMYFUNCTION("IFERROR(GOOGLEFINANCE(B1476,""price""),"""")"),13.14)</f>
        <v>13.14</v>
      </c>
    </row>
    <row r="1477">
      <c r="A1477" s="15">
        <v>46097.668682163065</v>
      </c>
      <c r="B1477" s="16" t="s">
        <v>5604</v>
      </c>
      <c r="C1477" s="16" t="s">
        <v>5605</v>
      </c>
      <c r="D1477" s="17">
        <v>46103.0</v>
      </c>
      <c r="E1477" s="18">
        <v>94.07</v>
      </c>
      <c r="F1477" s="27">
        <v>1.4058</v>
      </c>
      <c r="G1477" s="20">
        <v>1.0732607E7</v>
      </c>
      <c r="H1477" s="16" t="s">
        <v>308</v>
      </c>
      <c r="I1477" s="19">
        <v>-2.8303</v>
      </c>
      <c r="J1477" s="20">
        <v>7.073953009E9</v>
      </c>
      <c r="K1477" s="21"/>
      <c r="L1477" s="21">
        <v>-0.6555</v>
      </c>
      <c r="M1477" s="16" t="s">
        <v>5606</v>
      </c>
      <c r="N1477" s="16" t="s">
        <v>5414</v>
      </c>
      <c r="O1477" s="21">
        <v>-7.9391</v>
      </c>
      <c r="P1477" s="21">
        <v>-11.9814</v>
      </c>
      <c r="Q1477" s="21">
        <v>82.7502</v>
      </c>
      <c r="R1477" s="21">
        <v>0.338</v>
      </c>
      <c r="S1477" s="21">
        <v>2.6264</v>
      </c>
      <c r="T1477" s="22">
        <f>IFERROR(__xludf.DUMMYFUNCTION("IFERROR(GOOGLEFINANCE(B1477,""price""),"""")"),150.6)</f>
        <v>150.6</v>
      </c>
    </row>
    <row r="1478">
      <c r="A1478" s="7">
        <v>46097.668682163065</v>
      </c>
      <c r="B1478" s="8" t="s">
        <v>5533</v>
      </c>
      <c r="C1478" s="8" t="s">
        <v>5534</v>
      </c>
      <c r="D1478" s="9">
        <v>46103.0</v>
      </c>
      <c r="E1478" s="10">
        <v>7.72</v>
      </c>
      <c r="F1478" s="26">
        <v>1.3936</v>
      </c>
      <c r="G1478" s="12">
        <v>1.1961689E7</v>
      </c>
      <c r="H1478" s="8" t="s">
        <v>102</v>
      </c>
      <c r="I1478" s="11">
        <v>1.3123</v>
      </c>
      <c r="J1478" s="12">
        <v>2.0888221E9</v>
      </c>
      <c r="K1478" s="13"/>
      <c r="L1478" s="13">
        <v>-3.7839</v>
      </c>
      <c r="M1478" s="8" t="s">
        <v>5535</v>
      </c>
      <c r="N1478" s="8" t="s">
        <v>5536</v>
      </c>
      <c r="O1478" s="13">
        <v>-55.984</v>
      </c>
      <c r="P1478" s="13">
        <v>-31.1477</v>
      </c>
      <c r="Q1478" s="13"/>
      <c r="R1478" s="13">
        <v>4.5088</v>
      </c>
      <c r="S1478" s="13">
        <v>1.1293</v>
      </c>
      <c r="T1478" s="14">
        <f>IFERROR(__xludf.DUMMYFUNCTION("IFERROR(GOOGLEFINANCE(B1478,""price""),"""")"),4.69)</f>
        <v>4.69</v>
      </c>
    </row>
    <row r="1479">
      <c r="A1479" s="15">
        <v>46097.668682163065</v>
      </c>
      <c r="B1479" s="16" t="s">
        <v>5551</v>
      </c>
      <c r="C1479" s="16" t="s">
        <v>5552</v>
      </c>
      <c r="D1479" s="17">
        <v>46103.0</v>
      </c>
      <c r="E1479" s="18">
        <v>1.04</v>
      </c>
      <c r="F1479" s="27">
        <v>1.2813</v>
      </c>
      <c r="G1479" s="20">
        <v>2.1505292E7</v>
      </c>
      <c r="H1479" s="16" t="s">
        <v>88</v>
      </c>
      <c r="I1479" s="19">
        <v>0.0</v>
      </c>
      <c r="J1479" s="20">
        <v>9.64709164E8</v>
      </c>
      <c r="K1479" s="21"/>
      <c r="L1479" s="21">
        <v>-4.0733</v>
      </c>
      <c r="M1479" s="16" t="s">
        <v>5553</v>
      </c>
      <c r="N1479" s="16" t="s">
        <v>5471</v>
      </c>
      <c r="O1479" s="21"/>
      <c r="P1479" s="21">
        <v>12.2</v>
      </c>
      <c r="Q1479" s="21">
        <v>608.2915</v>
      </c>
      <c r="R1479" s="21"/>
      <c r="S1479" s="21"/>
      <c r="T1479" s="22">
        <f>IFERROR(__xludf.DUMMYFUNCTION("IFERROR(GOOGLEFINANCE(B1479,""price""),"""")"),0.95)</f>
        <v>0.95</v>
      </c>
    </row>
    <row r="1480">
      <c r="A1480" s="7">
        <v>46097.668682163065</v>
      </c>
      <c r="B1480" s="8" t="s">
        <v>6175</v>
      </c>
      <c r="C1480" s="8" t="s">
        <v>6176</v>
      </c>
      <c r="D1480" s="9">
        <v>46103.0</v>
      </c>
      <c r="E1480" s="10">
        <v>9.3</v>
      </c>
      <c r="F1480" s="26">
        <v>1.2578</v>
      </c>
      <c r="G1480" s="12">
        <v>1.9845902E7</v>
      </c>
      <c r="H1480" s="8" t="s">
        <v>117</v>
      </c>
      <c r="I1480" s="11">
        <v>13.1387</v>
      </c>
      <c r="J1480" s="12">
        <v>2.332445923E9</v>
      </c>
      <c r="K1480" s="13">
        <v>7.7294</v>
      </c>
      <c r="L1480" s="13">
        <v>1.2032</v>
      </c>
      <c r="M1480" s="8" t="s">
        <v>6177</v>
      </c>
      <c r="N1480" s="8" t="s">
        <v>5502</v>
      </c>
      <c r="O1480" s="13"/>
      <c r="P1480" s="13">
        <v>38.9774</v>
      </c>
      <c r="Q1480" s="13">
        <v>94.1011</v>
      </c>
      <c r="R1480" s="13"/>
      <c r="S1480" s="13">
        <v>2.0623</v>
      </c>
      <c r="T1480" s="14">
        <f>IFERROR(__xludf.DUMMYFUNCTION("IFERROR(GOOGLEFINANCE(B1480,""price""),"""")"),9.56)</f>
        <v>9.56</v>
      </c>
    </row>
    <row r="1481">
      <c r="A1481" s="15">
        <v>46097.668682163065</v>
      </c>
      <c r="B1481" s="16" t="s">
        <v>5591</v>
      </c>
      <c r="C1481" s="16" t="s">
        <v>5592</v>
      </c>
      <c r="D1481" s="17">
        <v>46103.0</v>
      </c>
      <c r="E1481" s="18">
        <v>10.49</v>
      </c>
      <c r="F1481" s="27">
        <v>1.2161</v>
      </c>
      <c r="G1481" s="20">
        <v>4.4820302E7</v>
      </c>
      <c r="H1481" s="16" t="s">
        <v>308</v>
      </c>
      <c r="I1481" s="19">
        <v>3.8614</v>
      </c>
      <c r="J1481" s="20">
        <v>2.421016253E9</v>
      </c>
      <c r="K1481" s="21"/>
      <c r="L1481" s="21">
        <v>-0.5698</v>
      </c>
      <c r="M1481" s="16" t="s">
        <v>5593</v>
      </c>
      <c r="N1481" s="16" t="s">
        <v>5414</v>
      </c>
      <c r="O1481" s="21">
        <v>-29.5457</v>
      </c>
      <c r="P1481" s="21">
        <v>-195.3894</v>
      </c>
      <c r="Q1481" s="21">
        <v>-44.8801</v>
      </c>
      <c r="R1481" s="21">
        <v>0.0146</v>
      </c>
      <c r="S1481" s="21">
        <v>4.9867</v>
      </c>
      <c r="T1481" s="22">
        <f>IFERROR(__xludf.DUMMYFUNCTION("IFERROR(GOOGLEFINANCE(B1481,""price""),"""")"),9.54)</f>
        <v>9.54</v>
      </c>
    </row>
    <row r="1482">
      <c r="A1482" s="7">
        <v>46097.668682163065</v>
      </c>
      <c r="B1482" s="8" t="s">
        <v>5499</v>
      </c>
      <c r="C1482" s="8" t="s">
        <v>5500</v>
      </c>
      <c r="D1482" s="9">
        <v>46103.0</v>
      </c>
      <c r="E1482" s="10">
        <v>4.04</v>
      </c>
      <c r="F1482" s="26">
        <v>1.1992</v>
      </c>
      <c r="G1482" s="12">
        <v>1.468095E7</v>
      </c>
      <c r="H1482" s="8" t="s">
        <v>117</v>
      </c>
      <c r="I1482" s="11">
        <v>2.0202</v>
      </c>
      <c r="J1482" s="12">
        <v>1.664324916E9</v>
      </c>
      <c r="K1482" s="13"/>
      <c r="L1482" s="13">
        <v>-1.1209</v>
      </c>
      <c r="M1482" s="8" t="s">
        <v>5501</v>
      </c>
      <c r="N1482" s="8" t="s">
        <v>5502</v>
      </c>
      <c r="O1482" s="13">
        <v>-55.4977</v>
      </c>
      <c r="P1482" s="13">
        <v>-151.1805</v>
      </c>
      <c r="Q1482" s="13">
        <v>60.5668</v>
      </c>
      <c r="R1482" s="13">
        <v>0.0708</v>
      </c>
      <c r="S1482" s="13">
        <v>3.1996</v>
      </c>
      <c r="T1482" s="14">
        <f>IFERROR(__xludf.DUMMYFUNCTION("IFERROR(GOOGLEFINANCE(B1482,""price""),"""")"),3.7)</f>
        <v>3.7</v>
      </c>
    </row>
    <row r="1483">
      <c r="A1483" s="15">
        <v>46097.668682163065</v>
      </c>
      <c r="B1483" s="16" t="s">
        <v>6172</v>
      </c>
      <c r="C1483" s="16" t="s">
        <v>6173</v>
      </c>
      <c r="D1483" s="17">
        <v>46103.0</v>
      </c>
      <c r="E1483" s="18">
        <v>2.49</v>
      </c>
      <c r="F1483" s="27">
        <v>1.1797</v>
      </c>
      <c r="G1483" s="20">
        <v>1.0875465E7</v>
      </c>
      <c r="H1483" s="16" t="s">
        <v>117</v>
      </c>
      <c r="I1483" s="19">
        <v>-4.0462</v>
      </c>
      <c r="J1483" s="20">
        <v>2.38287239E8</v>
      </c>
      <c r="K1483" s="21"/>
      <c r="L1483" s="21">
        <v>-0.9237</v>
      </c>
      <c r="M1483" s="16" t="s">
        <v>6174</v>
      </c>
      <c r="N1483" s="16" t="s">
        <v>5491</v>
      </c>
      <c r="O1483" s="21">
        <v>-74.0183</v>
      </c>
      <c r="P1483" s="21"/>
      <c r="Q1483" s="21"/>
      <c r="R1483" s="21">
        <v>0.01</v>
      </c>
      <c r="S1483" s="21">
        <v>14.1784</v>
      </c>
      <c r="T1483" s="22">
        <f>IFERROR(__xludf.DUMMYFUNCTION("IFERROR(GOOGLEFINANCE(B1483,""price""),"""")"),3.64)</f>
        <v>3.64</v>
      </c>
    </row>
    <row r="1484">
      <c r="A1484" s="7">
        <v>46097.668682163065</v>
      </c>
      <c r="B1484" s="8" t="s">
        <v>5558</v>
      </c>
      <c r="C1484" s="8" t="s">
        <v>5559</v>
      </c>
      <c r="D1484" s="9">
        <v>46103.0</v>
      </c>
      <c r="E1484" s="10">
        <v>5.56</v>
      </c>
      <c r="F1484" s="26">
        <v>1.1602</v>
      </c>
      <c r="G1484" s="12">
        <v>2.8179694E7</v>
      </c>
      <c r="H1484" s="8" t="s">
        <v>102</v>
      </c>
      <c r="I1484" s="11">
        <v>-2.627</v>
      </c>
      <c r="J1484" s="12">
        <v>1.887254527E9</v>
      </c>
      <c r="K1484" s="13"/>
      <c r="L1484" s="13">
        <v>-6.9942</v>
      </c>
      <c r="M1484" s="8" t="s">
        <v>5560</v>
      </c>
      <c r="N1484" s="8" t="s">
        <v>5536</v>
      </c>
      <c r="O1484" s="13"/>
      <c r="P1484" s="13">
        <v>-225.4661</v>
      </c>
      <c r="Q1484" s="13">
        <v>631.7891</v>
      </c>
      <c r="R1484" s="13"/>
      <c r="S1484" s="13">
        <v>4.9358</v>
      </c>
      <c r="T1484" s="14">
        <f>IFERROR(__xludf.DUMMYFUNCTION("IFERROR(GOOGLEFINANCE(B1484,""price""),"""")"),5.62)</f>
        <v>5.62</v>
      </c>
    </row>
    <row r="1485">
      <c r="A1485" s="15">
        <v>46097.668682163065</v>
      </c>
      <c r="B1485" s="16" t="s">
        <v>5514</v>
      </c>
      <c r="C1485" s="16" t="s">
        <v>5515</v>
      </c>
      <c r="D1485" s="17">
        <v>46103.0</v>
      </c>
      <c r="E1485" s="18">
        <v>8.21</v>
      </c>
      <c r="F1485" s="27">
        <v>1.1592</v>
      </c>
      <c r="G1485" s="20">
        <v>1.6498949E7</v>
      </c>
      <c r="H1485" s="16" t="s">
        <v>117</v>
      </c>
      <c r="I1485" s="19">
        <v>-2.1454</v>
      </c>
      <c r="J1485" s="20">
        <v>8.440795351E9</v>
      </c>
      <c r="K1485" s="21"/>
      <c r="L1485" s="21">
        <v>-0.3898</v>
      </c>
      <c r="M1485" s="16" t="s">
        <v>5516</v>
      </c>
      <c r="N1485" s="16" t="s">
        <v>5491</v>
      </c>
      <c r="O1485" s="21"/>
      <c r="P1485" s="21">
        <v>-225.9966</v>
      </c>
      <c r="Q1485" s="21">
        <v>668.3147</v>
      </c>
      <c r="R1485" s="21"/>
      <c r="S1485" s="21">
        <v>5.0989</v>
      </c>
      <c r="T1485" s="22">
        <f>IFERROR(__xludf.DUMMYFUNCTION("IFERROR(GOOGLEFINANCE(B1485,""price""),"""")"),7.28)</f>
        <v>7.28</v>
      </c>
    </row>
    <row r="1486">
      <c r="A1486" s="7">
        <v>46097.668682163065</v>
      </c>
      <c r="B1486" s="8" t="s">
        <v>5434</v>
      </c>
      <c r="C1486" s="8" t="s">
        <v>5435</v>
      </c>
      <c r="D1486" s="9">
        <v>46103.0</v>
      </c>
      <c r="E1486" s="10">
        <v>10.53</v>
      </c>
      <c r="F1486" s="26">
        <v>1.1445</v>
      </c>
      <c r="G1486" s="12">
        <v>8.8363332E7</v>
      </c>
      <c r="H1486" s="8" t="s">
        <v>308</v>
      </c>
      <c r="I1486" s="11">
        <v>3.6417</v>
      </c>
      <c r="J1486" s="12">
        <v>4.740517686E9</v>
      </c>
      <c r="K1486" s="13"/>
      <c r="L1486" s="13">
        <v>-0.4034</v>
      </c>
      <c r="M1486" s="8" t="s">
        <v>5436</v>
      </c>
      <c r="N1486" s="8" t="s">
        <v>5437</v>
      </c>
      <c r="O1486" s="13">
        <v>-17.0422</v>
      </c>
      <c r="P1486" s="13">
        <v>-176.0921</v>
      </c>
      <c r="Q1486" s="13">
        <v>208.4002</v>
      </c>
      <c r="R1486" s="13">
        <v>0.037</v>
      </c>
      <c r="S1486" s="13">
        <v>15.2957</v>
      </c>
      <c r="T1486" s="14">
        <f>IFERROR(__xludf.DUMMYFUNCTION("IFERROR(GOOGLEFINANCE(B1486,""price""),"""")"),9.13)</f>
        <v>9.13</v>
      </c>
    </row>
    <row r="1487">
      <c r="A1487" s="15">
        <v>46097.668682163065</v>
      </c>
      <c r="B1487" s="16" t="s">
        <v>5544</v>
      </c>
      <c r="C1487" s="16" t="s">
        <v>6105</v>
      </c>
      <c r="D1487" s="17">
        <v>46103.0</v>
      </c>
      <c r="E1487" s="18">
        <v>15.14</v>
      </c>
      <c r="F1487" s="27">
        <v>1.1006</v>
      </c>
      <c r="G1487" s="20">
        <v>2.1242885E7</v>
      </c>
      <c r="H1487" s="16" t="s">
        <v>88</v>
      </c>
      <c r="I1487" s="19">
        <v>7.5284</v>
      </c>
      <c r="J1487" s="20">
        <v>6.133507914E9</v>
      </c>
      <c r="K1487" s="21"/>
      <c r="L1487" s="21">
        <v>-2.0516</v>
      </c>
      <c r="M1487" s="16" t="s">
        <v>5546</v>
      </c>
      <c r="N1487" s="16" t="s">
        <v>5471</v>
      </c>
      <c r="O1487" s="21">
        <v>-110.5547</v>
      </c>
      <c r="P1487" s="21">
        <v>-76.6975</v>
      </c>
      <c r="Q1487" s="21">
        <v>48.0413</v>
      </c>
      <c r="R1487" s="21">
        <v>3.435</v>
      </c>
      <c r="S1487" s="21">
        <v>3.7948</v>
      </c>
      <c r="T1487" s="22">
        <f>IFERROR(__xludf.DUMMYFUNCTION("IFERROR(GOOGLEFINANCE(B1487,""price""),"""")"),16.53)</f>
        <v>16.53</v>
      </c>
    </row>
    <row r="1488">
      <c r="A1488" s="7">
        <v>46097.668682163065</v>
      </c>
      <c r="B1488" s="8" t="s">
        <v>5567</v>
      </c>
      <c r="C1488" s="8" t="s">
        <v>5568</v>
      </c>
      <c r="D1488" s="9">
        <v>46103.0</v>
      </c>
      <c r="E1488" s="10">
        <v>153.68</v>
      </c>
      <c r="F1488" s="26">
        <v>1.0841</v>
      </c>
      <c r="G1488" s="12">
        <v>1.0933094E7</v>
      </c>
      <c r="H1488" s="8" t="s">
        <v>308</v>
      </c>
      <c r="I1488" s="11">
        <v>-0.5372</v>
      </c>
      <c r="J1488" s="12">
        <v>4.3114648575E10</v>
      </c>
      <c r="K1488" s="13"/>
      <c r="L1488" s="13">
        <v>-0.3809</v>
      </c>
      <c r="M1488" s="8" t="s">
        <v>5569</v>
      </c>
      <c r="N1488" s="8" t="s">
        <v>5433</v>
      </c>
      <c r="O1488" s="13">
        <v>-13.2874</v>
      </c>
      <c r="P1488" s="13">
        <v>5.4633</v>
      </c>
      <c r="Q1488" s="13">
        <v>37.3263</v>
      </c>
      <c r="R1488" s="13">
        <v>3.8975</v>
      </c>
      <c r="S1488" s="13">
        <v>5.9285</v>
      </c>
      <c r="T1488" s="14">
        <f>IFERROR(__xludf.DUMMYFUNCTION("IFERROR(GOOGLEFINANCE(B1488,""price""),"""")"),166.7)</f>
        <v>166.7</v>
      </c>
    </row>
    <row r="1489">
      <c r="A1489" s="15">
        <v>46097.668682163065</v>
      </c>
      <c r="B1489" s="16" t="s">
        <v>6087</v>
      </c>
      <c r="C1489" s="16" t="s">
        <v>6088</v>
      </c>
      <c r="D1489" s="17">
        <v>46103.0</v>
      </c>
      <c r="E1489" s="18">
        <v>6.91</v>
      </c>
      <c r="F1489" s="27">
        <v>1.0781</v>
      </c>
      <c r="G1489" s="20">
        <v>1.4179543E7</v>
      </c>
      <c r="H1489" s="16" t="s">
        <v>102</v>
      </c>
      <c r="I1489" s="19">
        <v>1.1713</v>
      </c>
      <c r="J1489" s="20">
        <v>1.055234253E9</v>
      </c>
      <c r="K1489" s="21"/>
      <c r="L1489" s="21">
        <v>-0.6318</v>
      </c>
      <c r="M1489" s="16" t="s">
        <v>6089</v>
      </c>
      <c r="N1489" s="16" t="s">
        <v>5536</v>
      </c>
      <c r="O1489" s="21">
        <v>-104.168</v>
      </c>
      <c r="P1489" s="21">
        <v>-5151.455</v>
      </c>
      <c r="Q1489" s="21">
        <v>535.8653</v>
      </c>
      <c r="R1489" s="21">
        <v>0.1096</v>
      </c>
      <c r="S1489" s="21">
        <v>2.2985</v>
      </c>
      <c r="T1489" s="22">
        <f>IFERROR(__xludf.DUMMYFUNCTION("IFERROR(GOOGLEFINANCE(B1489,""price""),"""")"),7.04)</f>
        <v>7.04</v>
      </c>
    </row>
    <row r="1490">
      <c r="A1490" s="7">
        <v>46097.668682163065</v>
      </c>
      <c r="B1490" s="8" t="s">
        <v>2630</v>
      </c>
      <c r="C1490" s="8" t="s">
        <v>2631</v>
      </c>
      <c r="D1490" s="9">
        <v>46103.0</v>
      </c>
      <c r="E1490" s="10">
        <v>441.8</v>
      </c>
      <c r="F1490" s="26">
        <v>1.0651</v>
      </c>
      <c r="G1490" s="12">
        <v>4.2261871E7</v>
      </c>
      <c r="H1490" s="8" t="s">
        <v>308</v>
      </c>
      <c r="I1490" s="11">
        <v>3.6773</v>
      </c>
      <c r="J1490" s="12">
        <v>4.97250004428E11</v>
      </c>
      <c r="K1490" s="13">
        <v>41.9962</v>
      </c>
      <c r="L1490" s="13">
        <v>10.52</v>
      </c>
      <c r="M1490" s="8" t="s">
        <v>2633</v>
      </c>
      <c r="N1490" s="8" t="s">
        <v>5414</v>
      </c>
      <c r="O1490" s="13">
        <v>22.5543</v>
      </c>
      <c r="P1490" s="13">
        <v>32.9221</v>
      </c>
      <c r="Q1490" s="13">
        <v>45.432</v>
      </c>
      <c r="R1490" s="13">
        <v>0.2124</v>
      </c>
      <c r="S1490" s="13">
        <v>2.4598</v>
      </c>
      <c r="T1490" s="14">
        <f>IFERROR(__xludf.DUMMYFUNCTION("IFERROR(GOOGLEFINANCE(B1490,""price""),"""")"),420.59)</f>
        <v>420.59</v>
      </c>
    </row>
    <row r="1491">
      <c r="A1491" s="15">
        <v>46097.668682163065</v>
      </c>
      <c r="B1491" s="16" t="s">
        <v>2704</v>
      </c>
      <c r="C1491" s="16" t="s">
        <v>2705</v>
      </c>
      <c r="D1491" s="17">
        <v>46103.0</v>
      </c>
      <c r="E1491" s="18">
        <v>27.71</v>
      </c>
      <c r="F1491" s="27">
        <v>1.0647</v>
      </c>
      <c r="G1491" s="20">
        <v>1.4426323E7</v>
      </c>
      <c r="H1491" s="16" t="s">
        <v>88</v>
      </c>
      <c r="I1491" s="19">
        <v>2.4399</v>
      </c>
      <c r="J1491" s="20">
        <v>7.747322727E9</v>
      </c>
      <c r="K1491" s="21"/>
      <c r="L1491" s="21">
        <v>-0.5438</v>
      </c>
      <c r="M1491" s="16" t="s">
        <v>2707</v>
      </c>
      <c r="N1491" s="16" t="s">
        <v>5471</v>
      </c>
      <c r="O1491" s="21">
        <v>-11.4029</v>
      </c>
      <c r="P1491" s="21">
        <v>-26.4624</v>
      </c>
      <c r="Q1491" s="21">
        <v>33.135</v>
      </c>
      <c r="R1491" s="21">
        <v>1.6778</v>
      </c>
      <c r="S1491" s="21">
        <v>4.8227</v>
      </c>
      <c r="T1491" s="22">
        <f>IFERROR(__xludf.DUMMYFUNCTION("IFERROR(GOOGLEFINANCE(B1491,""price""),"""")"),26.24)</f>
        <v>26.24</v>
      </c>
    </row>
    <row r="1492">
      <c r="A1492" s="7">
        <v>46097.668682163065</v>
      </c>
      <c r="B1492" s="8" t="s">
        <v>5792</v>
      </c>
      <c r="C1492" s="8" t="s">
        <v>5793</v>
      </c>
      <c r="D1492" s="9">
        <v>46103.0</v>
      </c>
      <c r="E1492" s="10">
        <v>8.22</v>
      </c>
      <c r="F1492" s="26">
        <v>1.0645</v>
      </c>
      <c r="G1492" s="12">
        <v>9924133.0</v>
      </c>
      <c r="H1492" s="8" t="s">
        <v>93</v>
      </c>
      <c r="I1492" s="11">
        <v>-0.7246</v>
      </c>
      <c r="J1492" s="12">
        <v>6.18470389E9</v>
      </c>
      <c r="K1492" s="13"/>
      <c r="L1492" s="13">
        <v>-0.1082</v>
      </c>
      <c r="M1492" s="8" t="s">
        <v>5794</v>
      </c>
      <c r="N1492" s="8" t="s">
        <v>5757</v>
      </c>
      <c r="O1492" s="13">
        <v>-9.8204</v>
      </c>
      <c r="P1492" s="13">
        <v>-0.3965</v>
      </c>
      <c r="Q1492" s="13">
        <v>23.6716</v>
      </c>
      <c r="R1492" s="13">
        <v>0.609</v>
      </c>
      <c r="S1492" s="13">
        <v>0.8636</v>
      </c>
      <c r="T1492" s="14">
        <f>IFERROR(__xludf.DUMMYFUNCTION("IFERROR(GOOGLEFINANCE(B1492,""price""),"""")"),7.14)</f>
        <v>7.14</v>
      </c>
    </row>
    <row r="1493">
      <c r="A1493" s="15">
        <v>46097.668682163065</v>
      </c>
      <c r="B1493" s="16" t="s">
        <v>5594</v>
      </c>
      <c r="C1493" s="16" t="s">
        <v>5595</v>
      </c>
      <c r="D1493" s="17">
        <v>46103.0</v>
      </c>
      <c r="E1493" s="18">
        <v>16.41</v>
      </c>
      <c r="F1493" s="27">
        <v>1.0557</v>
      </c>
      <c r="G1493" s="20">
        <v>4.1427148E7</v>
      </c>
      <c r="H1493" s="16" t="s">
        <v>88</v>
      </c>
      <c r="I1493" s="19">
        <v>11.8609</v>
      </c>
      <c r="J1493" s="20">
        <v>6.958957807E9</v>
      </c>
      <c r="K1493" s="21"/>
      <c r="L1493" s="21">
        <v>-1.661</v>
      </c>
      <c r="M1493" s="16" t="s">
        <v>5596</v>
      </c>
      <c r="N1493" s="16" t="s">
        <v>5471</v>
      </c>
      <c r="O1493" s="21">
        <v>-343.6909</v>
      </c>
      <c r="P1493" s="21">
        <v>-100.2101</v>
      </c>
      <c r="Q1493" s="21">
        <v>20.2812</v>
      </c>
      <c r="R1493" s="21">
        <v>36.9947</v>
      </c>
      <c r="S1493" s="21">
        <v>2.0038</v>
      </c>
      <c r="T1493" s="22">
        <f>IFERROR(__xludf.DUMMYFUNCTION("IFERROR(GOOGLEFINANCE(B1493,""price""),"""")"),18.88)</f>
        <v>18.88</v>
      </c>
    </row>
    <row r="1494">
      <c r="A1494" s="7">
        <v>46097.668682163065</v>
      </c>
      <c r="B1494" s="8" t="s">
        <v>6178</v>
      </c>
      <c r="C1494" s="8" t="s">
        <v>6179</v>
      </c>
      <c r="D1494" s="9">
        <v>46103.0</v>
      </c>
      <c r="E1494" s="10">
        <v>6.75</v>
      </c>
      <c r="F1494" s="26">
        <v>1.0469</v>
      </c>
      <c r="G1494" s="12">
        <v>1.18326351E8</v>
      </c>
      <c r="H1494" s="8" t="s">
        <v>117</v>
      </c>
      <c r="I1494" s="11">
        <v>44.2308</v>
      </c>
      <c r="J1494" s="12">
        <v>1.143688869E9</v>
      </c>
      <c r="K1494" s="13">
        <v>16.1406</v>
      </c>
      <c r="L1494" s="13">
        <v>0.4182</v>
      </c>
      <c r="M1494" s="8" t="s">
        <v>6180</v>
      </c>
      <c r="N1494" s="8" t="s">
        <v>5491</v>
      </c>
      <c r="O1494" s="13">
        <v>66.7596</v>
      </c>
      <c r="P1494" s="13">
        <v>20.3694</v>
      </c>
      <c r="Q1494" s="13">
        <v>-10.2561</v>
      </c>
      <c r="R1494" s="13">
        <v>0.0521</v>
      </c>
      <c r="S1494" s="13">
        <v>3.6369</v>
      </c>
      <c r="T1494" s="14">
        <f>IFERROR(__xludf.DUMMYFUNCTION("IFERROR(GOOGLEFINANCE(B1494,""price""),"""")"),4.39)</f>
        <v>4.39</v>
      </c>
    </row>
    <row r="1495">
      <c r="A1495" s="15">
        <v>46097.668682163065</v>
      </c>
      <c r="B1495" s="16" t="s">
        <v>5719</v>
      </c>
      <c r="C1495" s="16" t="s">
        <v>5720</v>
      </c>
      <c r="D1495" s="17">
        <v>46103.0</v>
      </c>
      <c r="E1495" s="18">
        <v>116.88</v>
      </c>
      <c r="F1495" s="27">
        <v>1.0276</v>
      </c>
      <c r="G1495" s="20">
        <v>9065490.0</v>
      </c>
      <c r="H1495" s="16" t="s">
        <v>88</v>
      </c>
      <c r="I1495" s="19">
        <v>-0.6882</v>
      </c>
      <c r="J1495" s="20">
        <v>2.1558508957E10</v>
      </c>
      <c r="K1495" s="21">
        <v>64.8217</v>
      </c>
      <c r="L1495" s="21">
        <v>1.8031</v>
      </c>
      <c r="M1495" s="16" t="s">
        <v>5721</v>
      </c>
      <c r="N1495" s="16" t="s">
        <v>5664</v>
      </c>
      <c r="O1495" s="21">
        <v>27.5435</v>
      </c>
      <c r="P1495" s="21">
        <v>30.3164</v>
      </c>
      <c r="Q1495" s="21">
        <v>226.1171</v>
      </c>
      <c r="R1495" s="21">
        <v>0.0088</v>
      </c>
      <c r="S1495" s="21">
        <v>10.8153</v>
      </c>
      <c r="T1495" s="22">
        <f>IFERROR(__xludf.DUMMYFUNCTION("IFERROR(GOOGLEFINANCE(B1495,""price""),"""")"),119.59)</f>
        <v>119.59</v>
      </c>
    </row>
    <row r="1496">
      <c r="A1496" s="7">
        <v>46097.668682163065</v>
      </c>
      <c r="B1496" s="8" t="s">
        <v>5422</v>
      </c>
      <c r="C1496" s="8" t="s">
        <v>5423</v>
      </c>
      <c r="D1496" s="9">
        <v>46103.0</v>
      </c>
      <c r="E1496" s="10">
        <v>19.49</v>
      </c>
      <c r="F1496" s="26">
        <v>1.0153</v>
      </c>
      <c r="G1496" s="12">
        <v>1.2604108E7</v>
      </c>
      <c r="H1496" s="8" t="s">
        <v>102</v>
      </c>
      <c r="I1496" s="11">
        <v>0.1542</v>
      </c>
      <c r="J1496" s="12">
        <v>4.247662938E9</v>
      </c>
      <c r="K1496" s="13"/>
      <c r="L1496" s="13">
        <v>-2.5128</v>
      </c>
      <c r="M1496" s="8" t="s">
        <v>5424</v>
      </c>
      <c r="N1496" s="8" t="s">
        <v>5425</v>
      </c>
      <c r="O1496" s="13">
        <v>-255.9098</v>
      </c>
      <c r="P1496" s="13"/>
      <c r="Q1496" s="13"/>
      <c r="R1496" s="13"/>
      <c r="S1496" s="13">
        <v>16.5111</v>
      </c>
      <c r="T1496" s="14">
        <f>IFERROR(__xludf.DUMMYFUNCTION("IFERROR(GOOGLEFINANCE(B1496,""price""),"""")"),16.15)</f>
        <v>16.15</v>
      </c>
    </row>
    <row r="1497">
      <c r="A1497" s="15">
        <v>46097.668682163065</v>
      </c>
      <c r="B1497" s="16" t="s">
        <v>5561</v>
      </c>
      <c r="C1497" s="16" t="s">
        <v>5562</v>
      </c>
      <c r="D1497" s="17">
        <v>46103.0</v>
      </c>
      <c r="E1497" s="18">
        <v>11.97</v>
      </c>
      <c r="F1497" s="27">
        <v>1.015</v>
      </c>
      <c r="G1497" s="20">
        <v>1.8456915E7</v>
      </c>
      <c r="H1497" s="16" t="s">
        <v>102</v>
      </c>
      <c r="I1497" s="19">
        <v>1.4407</v>
      </c>
      <c r="J1497" s="20">
        <v>4.046055589E9</v>
      </c>
      <c r="K1497" s="21"/>
      <c r="L1497" s="21">
        <v>-2.2522</v>
      </c>
      <c r="M1497" s="16" t="s">
        <v>5563</v>
      </c>
      <c r="N1497" s="16" t="s">
        <v>5536</v>
      </c>
      <c r="O1497" s="21">
        <v>-39.8083</v>
      </c>
      <c r="P1497" s="21">
        <v>-2190.5747</v>
      </c>
      <c r="Q1497" s="21">
        <v>-15.025</v>
      </c>
      <c r="R1497" s="21">
        <v>0.0</v>
      </c>
      <c r="S1497" s="21">
        <v>4.2984</v>
      </c>
      <c r="T1497" s="22">
        <f>IFERROR(__xludf.DUMMYFUNCTION("IFERROR(GOOGLEFINANCE(B1497,""price""),"""")"),9.21)</f>
        <v>9.21</v>
      </c>
    </row>
    <row r="1498">
      <c r="A1498" s="7">
        <v>46097.668682163065</v>
      </c>
      <c r="B1498" s="8" t="s">
        <v>5517</v>
      </c>
      <c r="C1498" s="8" t="s">
        <v>5518</v>
      </c>
      <c r="D1498" s="9">
        <v>46103.0</v>
      </c>
      <c r="E1498" s="10">
        <v>9.54</v>
      </c>
      <c r="F1498" s="26">
        <v>1.0</v>
      </c>
      <c r="G1498" s="12">
        <v>1.4028553E7</v>
      </c>
      <c r="H1498" s="8" t="s">
        <v>308</v>
      </c>
      <c r="I1498" s="11">
        <v>-0.5214</v>
      </c>
      <c r="J1498" s="12">
        <v>1.831449157E9</v>
      </c>
      <c r="K1498" s="13"/>
      <c r="L1498" s="13">
        <v>-2.3761</v>
      </c>
      <c r="M1498" s="8" t="s">
        <v>5519</v>
      </c>
      <c r="N1498" s="8" t="s">
        <v>5520</v>
      </c>
      <c r="O1498" s="13">
        <v>-52.0031</v>
      </c>
      <c r="P1498" s="13">
        <v>-43.4124</v>
      </c>
      <c r="Q1498" s="13">
        <v>10.2861</v>
      </c>
      <c r="R1498" s="13">
        <v>0.1895</v>
      </c>
      <c r="S1498" s="13">
        <v>1.6246</v>
      </c>
      <c r="T1498" s="14">
        <f>IFERROR(__xludf.DUMMYFUNCTION("IFERROR(GOOGLEFINANCE(B1498,""price""),"""")"),9.29)</f>
        <v>9.29</v>
      </c>
    </row>
    <row r="1499">
      <c r="A1499" s="15">
        <v>46097.668682163065</v>
      </c>
      <c r="B1499" s="16" t="s">
        <v>5484</v>
      </c>
      <c r="C1499" s="16" t="s">
        <v>5485</v>
      </c>
      <c r="D1499" s="17">
        <v>46103.0</v>
      </c>
      <c r="E1499" s="18">
        <v>44.94</v>
      </c>
      <c r="F1499" s="27">
        <v>0.998</v>
      </c>
      <c r="G1499" s="20">
        <v>4.0125125E7</v>
      </c>
      <c r="H1499" s="16" t="s">
        <v>88</v>
      </c>
      <c r="I1499" s="19">
        <v>8.0808</v>
      </c>
      <c r="J1499" s="20">
        <v>1.4909258556E10</v>
      </c>
      <c r="K1499" s="21">
        <v>51.4895</v>
      </c>
      <c r="L1499" s="21">
        <v>0.8728</v>
      </c>
      <c r="M1499" s="16" t="s">
        <v>5486</v>
      </c>
      <c r="N1499" s="16" t="s">
        <v>5471</v>
      </c>
      <c r="O1499" s="21">
        <v>22.5116</v>
      </c>
      <c r="P1499" s="21">
        <v>-13.85</v>
      </c>
      <c r="Q1499" s="21">
        <v>123.3192</v>
      </c>
      <c r="R1499" s="21">
        <v>1.5302</v>
      </c>
      <c r="S1499" s="21">
        <v>4.9601</v>
      </c>
      <c r="T1499" s="22">
        <f>IFERROR(__xludf.DUMMYFUNCTION("IFERROR(GOOGLEFINANCE(B1499,""price""),"""")"),39.32)</f>
        <v>39.32</v>
      </c>
    </row>
    <row r="1500">
      <c r="A1500" s="7">
        <v>46097.668682163065</v>
      </c>
      <c r="B1500" s="8" t="s">
        <v>5510</v>
      </c>
      <c r="C1500" s="8" t="s">
        <v>5511</v>
      </c>
      <c r="D1500" s="9">
        <v>46103.0</v>
      </c>
      <c r="E1500" s="10">
        <v>703.63</v>
      </c>
      <c r="F1500" s="26">
        <v>0.9805</v>
      </c>
      <c r="G1500" s="12">
        <v>1.9210041E7</v>
      </c>
      <c r="H1500" s="8" t="s">
        <v>308</v>
      </c>
      <c r="I1500" s="11">
        <v>6.3496</v>
      </c>
      <c r="J1500" s="12">
        <v>1.0385646793E11</v>
      </c>
      <c r="K1500" s="13"/>
      <c r="L1500" s="13">
        <v>-7.5894</v>
      </c>
      <c r="M1500" s="8" t="s">
        <v>5512</v>
      </c>
      <c r="N1500" s="8" t="s">
        <v>5513</v>
      </c>
      <c r="O1500" s="13">
        <v>-9.3725</v>
      </c>
      <c r="P1500" s="13">
        <v>14.2905</v>
      </c>
      <c r="Q1500" s="13">
        <v>23.6019</v>
      </c>
      <c r="R1500" s="13">
        <v>0.0796</v>
      </c>
      <c r="S1500" s="13">
        <v>3.1137</v>
      </c>
      <c r="T1500" s="14">
        <f>IFERROR(__xludf.DUMMYFUNCTION("IFERROR(GOOGLEFINANCE(B1500,""price""),"""")"),851.77)</f>
        <v>851.77</v>
      </c>
    </row>
    <row r="1501">
      <c r="A1501" s="15">
        <v>46097.668682163065</v>
      </c>
      <c r="B1501" s="16" t="s">
        <v>5496</v>
      </c>
      <c r="C1501" s="16" t="s">
        <v>5497</v>
      </c>
      <c r="D1501" s="17">
        <v>46103.0</v>
      </c>
      <c r="E1501" s="18">
        <v>9.23</v>
      </c>
      <c r="F1501" s="27">
        <v>0.9678</v>
      </c>
      <c r="G1501" s="20">
        <v>4.7386267E7</v>
      </c>
      <c r="H1501" s="16" t="s">
        <v>88</v>
      </c>
      <c r="I1501" s="19">
        <v>-0.9657</v>
      </c>
      <c r="J1501" s="20">
        <v>3.509565419E9</v>
      </c>
      <c r="K1501" s="21"/>
      <c r="L1501" s="21">
        <v>-3.9593</v>
      </c>
      <c r="M1501" s="16" t="s">
        <v>5498</v>
      </c>
      <c r="N1501" s="16" t="s">
        <v>5471</v>
      </c>
      <c r="O1501" s="21">
        <v>-34.5092</v>
      </c>
      <c r="P1501" s="21">
        <v>-90.4167</v>
      </c>
      <c r="Q1501" s="21">
        <v>38.1967</v>
      </c>
      <c r="R1501" s="21">
        <v>1.05</v>
      </c>
      <c r="S1501" s="21">
        <v>1.2728</v>
      </c>
      <c r="T1501" s="22">
        <f>IFERROR(__xludf.DUMMYFUNCTION("IFERROR(GOOGLEFINANCE(B1501,""price""),"""")"),9.54)</f>
        <v>9.54</v>
      </c>
    </row>
    <row r="1502">
      <c r="A1502" s="7">
        <v>46102.755853109746</v>
      </c>
      <c r="B1502" s="8" t="s">
        <v>6090</v>
      </c>
      <c r="C1502" s="8" t="s">
        <v>6091</v>
      </c>
      <c r="D1502" s="9">
        <v>46103.0</v>
      </c>
      <c r="E1502" s="10">
        <v>2.47</v>
      </c>
      <c r="F1502" s="26">
        <v>2.4844</v>
      </c>
      <c r="G1502" s="12">
        <v>1.9093757E7</v>
      </c>
      <c r="H1502" s="8" t="s">
        <v>117</v>
      </c>
      <c r="I1502" s="11">
        <v>-1.9841</v>
      </c>
      <c r="J1502" s="12">
        <v>7.61008079E8</v>
      </c>
      <c r="K1502" s="13">
        <v>146.1538</v>
      </c>
      <c r="L1502" s="13">
        <v>0.0169</v>
      </c>
      <c r="M1502" s="8" t="s">
        <v>6092</v>
      </c>
      <c r="N1502" s="8" t="s">
        <v>5491</v>
      </c>
      <c r="O1502" s="13"/>
      <c r="P1502" s="13">
        <v>15.0636</v>
      </c>
      <c r="Q1502" s="13">
        <v>22.2281</v>
      </c>
      <c r="R1502" s="13"/>
      <c r="S1502" s="13">
        <v>1.7048</v>
      </c>
      <c r="T1502" s="14">
        <f>IFERROR(__xludf.DUMMYFUNCTION("IFERROR(GOOGLEFINANCE(B1502,""price""),"""")"),2.57)</f>
        <v>2.57</v>
      </c>
    </row>
    <row r="1503">
      <c r="A1503" s="15">
        <v>46102.755853109746</v>
      </c>
      <c r="B1503" s="16" t="s">
        <v>6025</v>
      </c>
      <c r="C1503" s="16" t="s">
        <v>6026</v>
      </c>
      <c r="D1503" s="17">
        <v>46103.0</v>
      </c>
      <c r="E1503" s="18">
        <v>2.07</v>
      </c>
      <c r="F1503" s="27">
        <v>2.0938</v>
      </c>
      <c r="G1503" s="20">
        <v>2.0747775E7</v>
      </c>
      <c r="H1503" s="16" t="s">
        <v>117</v>
      </c>
      <c r="I1503" s="19">
        <v>-6.7568</v>
      </c>
      <c r="J1503" s="20">
        <v>5.04620286E8</v>
      </c>
      <c r="K1503" s="21"/>
      <c r="L1503" s="21">
        <v>-0.8682</v>
      </c>
      <c r="M1503" s="16" t="s">
        <v>6027</v>
      </c>
      <c r="N1503" s="16" t="s">
        <v>5502</v>
      </c>
      <c r="O1503" s="21">
        <v>-53.4155</v>
      </c>
      <c r="P1503" s="21"/>
      <c r="Q1503" s="21">
        <v>-100.0</v>
      </c>
      <c r="R1503" s="21">
        <v>0.2846</v>
      </c>
      <c r="S1503" s="21">
        <v>7.9273</v>
      </c>
      <c r="T1503" s="22">
        <f>IFERROR(__xludf.DUMMYFUNCTION("IFERROR(GOOGLEFINANCE(B1503,""price""),"""")"),2.72)</f>
        <v>2.72</v>
      </c>
    </row>
    <row r="1504">
      <c r="A1504" s="7">
        <v>46102.755853109746</v>
      </c>
      <c r="B1504" s="8" t="s">
        <v>5699</v>
      </c>
      <c r="C1504" s="8" t="s">
        <v>5700</v>
      </c>
      <c r="D1504" s="9">
        <v>46103.0</v>
      </c>
      <c r="E1504" s="10">
        <v>20.53</v>
      </c>
      <c r="F1504" s="26">
        <v>1.3639</v>
      </c>
      <c r="G1504" s="12">
        <v>2.42950483E8</v>
      </c>
      <c r="H1504" s="8" t="s">
        <v>308</v>
      </c>
      <c r="I1504" s="11">
        <v>-33.3225</v>
      </c>
      <c r="J1504" s="12">
        <v>1.2297253633E10</v>
      </c>
      <c r="K1504" s="13">
        <v>15.2458</v>
      </c>
      <c r="L1504" s="13">
        <v>1.3466</v>
      </c>
      <c r="M1504" s="8" t="s">
        <v>5701</v>
      </c>
      <c r="N1504" s="8" t="s">
        <v>5674</v>
      </c>
      <c r="O1504" s="13">
        <v>13.1936</v>
      </c>
      <c r="P1504" s="13">
        <v>3.6772</v>
      </c>
      <c r="Q1504" s="13">
        <v>35.0622</v>
      </c>
      <c r="R1504" s="13">
        <v>0.7067</v>
      </c>
      <c r="S1504" s="13">
        <v>1.6968</v>
      </c>
      <c r="T1504" s="14">
        <f>IFERROR(__xludf.DUMMYFUNCTION("IFERROR(GOOGLEFINANCE(B1504,""price""),"""")"),25.26)</f>
        <v>25.26</v>
      </c>
    </row>
    <row r="1505">
      <c r="A1505" s="15">
        <v>46102.755853109746</v>
      </c>
      <c r="B1505" s="16" t="s">
        <v>5434</v>
      </c>
      <c r="C1505" s="16" t="s">
        <v>5435</v>
      </c>
      <c r="D1505" s="17">
        <v>46103.0</v>
      </c>
      <c r="E1505" s="18">
        <v>10.06</v>
      </c>
      <c r="F1505" s="27">
        <v>1.3203</v>
      </c>
      <c r="G1505" s="20">
        <v>8.6917325E7</v>
      </c>
      <c r="H1505" s="16" t="s">
        <v>308</v>
      </c>
      <c r="I1505" s="19">
        <v>-6.4186</v>
      </c>
      <c r="J1505" s="20">
        <v>4.636497559E9</v>
      </c>
      <c r="K1505" s="21"/>
      <c r="L1505" s="21">
        <v>-0.4034</v>
      </c>
      <c r="M1505" s="16" t="s">
        <v>5436</v>
      </c>
      <c r="N1505" s="16" t="s">
        <v>5437</v>
      </c>
      <c r="O1505" s="21">
        <v>-17.0422</v>
      </c>
      <c r="P1505" s="21">
        <v>-176.0921</v>
      </c>
      <c r="Q1505" s="21">
        <v>208.4002</v>
      </c>
      <c r="R1505" s="21">
        <v>0.037</v>
      </c>
      <c r="S1505" s="21">
        <v>15.2957</v>
      </c>
      <c r="T1505" s="22">
        <f>IFERROR(__xludf.DUMMYFUNCTION("IFERROR(GOOGLEFINANCE(B1505,""price""),"""")"),9.13)</f>
        <v>9.13</v>
      </c>
    </row>
    <row r="1506">
      <c r="A1506" s="7">
        <v>46102.755853109746</v>
      </c>
      <c r="B1506" s="8" t="s">
        <v>5778</v>
      </c>
      <c r="C1506" s="8" t="s">
        <v>5779</v>
      </c>
      <c r="D1506" s="9">
        <v>46103.0</v>
      </c>
      <c r="E1506" s="10">
        <v>1.46</v>
      </c>
      <c r="F1506" s="26">
        <v>1.2266</v>
      </c>
      <c r="G1506" s="12">
        <v>3.9135225E7</v>
      </c>
      <c r="H1506" s="8" t="s">
        <v>117</v>
      </c>
      <c r="I1506" s="11">
        <v>-5.8065</v>
      </c>
      <c r="J1506" s="12">
        <v>9.35195254E8</v>
      </c>
      <c r="K1506" s="13"/>
      <c r="L1506" s="13">
        <v>-0.1287</v>
      </c>
      <c r="M1506" s="8" t="s">
        <v>5780</v>
      </c>
      <c r="N1506" s="8" t="s">
        <v>5502</v>
      </c>
      <c r="O1506" s="13">
        <v>-33.8931</v>
      </c>
      <c r="P1506" s="13">
        <v>-29.2771</v>
      </c>
      <c r="Q1506" s="13">
        <v>138.822</v>
      </c>
      <c r="R1506" s="13">
        <v>1.1138</v>
      </c>
      <c r="S1506" s="13">
        <v>4.6644</v>
      </c>
      <c r="T1506" s="14">
        <f>IFERROR(__xludf.DUMMYFUNCTION("IFERROR(GOOGLEFINANCE(B1506,""price""),"""")"),1.67)</f>
        <v>1.67</v>
      </c>
    </row>
    <row r="1507">
      <c r="A1507" s="15">
        <v>46102.755853109746</v>
      </c>
      <c r="B1507" s="16" t="s">
        <v>5533</v>
      </c>
      <c r="C1507" s="16" t="s">
        <v>5534</v>
      </c>
      <c r="D1507" s="17">
        <v>46103.0</v>
      </c>
      <c r="E1507" s="18">
        <v>6.6</v>
      </c>
      <c r="F1507" s="27">
        <v>1.207</v>
      </c>
      <c r="G1507" s="20">
        <v>2.3158143E7</v>
      </c>
      <c r="H1507" s="16" t="s">
        <v>102</v>
      </c>
      <c r="I1507" s="19">
        <v>-14.3969</v>
      </c>
      <c r="J1507" s="20">
        <v>1.785780553E9</v>
      </c>
      <c r="K1507" s="21"/>
      <c r="L1507" s="21">
        <v>-3.7839</v>
      </c>
      <c r="M1507" s="16" t="s">
        <v>5535</v>
      </c>
      <c r="N1507" s="16" t="s">
        <v>5536</v>
      </c>
      <c r="O1507" s="21">
        <v>-55.984</v>
      </c>
      <c r="P1507" s="21">
        <v>-31.1477</v>
      </c>
      <c r="Q1507" s="21"/>
      <c r="R1507" s="21">
        <v>4.5088</v>
      </c>
      <c r="S1507" s="21">
        <v>1.1293</v>
      </c>
      <c r="T1507" s="22">
        <f>IFERROR(__xludf.DUMMYFUNCTION("IFERROR(GOOGLEFINANCE(B1507,""price""),"""")"),4.69)</f>
        <v>4.69</v>
      </c>
    </row>
    <row r="1508">
      <c r="A1508" s="7">
        <v>46102.755853109746</v>
      </c>
      <c r="B1508" s="8" t="s">
        <v>5527</v>
      </c>
      <c r="C1508" s="8" t="s">
        <v>5528</v>
      </c>
      <c r="D1508" s="9">
        <v>46103.0</v>
      </c>
      <c r="E1508" s="10">
        <v>13.25</v>
      </c>
      <c r="F1508" s="26">
        <v>1.1924</v>
      </c>
      <c r="G1508" s="12">
        <v>1.8092163E7</v>
      </c>
      <c r="H1508" s="8" t="s">
        <v>88</v>
      </c>
      <c r="I1508" s="11">
        <v>-12.4546</v>
      </c>
      <c r="J1508" s="12">
        <v>1.605088615E9</v>
      </c>
      <c r="K1508" s="13"/>
      <c r="L1508" s="13">
        <v>-0.7413</v>
      </c>
      <c r="M1508" s="8" t="s">
        <v>5529</v>
      </c>
      <c r="N1508" s="8" t="s">
        <v>5429</v>
      </c>
      <c r="O1508" s="13">
        <v>-48.7073</v>
      </c>
      <c r="P1508" s="13">
        <v>-163.5071</v>
      </c>
      <c r="Q1508" s="13">
        <v>402.7429</v>
      </c>
      <c r="R1508" s="13">
        <v>0.075</v>
      </c>
      <c r="S1508" s="13">
        <v>15.2861</v>
      </c>
      <c r="T1508" s="14">
        <f>IFERROR(__xludf.DUMMYFUNCTION("IFERROR(GOOGLEFINANCE(B1508,""price""),"""")"),12.37)</f>
        <v>12.37</v>
      </c>
    </row>
    <row r="1509">
      <c r="A1509" s="15">
        <v>46102.755853109746</v>
      </c>
      <c r="B1509" s="16" t="s">
        <v>627</v>
      </c>
      <c r="C1509" s="16" t="s">
        <v>628</v>
      </c>
      <c r="D1509" s="17">
        <v>46103.0</v>
      </c>
      <c r="E1509" s="18">
        <v>2.04</v>
      </c>
      <c r="F1509" s="27">
        <v>1.1758</v>
      </c>
      <c r="G1509" s="20">
        <v>2.5069966E7</v>
      </c>
      <c r="H1509" s="16" t="s">
        <v>117</v>
      </c>
      <c r="I1509" s="19">
        <v>-8.9286</v>
      </c>
      <c r="J1509" s="20">
        <v>6.68910434E8</v>
      </c>
      <c r="K1509" s="21"/>
      <c r="L1509" s="21">
        <v>-0.2257</v>
      </c>
      <c r="M1509" s="16" t="s">
        <v>629</v>
      </c>
      <c r="N1509" s="16" t="s">
        <v>5491</v>
      </c>
      <c r="O1509" s="21">
        <v>-776.8922</v>
      </c>
      <c r="P1509" s="21">
        <v>-1425.6968</v>
      </c>
      <c r="Q1509" s="21">
        <v>8.8286</v>
      </c>
      <c r="R1509" s="21"/>
      <c r="S1509" s="21">
        <v>1.0563</v>
      </c>
      <c r="T1509" s="22">
        <f>IFERROR(__xludf.DUMMYFUNCTION("IFERROR(GOOGLEFINANCE(B1509,""price""),"""")"),1.76)</f>
        <v>1.76</v>
      </c>
    </row>
    <row r="1510">
      <c r="A1510" s="7">
        <v>46102.755853109746</v>
      </c>
      <c r="B1510" s="8" t="s">
        <v>6078</v>
      </c>
      <c r="C1510" s="8" t="s">
        <v>6079</v>
      </c>
      <c r="D1510" s="9">
        <v>46103.0</v>
      </c>
      <c r="E1510" s="10">
        <v>15.76</v>
      </c>
      <c r="F1510" s="26">
        <v>1.1152</v>
      </c>
      <c r="G1510" s="12">
        <v>6.8124816E7</v>
      </c>
      <c r="H1510" s="8" t="s">
        <v>270</v>
      </c>
      <c r="I1510" s="11">
        <v>10.2869</v>
      </c>
      <c r="J1510" s="12">
        <v>3.8721852999E10</v>
      </c>
      <c r="K1510" s="13">
        <v>17.0378</v>
      </c>
      <c r="L1510" s="13">
        <v>0.925</v>
      </c>
      <c r="M1510" s="8" t="s">
        <v>6080</v>
      </c>
      <c r="N1510" s="8" t="s">
        <v>5777</v>
      </c>
      <c r="O1510" s="13">
        <v>41.9277</v>
      </c>
      <c r="P1510" s="13">
        <v>37.1124</v>
      </c>
      <c r="Q1510" s="13">
        <v>176.9308</v>
      </c>
      <c r="R1510" s="13">
        <v>4.1736</v>
      </c>
      <c r="S1510" s="13">
        <v>0.93</v>
      </c>
      <c r="T1510" s="14">
        <f>IFERROR(__xludf.DUMMYFUNCTION("IFERROR(GOOGLEFINANCE(B1510,""price""),"""")"),12.97)</f>
        <v>12.97</v>
      </c>
    </row>
    <row r="1511">
      <c r="A1511" s="15">
        <v>46102.755853109746</v>
      </c>
      <c r="B1511" s="16" t="s">
        <v>5544</v>
      </c>
      <c r="C1511" s="16" t="s">
        <v>6105</v>
      </c>
      <c r="D1511" s="17">
        <v>46103.0</v>
      </c>
      <c r="E1511" s="18">
        <v>14.01</v>
      </c>
      <c r="F1511" s="27">
        <v>1.1071</v>
      </c>
      <c r="G1511" s="20">
        <v>2.5392114E7</v>
      </c>
      <c r="H1511" s="16" t="s">
        <v>88</v>
      </c>
      <c r="I1511" s="19">
        <v>-4.3033</v>
      </c>
      <c r="J1511" s="20">
        <v>5.675723101E9</v>
      </c>
      <c r="K1511" s="21"/>
      <c r="L1511" s="21">
        <v>-2.0516</v>
      </c>
      <c r="M1511" s="16" t="s">
        <v>5546</v>
      </c>
      <c r="N1511" s="16" t="s">
        <v>5471</v>
      </c>
      <c r="O1511" s="21">
        <v>-110.5547</v>
      </c>
      <c r="P1511" s="21">
        <v>-76.6975</v>
      </c>
      <c r="Q1511" s="21">
        <v>48.0413</v>
      </c>
      <c r="R1511" s="21">
        <v>3.435</v>
      </c>
      <c r="S1511" s="21">
        <v>3.7948</v>
      </c>
      <c r="T1511" s="22">
        <f>IFERROR(__xludf.DUMMYFUNCTION("IFERROR(GOOGLEFINANCE(B1511,""price""),"""")"),16.53)</f>
        <v>16.53</v>
      </c>
    </row>
    <row r="1512">
      <c r="A1512" s="7">
        <v>46102.755853109746</v>
      </c>
      <c r="B1512" s="8" t="s">
        <v>5422</v>
      </c>
      <c r="C1512" s="8" t="s">
        <v>5423</v>
      </c>
      <c r="D1512" s="9">
        <v>46103.0</v>
      </c>
      <c r="E1512" s="10">
        <v>16.24</v>
      </c>
      <c r="F1512" s="26">
        <v>1.1038</v>
      </c>
      <c r="G1512" s="12">
        <v>3.3930554E7</v>
      </c>
      <c r="H1512" s="8" t="s">
        <v>102</v>
      </c>
      <c r="I1512" s="11">
        <v>-8.8153</v>
      </c>
      <c r="J1512" s="12">
        <v>3.539355997E9</v>
      </c>
      <c r="K1512" s="13"/>
      <c r="L1512" s="13">
        <v>-2.5128</v>
      </c>
      <c r="M1512" s="8" t="s">
        <v>5424</v>
      </c>
      <c r="N1512" s="8" t="s">
        <v>5425</v>
      </c>
      <c r="O1512" s="13">
        <v>-255.9098</v>
      </c>
      <c r="P1512" s="13"/>
      <c r="Q1512" s="13"/>
      <c r="R1512" s="13"/>
      <c r="S1512" s="13">
        <v>16.5111</v>
      </c>
      <c r="T1512" s="14">
        <f>IFERROR(__xludf.DUMMYFUNCTION("IFERROR(GOOGLEFINANCE(B1512,""price""),"""")"),16.15)</f>
        <v>16.15</v>
      </c>
    </row>
    <row r="1513">
      <c r="A1513" s="15">
        <v>46102.755853109746</v>
      </c>
      <c r="B1513" s="16" t="s">
        <v>5514</v>
      </c>
      <c r="C1513" s="16" t="s">
        <v>5515</v>
      </c>
      <c r="D1513" s="17">
        <v>46103.0</v>
      </c>
      <c r="E1513" s="18">
        <v>8.47</v>
      </c>
      <c r="F1513" s="27">
        <v>1.0938</v>
      </c>
      <c r="G1513" s="20">
        <v>3.1639947E7</v>
      </c>
      <c r="H1513" s="16" t="s">
        <v>117</v>
      </c>
      <c r="I1513" s="19">
        <v>-3.9683</v>
      </c>
      <c r="J1513" s="20">
        <v>8.708104258E9</v>
      </c>
      <c r="K1513" s="21"/>
      <c r="L1513" s="21">
        <v>-0.3898</v>
      </c>
      <c r="M1513" s="16" t="s">
        <v>5516</v>
      </c>
      <c r="N1513" s="16" t="s">
        <v>5491</v>
      </c>
      <c r="O1513" s="21"/>
      <c r="P1513" s="21">
        <v>-225.9966</v>
      </c>
      <c r="Q1513" s="21">
        <v>668.3147</v>
      </c>
      <c r="R1513" s="21"/>
      <c r="S1513" s="21">
        <v>5.0989</v>
      </c>
      <c r="T1513" s="22">
        <f>IFERROR(__xludf.DUMMYFUNCTION("IFERROR(GOOGLEFINANCE(B1513,""price""),"""")"),7.28)</f>
        <v>7.28</v>
      </c>
    </row>
    <row r="1514">
      <c r="A1514" s="7">
        <v>46102.755853109746</v>
      </c>
      <c r="B1514" s="8" t="s">
        <v>5649</v>
      </c>
      <c r="C1514" s="8" t="s">
        <v>5650</v>
      </c>
      <c r="D1514" s="9">
        <v>46103.0</v>
      </c>
      <c r="E1514" s="10">
        <v>33.83</v>
      </c>
      <c r="F1514" s="26">
        <v>1.066</v>
      </c>
      <c r="G1514" s="12">
        <v>6.370432E7</v>
      </c>
      <c r="H1514" s="8" t="s">
        <v>88</v>
      </c>
      <c r="I1514" s="11">
        <v>25.4822</v>
      </c>
      <c r="J1514" s="12">
        <v>1.1460041942E10</v>
      </c>
      <c r="K1514" s="13"/>
      <c r="L1514" s="13">
        <v>-0.7881</v>
      </c>
      <c r="M1514" s="8" t="s">
        <v>5651</v>
      </c>
      <c r="N1514" s="8" t="s">
        <v>5429</v>
      </c>
      <c r="O1514" s="13">
        <v>-78.4035</v>
      </c>
      <c r="P1514" s="13">
        <v>-26.7536</v>
      </c>
      <c r="Q1514" s="13">
        <v>25.9359</v>
      </c>
      <c r="R1514" s="13">
        <v>2.4544</v>
      </c>
      <c r="S1514" s="13">
        <v>1.6516</v>
      </c>
      <c r="T1514" s="14">
        <f>IFERROR(__xludf.DUMMYFUNCTION("IFERROR(GOOGLEFINANCE(B1514,""price""),"""")"),34.67)</f>
        <v>34.67</v>
      </c>
    </row>
    <row r="1515">
      <c r="A1515" s="15">
        <v>46102.755853109746</v>
      </c>
      <c r="B1515" s="16" t="s">
        <v>5607</v>
      </c>
      <c r="C1515" s="16" t="s">
        <v>5608</v>
      </c>
      <c r="D1515" s="17">
        <v>46103.0</v>
      </c>
      <c r="E1515" s="18">
        <v>17.83</v>
      </c>
      <c r="F1515" s="27">
        <v>1.0562</v>
      </c>
      <c r="G1515" s="20">
        <v>1.8065875E7</v>
      </c>
      <c r="H1515" s="16" t="s">
        <v>308</v>
      </c>
      <c r="I1515" s="19">
        <v>-5.7113</v>
      </c>
      <c r="J1515" s="20">
        <v>3.582742199E9</v>
      </c>
      <c r="K1515" s="21"/>
      <c r="L1515" s="21">
        <v>-0.7255</v>
      </c>
      <c r="M1515" s="16" t="s">
        <v>5609</v>
      </c>
      <c r="N1515" s="16" t="s">
        <v>5520</v>
      </c>
      <c r="O1515" s="21"/>
      <c r="P1515" s="21">
        <v>-36.3941</v>
      </c>
      <c r="Q1515" s="21">
        <v>-7.7134</v>
      </c>
      <c r="R1515" s="21"/>
      <c r="S1515" s="21">
        <v>4.9571</v>
      </c>
      <c r="T1515" s="22">
        <f>IFERROR(__xludf.DUMMYFUNCTION("IFERROR(GOOGLEFINANCE(B1515,""price""),"""")"),23.57)</f>
        <v>23.57</v>
      </c>
    </row>
    <row r="1516">
      <c r="A1516" s="7">
        <v>46102.755853109746</v>
      </c>
      <c r="B1516" s="8" t="s">
        <v>5594</v>
      </c>
      <c r="C1516" s="8" t="s">
        <v>5595</v>
      </c>
      <c r="D1516" s="9">
        <v>46103.0</v>
      </c>
      <c r="E1516" s="10">
        <v>15.1</v>
      </c>
      <c r="F1516" s="26">
        <v>1.0469</v>
      </c>
      <c r="G1516" s="12">
        <v>3.0799079E7</v>
      </c>
      <c r="H1516" s="8" t="s">
        <v>88</v>
      </c>
      <c r="I1516" s="11">
        <v>-4.0661</v>
      </c>
      <c r="J1516" s="12">
        <v>6.403428702E9</v>
      </c>
      <c r="K1516" s="13"/>
      <c r="L1516" s="13">
        <v>-1.661</v>
      </c>
      <c r="M1516" s="8" t="s">
        <v>5596</v>
      </c>
      <c r="N1516" s="8" t="s">
        <v>5471</v>
      </c>
      <c r="O1516" s="13">
        <v>-343.6909</v>
      </c>
      <c r="P1516" s="13">
        <v>-100.2101</v>
      </c>
      <c r="Q1516" s="13">
        <v>20.2812</v>
      </c>
      <c r="R1516" s="13">
        <v>36.9947</v>
      </c>
      <c r="S1516" s="13">
        <v>2.0038</v>
      </c>
      <c r="T1516" s="14">
        <f>IFERROR(__xludf.DUMMYFUNCTION("IFERROR(GOOGLEFINANCE(B1516,""price""),"""")"),18.88)</f>
        <v>18.88</v>
      </c>
    </row>
    <row r="1517">
      <c r="A1517" s="15">
        <v>46102.755853109746</v>
      </c>
      <c r="B1517" s="16" t="s">
        <v>5591</v>
      </c>
      <c r="C1517" s="16" t="s">
        <v>5592</v>
      </c>
      <c r="D1517" s="17">
        <v>46103.0</v>
      </c>
      <c r="E1517" s="18">
        <v>8.75</v>
      </c>
      <c r="F1517" s="27">
        <v>1.0137</v>
      </c>
      <c r="G1517" s="20">
        <v>2.042957E7</v>
      </c>
      <c r="H1517" s="16" t="s">
        <v>308</v>
      </c>
      <c r="I1517" s="19">
        <v>-4.5802</v>
      </c>
      <c r="J1517" s="20">
        <v>2.019436741E9</v>
      </c>
      <c r="K1517" s="21"/>
      <c r="L1517" s="21">
        <v>-0.5698</v>
      </c>
      <c r="M1517" s="16" t="s">
        <v>5593</v>
      </c>
      <c r="N1517" s="16" t="s">
        <v>5414</v>
      </c>
      <c r="O1517" s="21">
        <v>-29.5457</v>
      </c>
      <c r="P1517" s="21">
        <v>-195.3894</v>
      </c>
      <c r="Q1517" s="21">
        <v>-44.8801</v>
      </c>
      <c r="R1517" s="21">
        <v>0.0146</v>
      </c>
      <c r="S1517" s="21">
        <v>4.9867</v>
      </c>
      <c r="T1517" s="22">
        <f>IFERROR(__xludf.DUMMYFUNCTION("IFERROR(GOOGLEFINANCE(B1517,""price""),"""")"),9.54)</f>
        <v>9.54</v>
      </c>
    </row>
    <row r="1518">
      <c r="A1518" s="7">
        <v>46102.755853109746</v>
      </c>
      <c r="B1518" s="8" t="s">
        <v>5858</v>
      </c>
      <c r="C1518" s="8" t="s">
        <v>5859</v>
      </c>
      <c r="D1518" s="9">
        <v>46103.0</v>
      </c>
      <c r="E1518" s="10">
        <v>25.2</v>
      </c>
      <c r="F1518" s="26">
        <v>1.0121</v>
      </c>
      <c r="G1518" s="12">
        <v>1.9999953E7</v>
      </c>
      <c r="H1518" s="8" t="s">
        <v>88</v>
      </c>
      <c r="I1518" s="11">
        <v>-4.7259</v>
      </c>
      <c r="J1518" s="12">
        <v>3.825360193E9</v>
      </c>
      <c r="K1518" s="13"/>
      <c r="L1518" s="13">
        <v>-0.8329</v>
      </c>
      <c r="M1518" s="8" t="s">
        <v>5860</v>
      </c>
      <c r="N1518" s="8" t="s">
        <v>5664</v>
      </c>
      <c r="O1518" s="13">
        <v>-12.8431</v>
      </c>
      <c r="P1518" s="13">
        <v>-19.0035</v>
      </c>
      <c r="Q1518" s="13">
        <v>14.7776</v>
      </c>
      <c r="R1518" s="13">
        <v>0.4628</v>
      </c>
      <c r="S1518" s="13">
        <v>2.6119</v>
      </c>
      <c r="T1518" s="14">
        <f>IFERROR(__xludf.DUMMYFUNCTION("IFERROR(GOOGLEFINANCE(B1518,""price""),"""")"),23.07)</f>
        <v>23.07</v>
      </c>
    </row>
    <row r="1519">
      <c r="A1519" s="15">
        <v>46102.755853109746</v>
      </c>
      <c r="B1519" s="16" t="s">
        <v>5481</v>
      </c>
      <c r="C1519" s="16" t="s">
        <v>5482</v>
      </c>
      <c r="D1519" s="17">
        <v>46103.0</v>
      </c>
      <c r="E1519" s="18">
        <v>9.4</v>
      </c>
      <c r="F1519" s="27">
        <v>0.999</v>
      </c>
      <c r="G1519" s="20">
        <v>2.5595094E7</v>
      </c>
      <c r="H1519" s="16" t="s">
        <v>88</v>
      </c>
      <c r="I1519" s="19">
        <v>-4.3744</v>
      </c>
      <c r="J1519" s="20">
        <v>2.404077155E9</v>
      </c>
      <c r="K1519" s="21"/>
      <c r="L1519" s="21">
        <v>-1.071</v>
      </c>
      <c r="M1519" s="16" t="s">
        <v>5483</v>
      </c>
      <c r="N1519" s="16" t="s">
        <v>5471</v>
      </c>
      <c r="O1519" s="21">
        <v>-15.3378</v>
      </c>
      <c r="P1519" s="21">
        <v>-20.8099</v>
      </c>
      <c r="Q1519" s="21">
        <v>67.959</v>
      </c>
      <c r="R1519" s="21">
        <v>1.2945</v>
      </c>
      <c r="S1519" s="21">
        <v>10.5425</v>
      </c>
      <c r="T1519" s="22">
        <f>IFERROR(__xludf.DUMMYFUNCTION("IFERROR(GOOGLEFINANCE(B1519,""price""),"""")"),10.02)</f>
        <v>10.02</v>
      </c>
    </row>
    <row r="1520">
      <c r="A1520" s="7">
        <v>46102.755853109746</v>
      </c>
      <c r="B1520" s="8" t="s">
        <v>5646</v>
      </c>
      <c r="C1520" s="8" t="s">
        <v>5647</v>
      </c>
      <c r="D1520" s="9">
        <v>46103.0</v>
      </c>
      <c r="E1520" s="10">
        <v>706.35</v>
      </c>
      <c r="F1520" s="26">
        <v>0.9928</v>
      </c>
      <c r="G1520" s="12">
        <v>2.2868722E7</v>
      </c>
      <c r="H1520" s="8" t="s">
        <v>102</v>
      </c>
      <c r="I1520" s="11">
        <v>-8.5193</v>
      </c>
      <c r="J1520" s="12">
        <v>5.0433389335E10</v>
      </c>
      <c r="K1520" s="13">
        <v>215.9828</v>
      </c>
      <c r="L1520" s="13">
        <v>3.2704</v>
      </c>
      <c r="M1520" s="8" t="s">
        <v>5648</v>
      </c>
      <c r="N1520" s="8" t="s">
        <v>5536</v>
      </c>
      <c r="O1520" s="13">
        <v>29.2745</v>
      </c>
      <c r="P1520" s="13">
        <v>0.589</v>
      </c>
      <c r="Q1520" s="13">
        <v>48.8931</v>
      </c>
      <c r="R1520" s="13">
        <v>3.9248</v>
      </c>
      <c r="S1520" s="13">
        <v>0.606</v>
      </c>
      <c r="T1520" s="14">
        <f>IFERROR(__xludf.DUMMYFUNCTION("IFERROR(GOOGLEFINANCE(B1520,""price""),"""")"),897.3)</f>
        <v>897.3</v>
      </c>
    </row>
    <row r="1521">
      <c r="A1521" s="15">
        <v>46102.755853109746</v>
      </c>
      <c r="B1521" s="16" t="s">
        <v>5561</v>
      </c>
      <c r="C1521" s="16" t="s">
        <v>5562</v>
      </c>
      <c r="D1521" s="17">
        <v>46103.0</v>
      </c>
      <c r="E1521" s="18">
        <v>11.44</v>
      </c>
      <c r="F1521" s="27">
        <v>0.9925</v>
      </c>
      <c r="G1521" s="20">
        <v>3.1825043E7</v>
      </c>
      <c r="H1521" s="16" t="s">
        <v>102</v>
      </c>
      <c r="I1521" s="19">
        <v>-4.5872</v>
      </c>
      <c r="J1521" s="20">
        <v>3.866906724E9</v>
      </c>
      <c r="K1521" s="21"/>
      <c r="L1521" s="21">
        <v>-2.2522</v>
      </c>
      <c r="M1521" s="16" t="s">
        <v>5563</v>
      </c>
      <c r="N1521" s="16" t="s">
        <v>5536</v>
      </c>
      <c r="O1521" s="21">
        <v>-39.8083</v>
      </c>
      <c r="P1521" s="21">
        <v>-2190.5747</v>
      </c>
      <c r="Q1521" s="21">
        <v>-15.025</v>
      </c>
      <c r="R1521" s="21">
        <v>0.0</v>
      </c>
      <c r="S1521" s="21">
        <v>4.2984</v>
      </c>
      <c r="T1521" s="22">
        <f>IFERROR(__xludf.DUMMYFUNCTION("IFERROR(GOOGLEFINANCE(B1521,""price""),"""")"),9.21)</f>
        <v>9.21</v>
      </c>
    </row>
    <row r="1522">
      <c r="A1522" s="7">
        <v>46102.755853109746</v>
      </c>
      <c r="B1522" s="8" t="s">
        <v>5484</v>
      </c>
      <c r="C1522" s="8" t="s">
        <v>5485</v>
      </c>
      <c r="D1522" s="9">
        <v>46103.0</v>
      </c>
      <c r="E1522" s="10">
        <v>41.29</v>
      </c>
      <c r="F1522" s="26">
        <v>0.9893</v>
      </c>
      <c r="G1522" s="12">
        <v>3.4840327E7</v>
      </c>
      <c r="H1522" s="8" t="s">
        <v>88</v>
      </c>
      <c r="I1522" s="11">
        <v>-0.8881</v>
      </c>
      <c r="J1522" s="12">
        <v>1.3698337168E10</v>
      </c>
      <c r="K1522" s="13">
        <v>47.3075</v>
      </c>
      <c r="L1522" s="13">
        <v>0.8728</v>
      </c>
      <c r="M1522" s="8" t="s">
        <v>5486</v>
      </c>
      <c r="N1522" s="8" t="s">
        <v>5471</v>
      </c>
      <c r="O1522" s="13">
        <v>22.5116</v>
      </c>
      <c r="P1522" s="13">
        <v>-13.85</v>
      </c>
      <c r="Q1522" s="13">
        <v>123.3192</v>
      </c>
      <c r="R1522" s="13">
        <v>1.5302</v>
      </c>
      <c r="S1522" s="13">
        <v>4.9601</v>
      </c>
      <c r="T1522" s="14">
        <f>IFERROR(__xludf.DUMMYFUNCTION("IFERROR(GOOGLEFINANCE(B1522,""price""),"""")"),39.32)</f>
        <v>39.32</v>
      </c>
    </row>
    <row r="1523">
      <c r="A1523" s="15">
        <v>46102.755853109746</v>
      </c>
      <c r="B1523" s="16" t="s">
        <v>5496</v>
      </c>
      <c r="C1523" s="16" t="s">
        <v>5497</v>
      </c>
      <c r="D1523" s="17">
        <v>46103.0</v>
      </c>
      <c r="E1523" s="18">
        <v>8.46</v>
      </c>
      <c r="F1523" s="27">
        <v>0.9551</v>
      </c>
      <c r="G1523" s="20">
        <v>5.0900688E7</v>
      </c>
      <c r="H1523" s="16" t="s">
        <v>88</v>
      </c>
      <c r="I1523" s="19">
        <v>-8.243</v>
      </c>
      <c r="J1523" s="20">
        <v>3.216784892E9</v>
      </c>
      <c r="K1523" s="21"/>
      <c r="L1523" s="21">
        <v>-3.9593</v>
      </c>
      <c r="M1523" s="16" t="s">
        <v>5498</v>
      </c>
      <c r="N1523" s="16" t="s">
        <v>5471</v>
      </c>
      <c r="O1523" s="21">
        <v>-34.5092</v>
      </c>
      <c r="P1523" s="21">
        <v>-90.4167</v>
      </c>
      <c r="Q1523" s="21">
        <v>38.1967</v>
      </c>
      <c r="R1523" s="21">
        <v>1.05</v>
      </c>
      <c r="S1523" s="21">
        <v>1.2728</v>
      </c>
      <c r="T1523" s="22">
        <f>IFERROR(__xludf.DUMMYFUNCTION("IFERROR(GOOGLEFINANCE(B1523,""price""),"""")"),9.54)</f>
        <v>9.54</v>
      </c>
    </row>
    <row r="1524">
      <c r="A1524" s="7">
        <v>46102.755853109746</v>
      </c>
      <c r="B1524" s="8" t="s">
        <v>5570</v>
      </c>
      <c r="C1524" s="8" t="s">
        <v>5571</v>
      </c>
      <c r="D1524" s="9">
        <v>46103.0</v>
      </c>
      <c r="E1524" s="10">
        <v>1.55</v>
      </c>
      <c r="F1524" s="26">
        <v>0.9531</v>
      </c>
      <c r="G1524" s="12">
        <v>2.6873157E7</v>
      </c>
      <c r="H1524" s="8" t="s">
        <v>186</v>
      </c>
      <c r="I1524" s="11">
        <v>-3.7267</v>
      </c>
      <c r="J1524" s="12">
        <v>5.01695979E8</v>
      </c>
      <c r="K1524" s="13">
        <v>3.9948</v>
      </c>
      <c r="L1524" s="13">
        <v>0.388</v>
      </c>
      <c r="M1524" s="8" t="s">
        <v>5572</v>
      </c>
      <c r="N1524" s="8" t="s">
        <v>5573</v>
      </c>
      <c r="O1524" s="13">
        <v>22.4406</v>
      </c>
      <c r="P1524" s="13">
        <v>-53.6599</v>
      </c>
      <c r="Q1524" s="13">
        <v>9.523</v>
      </c>
      <c r="R1524" s="13">
        <v>0.0463</v>
      </c>
      <c r="S1524" s="13">
        <v>17.5059</v>
      </c>
      <c r="T1524" s="14">
        <f>IFERROR(__xludf.DUMMYFUNCTION("IFERROR(GOOGLEFINANCE(B1524,""price""),"""")"),1.37)</f>
        <v>1.37</v>
      </c>
    </row>
    <row r="1525">
      <c r="A1525" s="15">
        <v>46102.755853109746</v>
      </c>
      <c r="B1525" s="16" t="s">
        <v>5517</v>
      </c>
      <c r="C1525" s="16" t="s">
        <v>5518</v>
      </c>
      <c r="D1525" s="17">
        <v>46103.0</v>
      </c>
      <c r="E1525" s="18">
        <v>9.2</v>
      </c>
      <c r="F1525" s="27">
        <v>0.9492</v>
      </c>
      <c r="G1525" s="20">
        <v>2.199079E7</v>
      </c>
      <c r="H1525" s="16" t="s">
        <v>308</v>
      </c>
      <c r="I1525" s="19">
        <v>-4.4652</v>
      </c>
      <c r="J1525" s="20">
        <v>1.766177319E9</v>
      </c>
      <c r="K1525" s="21"/>
      <c r="L1525" s="21">
        <v>-2.3761</v>
      </c>
      <c r="M1525" s="16" t="s">
        <v>5519</v>
      </c>
      <c r="N1525" s="16" t="s">
        <v>5520</v>
      </c>
      <c r="O1525" s="21">
        <v>-52.0031</v>
      </c>
      <c r="P1525" s="21">
        <v>-49.6608</v>
      </c>
      <c r="Q1525" s="21">
        <v>10.2861</v>
      </c>
      <c r="R1525" s="21">
        <v>0.1895</v>
      </c>
      <c r="S1525" s="21">
        <v>1.6246</v>
      </c>
      <c r="T1525" s="22">
        <f>IFERROR(__xludf.DUMMYFUNCTION("IFERROR(GOOGLEFINANCE(B1525,""price""),"""")"),9.29)</f>
        <v>9.29</v>
      </c>
    </row>
    <row r="1526">
      <c r="A1526" s="7">
        <v>46102.755853109746</v>
      </c>
      <c r="B1526" s="8" t="s">
        <v>2735</v>
      </c>
      <c r="C1526" s="8" t="s">
        <v>2736</v>
      </c>
      <c r="D1526" s="9">
        <v>46103.0</v>
      </c>
      <c r="E1526" s="10">
        <v>17.2</v>
      </c>
      <c r="F1526" s="26">
        <v>0.9191</v>
      </c>
      <c r="G1526" s="12">
        <v>3.828675E7</v>
      </c>
      <c r="H1526" s="8" t="s">
        <v>335</v>
      </c>
      <c r="I1526" s="11">
        <v>-2.3282</v>
      </c>
      <c r="J1526" s="12">
        <v>1.1530016278E10</v>
      </c>
      <c r="K1526" s="13">
        <v>35.5225</v>
      </c>
      <c r="L1526" s="13">
        <v>0.4842</v>
      </c>
      <c r="M1526" s="8" t="s">
        <v>2738</v>
      </c>
      <c r="N1526" s="8" t="s">
        <v>5445</v>
      </c>
      <c r="O1526" s="13">
        <v>13.8934</v>
      </c>
      <c r="P1526" s="13">
        <v>37.2072</v>
      </c>
      <c r="Q1526" s="13">
        <v>53.0251</v>
      </c>
      <c r="R1526" s="13">
        <v>0.1111</v>
      </c>
      <c r="S1526" s="13">
        <v>2.7178</v>
      </c>
      <c r="T1526" s="14">
        <f>IFERROR(__xludf.DUMMYFUNCTION("IFERROR(GOOGLEFINANCE(B1526,""price""),"""")"),19.46)</f>
        <v>19.46</v>
      </c>
    </row>
    <row r="1527">
      <c r="A1527" s="15">
        <v>46102.755853109746</v>
      </c>
      <c r="B1527" s="16" t="s">
        <v>2714</v>
      </c>
      <c r="C1527" s="16" t="s">
        <v>2715</v>
      </c>
      <c r="D1527" s="17">
        <v>46103.0</v>
      </c>
      <c r="E1527" s="18">
        <v>12.09</v>
      </c>
      <c r="F1527" s="27">
        <v>0.9124</v>
      </c>
      <c r="G1527" s="20">
        <v>2.9179352E7</v>
      </c>
      <c r="H1527" s="16" t="s">
        <v>335</v>
      </c>
      <c r="I1527" s="19">
        <v>-8.9608</v>
      </c>
      <c r="J1527" s="20">
        <v>5.926769482E9</v>
      </c>
      <c r="K1527" s="21"/>
      <c r="L1527" s="21">
        <v>-0.1824</v>
      </c>
      <c r="M1527" s="16" t="s">
        <v>2717</v>
      </c>
      <c r="N1527" s="16" t="s">
        <v>5506</v>
      </c>
      <c r="O1527" s="21">
        <v>-7.121</v>
      </c>
      <c r="P1527" s="21">
        <v>-542.5005</v>
      </c>
      <c r="Q1527" s="21">
        <v>-69.7772</v>
      </c>
      <c r="R1527" s="21">
        <v>0.0</v>
      </c>
      <c r="S1527" s="21">
        <v>28.725</v>
      </c>
      <c r="T1527" s="22">
        <f>IFERROR(__xludf.DUMMYFUNCTION("IFERROR(GOOGLEFINANCE(B1527,""price""),"""")"),13.53)</f>
        <v>13.53</v>
      </c>
    </row>
    <row r="1528">
      <c r="A1528" s="7">
        <v>46102.755853109746</v>
      </c>
      <c r="B1528" s="8" t="s">
        <v>6001</v>
      </c>
      <c r="C1528" s="8" t="s">
        <v>6002</v>
      </c>
      <c r="D1528" s="9">
        <v>46103.0</v>
      </c>
      <c r="E1528" s="10">
        <v>67.23</v>
      </c>
      <c r="F1528" s="26">
        <v>0.9102</v>
      </c>
      <c r="G1528" s="12">
        <v>3.5246654E7</v>
      </c>
      <c r="H1528" s="8" t="s">
        <v>308</v>
      </c>
      <c r="I1528" s="11">
        <v>-6.5341</v>
      </c>
      <c r="J1528" s="12">
        <v>3.828128258E10</v>
      </c>
      <c r="K1528" s="13"/>
      <c r="L1528" s="13">
        <v>-0.3758</v>
      </c>
      <c r="M1528" s="8" t="s">
        <v>6003</v>
      </c>
      <c r="N1528" s="8" t="s">
        <v>5520</v>
      </c>
      <c r="O1528" s="13">
        <v>-18.8384</v>
      </c>
      <c r="P1528" s="13">
        <v>-38.0257</v>
      </c>
      <c r="Q1528" s="13">
        <v>37.9596</v>
      </c>
      <c r="R1528" s="13">
        <v>0.154</v>
      </c>
      <c r="S1528" s="13">
        <v>4.0826</v>
      </c>
      <c r="T1528" s="14">
        <f>IFERROR(__xludf.DUMMYFUNCTION("IFERROR(GOOGLEFINANCE(B1528,""price""),"""")"),68.05)</f>
        <v>68.05</v>
      </c>
    </row>
    <row r="1529">
      <c r="A1529" s="15">
        <v>46102.755853109746</v>
      </c>
      <c r="B1529" s="16" t="s">
        <v>5744</v>
      </c>
      <c r="C1529" s="16" t="s">
        <v>5745</v>
      </c>
      <c r="D1529" s="17">
        <v>46103.0</v>
      </c>
      <c r="E1529" s="18">
        <v>22.02</v>
      </c>
      <c r="F1529" s="27">
        <v>0.9076</v>
      </c>
      <c r="G1529" s="20">
        <v>3.3380358E7</v>
      </c>
      <c r="H1529" s="16" t="s">
        <v>190</v>
      </c>
      <c r="I1529" s="19">
        <v>-8.8576</v>
      </c>
      <c r="J1529" s="20">
        <v>5.019211709E9</v>
      </c>
      <c r="K1529" s="21">
        <v>42.1758</v>
      </c>
      <c r="L1529" s="21">
        <v>0.5221</v>
      </c>
      <c r="M1529" s="16" t="s">
        <v>5746</v>
      </c>
      <c r="N1529" s="16" t="s">
        <v>5747</v>
      </c>
      <c r="O1529" s="21">
        <v>25.2279</v>
      </c>
      <c r="P1529" s="21">
        <v>5.1834</v>
      </c>
      <c r="Q1529" s="21">
        <v>58.9986</v>
      </c>
      <c r="R1529" s="21">
        <v>2.0716</v>
      </c>
      <c r="S1529" s="21">
        <v>1.8981</v>
      </c>
      <c r="T1529" s="22">
        <f>IFERROR(__xludf.DUMMYFUNCTION("IFERROR(GOOGLEFINANCE(B1529,""price""),"""")"),19.43)</f>
        <v>19.43</v>
      </c>
    </row>
    <row r="1530">
      <c r="A1530" s="7">
        <v>46102.755853109746</v>
      </c>
      <c r="B1530" s="8" t="s">
        <v>5510</v>
      </c>
      <c r="C1530" s="8" t="s">
        <v>5511</v>
      </c>
      <c r="D1530" s="9">
        <v>46103.0</v>
      </c>
      <c r="E1530" s="10">
        <v>709.71</v>
      </c>
      <c r="F1530" s="26">
        <v>0.8987</v>
      </c>
      <c r="G1530" s="12">
        <v>2.3508528E7</v>
      </c>
      <c r="H1530" s="8" t="s">
        <v>308</v>
      </c>
      <c r="I1530" s="11">
        <v>-8.0794</v>
      </c>
      <c r="J1530" s="12">
        <v>1.04753885822E11</v>
      </c>
      <c r="K1530" s="13"/>
      <c r="L1530" s="13">
        <v>-7.5894</v>
      </c>
      <c r="M1530" s="8" t="s">
        <v>5512</v>
      </c>
      <c r="N1530" s="8" t="s">
        <v>5513</v>
      </c>
      <c r="O1530" s="13">
        <v>-9.3725</v>
      </c>
      <c r="P1530" s="13">
        <v>14.2905</v>
      </c>
      <c r="Q1530" s="13">
        <v>23.6019</v>
      </c>
      <c r="R1530" s="13">
        <v>0.0796</v>
      </c>
      <c r="S1530" s="13">
        <v>3.1137</v>
      </c>
      <c r="T1530" s="14">
        <f>IFERROR(__xludf.DUMMYFUNCTION("IFERROR(GOOGLEFINANCE(B1530,""price""),"""")"),851.77)</f>
        <v>851.77</v>
      </c>
    </row>
    <row r="1531">
      <c r="A1531" s="15">
        <v>46102.755853109746</v>
      </c>
      <c r="B1531" s="16" t="s">
        <v>5761</v>
      </c>
      <c r="C1531" s="16" t="s">
        <v>5762</v>
      </c>
      <c r="D1531" s="17">
        <v>46103.0</v>
      </c>
      <c r="E1531" s="18">
        <v>20.94</v>
      </c>
      <c r="F1531" s="27">
        <v>0.8975</v>
      </c>
      <c r="G1531" s="20">
        <v>6.5700014E7</v>
      </c>
      <c r="H1531" s="16" t="s">
        <v>93</v>
      </c>
      <c r="I1531" s="19">
        <v>-0.9461</v>
      </c>
      <c r="J1531" s="20">
        <v>9.524819459E9</v>
      </c>
      <c r="K1531" s="21"/>
      <c r="L1531" s="21">
        <v>-0.8722</v>
      </c>
      <c r="M1531" s="16" t="s">
        <v>5763</v>
      </c>
      <c r="N1531" s="16" t="s">
        <v>5600</v>
      </c>
      <c r="O1531" s="21">
        <v>-86.5722</v>
      </c>
      <c r="P1531" s="21">
        <v>-3289.1082</v>
      </c>
      <c r="Q1531" s="21">
        <v>79.685</v>
      </c>
      <c r="R1531" s="21">
        <v>0.0</v>
      </c>
      <c r="S1531" s="21">
        <v>6.4832</v>
      </c>
      <c r="T1531" s="22">
        <f>IFERROR(__xludf.DUMMYFUNCTION("IFERROR(GOOGLEFINANCE(B1531,""price""),"""")"),21.28)</f>
        <v>21.28</v>
      </c>
    </row>
    <row r="1532">
      <c r="A1532" s="7">
        <v>46104.6689324474</v>
      </c>
      <c r="B1532" s="8" t="s">
        <v>6025</v>
      </c>
      <c r="C1532" s="8" t="s">
        <v>6026</v>
      </c>
      <c r="D1532" s="9">
        <v>46110.0</v>
      </c>
      <c r="E1532" s="10">
        <v>2.44</v>
      </c>
      <c r="F1532" s="26">
        <v>1.7734</v>
      </c>
      <c r="G1532" s="12">
        <v>1.1680965E7</v>
      </c>
      <c r="H1532" s="8" t="s">
        <v>117</v>
      </c>
      <c r="I1532" s="11">
        <v>17.8744</v>
      </c>
      <c r="J1532" s="12">
        <v>5.94818115E8</v>
      </c>
      <c r="K1532" s="13"/>
      <c r="L1532" s="13">
        <v>-0.8682</v>
      </c>
      <c r="M1532" s="8" t="s">
        <v>6027</v>
      </c>
      <c r="N1532" s="8" t="s">
        <v>5502</v>
      </c>
      <c r="O1532" s="13">
        <v>-53.4155</v>
      </c>
      <c r="P1532" s="13"/>
      <c r="Q1532" s="13">
        <v>-100.0</v>
      </c>
      <c r="R1532" s="13">
        <v>0.2846</v>
      </c>
      <c r="S1532" s="13">
        <v>7.9273</v>
      </c>
      <c r="T1532" s="14">
        <f>IFERROR(__xludf.DUMMYFUNCTION("IFERROR(GOOGLEFINANCE(B1532,""price""),"""")"),2.72)</f>
        <v>2.72</v>
      </c>
    </row>
    <row r="1533">
      <c r="A1533" s="15">
        <v>46104.6689324474</v>
      </c>
      <c r="B1533" s="16" t="s">
        <v>5570</v>
      </c>
      <c r="C1533" s="16" t="s">
        <v>5571</v>
      </c>
      <c r="D1533" s="17">
        <v>46110.0</v>
      </c>
      <c r="E1533" s="18">
        <v>1.57</v>
      </c>
      <c r="F1533" s="27">
        <v>1.7656</v>
      </c>
      <c r="G1533" s="20">
        <v>1.3144053E7</v>
      </c>
      <c r="H1533" s="16" t="s">
        <v>186</v>
      </c>
      <c r="I1533" s="19">
        <v>1.2903</v>
      </c>
      <c r="J1533" s="20">
        <v>5.08169476E8</v>
      </c>
      <c r="K1533" s="21">
        <v>4.0464</v>
      </c>
      <c r="L1533" s="21">
        <v>0.388</v>
      </c>
      <c r="M1533" s="16" t="s">
        <v>5572</v>
      </c>
      <c r="N1533" s="16" t="s">
        <v>5573</v>
      </c>
      <c r="O1533" s="21">
        <v>22.4406</v>
      </c>
      <c r="P1533" s="21">
        <v>-53.6599</v>
      </c>
      <c r="Q1533" s="21">
        <v>9.523</v>
      </c>
      <c r="R1533" s="21">
        <v>0.0463</v>
      </c>
      <c r="S1533" s="21">
        <v>17.5059</v>
      </c>
      <c r="T1533" s="22">
        <f>IFERROR(__xludf.DUMMYFUNCTION("IFERROR(GOOGLEFINANCE(B1533,""price""),"""")"),1.37)</f>
        <v>1.37</v>
      </c>
    </row>
    <row r="1534">
      <c r="A1534" s="7">
        <v>46104.6689324474</v>
      </c>
      <c r="B1534" s="8" t="s">
        <v>5640</v>
      </c>
      <c r="C1534" s="8" t="s">
        <v>5641</v>
      </c>
      <c r="D1534" s="9">
        <v>46110.0</v>
      </c>
      <c r="E1534" s="10">
        <v>64.44</v>
      </c>
      <c r="F1534" s="26">
        <v>1.4342</v>
      </c>
      <c r="G1534" s="12">
        <v>1.3755064E7</v>
      </c>
      <c r="H1534" s="8" t="s">
        <v>308</v>
      </c>
      <c r="I1534" s="11">
        <v>18.8053</v>
      </c>
      <c r="J1534" s="12">
        <v>3.581162698E9</v>
      </c>
      <c r="K1534" s="13"/>
      <c r="L1534" s="13">
        <v>-0.4892</v>
      </c>
      <c r="M1534" s="8" t="s">
        <v>5642</v>
      </c>
      <c r="N1534" s="8" t="s">
        <v>5433</v>
      </c>
      <c r="O1534" s="13">
        <v>-9.1233</v>
      </c>
      <c r="P1534" s="13">
        <v>-24.8806</v>
      </c>
      <c r="Q1534" s="13">
        <v>-11.106</v>
      </c>
      <c r="R1534" s="13">
        <v>0.2562</v>
      </c>
      <c r="S1534" s="13">
        <v>2.7231</v>
      </c>
      <c r="T1534" s="14">
        <f>IFERROR(__xludf.DUMMYFUNCTION("IFERROR(GOOGLEFINANCE(B1534,""price""),"""")"),64.18)</f>
        <v>64.18</v>
      </c>
    </row>
    <row r="1535">
      <c r="A1535" s="15">
        <v>46104.6689324474</v>
      </c>
      <c r="B1535" s="16" t="s">
        <v>5836</v>
      </c>
      <c r="C1535" s="16" t="s">
        <v>5837</v>
      </c>
      <c r="D1535" s="17">
        <v>46110.0</v>
      </c>
      <c r="E1535" s="18">
        <v>7.23</v>
      </c>
      <c r="F1535" s="27">
        <v>1.4121</v>
      </c>
      <c r="G1535" s="20">
        <v>1.0368202E7</v>
      </c>
      <c r="H1535" s="16" t="s">
        <v>93</v>
      </c>
      <c r="I1535" s="19">
        <v>0.4167</v>
      </c>
      <c r="J1535" s="20">
        <v>4.439403456E9</v>
      </c>
      <c r="K1535" s="21"/>
      <c r="L1535" s="21"/>
      <c r="M1535" s="16" t="s">
        <v>5838</v>
      </c>
      <c r="N1535" s="16" t="s">
        <v>5839</v>
      </c>
      <c r="O1535" s="21"/>
      <c r="P1535" s="21"/>
      <c r="Q1535" s="21"/>
      <c r="R1535" s="21">
        <v>0.4147</v>
      </c>
      <c r="S1535" s="21">
        <v>2.8104</v>
      </c>
      <c r="T1535" s="22">
        <f>IFERROR(__xludf.DUMMYFUNCTION("IFERROR(GOOGLEFINANCE(B1535,""price""),"""")"),4.87)</f>
        <v>4.87</v>
      </c>
    </row>
    <row r="1536">
      <c r="A1536" s="7">
        <v>46104.6689324474</v>
      </c>
      <c r="B1536" s="8" t="s">
        <v>5620</v>
      </c>
      <c r="C1536" s="8" t="s">
        <v>5621</v>
      </c>
      <c r="D1536" s="9">
        <v>46110.0</v>
      </c>
      <c r="E1536" s="10">
        <v>4.96</v>
      </c>
      <c r="F1536" s="26">
        <v>1.3496</v>
      </c>
      <c r="G1536" s="12">
        <v>2.315726E7</v>
      </c>
      <c r="H1536" s="8" t="s">
        <v>308</v>
      </c>
      <c r="I1536" s="11">
        <v>38.1616</v>
      </c>
      <c r="J1536" s="12">
        <v>7.08618965E8</v>
      </c>
      <c r="K1536" s="13"/>
      <c r="L1536" s="13">
        <v>-0.3456</v>
      </c>
      <c r="M1536" s="8" t="s">
        <v>5622</v>
      </c>
      <c r="N1536" s="8" t="s">
        <v>5520</v>
      </c>
      <c r="O1536" s="13">
        <v>-127.6488</v>
      </c>
      <c r="P1536" s="13">
        <v>-175.1793</v>
      </c>
      <c r="Q1536" s="13"/>
      <c r="R1536" s="13">
        <v>1.0472</v>
      </c>
      <c r="S1536" s="13">
        <v>5.1177</v>
      </c>
      <c r="T1536" s="14">
        <f>IFERROR(__xludf.DUMMYFUNCTION("IFERROR(GOOGLEFINANCE(B1536,""price""),"""")"),7.33)</f>
        <v>7.33</v>
      </c>
    </row>
    <row r="1537">
      <c r="A1537" s="15">
        <v>46104.6689324474</v>
      </c>
      <c r="B1537" s="16" t="s">
        <v>6163</v>
      </c>
      <c r="C1537" s="16" t="s">
        <v>6164</v>
      </c>
      <c r="D1537" s="17">
        <v>46110.0</v>
      </c>
      <c r="E1537" s="18">
        <v>14.08</v>
      </c>
      <c r="F1537" s="27">
        <v>1.3464</v>
      </c>
      <c r="G1537" s="20">
        <v>9962959.0</v>
      </c>
      <c r="H1537" s="16" t="s">
        <v>308</v>
      </c>
      <c r="I1537" s="19">
        <v>-7.2464</v>
      </c>
      <c r="J1537" s="20">
        <v>1.904404472E9</v>
      </c>
      <c r="K1537" s="21"/>
      <c r="L1537" s="21">
        <v>-0.8729</v>
      </c>
      <c r="M1537" s="16" t="s">
        <v>6165</v>
      </c>
      <c r="N1537" s="16" t="s">
        <v>6151</v>
      </c>
      <c r="O1537" s="21"/>
      <c r="P1537" s="21">
        <v>5.7126</v>
      </c>
      <c r="Q1537" s="21">
        <v>-11.4415</v>
      </c>
      <c r="R1537" s="21"/>
      <c r="S1537" s="21">
        <v>1.2172</v>
      </c>
      <c r="T1537" s="22">
        <f>IFERROR(__xludf.DUMMYFUNCTION("IFERROR(GOOGLEFINANCE(B1537,""price""),"""")"),17.44)</f>
        <v>17.44</v>
      </c>
    </row>
    <row r="1538">
      <c r="A1538" s="7">
        <v>46104.6689324474</v>
      </c>
      <c r="B1538" s="8" t="s">
        <v>5604</v>
      </c>
      <c r="C1538" s="8" t="s">
        <v>5605</v>
      </c>
      <c r="D1538" s="9">
        <v>46110.0</v>
      </c>
      <c r="E1538" s="10">
        <v>95.76</v>
      </c>
      <c r="F1538" s="26">
        <v>1.2815</v>
      </c>
      <c r="G1538" s="12">
        <v>1.030359E7</v>
      </c>
      <c r="H1538" s="8" t="s">
        <v>308</v>
      </c>
      <c r="I1538" s="11">
        <v>9.39</v>
      </c>
      <c r="J1538" s="12">
        <v>7.201039273E9</v>
      </c>
      <c r="K1538" s="13"/>
      <c r="L1538" s="13">
        <v>-0.6555</v>
      </c>
      <c r="M1538" s="8" t="s">
        <v>5606</v>
      </c>
      <c r="N1538" s="8" t="s">
        <v>5414</v>
      </c>
      <c r="O1538" s="13">
        <v>-7.9391</v>
      </c>
      <c r="P1538" s="13">
        <v>-11.9814</v>
      </c>
      <c r="Q1538" s="13">
        <v>82.7502</v>
      </c>
      <c r="R1538" s="13">
        <v>0.338</v>
      </c>
      <c r="S1538" s="13">
        <v>2.6264</v>
      </c>
      <c r="T1538" s="14">
        <f>IFERROR(__xludf.DUMMYFUNCTION("IFERROR(GOOGLEFINANCE(B1538,""price""),"""")"),150.6)</f>
        <v>150.6</v>
      </c>
    </row>
    <row r="1539">
      <c r="A1539" s="15">
        <v>46104.6689324474</v>
      </c>
      <c r="B1539" s="16" t="s">
        <v>5527</v>
      </c>
      <c r="C1539" s="16" t="s">
        <v>5528</v>
      </c>
      <c r="D1539" s="17">
        <v>46110.0</v>
      </c>
      <c r="E1539" s="18">
        <v>15.15</v>
      </c>
      <c r="F1539" s="27">
        <v>1.2568</v>
      </c>
      <c r="G1539" s="20">
        <v>1.9318994E7</v>
      </c>
      <c r="H1539" s="16" t="s">
        <v>88</v>
      </c>
      <c r="I1539" s="19">
        <v>14.3396</v>
      </c>
      <c r="J1539" s="20">
        <v>1.835252265E9</v>
      </c>
      <c r="K1539" s="21"/>
      <c r="L1539" s="21">
        <v>-0.7413</v>
      </c>
      <c r="M1539" s="16" t="s">
        <v>5529</v>
      </c>
      <c r="N1539" s="16" t="s">
        <v>5429</v>
      </c>
      <c r="O1539" s="21">
        <v>-48.7073</v>
      </c>
      <c r="P1539" s="21">
        <v>-163.5071</v>
      </c>
      <c r="Q1539" s="21">
        <v>402.7429</v>
      </c>
      <c r="R1539" s="21">
        <v>0.075</v>
      </c>
      <c r="S1539" s="21">
        <v>15.2861</v>
      </c>
      <c r="T1539" s="22">
        <f>IFERROR(__xludf.DUMMYFUNCTION("IFERROR(GOOGLEFINANCE(B1539,""price""),"""")"),12.37)</f>
        <v>12.37</v>
      </c>
    </row>
    <row r="1540">
      <c r="A1540" s="7">
        <v>46104.6689324474</v>
      </c>
      <c r="B1540" s="8" t="s">
        <v>5533</v>
      </c>
      <c r="C1540" s="8" t="s">
        <v>5534</v>
      </c>
      <c r="D1540" s="9">
        <v>46110.0</v>
      </c>
      <c r="E1540" s="10">
        <v>6.84</v>
      </c>
      <c r="F1540" s="26">
        <v>1.2168</v>
      </c>
      <c r="G1540" s="12">
        <v>1.037013E7</v>
      </c>
      <c r="H1540" s="8" t="s">
        <v>102</v>
      </c>
      <c r="I1540" s="11">
        <v>3.6364</v>
      </c>
      <c r="J1540" s="12">
        <v>1.850718028E9</v>
      </c>
      <c r="K1540" s="13"/>
      <c r="L1540" s="13">
        <v>-3.7839</v>
      </c>
      <c r="M1540" s="8" t="s">
        <v>5535</v>
      </c>
      <c r="N1540" s="8" t="s">
        <v>5536</v>
      </c>
      <c r="O1540" s="13">
        <v>-55.984</v>
      </c>
      <c r="P1540" s="13">
        <v>-31.1477</v>
      </c>
      <c r="Q1540" s="13"/>
      <c r="R1540" s="13">
        <v>4.5088</v>
      </c>
      <c r="S1540" s="13">
        <v>1.1293</v>
      </c>
      <c r="T1540" s="14">
        <f>IFERROR(__xludf.DUMMYFUNCTION("IFERROR(GOOGLEFINANCE(B1540,""price""),"""")"),4.69)</f>
        <v>4.69</v>
      </c>
    </row>
    <row r="1541">
      <c r="A1541" s="15">
        <v>46104.6689324474</v>
      </c>
      <c r="B1541" s="16" t="s">
        <v>5434</v>
      </c>
      <c r="C1541" s="16" t="s">
        <v>5435</v>
      </c>
      <c r="D1541" s="17">
        <v>46110.0</v>
      </c>
      <c r="E1541" s="18">
        <v>10.9</v>
      </c>
      <c r="F1541" s="27">
        <v>1.2158</v>
      </c>
      <c r="G1541" s="20">
        <v>9.130816E7</v>
      </c>
      <c r="H1541" s="16" t="s">
        <v>308</v>
      </c>
      <c r="I1541" s="19">
        <v>8.3499</v>
      </c>
      <c r="J1541" s="20">
        <v>5.023640496E9</v>
      </c>
      <c r="K1541" s="21"/>
      <c r="L1541" s="21">
        <v>-0.4034</v>
      </c>
      <c r="M1541" s="16" t="s">
        <v>5436</v>
      </c>
      <c r="N1541" s="16" t="s">
        <v>5437</v>
      </c>
      <c r="O1541" s="21">
        <v>-17.0422</v>
      </c>
      <c r="P1541" s="21">
        <v>-176.0921</v>
      </c>
      <c r="Q1541" s="21">
        <v>208.4002</v>
      </c>
      <c r="R1541" s="21">
        <v>0.037</v>
      </c>
      <c r="S1541" s="21">
        <v>15.2957</v>
      </c>
      <c r="T1541" s="22">
        <f>IFERROR(__xludf.DUMMYFUNCTION("IFERROR(GOOGLEFINANCE(B1541,""price""),"""")"),9.13)</f>
        <v>9.13</v>
      </c>
    </row>
    <row r="1542">
      <c r="A1542" s="7">
        <v>46104.6689324474</v>
      </c>
      <c r="B1542" s="8" t="s">
        <v>5948</v>
      </c>
      <c r="C1542" s="8" t="s">
        <v>5949</v>
      </c>
      <c r="D1542" s="9">
        <v>46110.0</v>
      </c>
      <c r="E1542" s="10">
        <v>5.48</v>
      </c>
      <c r="F1542" s="26">
        <v>1.168</v>
      </c>
      <c r="G1542" s="12">
        <v>9918695.0</v>
      </c>
      <c r="H1542" s="8" t="s">
        <v>117</v>
      </c>
      <c r="I1542" s="11">
        <v>15.1261</v>
      </c>
      <c r="J1542" s="12">
        <v>9.84112589E8</v>
      </c>
      <c r="K1542" s="13"/>
      <c r="L1542" s="13">
        <v>-0.2459</v>
      </c>
      <c r="M1542" s="8" t="s">
        <v>5950</v>
      </c>
      <c r="N1542" s="8" t="s">
        <v>5491</v>
      </c>
      <c r="O1542" s="13">
        <v>-66.8766</v>
      </c>
      <c r="P1542" s="13"/>
      <c r="Q1542" s="13"/>
      <c r="R1542" s="13">
        <v>0.0141</v>
      </c>
      <c r="S1542" s="13">
        <v>10.7184</v>
      </c>
      <c r="T1542" s="14">
        <f>IFERROR(__xludf.DUMMYFUNCTION("IFERROR(GOOGLEFINANCE(B1542,""price""),"""")"),4.76)</f>
        <v>4.76</v>
      </c>
    </row>
    <row r="1543">
      <c r="A1543" s="15">
        <v>46104.6689324474</v>
      </c>
      <c r="B1543" s="16" t="s">
        <v>5607</v>
      </c>
      <c r="C1543" s="16" t="s">
        <v>5608</v>
      </c>
      <c r="D1543" s="17">
        <v>46110.0</v>
      </c>
      <c r="E1543" s="18">
        <v>20.31</v>
      </c>
      <c r="F1543" s="27">
        <v>1.1362</v>
      </c>
      <c r="G1543" s="20">
        <v>1.8948992E7</v>
      </c>
      <c r="H1543" s="16" t="s">
        <v>308</v>
      </c>
      <c r="I1543" s="19">
        <v>13.9091</v>
      </c>
      <c r="J1543" s="20">
        <v>4.427595084E9</v>
      </c>
      <c r="K1543" s="21"/>
      <c r="L1543" s="21">
        <v>-0.7255</v>
      </c>
      <c r="M1543" s="16" t="s">
        <v>5609</v>
      </c>
      <c r="N1543" s="16" t="s">
        <v>5520</v>
      </c>
      <c r="O1543" s="21"/>
      <c r="P1543" s="21">
        <v>-36.3941</v>
      </c>
      <c r="Q1543" s="21">
        <v>-7.7134</v>
      </c>
      <c r="R1543" s="21"/>
      <c r="S1543" s="21">
        <v>4.9571</v>
      </c>
      <c r="T1543" s="22">
        <f>IFERROR(__xludf.DUMMYFUNCTION("IFERROR(GOOGLEFINANCE(B1543,""price""),"""")"),23.57)</f>
        <v>23.57</v>
      </c>
    </row>
    <row r="1544">
      <c r="A1544" s="7">
        <v>46104.6689324474</v>
      </c>
      <c r="B1544" s="8" t="s">
        <v>5514</v>
      </c>
      <c r="C1544" s="8" t="s">
        <v>5515</v>
      </c>
      <c r="D1544" s="9">
        <v>46110.0</v>
      </c>
      <c r="E1544" s="10">
        <v>9.4</v>
      </c>
      <c r="F1544" s="26">
        <v>1.1172</v>
      </c>
      <c r="G1544" s="12">
        <v>2.6508337E7</v>
      </c>
      <c r="H1544" s="8" t="s">
        <v>117</v>
      </c>
      <c r="I1544" s="11">
        <v>10.9799</v>
      </c>
      <c r="J1544" s="12">
        <v>9.664247937E9</v>
      </c>
      <c r="K1544" s="13"/>
      <c r="L1544" s="13">
        <v>-0.3898</v>
      </c>
      <c r="M1544" s="8" t="s">
        <v>5516</v>
      </c>
      <c r="N1544" s="8" t="s">
        <v>5491</v>
      </c>
      <c r="O1544" s="13"/>
      <c r="P1544" s="13">
        <v>-225.9966</v>
      </c>
      <c r="Q1544" s="13">
        <v>668.3147</v>
      </c>
      <c r="R1544" s="13"/>
      <c r="S1544" s="13">
        <v>5.0989</v>
      </c>
      <c r="T1544" s="14">
        <f>IFERROR(__xludf.DUMMYFUNCTION("IFERROR(GOOGLEFINANCE(B1544,""price""),"""")"),7.28)</f>
        <v>7.28</v>
      </c>
    </row>
    <row r="1545">
      <c r="A1545" s="15">
        <v>46104.6689324474</v>
      </c>
      <c r="B1545" s="16" t="s">
        <v>5567</v>
      </c>
      <c r="C1545" s="16" t="s">
        <v>5568</v>
      </c>
      <c r="D1545" s="17">
        <v>46110.0</v>
      </c>
      <c r="E1545" s="18">
        <v>141.33</v>
      </c>
      <c r="F1545" s="27">
        <v>1.0787</v>
      </c>
      <c r="G1545" s="20">
        <v>1.2575278E7</v>
      </c>
      <c r="H1545" s="16" t="s">
        <v>308</v>
      </c>
      <c r="I1545" s="19">
        <v>-5.8553</v>
      </c>
      <c r="J1545" s="20">
        <v>3.9649878328E10</v>
      </c>
      <c r="K1545" s="21"/>
      <c r="L1545" s="21">
        <v>-0.3809</v>
      </c>
      <c r="M1545" s="16" t="s">
        <v>5569</v>
      </c>
      <c r="N1545" s="16" t="s">
        <v>5433</v>
      </c>
      <c r="O1545" s="21">
        <v>-13.2874</v>
      </c>
      <c r="P1545" s="21">
        <v>5.4633</v>
      </c>
      <c r="Q1545" s="21">
        <v>37.3263</v>
      </c>
      <c r="R1545" s="21">
        <v>3.8975</v>
      </c>
      <c r="S1545" s="21">
        <v>5.9285</v>
      </c>
      <c r="T1545" s="22">
        <f>IFERROR(__xludf.DUMMYFUNCTION("IFERROR(GOOGLEFINANCE(B1545,""price""),"""")"),166.7)</f>
        <v>166.7</v>
      </c>
    </row>
    <row r="1546">
      <c r="A1546" s="7">
        <v>46104.6689324474</v>
      </c>
      <c r="B1546" s="8" t="s">
        <v>627</v>
      </c>
      <c r="C1546" s="8" t="s">
        <v>628</v>
      </c>
      <c r="D1546" s="9">
        <v>46110.0</v>
      </c>
      <c r="E1546" s="10">
        <v>2.1</v>
      </c>
      <c r="F1546" s="26">
        <v>1.0742</v>
      </c>
      <c r="G1546" s="12">
        <v>1.3535559E7</v>
      </c>
      <c r="H1546" s="8" t="s">
        <v>117</v>
      </c>
      <c r="I1546" s="11">
        <v>2.9412</v>
      </c>
      <c r="J1546" s="12">
        <v>6.8858427E8</v>
      </c>
      <c r="K1546" s="13"/>
      <c r="L1546" s="13">
        <v>-0.2257</v>
      </c>
      <c r="M1546" s="8" t="s">
        <v>629</v>
      </c>
      <c r="N1546" s="8" t="s">
        <v>5491</v>
      </c>
      <c r="O1546" s="13">
        <v>-776.8922</v>
      </c>
      <c r="P1546" s="13">
        <v>-1425.6968</v>
      </c>
      <c r="Q1546" s="13">
        <v>8.8286</v>
      </c>
      <c r="R1546" s="13"/>
      <c r="S1546" s="13">
        <v>1.0563</v>
      </c>
      <c r="T1546" s="14">
        <f>IFERROR(__xludf.DUMMYFUNCTION("IFERROR(GOOGLEFINANCE(B1546,""price""),"""")"),1.76)</f>
        <v>1.76</v>
      </c>
    </row>
    <row r="1547">
      <c r="A1547" s="15">
        <v>46104.6689324474</v>
      </c>
      <c r="B1547" s="16" t="s">
        <v>5558</v>
      </c>
      <c r="C1547" s="16" t="s">
        <v>5559</v>
      </c>
      <c r="D1547" s="17">
        <v>46110.0</v>
      </c>
      <c r="E1547" s="18">
        <v>5.34</v>
      </c>
      <c r="F1547" s="27">
        <v>1.0703</v>
      </c>
      <c r="G1547" s="20">
        <v>1.4460471E7</v>
      </c>
      <c r="H1547" s="16" t="s">
        <v>102</v>
      </c>
      <c r="I1547" s="19">
        <v>2.8902</v>
      </c>
      <c r="J1547" s="20">
        <v>1.812578995E9</v>
      </c>
      <c r="K1547" s="21"/>
      <c r="L1547" s="21">
        <v>-6.9942</v>
      </c>
      <c r="M1547" s="16" t="s">
        <v>5560</v>
      </c>
      <c r="N1547" s="16" t="s">
        <v>5536</v>
      </c>
      <c r="O1547" s="21"/>
      <c r="P1547" s="21">
        <v>-225.4661</v>
      </c>
      <c r="Q1547" s="21">
        <v>631.7891</v>
      </c>
      <c r="R1547" s="21"/>
      <c r="S1547" s="21">
        <v>4.9358</v>
      </c>
      <c r="T1547" s="22">
        <f>IFERROR(__xludf.DUMMYFUNCTION("IFERROR(GOOGLEFINANCE(B1547,""price""),"""")"),5.62)</f>
        <v>5.62</v>
      </c>
    </row>
    <row r="1548">
      <c r="A1548" s="7">
        <v>46104.6689324474</v>
      </c>
      <c r="B1548" s="8" t="s">
        <v>6099</v>
      </c>
      <c r="C1548" s="8" t="s">
        <v>6100</v>
      </c>
      <c r="D1548" s="9">
        <v>46110.0</v>
      </c>
      <c r="E1548" s="10">
        <v>2.86</v>
      </c>
      <c r="F1548" s="26">
        <v>1.0703</v>
      </c>
      <c r="G1548" s="12">
        <v>1.0093085E7</v>
      </c>
      <c r="H1548" s="8" t="s">
        <v>245</v>
      </c>
      <c r="I1548" s="11">
        <v>-7.7419</v>
      </c>
      <c r="J1548" s="12">
        <v>4.25504238E8</v>
      </c>
      <c r="K1548" s="13"/>
      <c r="L1548" s="13">
        <v>-1.0118</v>
      </c>
      <c r="M1548" s="8" t="s">
        <v>6101</v>
      </c>
      <c r="N1548" s="8" t="s">
        <v>5410</v>
      </c>
      <c r="O1548" s="13"/>
      <c r="P1548" s="13">
        <v>-10.5298</v>
      </c>
      <c r="Q1548" s="13">
        <v>-4.5309</v>
      </c>
      <c r="R1548" s="13"/>
      <c r="S1548" s="13">
        <v>1.0213</v>
      </c>
      <c r="T1548" s="14">
        <f>IFERROR(__xludf.DUMMYFUNCTION("IFERROR(GOOGLEFINANCE(B1548,""price""),"""")"),2.76)</f>
        <v>2.76</v>
      </c>
    </row>
    <row r="1549">
      <c r="A1549" s="15">
        <v>46104.6689324474</v>
      </c>
      <c r="B1549" s="16" t="s">
        <v>5422</v>
      </c>
      <c r="C1549" s="16" t="s">
        <v>5423</v>
      </c>
      <c r="D1549" s="17">
        <v>46110.0</v>
      </c>
      <c r="E1549" s="18">
        <v>17.39</v>
      </c>
      <c r="F1549" s="27">
        <v>1.0418</v>
      </c>
      <c r="G1549" s="20">
        <v>1.3807636E7</v>
      </c>
      <c r="H1549" s="16" t="s">
        <v>102</v>
      </c>
      <c r="I1549" s="19">
        <v>7.0813</v>
      </c>
      <c r="J1549" s="20">
        <v>3.789987733E9</v>
      </c>
      <c r="K1549" s="21"/>
      <c r="L1549" s="21">
        <v>-2.5128</v>
      </c>
      <c r="M1549" s="16" t="s">
        <v>5424</v>
      </c>
      <c r="N1549" s="16" t="s">
        <v>5425</v>
      </c>
      <c r="O1549" s="21">
        <v>-255.9098</v>
      </c>
      <c r="P1549" s="21"/>
      <c r="Q1549" s="21"/>
      <c r="R1549" s="21"/>
      <c r="S1549" s="21">
        <v>16.5111</v>
      </c>
      <c r="T1549" s="22">
        <f>IFERROR(__xludf.DUMMYFUNCTION("IFERROR(GOOGLEFINANCE(B1549,""price""),"""")"),16.15)</f>
        <v>16.15</v>
      </c>
    </row>
    <row r="1550">
      <c r="A1550" s="7">
        <v>46104.6689324474</v>
      </c>
      <c r="B1550" s="8" t="s">
        <v>5544</v>
      </c>
      <c r="C1550" s="8" t="s">
        <v>6105</v>
      </c>
      <c r="D1550" s="9">
        <v>46110.0</v>
      </c>
      <c r="E1550" s="10">
        <v>14.89</v>
      </c>
      <c r="F1550" s="26">
        <v>1.0247</v>
      </c>
      <c r="G1550" s="12">
        <v>2.3903098E7</v>
      </c>
      <c r="H1550" s="8" t="s">
        <v>88</v>
      </c>
      <c r="I1550" s="11">
        <v>6.2812</v>
      </c>
      <c r="J1550" s="12">
        <v>6.032228192E9</v>
      </c>
      <c r="K1550" s="13"/>
      <c r="L1550" s="13">
        <v>-2.0516</v>
      </c>
      <c r="M1550" s="8" t="s">
        <v>5546</v>
      </c>
      <c r="N1550" s="8" t="s">
        <v>5471</v>
      </c>
      <c r="O1550" s="13">
        <v>-110.5547</v>
      </c>
      <c r="P1550" s="13">
        <v>-76.6975</v>
      </c>
      <c r="Q1550" s="13">
        <v>48.0413</v>
      </c>
      <c r="R1550" s="13">
        <v>3.435</v>
      </c>
      <c r="S1550" s="13">
        <v>3.7948</v>
      </c>
      <c r="T1550" s="14">
        <f>IFERROR(__xludf.DUMMYFUNCTION("IFERROR(GOOGLEFINANCE(B1550,""price""),"""")"),16.53)</f>
        <v>16.53</v>
      </c>
    </row>
    <row r="1551">
      <c r="A1551" s="15">
        <v>46104.6689324474</v>
      </c>
      <c r="B1551" s="16" t="s">
        <v>5594</v>
      </c>
      <c r="C1551" s="16" t="s">
        <v>5595</v>
      </c>
      <c r="D1551" s="17">
        <v>46110.0</v>
      </c>
      <c r="E1551" s="18">
        <v>16.19</v>
      </c>
      <c r="F1551" s="27">
        <v>1.0241</v>
      </c>
      <c r="G1551" s="20">
        <v>3.8975786E7</v>
      </c>
      <c r="H1551" s="16" t="s">
        <v>88</v>
      </c>
      <c r="I1551" s="19">
        <v>7.2185</v>
      </c>
      <c r="J1551" s="20">
        <v>6.865662959E9</v>
      </c>
      <c r="K1551" s="21"/>
      <c r="L1551" s="21">
        <v>-1.661</v>
      </c>
      <c r="M1551" s="16" t="s">
        <v>5596</v>
      </c>
      <c r="N1551" s="16" t="s">
        <v>5471</v>
      </c>
      <c r="O1551" s="21">
        <v>-343.6909</v>
      </c>
      <c r="P1551" s="21">
        <v>-100.2101</v>
      </c>
      <c r="Q1551" s="21">
        <v>20.2812</v>
      </c>
      <c r="R1551" s="21">
        <v>36.9947</v>
      </c>
      <c r="S1551" s="21">
        <v>2.0038</v>
      </c>
      <c r="T1551" s="22">
        <f>IFERROR(__xludf.DUMMYFUNCTION("IFERROR(GOOGLEFINANCE(B1551,""price""),"""")"),18.88)</f>
        <v>18.88</v>
      </c>
    </row>
    <row r="1552">
      <c r="A1552" s="7">
        <v>46104.6689324474</v>
      </c>
      <c r="B1552" s="8" t="s">
        <v>5554</v>
      </c>
      <c r="C1552" s="8" t="s">
        <v>5555</v>
      </c>
      <c r="D1552" s="9">
        <v>46110.0</v>
      </c>
      <c r="E1552" s="10">
        <v>88.42</v>
      </c>
      <c r="F1552" s="26">
        <v>1.0195</v>
      </c>
      <c r="G1552" s="12">
        <v>1.2858741E7</v>
      </c>
      <c r="H1552" s="8" t="s">
        <v>873</v>
      </c>
      <c r="I1552" s="11">
        <v>-1.6791</v>
      </c>
      <c r="J1552" s="12">
        <v>3.3778862285E10</v>
      </c>
      <c r="K1552" s="13"/>
      <c r="L1552" s="13">
        <v>-1.3255</v>
      </c>
      <c r="M1552" s="8" t="s">
        <v>5556</v>
      </c>
      <c r="N1552" s="8" t="s">
        <v>5557</v>
      </c>
      <c r="O1552" s="13">
        <v>-29.4701</v>
      </c>
      <c r="P1552" s="13">
        <v>-405.6981</v>
      </c>
      <c r="Q1552" s="13">
        <v>1505.206</v>
      </c>
      <c r="R1552" s="13">
        <v>1.2162</v>
      </c>
      <c r="S1552" s="13">
        <v>16.3526</v>
      </c>
      <c r="T1552" s="14">
        <f>IFERROR(__xludf.DUMMYFUNCTION("IFERROR(GOOGLEFINANCE(B1552,""price""),"""")"),94.9)</f>
        <v>94.9</v>
      </c>
    </row>
    <row r="1553">
      <c r="A1553" s="15">
        <v>46104.6689324474</v>
      </c>
      <c r="B1553" s="16" t="s">
        <v>5778</v>
      </c>
      <c r="C1553" s="16" t="s">
        <v>5779</v>
      </c>
      <c r="D1553" s="17">
        <v>46110.0</v>
      </c>
      <c r="E1553" s="18">
        <v>1.54</v>
      </c>
      <c r="F1553" s="27">
        <v>1.0</v>
      </c>
      <c r="G1553" s="20">
        <v>1.9724757E7</v>
      </c>
      <c r="H1553" s="16" t="s">
        <v>117</v>
      </c>
      <c r="I1553" s="19">
        <v>5.4795</v>
      </c>
      <c r="J1553" s="20">
        <v>9.8643883E8</v>
      </c>
      <c r="K1553" s="21"/>
      <c r="L1553" s="21">
        <v>-0.1287</v>
      </c>
      <c r="M1553" s="16" t="s">
        <v>5780</v>
      </c>
      <c r="N1553" s="16" t="s">
        <v>5502</v>
      </c>
      <c r="O1553" s="21">
        <v>-33.8931</v>
      </c>
      <c r="P1553" s="21">
        <v>-29.2771</v>
      </c>
      <c r="Q1553" s="21">
        <v>138.822</v>
      </c>
      <c r="R1553" s="21">
        <v>1.1138</v>
      </c>
      <c r="S1553" s="21">
        <v>4.6644</v>
      </c>
      <c r="T1553" s="22">
        <f>IFERROR(__xludf.DUMMYFUNCTION("IFERROR(GOOGLEFINANCE(B1553,""price""),"""")"),1.67)</f>
        <v>1.67</v>
      </c>
    </row>
    <row r="1554">
      <c r="A1554" s="7">
        <v>46104.6689324474</v>
      </c>
      <c r="B1554" s="8" t="s">
        <v>5591</v>
      </c>
      <c r="C1554" s="8" t="s">
        <v>5592</v>
      </c>
      <c r="D1554" s="9">
        <v>46110.0</v>
      </c>
      <c r="E1554" s="10">
        <v>9.18</v>
      </c>
      <c r="F1554" s="26">
        <v>0.9971</v>
      </c>
      <c r="G1554" s="12">
        <v>1.852519E7</v>
      </c>
      <c r="H1554" s="8" t="s">
        <v>308</v>
      </c>
      <c r="I1554" s="11">
        <v>4.9143</v>
      </c>
      <c r="J1554" s="12">
        <v>2.118677632E9</v>
      </c>
      <c r="K1554" s="13"/>
      <c r="L1554" s="13">
        <v>-0.5698</v>
      </c>
      <c r="M1554" s="8" t="s">
        <v>5593</v>
      </c>
      <c r="N1554" s="8" t="s">
        <v>5414</v>
      </c>
      <c r="O1554" s="13">
        <v>-29.5457</v>
      </c>
      <c r="P1554" s="13">
        <v>-195.3894</v>
      </c>
      <c r="Q1554" s="13">
        <v>-44.8801</v>
      </c>
      <c r="R1554" s="13">
        <v>0.0146</v>
      </c>
      <c r="S1554" s="13">
        <v>4.9867</v>
      </c>
      <c r="T1554" s="14">
        <f>IFERROR(__xludf.DUMMYFUNCTION("IFERROR(GOOGLEFINANCE(B1554,""price""),"""")"),9.54)</f>
        <v>9.54</v>
      </c>
    </row>
    <row r="1555">
      <c r="A1555" s="15">
        <v>46104.6689324474</v>
      </c>
      <c r="B1555" s="16" t="s">
        <v>5858</v>
      </c>
      <c r="C1555" s="16" t="s">
        <v>5859</v>
      </c>
      <c r="D1555" s="17">
        <v>46110.0</v>
      </c>
      <c r="E1555" s="18">
        <v>28.75</v>
      </c>
      <c r="F1555" s="27">
        <v>0.9938</v>
      </c>
      <c r="G1555" s="20">
        <v>1.345972E7</v>
      </c>
      <c r="H1555" s="16" t="s">
        <v>88</v>
      </c>
      <c r="I1555" s="19">
        <v>14.0873</v>
      </c>
      <c r="J1555" s="20">
        <v>4.36425022E9</v>
      </c>
      <c r="K1555" s="21"/>
      <c r="L1555" s="21">
        <v>-0.8329</v>
      </c>
      <c r="M1555" s="16" t="s">
        <v>5860</v>
      </c>
      <c r="N1555" s="16" t="s">
        <v>5664</v>
      </c>
      <c r="O1555" s="21">
        <v>-12.8431</v>
      </c>
      <c r="P1555" s="21">
        <v>-19.0035</v>
      </c>
      <c r="Q1555" s="21">
        <v>14.7776</v>
      </c>
      <c r="R1555" s="21">
        <v>0.4628</v>
      </c>
      <c r="S1555" s="21">
        <v>2.6119</v>
      </c>
      <c r="T1555" s="22">
        <f>IFERROR(__xludf.DUMMYFUNCTION("IFERROR(GOOGLEFINANCE(B1555,""price""),"""")"),23.07)</f>
        <v>23.07</v>
      </c>
    </row>
    <row r="1556">
      <c r="A1556" s="7">
        <v>46104.6689324474</v>
      </c>
      <c r="B1556" s="8" t="s">
        <v>5481</v>
      </c>
      <c r="C1556" s="8" t="s">
        <v>5482</v>
      </c>
      <c r="D1556" s="9">
        <v>46110.0</v>
      </c>
      <c r="E1556" s="10">
        <v>9.98</v>
      </c>
      <c r="F1556" s="26">
        <v>0.9912</v>
      </c>
      <c r="G1556" s="12">
        <v>2.4111384E7</v>
      </c>
      <c r="H1556" s="8" t="s">
        <v>88</v>
      </c>
      <c r="I1556" s="11">
        <v>6.1702</v>
      </c>
      <c r="J1556" s="12">
        <v>2.552413831E9</v>
      </c>
      <c r="K1556" s="13"/>
      <c r="L1556" s="13">
        <v>-1.071</v>
      </c>
      <c r="M1556" s="8" t="s">
        <v>5483</v>
      </c>
      <c r="N1556" s="8" t="s">
        <v>5471</v>
      </c>
      <c r="O1556" s="13">
        <v>-15.3378</v>
      </c>
      <c r="P1556" s="13">
        <v>-20.8099</v>
      </c>
      <c r="Q1556" s="13">
        <v>67.959</v>
      </c>
      <c r="R1556" s="13">
        <v>1.2945</v>
      </c>
      <c r="S1556" s="13">
        <v>10.5425</v>
      </c>
      <c r="T1556" s="14">
        <f>IFERROR(__xludf.DUMMYFUNCTION("IFERROR(GOOGLEFINANCE(B1556,""price""),"""")"),10.02)</f>
        <v>10.02</v>
      </c>
    </row>
    <row r="1557">
      <c r="A1557" s="15">
        <v>46104.6689324474</v>
      </c>
      <c r="B1557" s="16" t="s">
        <v>5649</v>
      </c>
      <c r="C1557" s="16" t="s">
        <v>5650</v>
      </c>
      <c r="D1557" s="17">
        <v>46110.0</v>
      </c>
      <c r="E1557" s="18">
        <v>33.82</v>
      </c>
      <c r="F1557" s="27">
        <v>0.9756</v>
      </c>
      <c r="G1557" s="20">
        <v>2.9020566E7</v>
      </c>
      <c r="H1557" s="16" t="s">
        <v>88</v>
      </c>
      <c r="I1557" s="19">
        <v>-0.0296</v>
      </c>
      <c r="J1557" s="20">
        <v>1.1456654404E10</v>
      </c>
      <c r="K1557" s="21"/>
      <c r="L1557" s="21">
        <v>-0.7881</v>
      </c>
      <c r="M1557" s="16" t="s">
        <v>5651</v>
      </c>
      <c r="N1557" s="16" t="s">
        <v>5429</v>
      </c>
      <c r="O1557" s="21">
        <v>-78.4035</v>
      </c>
      <c r="P1557" s="21">
        <v>-26.7536</v>
      </c>
      <c r="Q1557" s="21">
        <v>25.9359</v>
      </c>
      <c r="R1557" s="21">
        <v>2.4544</v>
      </c>
      <c r="S1557" s="21">
        <v>1.6516</v>
      </c>
      <c r="T1557" s="22">
        <f>IFERROR(__xludf.DUMMYFUNCTION("IFERROR(GOOGLEFINANCE(B1557,""price""),"""")"),34.67)</f>
        <v>34.67</v>
      </c>
    </row>
    <row r="1558">
      <c r="A1558" s="7">
        <v>46104.6689324474</v>
      </c>
      <c r="B1558" s="8" t="s">
        <v>5517</v>
      </c>
      <c r="C1558" s="8" t="s">
        <v>5518</v>
      </c>
      <c r="D1558" s="9">
        <v>46110.0</v>
      </c>
      <c r="E1558" s="10">
        <v>9.38</v>
      </c>
      <c r="F1558" s="26">
        <v>0.9746</v>
      </c>
      <c r="G1558" s="12">
        <v>1.8839052E7</v>
      </c>
      <c r="H1558" s="8" t="s">
        <v>308</v>
      </c>
      <c r="I1558" s="11">
        <v>1.9565</v>
      </c>
      <c r="J1558" s="12">
        <v>1.800732962E9</v>
      </c>
      <c r="K1558" s="13"/>
      <c r="L1558" s="13">
        <v>-2.3761</v>
      </c>
      <c r="M1558" s="8" t="s">
        <v>5519</v>
      </c>
      <c r="N1558" s="8" t="s">
        <v>5520</v>
      </c>
      <c r="O1558" s="13">
        <v>-52.0031</v>
      </c>
      <c r="P1558" s="13">
        <v>-49.6608</v>
      </c>
      <c r="Q1558" s="13">
        <v>10.2861</v>
      </c>
      <c r="R1558" s="13">
        <v>0.1895</v>
      </c>
      <c r="S1558" s="13">
        <v>1.6246</v>
      </c>
      <c r="T1558" s="14">
        <f>IFERROR(__xludf.DUMMYFUNCTION("IFERROR(GOOGLEFINANCE(B1558,""price""),"""")"),9.29)</f>
        <v>9.29</v>
      </c>
    </row>
    <row r="1559">
      <c r="A1559" s="15">
        <v>46104.6689324474</v>
      </c>
      <c r="B1559" s="16" t="s">
        <v>2714</v>
      </c>
      <c r="C1559" s="16" t="s">
        <v>2715</v>
      </c>
      <c r="D1559" s="17">
        <v>46110.0</v>
      </c>
      <c r="E1559" s="18">
        <v>12.51</v>
      </c>
      <c r="F1559" s="27">
        <v>0.9541</v>
      </c>
      <c r="G1559" s="20">
        <v>1.0393775E7</v>
      </c>
      <c r="H1559" s="16" t="s">
        <v>335</v>
      </c>
      <c r="I1559" s="19">
        <v>3.4739</v>
      </c>
      <c r="J1559" s="20">
        <v>6.132662218E9</v>
      </c>
      <c r="K1559" s="21"/>
      <c r="L1559" s="21">
        <v>-0.1824</v>
      </c>
      <c r="M1559" s="16" t="s">
        <v>2717</v>
      </c>
      <c r="N1559" s="16" t="s">
        <v>5506</v>
      </c>
      <c r="O1559" s="21">
        <v>-7.121</v>
      </c>
      <c r="P1559" s="21">
        <v>-542.5005</v>
      </c>
      <c r="Q1559" s="21">
        <v>-69.7772</v>
      </c>
      <c r="R1559" s="21">
        <v>0.0</v>
      </c>
      <c r="S1559" s="21">
        <v>28.725</v>
      </c>
      <c r="T1559" s="22">
        <f>IFERROR(__xludf.DUMMYFUNCTION("IFERROR(GOOGLEFINANCE(B1559,""price""),"""")"),13.53)</f>
        <v>13.53</v>
      </c>
    </row>
    <row r="1560">
      <c r="A1560" s="7">
        <v>46104.6689324474</v>
      </c>
      <c r="B1560" s="8" t="s">
        <v>5574</v>
      </c>
      <c r="C1560" s="8" t="s">
        <v>5575</v>
      </c>
      <c r="D1560" s="9">
        <v>46110.0</v>
      </c>
      <c r="E1560" s="10">
        <v>17.79</v>
      </c>
      <c r="F1560" s="26">
        <v>0.9419</v>
      </c>
      <c r="G1560" s="12">
        <v>1.1270942E7</v>
      </c>
      <c r="H1560" s="8" t="s">
        <v>335</v>
      </c>
      <c r="I1560" s="11">
        <v>6.209</v>
      </c>
      <c r="J1560" s="12">
        <v>4.29817079E9</v>
      </c>
      <c r="K1560" s="13"/>
      <c r="L1560" s="13">
        <v>-0.3843</v>
      </c>
      <c r="M1560" s="8" t="s">
        <v>5576</v>
      </c>
      <c r="N1560" s="8" t="s">
        <v>5506</v>
      </c>
      <c r="O1560" s="13">
        <v>-14.199</v>
      </c>
      <c r="P1560" s="13">
        <v>-153.4465</v>
      </c>
      <c r="Q1560" s="13">
        <v>-15.608</v>
      </c>
      <c r="R1560" s="13">
        <v>0.996</v>
      </c>
      <c r="S1560" s="13">
        <v>30.6942</v>
      </c>
      <c r="T1560" s="14">
        <f>IFERROR(__xludf.DUMMYFUNCTION("IFERROR(GOOGLEFINANCE(B1560,""price""),"""")"),18.4)</f>
        <v>18.4</v>
      </c>
    </row>
    <row r="1561">
      <c r="A1561" s="15">
        <v>46104.6689324474</v>
      </c>
      <c r="B1561" s="16" t="s">
        <v>2704</v>
      </c>
      <c r="C1561" s="16" t="s">
        <v>2705</v>
      </c>
      <c r="D1561" s="17">
        <v>46110.0</v>
      </c>
      <c r="E1561" s="18">
        <v>27.26</v>
      </c>
      <c r="F1561" s="27">
        <v>0.935</v>
      </c>
      <c r="G1561" s="20">
        <v>1.4350469E7</v>
      </c>
      <c r="H1561" s="16" t="s">
        <v>88</v>
      </c>
      <c r="I1561" s="19">
        <v>5.1292</v>
      </c>
      <c r="J1561" s="20">
        <v>7.621509418E9</v>
      </c>
      <c r="K1561" s="21"/>
      <c r="L1561" s="21">
        <v>-0.5438</v>
      </c>
      <c r="M1561" s="16" t="s">
        <v>2707</v>
      </c>
      <c r="N1561" s="16" t="s">
        <v>5471</v>
      </c>
      <c r="O1561" s="21">
        <v>-11.4029</v>
      </c>
      <c r="P1561" s="21">
        <v>-26.4624</v>
      </c>
      <c r="Q1561" s="21">
        <v>33.135</v>
      </c>
      <c r="R1561" s="21">
        <v>1.6778</v>
      </c>
      <c r="S1561" s="21">
        <v>4.8227</v>
      </c>
      <c r="T1561" s="22">
        <f>IFERROR(__xludf.DUMMYFUNCTION("IFERROR(GOOGLEFINANCE(B1561,""price""),"""")"),26.24)</f>
        <v>26.24</v>
      </c>
    </row>
    <row r="1562">
      <c r="A1562" s="7">
        <v>46105.66919103799</v>
      </c>
      <c r="B1562" s="8" t="s">
        <v>5514</v>
      </c>
      <c r="C1562" s="8" t="s">
        <v>5515</v>
      </c>
      <c r="D1562" s="9">
        <v>46110.0</v>
      </c>
      <c r="E1562" s="10">
        <v>7.415</v>
      </c>
      <c r="F1562" s="26">
        <v>1.5234</v>
      </c>
      <c r="G1562" s="12">
        <v>8.653916E7</v>
      </c>
      <c r="H1562" s="8" t="s">
        <v>117</v>
      </c>
      <c r="I1562" s="11">
        <v>-21.117</v>
      </c>
      <c r="J1562" s="12">
        <v>7.623446094E9</v>
      </c>
      <c r="K1562" s="13"/>
      <c r="L1562" s="13">
        <v>-0.3898</v>
      </c>
      <c r="M1562" s="8" t="s">
        <v>5516</v>
      </c>
      <c r="N1562" s="8" t="s">
        <v>5491</v>
      </c>
      <c r="O1562" s="13"/>
      <c r="P1562" s="13">
        <v>-225.9966</v>
      </c>
      <c r="Q1562" s="13">
        <v>668.3147</v>
      </c>
      <c r="R1562" s="13"/>
      <c r="S1562" s="13">
        <v>5.0989</v>
      </c>
      <c r="T1562" s="14">
        <f>IFERROR(__xludf.DUMMYFUNCTION("IFERROR(GOOGLEFINANCE(B1562,""price""),"""")"),7.28)</f>
        <v>7.28</v>
      </c>
    </row>
    <row r="1563">
      <c r="A1563" s="15">
        <v>46105.66919103799</v>
      </c>
      <c r="B1563" s="16" t="s">
        <v>5580</v>
      </c>
      <c r="C1563" s="16" t="s">
        <v>5581</v>
      </c>
      <c r="D1563" s="17">
        <v>46110.0</v>
      </c>
      <c r="E1563" s="18">
        <v>2.57</v>
      </c>
      <c r="F1563" s="27">
        <v>1.5156</v>
      </c>
      <c r="G1563" s="20">
        <v>1.2376126E7</v>
      </c>
      <c r="H1563" s="16" t="s">
        <v>88</v>
      </c>
      <c r="I1563" s="19">
        <v>-5.5147</v>
      </c>
      <c r="J1563" s="20">
        <v>1.024986958E9</v>
      </c>
      <c r="K1563" s="21"/>
      <c r="L1563" s="21"/>
      <c r="M1563" s="16" t="s">
        <v>5582</v>
      </c>
      <c r="N1563" s="16" t="s">
        <v>5429</v>
      </c>
      <c r="O1563" s="21"/>
      <c r="P1563" s="21"/>
      <c r="Q1563" s="21"/>
      <c r="R1563" s="21"/>
      <c r="S1563" s="21">
        <v>0.2412</v>
      </c>
      <c r="T1563" s="22">
        <f>IFERROR(__xludf.DUMMYFUNCTION("IFERROR(GOOGLEFINANCE(B1563,""price""),"""")"),2.38)</f>
        <v>2.38</v>
      </c>
    </row>
    <row r="1564">
      <c r="A1564" s="7">
        <v>46105.66919103799</v>
      </c>
      <c r="B1564" s="8" t="s">
        <v>5640</v>
      </c>
      <c r="C1564" s="8" t="s">
        <v>5641</v>
      </c>
      <c r="D1564" s="9">
        <v>46110.0</v>
      </c>
      <c r="E1564" s="10">
        <v>68.44</v>
      </c>
      <c r="F1564" s="26">
        <v>1.4839</v>
      </c>
      <c r="G1564" s="12">
        <v>1.3415015E7</v>
      </c>
      <c r="H1564" s="8" t="s">
        <v>308</v>
      </c>
      <c r="I1564" s="11">
        <v>6.2073</v>
      </c>
      <c r="J1564" s="12">
        <v>3.803457119E9</v>
      </c>
      <c r="K1564" s="13"/>
      <c r="L1564" s="13">
        <v>-0.4892</v>
      </c>
      <c r="M1564" s="8" t="s">
        <v>5642</v>
      </c>
      <c r="N1564" s="8" t="s">
        <v>5433</v>
      </c>
      <c r="O1564" s="13">
        <v>-9.1233</v>
      </c>
      <c r="P1564" s="13">
        <v>-24.8806</v>
      </c>
      <c r="Q1564" s="13">
        <v>-11.106</v>
      </c>
      <c r="R1564" s="13">
        <v>0.2562</v>
      </c>
      <c r="S1564" s="13">
        <v>2.7231</v>
      </c>
      <c r="T1564" s="14">
        <f>IFERROR(__xludf.DUMMYFUNCTION("IFERROR(GOOGLEFINANCE(B1564,""price""),"""")"),64.18)</f>
        <v>64.18</v>
      </c>
    </row>
    <row r="1565">
      <c r="A1565" s="15">
        <v>46105.66919103799</v>
      </c>
      <c r="B1565" s="16" t="s">
        <v>5530</v>
      </c>
      <c r="C1565" s="16" t="s">
        <v>5531</v>
      </c>
      <c r="D1565" s="17">
        <v>46110.0</v>
      </c>
      <c r="E1565" s="18">
        <v>4.68</v>
      </c>
      <c r="F1565" s="27">
        <v>1.3867</v>
      </c>
      <c r="G1565" s="20">
        <v>1.0842362E7</v>
      </c>
      <c r="H1565" s="16" t="s">
        <v>335</v>
      </c>
      <c r="I1565" s="19">
        <v>-7.5099</v>
      </c>
      <c r="J1565" s="20">
        <v>1.935142702E9</v>
      </c>
      <c r="K1565" s="21"/>
      <c r="L1565" s="21">
        <v>-0.7653</v>
      </c>
      <c r="M1565" s="16" t="s">
        <v>5532</v>
      </c>
      <c r="N1565" s="16" t="s">
        <v>5506</v>
      </c>
      <c r="O1565" s="21"/>
      <c r="P1565" s="21"/>
      <c r="Q1565" s="21"/>
      <c r="R1565" s="21"/>
      <c r="S1565" s="21">
        <v>2.5028</v>
      </c>
      <c r="T1565" s="22">
        <f>IFERROR(__xludf.DUMMYFUNCTION("IFERROR(GOOGLEFINANCE(B1565,""price""),"""")"),4.34)</f>
        <v>4.34</v>
      </c>
    </row>
    <row r="1566">
      <c r="A1566" s="7">
        <v>46105.66919103799</v>
      </c>
      <c r="B1566" s="8" t="s">
        <v>6181</v>
      </c>
      <c r="C1566" s="8" t="s">
        <v>6182</v>
      </c>
      <c r="D1566" s="9">
        <v>46110.0</v>
      </c>
      <c r="E1566" s="10">
        <v>23.45</v>
      </c>
      <c r="F1566" s="26">
        <v>1.3504</v>
      </c>
      <c r="G1566" s="12">
        <v>1.206786E7</v>
      </c>
      <c r="H1566" s="8" t="s">
        <v>137</v>
      </c>
      <c r="I1566" s="11">
        <v>-0.5935</v>
      </c>
      <c r="J1566" s="12">
        <v>9.731716147E9</v>
      </c>
      <c r="K1566" s="13">
        <v>48.4204</v>
      </c>
      <c r="L1566" s="13">
        <v>0.4843</v>
      </c>
      <c r="M1566" s="8" t="s">
        <v>6183</v>
      </c>
      <c r="N1566" s="8" t="s">
        <v>5743</v>
      </c>
      <c r="O1566" s="13">
        <v>59.5801</v>
      </c>
      <c r="P1566" s="13">
        <v>1.6383</v>
      </c>
      <c r="Q1566" s="13">
        <v>9.8038</v>
      </c>
      <c r="R1566" s="13">
        <v>1.1907</v>
      </c>
      <c r="S1566" s="13">
        <v>0.8532</v>
      </c>
      <c r="T1566" s="14">
        <f>IFERROR(__xludf.DUMMYFUNCTION("IFERROR(GOOGLEFINANCE(B1566,""price""),"""")"),25.21)</f>
        <v>25.21</v>
      </c>
    </row>
    <row r="1567">
      <c r="A1567" s="15">
        <v>46105.66919103799</v>
      </c>
      <c r="B1567" s="16" t="s">
        <v>5604</v>
      </c>
      <c r="C1567" s="16" t="s">
        <v>5605</v>
      </c>
      <c r="D1567" s="17">
        <v>46110.0</v>
      </c>
      <c r="E1567" s="18">
        <v>113.9</v>
      </c>
      <c r="F1567" s="27">
        <v>1.346</v>
      </c>
      <c r="G1567" s="20">
        <v>1.6677143E7</v>
      </c>
      <c r="H1567" s="16" t="s">
        <v>308</v>
      </c>
      <c r="I1567" s="19">
        <v>18.9432</v>
      </c>
      <c r="J1567" s="20">
        <v>8.565146019E9</v>
      </c>
      <c r="K1567" s="21"/>
      <c r="L1567" s="21">
        <v>-0.6555</v>
      </c>
      <c r="M1567" s="16" t="s">
        <v>5606</v>
      </c>
      <c r="N1567" s="16" t="s">
        <v>5414</v>
      </c>
      <c r="O1567" s="21">
        <v>-7.9391</v>
      </c>
      <c r="P1567" s="21">
        <v>-11.9814</v>
      </c>
      <c r="Q1567" s="21">
        <v>82.7502</v>
      </c>
      <c r="R1567" s="21">
        <v>0.338</v>
      </c>
      <c r="S1567" s="21">
        <v>2.6264</v>
      </c>
      <c r="T1567" s="22">
        <f>IFERROR(__xludf.DUMMYFUNCTION("IFERROR(GOOGLEFINANCE(B1567,""price""),"""")"),150.6)</f>
        <v>150.6</v>
      </c>
    </row>
    <row r="1568">
      <c r="A1568" s="7">
        <v>46105.66919103799</v>
      </c>
      <c r="B1568" s="8" t="s">
        <v>5607</v>
      </c>
      <c r="C1568" s="8" t="s">
        <v>5608</v>
      </c>
      <c r="D1568" s="9">
        <v>46110.0</v>
      </c>
      <c r="E1568" s="10">
        <v>17.92</v>
      </c>
      <c r="F1568" s="26">
        <v>1.2826</v>
      </c>
      <c r="G1568" s="12">
        <v>2.7206247E7</v>
      </c>
      <c r="H1568" s="8" t="s">
        <v>308</v>
      </c>
      <c r="I1568" s="11">
        <v>-11.7676</v>
      </c>
      <c r="J1568" s="12">
        <v>3.885069223E9</v>
      </c>
      <c r="K1568" s="13"/>
      <c r="L1568" s="13">
        <v>-0.7255</v>
      </c>
      <c r="M1568" s="8" t="s">
        <v>5609</v>
      </c>
      <c r="N1568" s="8" t="s">
        <v>5520</v>
      </c>
      <c r="O1568" s="13"/>
      <c r="P1568" s="13">
        <v>-36.3941</v>
      </c>
      <c r="Q1568" s="13">
        <v>-7.7134</v>
      </c>
      <c r="R1568" s="13"/>
      <c r="S1568" s="13">
        <v>4.9571</v>
      </c>
      <c r="T1568" s="14">
        <f>IFERROR(__xludf.DUMMYFUNCTION("IFERROR(GOOGLEFINANCE(B1568,""price""),"""")"),23.57)</f>
        <v>23.57</v>
      </c>
    </row>
    <row r="1569">
      <c r="A1569" s="15">
        <v>46105.66919103799</v>
      </c>
      <c r="B1569" s="16" t="s">
        <v>5527</v>
      </c>
      <c r="C1569" s="16" t="s">
        <v>5528</v>
      </c>
      <c r="D1569" s="17">
        <v>46110.0</v>
      </c>
      <c r="E1569" s="18">
        <v>16.08</v>
      </c>
      <c r="F1569" s="27">
        <v>1.2708</v>
      </c>
      <c r="G1569" s="20">
        <v>2.2473962E7</v>
      </c>
      <c r="H1569" s="16" t="s">
        <v>88</v>
      </c>
      <c r="I1569" s="19">
        <v>6.1386</v>
      </c>
      <c r="J1569" s="20">
        <v>1.947911267E9</v>
      </c>
      <c r="K1569" s="21"/>
      <c r="L1569" s="21">
        <v>-0.7413</v>
      </c>
      <c r="M1569" s="16" t="s">
        <v>5529</v>
      </c>
      <c r="N1569" s="16" t="s">
        <v>5429</v>
      </c>
      <c r="O1569" s="21">
        <v>-48.7073</v>
      </c>
      <c r="P1569" s="21">
        <v>-163.5071</v>
      </c>
      <c r="Q1569" s="21">
        <v>402.7429</v>
      </c>
      <c r="R1569" s="21">
        <v>0.075</v>
      </c>
      <c r="S1569" s="21">
        <v>15.2861</v>
      </c>
      <c r="T1569" s="22">
        <f>IFERROR(__xludf.DUMMYFUNCTION("IFERROR(GOOGLEFINANCE(B1569,""price""),"""")"),12.37)</f>
        <v>12.37</v>
      </c>
    </row>
    <row r="1570">
      <c r="A1570" s="7">
        <v>46105.66919103799</v>
      </c>
      <c r="B1570" s="8" t="s">
        <v>6184</v>
      </c>
      <c r="C1570" s="8" t="s">
        <v>6185</v>
      </c>
      <c r="D1570" s="9">
        <v>46110.0</v>
      </c>
      <c r="E1570" s="10">
        <v>11.33</v>
      </c>
      <c r="F1570" s="26">
        <v>1.2676</v>
      </c>
      <c r="G1570" s="12">
        <v>2.2820991E7</v>
      </c>
      <c r="H1570" s="8" t="s">
        <v>117</v>
      </c>
      <c r="I1570" s="11">
        <v>-16.6299</v>
      </c>
      <c r="J1570" s="12">
        <v>2.698343363E9</v>
      </c>
      <c r="K1570" s="13">
        <v>18.9149</v>
      </c>
      <c r="L1570" s="13">
        <v>0.599</v>
      </c>
      <c r="M1570" s="8" t="s">
        <v>6186</v>
      </c>
      <c r="N1570" s="8" t="s">
        <v>5502</v>
      </c>
      <c r="O1570" s="13">
        <v>35.5617</v>
      </c>
      <c r="P1570" s="13">
        <v>37.5249</v>
      </c>
      <c r="Q1570" s="13">
        <v>19.6314</v>
      </c>
      <c r="R1570" s="13">
        <v>0.1674</v>
      </c>
      <c r="S1570" s="13">
        <v>6.7084</v>
      </c>
      <c r="T1570" s="14">
        <f>IFERROR(__xludf.DUMMYFUNCTION("IFERROR(GOOGLEFINANCE(B1570,""price""),"""")"),9.7)</f>
        <v>9.7</v>
      </c>
    </row>
    <row r="1571">
      <c r="A1571" s="15">
        <v>46105.66919103799</v>
      </c>
      <c r="B1571" s="16" t="s">
        <v>1077</v>
      </c>
      <c r="C1571" s="16" t="s">
        <v>1078</v>
      </c>
      <c r="D1571" s="17">
        <v>46110.0</v>
      </c>
      <c r="E1571" s="18">
        <v>9.28</v>
      </c>
      <c r="F1571" s="27">
        <v>1.25</v>
      </c>
      <c r="G1571" s="20">
        <v>1.1456183E7</v>
      </c>
      <c r="H1571" s="16" t="s">
        <v>335</v>
      </c>
      <c r="I1571" s="19">
        <v>3.8031</v>
      </c>
      <c r="J1571" s="20">
        <v>1.330491476E9</v>
      </c>
      <c r="K1571" s="21"/>
      <c r="L1571" s="21">
        <v>-0.0349</v>
      </c>
      <c r="M1571" s="16" t="s">
        <v>1102</v>
      </c>
      <c r="N1571" s="16" t="s">
        <v>5506</v>
      </c>
      <c r="O1571" s="21">
        <v>-5.1187</v>
      </c>
      <c r="P1571" s="21">
        <v>-22.613</v>
      </c>
      <c r="Q1571" s="21">
        <v>162.805</v>
      </c>
      <c r="R1571" s="21">
        <v>0.0017</v>
      </c>
      <c r="S1571" s="21">
        <v>5.3788</v>
      </c>
      <c r="T1571" s="22">
        <f>IFERROR(__xludf.DUMMYFUNCTION("IFERROR(GOOGLEFINANCE(B1571,""price""),"""")"),8.36)</f>
        <v>8.36</v>
      </c>
    </row>
    <row r="1572">
      <c r="A1572" s="7">
        <v>46105.66919103799</v>
      </c>
      <c r="B1572" s="8" t="s">
        <v>5434</v>
      </c>
      <c r="C1572" s="8" t="s">
        <v>5435</v>
      </c>
      <c r="D1572" s="9">
        <v>46110.0</v>
      </c>
      <c r="E1572" s="10">
        <v>10.68</v>
      </c>
      <c r="F1572" s="26">
        <v>1.2139</v>
      </c>
      <c r="G1572" s="12">
        <v>9.6005972E7</v>
      </c>
      <c r="H1572" s="8" t="s">
        <v>308</v>
      </c>
      <c r="I1572" s="11">
        <v>-2.0183</v>
      </c>
      <c r="J1572" s="12">
        <v>4.948320735E9</v>
      </c>
      <c r="K1572" s="13"/>
      <c r="L1572" s="13">
        <v>-0.6686</v>
      </c>
      <c r="M1572" s="8" t="s">
        <v>5436</v>
      </c>
      <c r="N1572" s="8" t="s">
        <v>5437</v>
      </c>
      <c r="O1572" s="13">
        <v>-58.1653</v>
      </c>
      <c r="P1572" s="13">
        <v>-115.0855</v>
      </c>
      <c r="Q1572" s="13">
        <v>605.3129</v>
      </c>
      <c r="R1572" s="13">
        <v>0.0286</v>
      </c>
      <c r="S1572" s="13">
        <v>4.8364</v>
      </c>
      <c r="T1572" s="14">
        <f>IFERROR(__xludf.DUMMYFUNCTION("IFERROR(GOOGLEFINANCE(B1572,""price""),"""")"),9.13)</f>
        <v>9.13</v>
      </c>
    </row>
    <row r="1573">
      <c r="A1573" s="15">
        <v>46105.66919103799</v>
      </c>
      <c r="B1573" s="16" t="s">
        <v>5665</v>
      </c>
      <c r="C1573" s="16" t="s">
        <v>5666</v>
      </c>
      <c r="D1573" s="17">
        <v>46110.0</v>
      </c>
      <c r="E1573" s="18">
        <v>101.17</v>
      </c>
      <c r="F1573" s="27">
        <v>1.1455</v>
      </c>
      <c r="G1573" s="20">
        <v>5.6650871E7</v>
      </c>
      <c r="H1573" s="16" t="s">
        <v>88</v>
      </c>
      <c r="I1573" s="19">
        <v>-20.1121</v>
      </c>
      <c r="J1573" s="20">
        <v>2.497033445E10</v>
      </c>
      <c r="K1573" s="21"/>
      <c r="L1573" s="21">
        <v>-0.5429</v>
      </c>
      <c r="M1573" s="16" t="s">
        <v>5667</v>
      </c>
      <c r="N1573" s="16" t="s">
        <v>5429</v>
      </c>
      <c r="O1573" s="21">
        <v>-2.7585</v>
      </c>
      <c r="P1573" s="21">
        <v>-3.1942</v>
      </c>
      <c r="Q1573" s="21">
        <v>63.8561</v>
      </c>
      <c r="R1573" s="21">
        <v>0.0155</v>
      </c>
      <c r="S1573" s="21">
        <v>1.0328</v>
      </c>
      <c r="T1573" s="22">
        <f>IFERROR(__xludf.DUMMYFUNCTION("IFERROR(GOOGLEFINANCE(B1573,""price""),"""")"),88.04)</f>
        <v>88.04</v>
      </c>
    </row>
    <row r="1574">
      <c r="A1574" s="7">
        <v>46105.66919103799</v>
      </c>
      <c r="B1574" s="8" t="s">
        <v>5649</v>
      </c>
      <c r="C1574" s="8" t="s">
        <v>5650</v>
      </c>
      <c r="D1574" s="9">
        <v>46110.0</v>
      </c>
      <c r="E1574" s="10">
        <v>31.83</v>
      </c>
      <c r="F1574" s="26">
        <v>1.1327</v>
      </c>
      <c r="G1574" s="12">
        <v>2.3055935E7</v>
      </c>
      <c r="H1574" s="8" t="s">
        <v>88</v>
      </c>
      <c r="I1574" s="11">
        <v>-5.8841</v>
      </c>
      <c r="J1574" s="12">
        <v>1.0782533609E10</v>
      </c>
      <c r="K1574" s="13"/>
      <c r="L1574" s="13">
        <v>-0.7881</v>
      </c>
      <c r="M1574" s="8" t="s">
        <v>5651</v>
      </c>
      <c r="N1574" s="8" t="s">
        <v>5429</v>
      </c>
      <c r="O1574" s="13">
        <v>-78.4035</v>
      </c>
      <c r="P1574" s="13">
        <v>-30.5248</v>
      </c>
      <c r="Q1574" s="13">
        <v>25.9359</v>
      </c>
      <c r="R1574" s="13">
        <v>2.4544</v>
      </c>
      <c r="S1574" s="13">
        <v>1.6475</v>
      </c>
      <c r="T1574" s="14">
        <f>IFERROR(__xludf.DUMMYFUNCTION("IFERROR(GOOGLEFINANCE(B1574,""price""),"""")"),34.67)</f>
        <v>34.67</v>
      </c>
    </row>
    <row r="1575">
      <c r="A1575" s="15">
        <v>46105.66919103799</v>
      </c>
      <c r="B1575" s="16" t="s">
        <v>627</v>
      </c>
      <c r="C1575" s="16" t="s">
        <v>628</v>
      </c>
      <c r="D1575" s="17">
        <v>46110.0</v>
      </c>
      <c r="E1575" s="18">
        <v>1.92</v>
      </c>
      <c r="F1575" s="27">
        <v>1.0938</v>
      </c>
      <c r="G1575" s="20">
        <v>1.7353561E7</v>
      </c>
      <c r="H1575" s="16" t="s">
        <v>117</v>
      </c>
      <c r="I1575" s="19">
        <v>-8.5714</v>
      </c>
      <c r="J1575" s="20">
        <v>6.29562745E8</v>
      </c>
      <c r="K1575" s="21"/>
      <c r="L1575" s="21">
        <v>-0.2257</v>
      </c>
      <c r="M1575" s="16" t="s">
        <v>629</v>
      </c>
      <c r="N1575" s="16" t="s">
        <v>5491</v>
      </c>
      <c r="O1575" s="21">
        <v>-776.8922</v>
      </c>
      <c r="P1575" s="21">
        <v>-1425.6968</v>
      </c>
      <c r="Q1575" s="21">
        <v>8.8286</v>
      </c>
      <c r="R1575" s="21"/>
      <c r="S1575" s="21">
        <v>1.0563</v>
      </c>
      <c r="T1575" s="22">
        <f>IFERROR(__xludf.DUMMYFUNCTION("IFERROR(GOOGLEFINANCE(B1575,""price""),"""")"),1.76)</f>
        <v>1.76</v>
      </c>
    </row>
    <row r="1576">
      <c r="A1576" s="7">
        <v>46105.66919103799</v>
      </c>
      <c r="B1576" s="8" t="s">
        <v>5544</v>
      </c>
      <c r="C1576" s="8" t="s">
        <v>6105</v>
      </c>
      <c r="D1576" s="9">
        <v>46110.0</v>
      </c>
      <c r="E1576" s="10">
        <v>14.88</v>
      </c>
      <c r="F1576" s="26">
        <v>1.085</v>
      </c>
      <c r="G1576" s="12">
        <v>1.9673693E7</v>
      </c>
      <c r="H1576" s="8" t="s">
        <v>88</v>
      </c>
      <c r="I1576" s="11">
        <v>-0.0672</v>
      </c>
      <c r="J1576" s="12">
        <v>6.028177039E9</v>
      </c>
      <c r="K1576" s="13"/>
      <c r="L1576" s="13">
        <v>-2.0516</v>
      </c>
      <c r="M1576" s="8" t="s">
        <v>5546</v>
      </c>
      <c r="N1576" s="8" t="s">
        <v>5471</v>
      </c>
      <c r="O1576" s="13">
        <v>-110.5547</v>
      </c>
      <c r="P1576" s="13">
        <v>-76.6975</v>
      </c>
      <c r="Q1576" s="13">
        <v>48.0413</v>
      </c>
      <c r="R1576" s="13">
        <v>3.435</v>
      </c>
      <c r="S1576" s="13">
        <v>3.7948</v>
      </c>
      <c r="T1576" s="14">
        <f>IFERROR(__xludf.DUMMYFUNCTION("IFERROR(GOOGLEFINANCE(B1576,""price""),"""")"),16.53)</f>
        <v>16.53</v>
      </c>
    </row>
    <row r="1577">
      <c r="A1577" s="15">
        <v>46105.66919103799</v>
      </c>
      <c r="B1577" s="16" t="s">
        <v>5558</v>
      </c>
      <c r="C1577" s="16" t="s">
        <v>5559</v>
      </c>
      <c r="D1577" s="17">
        <v>46110.0</v>
      </c>
      <c r="E1577" s="18">
        <v>5.09</v>
      </c>
      <c r="F1577" s="27">
        <v>1.0664</v>
      </c>
      <c r="G1577" s="20">
        <v>1.1126934E7</v>
      </c>
      <c r="H1577" s="16" t="s">
        <v>102</v>
      </c>
      <c r="I1577" s="19">
        <v>-4.6816</v>
      </c>
      <c r="J1577" s="20">
        <v>1.727720459E9</v>
      </c>
      <c r="K1577" s="21"/>
      <c r="L1577" s="21">
        <v>-6.9942</v>
      </c>
      <c r="M1577" s="16" t="s">
        <v>5560</v>
      </c>
      <c r="N1577" s="16" t="s">
        <v>5536</v>
      </c>
      <c r="O1577" s="21"/>
      <c r="P1577" s="21">
        <v>-225.4661</v>
      </c>
      <c r="Q1577" s="21">
        <v>631.7891</v>
      </c>
      <c r="R1577" s="21"/>
      <c r="S1577" s="21">
        <v>4.9358</v>
      </c>
      <c r="T1577" s="22">
        <f>IFERROR(__xludf.DUMMYFUNCTION("IFERROR(GOOGLEFINANCE(B1577,""price""),"""")"),5.62)</f>
        <v>5.62</v>
      </c>
    </row>
    <row r="1578">
      <c r="A1578" s="7">
        <v>46105.66919103799</v>
      </c>
      <c r="B1578" s="8" t="s">
        <v>5567</v>
      </c>
      <c r="C1578" s="8" t="s">
        <v>5568</v>
      </c>
      <c r="D1578" s="9">
        <v>46110.0</v>
      </c>
      <c r="E1578" s="10">
        <v>145.88</v>
      </c>
      <c r="F1578" s="26">
        <v>1.0607</v>
      </c>
      <c r="G1578" s="12">
        <v>1.1689684E7</v>
      </c>
      <c r="H1578" s="8" t="s">
        <v>308</v>
      </c>
      <c r="I1578" s="11">
        <v>3.2194</v>
      </c>
      <c r="J1578" s="12">
        <v>4.0926374539E10</v>
      </c>
      <c r="K1578" s="13"/>
      <c r="L1578" s="13">
        <v>-0.3809</v>
      </c>
      <c r="M1578" s="8" t="s">
        <v>5569</v>
      </c>
      <c r="N1578" s="8" t="s">
        <v>5433</v>
      </c>
      <c r="O1578" s="13">
        <v>-13.2874</v>
      </c>
      <c r="P1578" s="13">
        <v>5.4633</v>
      </c>
      <c r="Q1578" s="13">
        <v>37.3263</v>
      </c>
      <c r="R1578" s="13">
        <v>3.8975</v>
      </c>
      <c r="S1578" s="13">
        <v>5.9285</v>
      </c>
      <c r="T1578" s="14">
        <f>IFERROR(__xludf.DUMMYFUNCTION("IFERROR(GOOGLEFINANCE(B1578,""price""),"""")"),166.7)</f>
        <v>166.7</v>
      </c>
    </row>
    <row r="1579">
      <c r="A1579" s="15">
        <v>46105.66919103799</v>
      </c>
      <c r="B1579" s="16" t="s">
        <v>5517</v>
      </c>
      <c r="C1579" s="16" t="s">
        <v>5518</v>
      </c>
      <c r="D1579" s="17">
        <v>46110.0</v>
      </c>
      <c r="E1579" s="18">
        <v>9.05</v>
      </c>
      <c r="F1579" s="27">
        <v>1.0449</v>
      </c>
      <c r="G1579" s="20">
        <v>2.0858736E7</v>
      </c>
      <c r="H1579" s="16" t="s">
        <v>308</v>
      </c>
      <c r="I1579" s="19">
        <v>-3.5181</v>
      </c>
      <c r="J1579" s="20">
        <v>1.737381007E9</v>
      </c>
      <c r="K1579" s="21"/>
      <c r="L1579" s="21">
        <v>-2.3761</v>
      </c>
      <c r="M1579" s="16" t="s">
        <v>5519</v>
      </c>
      <c r="N1579" s="16" t="s">
        <v>5520</v>
      </c>
      <c r="O1579" s="21">
        <v>-52.0031</v>
      </c>
      <c r="P1579" s="21">
        <v>-49.6608</v>
      </c>
      <c r="Q1579" s="21">
        <v>10.2861</v>
      </c>
      <c r="R1579" s="21">
        <v>0.1895</v>
      </c>
      <c r="S1579" s="21">
        <v>1.6246</v>
      </c>
      <c r="T1579" s="22">
        <f>IFERROR(__xludf.DUMMYFUNCTION("IFERROR(GOOGLEFINANCE(B1579,""price""),"""")"),9.29)</f>
        <v>9.29</v>
      </c>
    </row>
    <row r="1580">
      <c r="A1580" s="7">
        <v>46105.66919103799</v>
      </c>
      <c r="B1580" s="8" t="s">
        <v>5594</v>
      </c>
      <c r="C1580" s="8" t="s">
        <v>5595</v>
      </c>
      <c r="D1580" s="9">
        <v>46110.0</v>
      </c>
      <c r="E1580" s="10">
        <v>16.22</v>
      </c>
      <c r="F1580" s="26">
        <v>1.0308</v>
      </c>
      <c r="G1580" s="12">
        <v>3.011214E7</v>
      </c>
      <c r="H1580" s="8" t="s">
        <v>88</v>
      </c>
      <c r="I1580" s="11">
        <v>0.1853</v>
      </c>
      <c r="J1580" s="12">
        <v>6.878385056E9</v>
      </c>
      <c r="K1580" s="13"/>
      <c r="L1580" s="13">
        <v>-1.661</v>
      </c>
      <c r="M1580" s="8" t="s">
        <v>5596</v>
      </c>
      <c r="N1580" s="8" t="s">
        <v>5471</v>
      </c>
      <c r="O1580" s="13">
        <v>-343.6909</v>
      </c>
      <c r="P1580" s="13">
        <v>-100.2101</v>
      </c>
      <c r="Q1580" s="13">
        <v>20.2812</v>
      </c>
      <c r="R1580" s="13">
        <v>36.9947</v>
      </c>
      <c r="S1580" s="13">
        <v>2.0038</v>
      </c>
      <c r="T1580" s="14">
        <f>IFERROR(__xludf.DUMMYFUNCTION("IFERROR(GOOGLEFINANCE(B1580,""price""),"""")"),18.88)</f>
        <v>18.88</v>
      </c>
    </row>
    <row r="1581">
      <c r="A1581" s="15">
        <v>46105.66919103799</v>
      </c>
      <c r="B1581" s="16" t="s">
        <v>6078</v>
      </c>
      <c r="C1581" s="16" t="s">
        <v>6079</v>
      </c>
      <c r="D1581" s="17">
        <v>46110.0</v>
      </c>
      <c r="E1581" s="18">
        <v>16.6</v>
      </c>
      <c r="F1581" s="27">
        <v>1.0199</v>
      </c>
      <c r="G1581" s="20">
        <v>4.8694412E7</v>
      </c>
      <c r="H1581" s="16" t="s">
        <v>270</v>
      </c>
      <c r="I1581" s="19">
        <v>5.0301</v>
      </c>
      <c r="J1581" s="20">
        <v>4.0785707518E10</v>
      </c>
      <c r="K1581" s="21">
        <v>17.9459</v>
      </c>
      <c r="L1581" s="21">
        <v>0.925</v>
      </c>
      <c r="M1581" s="16" t="s">
        <v>6080</v>
      </c>
      <c r="N1581" s="16" t="s">
        <v>5777</v>
      </c>
      <c r="O1581" s="21">
        <v>41.9277</v>
      </c>
      <c r="P1581" s="21">
        <v>37.1124</v>
      </c>
      <c r="Q1581" s="21">
        <v>176.9308</v>
      </c>
      <c r="R1581" s="21">
        <v>4.1736</v>
      </c>
      <c r="S1581" s="21">
        <v>0.93</v>
      </c>
      <c r="T1581" s="22">
        <f>IFERROR(__xludf.DUMMYFUNCTION("IFERROR(GOOGLEFINANCE(B1581,""price""),"""")"),12.97)</f>
        <v>12.97</v>
      </c>
    </row>
    <row r="1582">
      <c r="A1582" s="7">
        <v>46105.66919103799</v>
      </c>
      <c r="B1582" s="8" t="s">
        <v>5591</v>
      </c>
      <c r="C1582" s="8" t="s">
        <v>5592</v>
      </c>
      <c r="D1582" s="9">
        <v>46110.0</v>
      </c>
      <c r="E1582" s="10">
        <v>9.28</v>
      </c>
      <c r="F1582" s="26">
        <v>1.0176</v>
      </c>
      <c r="G1582" s="12">
        <v>1.3817546E7</v>
      </c>
      <c r="H1582" s="8" t="s">
        <v>308</v>
      </c>
      <c r="I1582" s="11">
        <v>1.0893</v>
      </c>
      <c r="J1582" s="12">
        <v>2.141756981E9</v>
      </c>
      <c r="K1582" s="13"/>
      <c r="L1582" s="13">
        <v>-0.5698</v>
      </c>
      <c r="M1582" s="8" t="s">
        <v>5593</v>
      </c>
      <c r="N1582" s="8" t="s">
        <v>5414</v>
      </c>
      <c r="O1582" s="13">
        <v>-29.5457</v>
      </c>
      <c r="P1582" s="13">
        <v>-195.3894</v>
      </c>
      <c r="Q1582" s="13">
        <v>-44.8801</v>
      </c>
      <c r="R1582" s="13">
        <v>0.0146</v>
      </c>
      <c r="S1582" s="13">
        <v>4.9867</v>
      </c>
      <c r="T1582" s="14">
        <f>IFERROR(__xludf.DUMMYFUNCTION("IFERROR(GOOGLEFINANCE(B1582,""price""),"""")"),9.54)</f>
        <v>9.54</v>
      </c>
    </row>
    <row r="1583">
      <c r="A1583" s="15">
        <v>46105.66919103799</v>
      </c>
      <c r="B1583" s="16" t="s">
        <v>5570</v>
      </c>
      <c r="C1583" s="16" t="s">
        <v>5571</v>
      </c>
      <c r="D1583" s="17">
        <v>46110.0</v>
      </c>
      <c r="E1583" s="18">
        <v>1.55</v>
      </c>
      <c r="F1583" s="27">
        <v>1.0156</v>
      </c>
      <c r="G1583" s="20">
        <v>2.001941E7</v>
      </c>
      <c r="H1583" s="16" t="s">
        <v>186</v>
      </c>
      <c r="I1583" s="19">
        <v>-1.2739</v>
      </c>
      <c r="J1583" s="20">
        <v>5.01696011E8</v>
      </c>
      <c r="K1583" s="21">
        <v>3.9948</v>
      </c>
      <c r="L1583" s="21">
        <v>0.388</v>
      </c>
      <c r="M1583" s="16" t="s">
        <v>5572</v>
      </c>
      <c r="N1583" s="16" t="s">
        <v>5573</v>
      </c>
      <c r="O1583" s="21">
        <v>22.4406</v>
      </c>
      <c r="P1583" s="21">
        <v>-53.6599</v>
      </c>
      <c r="Q1583" s="21">
        <v>9.523</v>
      </c>
      <c r="R1583" s="21">
        <v>0.0463</v>
      </c>
      <c r="S1583" s="21">
        <v>17.5059</v>
      </c>
      <c r="T1583" s="22">
        <f>IFERROR(__xludf.DUMMYFUNCTION("IFERROR(GOOGLEFINANCE(B1583,""price""),"""")"),1.37)</f>
        <v>1.37</v>
      </c>
    </row>
    <row r="1584">
      <c r="A1584" s="7">
        <v>46105.66919103799</v>
      </c>
      <c r="B1584" s="8" t="s">
        <v>5858</v>
      </c>
      <c r="C1584" s="8" t="s">
        <v>5859</v>
      </c>
      <c r="D1584" s="9">
        <v>46110.0</v>
      </c>
      <c r="E1584" s="10">
        <v>28.2</v>
      </c>
      <c r="F1584" s="26">
        <v>1.0097</v>
      </c>
      <c r="G1584" s="12">
        <v>9706996.0</v>
      </c>
      <c r="H1584" s="8" t="s">
        <v>88</v>
      </c>
      <c r="I1584" s="11">
        <v>-1.913</v>
      </c>
      <c r="J1584" s="12">
        <v>4.280760086E9</v>
      </c>
      <c r="K1584" s="13"/>
      <c r="L1584" s="13">
        <v>-0.8329</v>
      </c>
      <c r="M1584" s="8" t="s">
        <v>5860</v>
      </c>
      <c r="N1584" s="8" t="s">
        <v>5664</v>
      </c>
      <c r="O1584" s="13">
        <v>-12.8431</v>
      </c>
      <c r="P1584" s="13">
        <v>-19.0035</v>
      </c>
      <c r="Q1584" s="13">
        <v>14.7776</v>
      </c>
      <c r="R1584" s="13">
        <v>0.4628</v>
      </c>
      <c r="S1584" s="13">
        <v>2.6119</v>
      </c>
      <c r="T1584" s="14">
        <f>IFERROR(__xludf.DUMMYFUNCTION("IFERROR(GOOGLEFINANCE(B1584,""price""),"""")"),23.07)</f>
        <v>23.07</v>
      </c>
    </row>
    <row r="1585">
      <c r="A1585" s="15">
        <v>46105.66919103799</v>
      </c>
      <c r="B1585" s="16" t="s">
        <v>5554</v>
      </c>
      <c r="C1585" s="16" t="s">
        <v>5555</v>
      </c>
      <c r="D1585" s="17">
        <v>46110.0</v>
      </c>
      <c r="E1585" s="18">
        <v>86.98</v>
      </c>
      <c r="F1585" s="27">
        <v>1.0056</v>
      </c>
      <c r="G1585" s="20">
        <v>1.0065895E7</v>
      </c>
      <c r="H1585" s="16" t="s">
        <v>873</v>
      </c>
      <c r="I1585" s="19">
        <v>-1.6286</v>
      </c>
      <c r="J1585" s="20">
        <v>3.3228742035E10</v>
      </c>
      <c r="K1585" s="21"/>
      <c r="L1585" s="21">
        <v>-1.3255</v>
      </c>
      <c r="M1585" s="16" t="s">
        <v>5556</v>
      </c>
      <c r="N1585" s="16" t="s">
        <v>5557</v>
      </c>
      <c r="O1585" s="21">
        <v>-29.4701</v>
      </c>
      <c r="P1585" s="21">
        <v>-405.6981</v>
      </c>
      <c r="Q1585" s="21">
        <v>1505.206</v>
      </c>
      <c r="R1585" s="21">
        <v>1.2162</v>
      </c>
      <c r="S1585" s="21">
        <v>16.3526</v>
      </c>
      <c r="T1585" s="22">
        <f>IFERROR(__xludf.DUMMYFUNCTION("IFERROR(GOOGLEFINANCE(B1585,""price""),"""")"),94.9)</f>
        <v>94.9</v>
      </c>
    </row>
    <row r="1586">
      <c r="A1586" s="7">
        <v>46105.66919103799</v>
      </c>
      <c r="B1586" s="8" t="s">
        <v>5496</v>
      </c>
      <c r="C1586" s="8" t="s">
        <v>5497</v>
      </c>
      <c r="D1586" s="9">
        <v>46110.0</v>
      </c>
      <c r="E1586" s="10">
        <v>8.25</v>
      </c>
      <c r="F1586" s="26">
        <v>0.9775</v>
      </c>
      <c r="G1586" s="12">
        <v>4.0704214E7</v>
      </c>
      <c r="H1586" s="8" t="s">
        <v>88</v>
      </c>
      <c r="I1586" s="11">
        <v>-7.4074</v>
      </c>
      <c r="J1586" s="12">
        <v>3.136935555E9</v>
      </c>
      <c r="K1586" s="13"/>
      <c r="L1586" s="13">
        <v>-3.9593</v>
      </c>
      <c r="M1586" s="8" t="s">
        <v>5498</v>
      </c>
      <c r="N1586" s="8" t="s">
        <v>5471</v>
      </c>
      <c r="O1586" s="13">
        <v>-34.5092</v>
      </c>
      <c r="P1586" s="13">
        <v>-90.4167</v>
      </c>
      <c r="Q1586" s="13">
        <v>38.1967</v>
      </c>
      <c r="R1586" s="13">
        <v>1.05</v>
      </c>
      <c r="S1586" s="13">
        <v>1.2728</v>
      </c>
      <c r="T1586" s="14">
        <f>IFERROR(__xludf.DUMMYFUNCTION("IFERROR(GOOGLEFINANCE(B1586,""price""),"""")"),9.54)</f>
        <v>9.54</v>
      </c>
    </row>
    <row r="1587">
      <c r="A1587" s="15">
        <v>46105.66919103799</v>
      </c>
      <c r="B1587" s="16" t="s">
        <v>5422</v>
      </c>
      <c r="C1587" s="16" t="s">
        <v>5423</v>
      </c>
      <c r="D1587" s="17">
        <v>46110.0</v>
      </c>
      <c r="E1587" s="18">
        <v>16.6</v>
      </c>
      <c r="F1587" s="27">
        <v>0.9772</v>
      </c>
      <c r="G1587" s="20">
        <v>1.1279753E7</v>
      </c>
      <c r="H1587" s="16" t="s">
        <v>102</v>
      </c>
      <c r="I1587" s="19">
        <v>-4.5428</v>
      </c>
      <c r="J1587" s="20">
        <v>3.617814552E9</v>
      </c>
      <c r="K1587" s="21"/>
      <c r="L1587" s="21">
        <v>-2.5128</v>
      </c>
      <c r="M1587" s="16" t="s">
        <v>5424</v>
      </c>
      <c r="N1587" s="16" t="s">
        <v>5425</v>
      </c>
      <c r="O1587" s="21">
        <v>-255.9098</v>
      </c>
      <c r="P1587" s="21"/>
      <c r="Q1587" s="21"/>
      <c r="R1587" s="21"/>
      <c r="S1587" s="21">
        <v>16.5111</v>
      </c>
      <c r="T1587" s="22">
        <f>IFERROR(__xludf.DUMMYFUNCTION("IFERROR(GOOGLEFINANCE(B1587,""price""),"""")"),16.15)</f>
        <v>16.15</v>
      </c>
    </row>
    <row r="1588">
      <c r="A1588" s="7">
        <v>46105.66919103799</v>
      </c>
      <c r="B1588" s="8" t="s">
        <v>5175</v>
      </c>
      <c r="C1588" s="8" t="s">
        <v>5176</v>
      </c>
      <c r="D1588" s="9">
        <v>46110.0</v>
      </c>
      <c r="E1588" s="10">
        <v>3.61</v>
      </c>
      <c r="F1588" s="26">
        <v>0.9688</v>
      </c>
      <c r="G1588" s="12">
        <v>1.2533512E7</v>
      </c>
      <c r="H1588" s="8" t="s">
        <v>93</v>
      </c>
      <c r="I1588" s="11">
        <v>-3.4759</v>
      </c>
      <c r="J1588" s="12">
        <v>5.775807803E9</v>
      </c>
      <c r="K1588" s="13">
        <v>59.1803</v>
      </c>
      <c r="L1588" s="13">
        <v>0.061</v>
      </c>
      <c r="M1588" s="8" t="s">
        <v>5177</v>
      </c>
      <c r="N1588" s="8" t="s">
        <v>5590</v>
      </c>
      <c r="O1588" s="13">
        <v>15.1674</v>
      </c>
      <c r="P1588" s="13">
        <v>45.0562</v>
      </c>
      <c r="Q1588" s="13">
        <v>32.5086</v>
      </c>
      <c r="R1588" s="13">
        <v>72.3717</v>
      </c>
      <c r="S1588" s="13">
        <v>0.2525</v>
      </c>
      <c r="T1588" s="14">
        <f>IFERROR(__xludf.DUMMYFUNCTION("IFERROR(GOOGLEFINANCE(B1588,""price""),"""")"),3.69)</f>
        <v>3.69</v>
      </c>
    </row>
    <row r="1589">
      <c r="A1589" s="15">
        <v>46105.66919103799</v>
      </c>
      <c r="B1589" s="16" t="s">
        <v>6175</v>
      </c>
      <c r="C1589" s="16" t="s">
        <v>6176</v>
      </c>
      <c r="D1589" s="17">
        <v>46110.0</v>
      </c>
      <c r="E1589" s="18">
        <v>9.66</v>
      </c>
      <c r="F1589" s="27">
        <v>0.9678</v>
      </c>
      <c r="G1589" s="20">
        <v>1.0787173E7</v>
      </c>
      <c r="H1589" s="16" t="s">
        <v>117</v>
      </c>
      <c r="I1589" s="19">
        <v>-1.4286</v>
      </c>
      <c r="J1589" s="20">
        <v>2.42273412E9</v>
      </c>
      <c r="K1589" s="21">
        <v>8.0286</v>
      </c>
      <c r="L1589" s="21">
        <v>1.2032</v>
      </c>
      <c r="M1589" s="16" t="s">
        <v>6177</v>
      </c>
      <c r="N1589" s="16" t="s">
        <v>5502</v>
      </c>
      <c r="O1589" s="21"/>
      <c r="P1589" s="21">
        <v>38.9774</v>
      </c>
      <c r="Q1589" s="21">
        <v>94.1011</v>
      </c>
      <c r="R1589" s="21"/>
      <c r="S1589" s="21">
        <v>2.0623</v>
      </c>
      <c r="T1589" s="22">
        <f>IFERROR(__xludf.DUMMYFUNCTION("IFERROR(GOOGLEFINANCE(B1589,""price""),"""")"),9.56)</f>
        <v>9.56</v>
      </c>
    </row>
    <row r="1590">
      <c r="A1590" s="7">
        <v>46105.66919103799</v>
      </c>
      <c r="B1590" s="8" t="s">
        <v>5481</v>
      </c>
      <c r="C1590" s="8" t="s">
        <v>5482</v>
      </c>
      <c r="D1590" s="9">
        <v>46110.0</v>
      </c>
      <c r="E1590" s="10">
        <v>9.58</v>
      </c>
      <c r="F1590" s="26">
        <v>0.9678</v>
      </c>
      <c r="G1590" s="12">
        <v>1.8345438E7</v>
      </c>
      <c r="H1590" s="8" t="s">
        <v>88</v>
      </c>
      <c r="I1590" s="11">
        <v>-4.008</v>
      </c>
      <c r="J1590" s="12">
        <v>2.450112662E9</v>
      </c>
      <c r="K1590" s="13"/>
      <c r="L1590" s="13">
        <v>-1.071</v>
      </c>
      <c r="M1590" s="8" t="s">
        <v>5483</v>
      </c>
      <c r="N1590" s="8" t="s">
        <v>5471</v>
      </c>
      <c r="O1590" s="13">
        <v>-15.3378</v>
      </c>
      <c r="P1590" s="13">
        <v>-20.8099</v>
      </c>
      <c r="Q1590" s="13">
        <v>67.959</v>
      </c>
      <c r="R1590" s="13">
        <v>1.2945</v>
      </c>
      <c r="S1590" s="13">
        <v>10.5425</v>
      </c>
      <c r="T1590" s="14">
        <f>IFERROR(__xludf.DUMMYFUNCTION("IFERROR(GOOGLEFINANCE(B1590,""price""),"""")"),10.02)</f>
        <v>10.02</v>
      </c>
    </row>
    <row r="1591">
      <c r="A1591" s="15">
        <v>46105.66919103799</v>
      </c>
      <c r="B1591" s="16" t="s">
        <v>5778</v>
      </c>
      <c r="C1591" s="16" t="s">
        <v>5779</v>
      </c>
      <c r="D1591" s="17">
        <v>46110.0</v>
      </c>
      <c r="E1591" s="18">
        <v>1.51</v>
      </c>
      <c r="F1591" s="27">
        <v>0.957</v>
      </c>
      <c r="G1591" s="20">
        <v>1.7139278E7</v>
      </c>
      <c r="H1591" s="16" t="s">
        <v>117</v>
      </c>
      <c r="I1591" s="19">
        <v>-1.9481</v>
      </c>
      <c r="J1591" s="20">
        <v>9.67222439E8</v>
      </c>
      <c r="K1591" s="21"/>
      <c r="L1591" s="21">
        <v>-0.1287</v>
      </c>
      <c r="M1591" s="16" t="s">
        <v>5780</v>
      </c>
      <c r="N1591" s="16" t="s">
        <v>5502</v>
      </c>
      <c r="O1591" s="21">
        <v>-33.8931</v>
      </c>
      <c r="P1591" s="21">
        <v>-29.2771</v>
      </c>
      <c r="Q1591" s="21">
        <v>138.822</v>
      </c>
      <c r="R1591" s="21">
        <v>1.1138</v>
      </c>
      <c r="S1591" s="21">
        <v>4.6644</v>
      </c>
      <c r="T1591" s="22">
        <f>IFERROR(__xludf.DUMMYFUNCTION("IFERROR(GOOGLEFINANCE(B1591,""price""),"""")"),1.67)</f>
        <v>1.67</v>
      </c>
    </row>
    <row r="1592">
      <c r="A1592" s="7">
        <v>46106.66711101208</v>
      </c>
      <c r="B1592" s="8" t="s">
        <v>5530</v>
      </c>
      <c r="C1592" s="8" t="s">
        <v>5531</v>
      </c>
      <c r="D1592" s="9">
        <v>46110.0</v>
      </c>
      <c r="E1592" s="10">
        <v>4.59</v>
      </c>
      <c r="F1592" s="26">
        <v>1.5781</v>
      </c>
      <c r="G1592" s="12">
        <v>1.4980708E7</v>
      </c>
      <c r="H1592" s="8" t="s">
        <v>335</v>
      </c>
      <c r="I1592" s="11">
        <v>-1.9231</v>
      </c>
      <c r="J1592" s="12">
        <v>1.89792837E9</v>
      </c>
      <c r="K1592" s="13"/>
      <c r="L1592" s="13">
        <v>-0.7653</v>
      </c>
      <c r="M1592" s="8" t="s">
        <v>5532</v>
      </c>
      <c r="N1592" s="8" t="s">
        <v>5506</v>
      </c>
      <c r="O1592" s="13"/>
      <c r="P1592" s="13"/>
      <c r="Q1592" s="13"/>
      <c r="R1592" s="13"/>
      <c r="S1592" s="13">
        <v>2.5028</v>
      </c>
      <c r="T1592" s="14">
        <f>IFERROR(__xludf.DUMMYFUNCTION("IFERROR(GOOGLEFINANCE(B1592,""price""),"""")"),4.34)</f>
        <v>4.34</v>
      </c>
    </row>
    <row r="1593">
      <c r="A1593" s="15">
        <v>46106.66711101208</v>
      </c>
      <c r="B1593" s="16" t="s">
        <v>6145</v>
      </c>
      <c r="C1593" s="16" t="s">
        <v>6146</v>
      </c>
      <c r="D1593" s="17">
        <v>46110.0</v>
      </c>
      <c r="E1593" s="18">
        <v>8.59</v>
      </c>
      <c r="F1593" s="27">
        <v>1.3994</v>
      </c>
      <c r="G1593" s="20">
        <v>9906863.0</v>
      </c>
      <c r="H1593" s="16" t="s">
        <v>107</v>
      </c>
      <c r="I1593" s="19">
        <v>16.8707</v>
      </c>
      <c r="J1593" s="20">
        <v>1.278459399E9</v>
      </c>
      <c r="K1593" s="21"/>
      <c r="L1593" s="21">
        <v>-0.1523</v>
      </c>
      <c r="M1593" s="16" t="s">
        <v>6147</v>
      </c>
      <c r="N1593" s="16" t="s">
        <v>5613</v>
      </c>
      <c r="O1593" s="21">
        <v>-36.2882</v>
      </c>
      <c r="P1593" s="21">
        <v>-8467.5962</v>
      </c>
      <c r="Q1593" s="21">
        <v>147.7433</v>
      </c>
      <c r="R1593" s="21">
        <v>0.0348</v>
      </c>
      <c r="S1593" s="21">
        <v>32.6897</v>
      </c>
      <c r="T1593" s="22">
        <f>IFERROR(__xludf.DUMMYFUNCTION("IFERROR(GOOGLEFINANCE(B1593,""price""),"""")"),10.6)</f>
        <v>10.6</v>
      </c>
    </row>
    <row r="1594">
      <c r="A1594" s="7">
        <v>46106.66711101208</v>
      </c>
      <c r="B1594" s="8" t="s">
        <v>627</v>
      </c>
      <c r="C1594" s="8" t="s">
        <v>628</v>
      </c>
      <c r="D1594" s="9">
        <v>46110.0</v>
      </c>
      <c r="E1594" s="10">
        <v>1.95</v>
      </c>
      <c r="F1594" s="26">
        <v>1.2344</v>
      </c>
      <c r="G1594" s="12">
        <v>1.2684836E7</v>
      </c>
      <c r="H1594" s="8" t="s">
        <v>117</v>
      </c>
      <c r="I1594" s="11">
        <v>1.5625</v>
      </c>
      <c r="J1594" s="12">
        <v>6.39399677E8</v>
      </c>
      <c r="K1594" s="13"/>
      <c r="L1594" s="13">
        <v>-0.2257</v>
      </c>
      <c r="M1594" s="8" t="s">
        <v>629</v>
      </c>
      <c r="N1594" s="8" t="s">
        <v>5491</v>
      </c>
      <c r="O1594" s="13">
        <v>-776.8922</v>
      </c>
      <c r="P1594" s="13">
        <v>-1425.6968</v>
      </c>
      <c r="Q1594" s="13">
        <v>8.8286</v>
      </c>
      <c r="R1594" s="13"/>
      <c r="S1594" s="13">
        <v>1.0563</v>
      </c>
      <c r="T1594" s="14">
        <f>IFERROR(__xludf.DUMMYFUNCTION("IFERROR(GOOGLEFINANCE(B1594,""price""),"""")"),1.76)</f>
        <v>1.76</v>
      </c>
    </row>
    <row r="1595">
      <c r="A1595" s="15">
        <v>46106.66711101208</v>
      </c>
      <c r="B1595" s="16" t="s">
        <v>5604</v>
      </c>
      <c r="C1595" s="16" t="s">
        <v>5605</v>
      </c>
      <c r="D1595" s="17">
        <v>46110.0</v>
      </c>
      <c r="E1595" s="18">
        <v>114.41</v>
      </c>
      <c r="F1595" s="27">
        <v>1.2225</v>
      </c>
      <c r="G1595" s="20">
        <v>1.1282959E7</v>
      </c>
      <c r="H1595" s="16" t="s">
        <v>308</v>
      </c>
      <c r="I1595" s="19">
        <v>0.4478</v>
      </c>
      <c r="J1595" s="20">
        <v>8.603497343E9</v>
      </c>
      <c r="K1595" s="21"/>
      <c r="L1595" s="21">
        <v>-0.6555</v>
      </c>
      <c r="M1595" s="16" t="s">
        <v>5606</v>
      </c>
      <c r="N1595" s="16" t="s">
        <v>5414</v>
      </c>
      <c r="O1595" s="21">
        <v>-7.9391</v>
      </c>
      <c r="P1595" s="21">
        <v>-11.9814</v>
      </c>
      <c r="Q1595" s="21">
        <v>82.7502</v>
      </c>
      <c r="R1595" s="21">
        <v>0.338</v>
      </c>
      <c r="S1595" s="21">
        <v>2.6264</v>
      </c>
      <c r="T1595" s="22">
        <f>IFERROR(__xludf.DUMMYFUNCTION("IFERROR(GOOGLEFINANCE(B1595,""price""),"""")"),150.6)</f>
        <v>150.6</v>
      </c>
    </row>
    <row r="1596">
      <c r="A1596" s="7">
        <v>46106.66711101208</v>
      </c>
      <c r="B1596" s="8" t="s">
        <v>6087</v>
      </c>
      <c r="C1596" s="8" t="s">
        <v>6088</v>
      </c>
      <c r="D1596" s="9">
        <v>46110.0</v>
      </c>
      <c r="E1596" s="10">
        <v>6.1</v>
      </c>
      <c r="F1596" s="26">
        <v>1.2188</v>
      </c>
      <c r="G1596" s="12">
        <v>8662795.0</v>
      </c>
      <c r="H1596" s="8" t="s">
        <v>102</v>
      </c>
      <c r="I1596" s="11">
        <v>6.2718</v>
      </c>
      <c r="J1596" s="12">
        <v>9.31538171E8</v>
      </c>
      <c r="K1596" s="13"/>
      <c r="L1596" s="13">
        <v>-0.6318</v>
      </c>
      <c r="M1596" s="8" t="s">
        <v>6089</v>
      </c>
      <c r="N1596" s="8" t="s">
        <v>5536</v>
      </c>
      <c r="O1596" s="13">
        <v>-104.168</v>
      </c>
      <c r="P1596" s="13">
        <v>-5151.455</v>
      </c>
      <c r="Q1596" s="13">
        <v>535.8653</v>
      </c>
      <c r="R1596" s="13">
        <v>0.1096</v>
      </c>
      <c r="S1596" s="13">
        <v>2.2985</v>
      </c>
      <c r="T1596" s="14">
        <f>IFERROR(__xludf.DUMMYFUNCTION("IFERROR(GOOGLEFINANCE(B1596,""price""),"""")"),7.04)</f>
        <v>7.04</v>
      </c>
    </row>
    <row r="1597">
      <c r="A1597" s="15">
        <v>46106.66711101208</v>
      </c>
      <c r="B1597" s="16" t="s">
        <v>5836</v>
      </c>
      <c r="C1597" s="16" t="s">
        <v>5837</v>
      </c>
      <c r="D1597" s="17">
        <v>46110.0</v>
      </c>
      <c r="E1597" s="18">
        <v>6.66</v>
      </c>
      <c r="F1597" s="27">
        <v>1.1758</v>
      </c>
      <c r="G1597" s="20">
        <v>1.0421315E7</v>
      </c>
      <c r="H1597" s="16" t="s">
        <v>93</v>
      </c>
      <c r="I1597" s="19">
        <v>-10.7239</v>
      </c>
      <c r="J1597" s="20">
        <v>4.089409122E9</v>
      </c>
      <c r="K1597" s="21"/>
      <c r="L1597" s="21"/>
      <c r="M1597" s="16" t="s">
        <v>5838</v>
      </c>
      <c r="N1597" s="16" t="s">
        <v>5839</v>
      </c>
      <c r="O1597" s="21"/>
      <c r="P1597" s="21"/>
      <c r="Q1597" s="21"/>
      <c r="R1597" s="21">
        <v>0.4147</v>
      </c>
      <c r="S1597" s="21">
        <v>2.8104</v>
      </c>
      <c r="T1597" s="22">
        <f>IFERROR(__xludf.DUMMYFUNCTION("IFERROR(GOOGLEFINANCE(B1597,""price""),"""")"),4.87)</f>
        <v>4.87</v>
      </c>
    </row>
    <row r="1598">
      <c r="A1598" s="7">
        <v>46106.66711101208</v>
      </c>
      <c r="B1598" s="8" t="s">
        <v>1077</v>
      </c>
      <c r="C1598" s="8" t="s">
        <v>1078</v>
      </c>
      <c r="D1598" s="9">
        <v>46110.0</v>
      </c>
      <c r="E1598" s="10">
        <v>9.87</v>
      </c>
      <c r="F1598" s="26">
        <v>1.1397</v>
      </c>
      <c r="G1598" s="12">
        <v>1.4541895E7</v>
      </c>
      <c r="H1598" s="8" t="s">
        <v>335</v>
      </c>
      <c r="I1598" s="11">
        <v>6.3578</v>
      </c>
      <c r="J1598" s="12">
        <v>1.415080938E9</v>
      </c>
      <c r="K1598" s="13"/>
      <c r="L1598" s="13">
        <v>-0.0349</v>
      </c>
      <c r="M1598" s="8" t="s">
        <v>1102</v>
      </c>
      <c r="N1598" s="8" t="s">
        <v>5506</v>
      </c>
      <c r="O1598" s="13">
        <v>-5.1187</v>
      </c>
      <c r="P1598" s="13">
        <v>-22.613</v>
      </c>
      <c r="Q1598" s="13">
        <v>162.805</v>
      </c>
      <c r="R1598" s="13">
        <v>0.0017</v>
      </c>
      <c r="S1598" s="13">
        <v>5.3788</v>
      </c>
      <c r="T1598" s="14">
        <f>IFERROR(__xludf.DUMMYFUNCTION("IFERROR(GOOGLEFINANCE(B1598,""price""),"""")"),8.36)</f>
        <v>8.36</v>
      </c>
    </row>
    <row r="1599">
      <c r="A1599" s="15">
        <v>46106.66711101208</v>
      </c>
      <c r="B1599" s="16" t="s">
        <v>5527</v>
      </c>
      <c r="C1599" s="16" t="s">
        <v>5528</v>
      </c>
      <c r="D1599" s="17">
        <v>46110.0</v>
      </c>
      <c r="E1599" s="18">
        <v>15.87</v>
      </c>
      <c r="F1599" s="27">
        <v>1.1328</v>
      </c>
      <c r="G1599" s="20">
        <v>1.8835934E7</v>
      </c>
      <c r="H1599" s="16" t="s">
        <v>88</v>
      </c>
      <c r="I1599" s="19">
        <v>-1.306</v>
      </c>
      <c r="J1599" s="20">
        <v>1.922472167E9</v>
      </c>
      <c r="K1599" s="21"/>
      <c r="L1599" s="21">
        <v>-0.7413</v>
      </c>
      <c r="M1599" s="16" t="s">
        <v>5529</v>
      </c>
      <c r="N1599" s="16" t="s">
        <v>5429</v>
      </c>
      <c r="O1599" s="21">
        <v>-48.7073</v>
      </c>
      <c r="P1599" s="21">
        <v>-163.5071</v>
      </c>
      <c r="Q1599" s="21">
        <v>402.7429</v>
      </c>
      <c r="R1599" s="21">
        <v>0.075</v>
      </c>
      <c r="S1599" s="21">
        <v>15.2861</v>
      </c>
      <c r="T1599" s="22">
        <f>IFERROR(__xludf.DUMMYFUNCTION("IFERROR(GOOGLEFINANCE(B1599,""price""),"""")"),12.37)</f>
        <v>12.37</v>
      </c>
    </row>
    <row r="1600">
      <c r="A1600" s="7">
        <v>46106.66711101208</v>
      </c>
      <c r="B1600" s="8" t="s">
        <v>5607</v>
      </c>
      <c r="C1600" s="8" t="s">
        <v>5608</v>
      </c>
      <c r="D1600" s="9">
        <v>46110.0</v>
      </c>
      <c r="E1600" s="10">
        <v>20.55</v>
      </c>
      <c r="F1600" s="26">
        <v>1.1116</v>
      </c>
      <c r="G1600" s="12">
        <v>2.2222727E7</v>
      </c>
      <c r="H1600" s="8" t="s">
        <v>308</v>
      </c>
      <c r="I1600" s="11">
        <v>14.6763</v>
      </c>
      <c r="J1600" s="12">
        <v>4.4552553E9</v>
      </c>
      <c r="K1600" s="13"/>
      <c r="L1600" s="13">
        <v>-0.7255</v>
      </c>
      <c r="M1600" s="8" t="s">
        <v>5609</v>
      </c>
      <c r="N1600" s="8" t="s">
        <v>5520</v>
      </c>
      <c r="O1600" s="13"/>
      <c r="P1600" s="13">
        <v>-36.3941</v>
      </c>
      <c r="Q1600" s="13">
        <v>-7.7134</v>
      </c>
      <c r="R1600" s="13"/>
      <c r="S1600" s="13">
        <v>4.9571</v>
      </c>
      <c r="T1600" s="14">
        <f>IFERROR(__xludf.DUMMYFUNCTION("IFERROR(GOOGLEFINANCE(B1600,""price""),"""")"),23.57)</f>
        <v>23.57</v>
      </c>
    </row>
    <row r="1601">
      <c r="A1601" s="15">
        <v>46106.66711101208</v>
      </c>
      <c r="B1601" s="16" t="s">
        <v>5514</v>
      </c>
      <c r="C1601" s="16" t="s">
        <v>5515</v>
      </c>
      <c r="D1601" s="17">
        <v>46110.0</v>
      </c>
      <c r="E1601" s="18">
        <v>8.07</v>
      </c>
      <c r="F1601" s="27">
        <v>1.0703</v>
      </c>
      <c r="G1601" s="20">
        <v>2.8850909E7</v>
      </c>
      <c r="H1601" s="16" t="s">
        <v>117</v>
      </c>
      <c r="I1601" s="19">
        <v>8.8334</v>
      </c>
      <c r="J1601" s="20">
        <v>8.29685936E9</v>
      </c>
      <c r="K1601" s="21"/>
      <c r="L1601" s="21">
        <v>-0.3898</v>
      </c>
      <c r="M1601" s="16" t="s">
        <v>5516</v>
      </c>
      <c r="N1601" s="16" t="s">
        <v>5491</v>
      </c>
      <c r="O1601" s="21"/>
      <c r="P1601" s="21">
        <v>-225.9966</v>
      </c>
      <c r="Q1601" s="21">
        <v>668.3147</v>
      </c>
      <c r="R1601" s="21"/>
      <c r="S1601" s="21">
        <v>5.0989</v>
      </c>
      <c r="T1601" s="22">
        <f>IFERROR(__xludf.DUMMYFUNCTION("IFERROR(GOOGLEFINANCE(B1601,""price""),"""")"),7.28)</f>
        <v>7.28</v>
      </c>
    </row>
    <row r="1602">
      <c r="A1602" s="7">
        <v>46106.66711101208</v>
      </c>
      <c r="B1602" s="8" t="s">
        <v>6187</v>
      </c>
      <c r="C1602" s="8" t="s">
        <v>6188</v>
      </c>
      <c r="D1602" s="9">
        <v>46110.0</v>
      </c>
      <c r="E1602" s="10">
        <v>27.53</v>
      </c>
      <c r="F1602" s="26">
        <v>1.0293</v>
      </c>
      <c r="G1602" s="12">
        <v>9537992.0</v>
      </c>
      <c r="H1602" s="8" t="s">
        <v>308</v>
      </c>
      <c r="I1602" s="11">
        <v>16.0135</v>
      </c>
      <c r="J1602" s="12">
        <v>4.403489283E9</v>
      </c>
      <c r="K1602" s="13"/>
      <c r="L1602" s="13">
        <v>-2.2672</v>
      </c>
      <c r="M1602" s="8" t="s">
        <v>6189</v>
      </c>
      <c r="N1602" s="8" t="s">
        <v>5520</v>
      </c>
      <c r="O1602" s="13">
        <v>-50.4849</v>
      </c>
      <c r="P1602" s="13">
        <v>-160.2215</v>
      </c>
      <c r="Q1602" s="13">
        <v>162.954</v>
      </c>
      <c r="R1602" s="13">
        <v>0.2593</v>
      </c>
      <c r="S1602" s="13">
        <v>4.5096</v>
      </c>
      <c r="T1602" s="14">
        <f>IFERROR(__xludf.DUMMYFUNCTION("IFERROR(GOOGLEFINANCE(B1602,""price""),"""")"),37.54)</f>
        <v>37.54</v>
      </c>
    </row>
    <row r="1603">
      <c r="A1603" s="15">
        <v>46106.66711101208</v>
      </c>
      <c r="B1603" s="16" t="s">
        <v>1403</v>
      </c>
      <c r="C1603" s="16" t="s">
        <v>1404</v>
      </c>
      <c r="D1603" s="17">
        <v>46110.0</v>
      </c>
      <c r="E1603" s="18">
        <v>25.73</v>
      </c>
      <c r="F1603" s="27">
        <v>1.0151</v>
      </c>
      <c r="G1603" s="20">
        <v>2.4548453E7</v>
      </c>
      <c r="H1603" s="16" t="s">
        <v>149</v>
      </c>
      <c r="I1603" s="19">
        <v>1.0208</v>
      </c>
      <c r="J1603" s="20">
        <v>3.5642712532E10</v>
      </c>
      <c r="K1603" s="21">
        <v>12.8425</v>
      </c>
      <c r="L1603" s="21">
        <v>2.0035</v>
      </c>
      <c r="M1603" s="16" t="s">
        <v>1405</v>
      </c>
      <c r="N1603" s="16" t="s">
        <v>5904</v>
      </c>
      <c r="O1603" s="21">
        <v>25.642</v>
      </c>
      <c r="P1603" s="21">
        <v>16.8326</v>
      </c>
      <c r="Q1603" s="21">
        <v>6.3946</v>
      </c>
      <c r="R1603" s="21">
        <v>2.2788</v>
      </c>
      <c r="S1603" s="21">
        <v>0.2945</v>
      </c>
      <c r="T1603" s="22">
        <f>IFERROR(__xludf.DUMMYFUNCTION("IFERROR(GOOGLEFINANCE(B1603,""price""),"""")"),27.98)</f>
        <v>27.98</v>
      </c>
    </row>
    <row r="1604">
      <c r="A1604" s="7">
        <v>46106.66711101208</v>
      </c>
      <c r="B1604" s="8" t="s">
        <v>6190</v>
      </c>
      <c r="C1604" s="8" t="s">
        <v>6191</v>
      </c>
      <c r="D1604" s="9">
        <v>46110.0</v>
      </c>
      <c r="E1604" s="10">
        <v>23.77</v>
      </c>
      <c r="F1604" s="26">
        <v>1.0111</v>
      </c>
      <c r="G1604" s="12">
        <v>1.7001606E7</v>
      </c>
      <c r="H1604" s="8" t="s">
        <v>117</v>
      </c>
      <c r="I1604" s="11">
        <v>34.9801</v>
      </c>
      <c r="J1604" s="12">
        <v>2.495607076E9</v>
      </c>
      <c r="K1604" s="13"/>
      <c r="L1604" s="13">
        <v>-8.4383</v>
      </c>
      <c r="M1604" s="8" t="s">
        <v>6192</v>
      </c>
      <c r="N1604" s="8" t="s">
        <v>5491</v>
      </c>
      <c r="O1604" s="13">
        <v>-63.169</v>
      </c>
      <c r="P1604" s="13">
        <v>-29.9227</v>
      </c>
      <c r="Q1604" s="13">
        <v>15.5763</v>
      </c>
      <c r="R1604" s="13">
        <v>0.9114</v>
      </c>
      <c r="S1604" s="13">
        <v>2.3171</v>
      </c>
      <c r="T1604" s="14">
        <f>IFERROR(__xludf.DUMMYFUNCTION("IFERROR(GOOGLEFINANCE(B1604,""price""),"""")"),21.18)</f>
        <v>21.18</v>
      </c>
    </row>
    <row r="1605">
      <c r="A1605" s="15">
        <v>46106.66711101208</v>
      </c>
      <c r="B1605" s="16" t="s">
        <v>5434</v>
      </c>
      <c r="C1605" s="16" t="s">
        <v>5435</v>
      </c>
      <c r="D1605" s="17">
        <v>46110.0</v>
      </c>
      <c r="E1605" s="18">
        <v>10.31</v>
      </c>
      <c r="F1605" s="27">
        <v>1.0039</v>
      </c>
      <c r="G1605" s="20">
        <v>9.2229318E7</v>
      </c>
      <c r="H1605" s="16" t="s">
        <v>308</v>
      </c>
      <c r="I1605" s="19">
        <v>-3.4644</v>
      </c>
      <c r="J1605" s="20">
        <v>4.776890452E9</v>
      </c>
      <c r="K1605" s="21"/>
      <c r="L1605" s="21">
        <v>-0.6686</v>
      </c>
      <c r="M1605" s="16" t="s">
        <v>5436</v>
      </c>
      <c r="N1605" s="16" t="s">
        <v>5437</v>
      </c>
      <c r="O1605" s="21">
        <v>-58.1653</v>
      </c>
      <c r="P1605" s="21">
        <v>-115.0855</v>
      </c>
      <c r="Q1605" s="21">
        <v>605.3129</v>
      </c>
      <c r="R1605" s="21">
        <v>0.0286</v>
      </c>
      <c r="S1605" s="21">
        <v>4.8364</v>
      </c>
      <c r="T1605" s="22">
        <f>IFERROR(__xludf.DUMMYFUNCTION("IFERROR(GOOGLEFINANCE(B1605,""price""),"""")"),9.13)</f>
        <v>9.13</v>
      </c>
    </row>
    <row r="1606">
      <c r="A1606" s="7">
        <v>46106.66711101208</v>
      </c>
      <c r="B1606" s="8" t="s">
        <v>5649</v>
      </c>
      <c r="C1606" s="8" t="s">
        <v>5650</v>
      </c>
      <c r="D1606" s="9">
        <v>46110.0</v>
      </c>
      <c r="E1606" s="10">
        <v>35.37</v>
      </c>
      <c r="F1606" s="26">
        <v>1.0013</v>
      </c>
      <c r="G1606" s="12">
        <v>2.479678E7</v>
      </c>
      <c r="H1606" s="8" t="s">
        <v>88</v>
      </c>
      <c r="I1606" s="11">
        <v>11.1216</v>
      </c>
      <c r="J1606" s="12">
        <v>1.2043695915E10</v>
      </c>
      <c r="K1606" s="13"/>
      <c r="L1606" s="13">
        <v>-0.7881</v>
      </c>
      <c r="M1606" s="8" t="s">
        <v>5651</v>
      </c>
      <c r="N1606" s="8" t="s">
        <v>5429</v>
      </c>
      <c r="O1606" s="13">
        <v>-78.4035</v>
      </c>
      <c r="P1606" s="13">
        <v>-30.5248</v>
      </c>
      <c r="Q1606" s="13">
        <v>25.9359</v>
      </c>
      <c r="R1606" s="13">
        <v>2.4544</v>
      </c>
      <c r="S1606" s="13">
        <v>1.6475</v>
      </c>
      <c r="T1606" s="14">
        <f>IFERROR(__xludf.DUMMYFUNCTION("IFERROR(GOOGLEFINANCE(B1606,""price""),"""")"),34.67)</f>
        <v>34.67</v>
      </c>
    </row>
    <row r="1607">
      <c r="A1607" s="15">
        <v>46106.66711101208</v>
      </c>
      <c r="B1607" s="16" t="s">
        <v>5558</v>
      </c>
      <c r="C1607" s="16" t="s">
        <v>5559</v>
      </c>
      <c r="D1607" s="17">
        <v>46110.0</v>
      </c>
      <c r="E1607" s="18">
        <v>5.1</v>
      </c>
      <c r="F1607" s="27">
        <v>0.9844</v>
      </c>
      <c r="G1607" s="20">
        <v>1.4270977E7</v>
      </c>
      <c r="H1607" s="16" t="s">
        <v>102</v>
      </c>
      <c r="I1607" s="19">
        <v>0.1965</v>
      </c>
      <c r="J1607" s="20">
        <v>1.731114804E9</v>
      </c>
      <c r="K1607" s="21"/>
      <c r="L1607" s="21">
        <v>-6.9942</v>
      </c>
      <c r="M1607" s="16" t="s">
        <v>5560</v>
      </c>
      <c r="N1607" s="16" t="s">
        <v>5536</v>
      </c>
      <c r="O1607" s="21"/>
      <c r="P1607" s="21">
        <v>-225.4661</v>
      </c>
      <c r="Q1607" s="21">
        <v>631.7891</v>
      </c>
      <c r="R1607" s="21"/>
      <c r="S1607" s="21">
        <v>4.9358</v>
      </c>
      <c r="T1607" s="22">
        <f>IFERROR(__xludf.DUMMYFUNCTION("IFERROR(GOOGLEFINANCE(B1607,""price""),"""")"),5.62)</f>
        <v>5.62</v>
      </c>
    </row>
    <row r="1608">
      <c r="A1608" s="7">
        <v>46106.66711101208</v>
      </c>
      <c r="B1608" s="8" t="s">
        <v>6184</v>
      </c>
      <c r="C1608" s="8" t="s">
        <v>6185</v>
      </c>
      <c r="D1608" s="9">
        <v>46110.0</v>
      </c>
      <c r="E1608" s="10">
        <v>9.63</v>
      </c>
      <c r="F1608" s="26">
        <v>0.9756</v>
      </c>
      <c r="G1608" s="12">
        <v>3.2421586E7</v>
      </c>
      <c r="H1608" s="8" t="s">
        <v>117</v>
      </c>
      <c r="I1608" s="11">
        <v>-15.0044</v>
      </c>
      <c r="J1608" s="12">
        <v>2.293472738E9</v>
      </c>
      <c r="K1608" s="13">
        <v>16.0768</v>
      </c>
      <c r="L1608" s="13">
        <v>0.599</v>
      </c>
      <c r="M1608" s="8" t="s">
        <v>6186</v>
      </c>
      <c r="N1608" s="8" t="s">
        <v>5502</v>
      </c>
      <c r="O1608" s="13">
        <v>35.5617</v>
      </c>
      <c r="P1608" s="13">
        <v>37.5249</v>
      </c>
      <c r="Q1608" s="13">
        <v>19.6314</v>
      </c>
      <c r="R1608" s="13">
        <v>0.1674</v>
      </c>
      <c r="S1608" s="13">
        <v>6.7084</v>
      </c>
      <c r="T1608" s="14">
        <f>IFERROR(__xludf.DUMMYFUNCTION("IFERROR(GOOGLEFINANCE(B1608,""price""),"""")"),9.7)</f>
        <v>9.7</v>
      </c>
    </row>
    <row r="1609">
      <c r="A1609" s="15">
        <v>46106.66711101208</v>
      </c>
      <c r="B1609" s="16" t="s">
        <v>5544</v>
      </c>
      <c r="C1609" s="16" t="s">
        <v>6105</v>
      </c>
      <c r="D1609" s="17">
        <v>46110.0</v>
      </c>
      <c r="E1609" s="18">
        <v>15.88</v>
      </c>
      <c r="F1609" s="27">
        <v>0.9616</v>
      </c>
      <c r="G1609" s="20">
        <v>4.0590058E7</v>
      </c>
      <c r="H1609" s="16" t="s">
        <v>88</v>
      </c>
      <c r="I1609" s="19">
        <v>6.7204</v>
      </c>
      <c r="J1609" s="20">
        <v>6.433296364E9</v>
      </c>
      <c r="K1609" s="21"/>
      <c r="L1609" s="21">
        <v>-2.0516</v>
      </c>
      <c r="M1609" s="16" t="s">
        <v>5546</v>
      </c>
      <c r="N1609" s="16" t="s">
        <v>5471</v>
      </c>
      <c r="O1609" s="21">
        <v>-110.5547</v>
      </c>
      <c r="P1609" s="21">
        <v>-76.6975</v>
      </c>
      <c r="Q1609" s="21">
        <v>48.0413</v>
      </c>
      <c r="R1609" s="21">
        <v>3.435</v>
      </c>
      <c r="S1609" s="21">
        <v>3.7948</v>
      </c>
      <c r="T1609" s="22">
        <f>IFERROR(__xludf.DUMMYFUNCTION("IFERROR(GOOGLEFINANCE(B1609,""price""),"""")"),16.53)</f>
        <v>16.53</v>
      </c>
    </row>
    <row r="1610">
      <c r="A1610" s="7">
        <v>46106.66711101208</v>
      </c>
      <c r="B1610" s="8" t="s">
        <v>5517</v>
      </c>
      <c r="C1610" s="8" t="s">
        <v>5518</v>
      </c>
      <c r="D1610" s="9">
        <v>46110.0</v>
      </c>
      <c r="E1610" s="10">
        <v>9.16</v>
      </c>
      <c r="F1610" s="26">
        <v>0.957</v>
      </c>
      <c r="G1610" s="12">
        <v>3.6400429E7</v>
      </c>
      <c r="H1610" s="8" t="s">
        <v>308</v>
      </c>
      <c r="I1610" s="11">
        <v>1.2155</v>
      </c>
      <c r="J1610" s="12">
        <v>1.758498361E9</v>
      </c>
      <c r="K1610" s="13"/>
      <c r="L1610" s="13">
        <v>-2.3761</v>
      </c>
      <c r="M1610" s="8" t="s">
        <v>5519</v>
      </c>
      <c r="N1610" s="8" t="s">
        <v>5520</v>
      </c>
      <c r="O1610" s="13">
        <v>-52.0031</v>
      </c>
      <c r="P1610" s="13">
        <v>-49.6608</v>
      </c>
      <c r="Q1610" s="13">
        <v>10.2861</v>
      </c>
      <c r="R1610" s="13">
        <v>0.1895</v>
      </c>
      <c r="S1610" s="13">
        <v>1.6246</v>
      </c>
      <c r="T1610" s="14">
        <f>IFERROR(__xludf.DUMMYFUNCTION("IFERROR(GOOGLEFINANCE(B1610,""price""),"""")"),9.29)</f>
        <v>9.29</v>
      </c>
    </row>
    <row r="1611">
      <c r="A1611" s="15">
        <v>46106.66711101208</v>
      </c>
      <c r="B1611" s="16" t="s">
        <v>5422</v>
      </c>
      <c r="C1611" s="16" t="s">
        <v>5423</v>
      </c>
      <c r="D1611" s="17">
        <v>46110.0</v>
      </c>
      <c r="E1611" s="18">
        <v>16.64</v>
      </c>
      <c r="F1611" s="27">
        <v>0.9544</v>
      </c>
      <c r="G1611" s="20">
        <v>9387746.0</v>
      </c>
      <c r="H1611" s="16" t="s">
        <v>102</v>
      </c>
      <c r="I1611" s="19">
        <v>0.241</v>
      </c>
      <c r="J1611" s="20">
        <v>3.626532388E9</v>
      </c>
      <c r="K1611" s="21"/>
      <c r="L1611" s="21">
        <v>-2.5128</v>
      </c>
      <c r="M1611" s="16" t="s">
        <v>5424</v>
      </c>
      <c r="N1611" s="16" t="s">
        <v>5425</v>
      </c>
      <c r="O1611" s="21">
        <v>-255.9098</v>
      </c>
      <c r="P1611" s="21"/>
      <c r="Q1611" s="21"/>
      <c r="R1611" s="21"/>
      <c r="S1611" s="21">
        <v>16.5111</v>
      </c>
      <c r="T1611" s="22">
        <f>IFERROR(__xludf.DUMMYFUNCTION("IFERROR(GOOGLEFINANCE(B1611,""price""),"""")"),16.15)</f>
        <v>16.15</v>
      </c>
    </row>
    <row r="1612">
      <c r="A1612" s="7">
        <v>46106.66711101208</v>
      </c>
      <c r="B1612" s="8" t="s">
        <v>5554</v>
      </c>
      <c r="C1612" s="8" t="s">
        <v>5555</v>
      </c>
      <c r="D1612" s="9">
        <v>46110.0</v>
      </c>
      <c r="E1612" s="10">
        <v>96.06</v>
      </c>
      <c r="F1612" s="26">
        <v>0.9425</v>
      </c>
      <c r="G1612" s="12">
        <v>1.7956949E7</v>
      </c>
      <c r="H1612" s="8" t="s">
        <v>873</v>
      </c>
      <c r="I1612" s="11">
        <v>10.4392</v>
      </c>
      <c r="J1612" s="12">
        <v>3.6697552877E10</v>
      </c>
      <c r="K1612" s="13"/>
      <c r="L1612" s="13">
        <v>-1.3255</v>
      </c>
      <c r="M1612" s="8" t="s">
        <v>5556</v>
      </c>
      <c r="N1612" s="8" t="s">
        <v>5557</v>
      </c>
      <c r="O1612" s="13">
        <v>-29.4701</v>
      </c>
      <c r="P1612" s="13">
        <v>-405.6981</v>
      </c>
      <c r="Q1612" s="13">
        <v>1505.206</v>
      </c>
      <c r="R1612" s="13">
        <v>1.2162</v>
      </c>
      <c r="S1612" s="13">
        <v>16.3526</v>
      </c>
      <c r="T1612" s="14">
        <f>IFERROR(__xludf.DUMMYFUNCTION("IFERROR(GOOGLEFINANCE(B1612,""price""),"""")"),94.9)</f>
        <v>94.9</v>
      </c>
    </row>
    <row r="1613">
      <c r="A1613" s="15">
        <v>46106.66711101208</v>
      </c>
      <c r="B1613" s="16" t="s">
        <v>5858</v>
      </c>
      <c r="C1613" s="16" t="s">
        <v>5859</v>
      </c>
      <c r="D1613" s="17">
        <v>46110.0</v>
      </c>
      <c r="E1613" s="18">
        <v>29.79</v>
      </c>
      <c r="F1613" s="27">
        <v>0.9236</v>
      </c>
      <c r="G1613" s="20">
        <v>1.3570525E7</v>
      </c>
      <c r="H1613" s="16" t="s">
        <v>88</v>
      </c>
      <c r="I1613" s="19">
        <v>5.6383</v>
      </c>
      <c r="J1613" s="20">
        <v>4.522122213E9</v>
      </c>
      <c r="K1613" s="21"/>
      <c r="L1613" s="21">
        <v>-0.8329</v>
      </c>
      <c r="M1613" s="16" t="s">
        <v>5860</v>
      </c>
      <c r="N1613" s="16" t="s">
        <v>5664</v>
      </c>
      <c r="O1613" s="21">
        <v>-12.8431</v>
      </c>
      <c r="P1613" s="21">
        <v>-19.0035</v>
      </c>
      <c r="Q1613" s="21">
        <v>14.7776</v>
      </c>
      <c r="R1613" s="21">
        <v>0.4628</v>
      </c>
      <c r="S1613" s="21">
        <v>2.6119</v>
      </c>
      <c r="T1613" s="22">
        <f>IFERROR(__xludf.DUMMYFUNCTION("IFERROR(GOOGLEFINANCE(B1613,""price""),"""")"),23.07)</f>
        <v>23.07</v>
      </c>
    </row>
    <row r="1614">
      <c r="A1614" s="7">
        <v>46106.66711101208</v>
      </c>
      <c r="B1614" s="8" t="s">
        <v>5594</v>
      </c>
      <c r="C1614" s="8" t="s">
        <v>5595</v>
      </c>
      <c r="D1614" s="9">
        <v>46110.0</v>
      </c>
      <c r="E1614" s="10">
        <v>16.86</v>
      </c>
      <c r="F1614" s="26">
        <v>0.9079</v>
      </c>
      <c r="G1614" s="12">
        <v>3.0087707E7</v>
      </c>
      <c r="H1614" s="8" t="s">
        <v>88</v>
      </c>
      <c r="I1614" s="11">
        <v>3.9457</v>
      </c>
      <c r="J1614" s="12">
        <v>7.14978812E9</v>
      </c>
      <c r="K1614" s="13"/>
      <c r="L1614" s="13">
        <v>-1.661</v>
      </c>
      <c r="M1614" s="8" t="s">
        <v>5596</v>
      </c>
      <c r="N1614" s="8" t="s">
        <v>5471</v>
      </c>
      <c r="O1614" s="13">
        <v>-343.6909</v>
      </c>
      <c r="P1614" s="13">
        <v>-100.2101</v>
      </c>
      <c r="Q1614" s="13">
        <v>20.2812</v>
      </c>
      <c r="R1614" s="13">
        <v>36.9947</v>
      </c>
      <c r="S1614" s="13">
        <v>2.0038</v>
      </c>
      <c r="T1614" s="14">
        <f>IFERROR(__xludf.DUMMYFUNCTION("IFERROR(GOOGLEFINANCE(B1614,""price""),"""")"),18.88)</f>
        <v>18.88</v>
      </c>
    </row>
    <row r="1615">
      <c r="A1615" s="15">
        <v>46106.66711101208</v>
      </c>
      <c r="B1615" s="16" t="s">
        <v>5591</v>
      </c>
      <c r="C1615" s="16" t="s">
        <v>5592</v>
      </c>
      <c r="D1615" s="17">
        <v>46110.0</v>
      </c>
      <c r="E1615" s="18">
        <v>9.48</v>
      </c>
      <c r="F1615" s="27">
        <v>0.9043</v>
      </c>
      <c r="G1615" s="20">
        <v>1.3632023E7</v>
      </c>
      <c r="H1615" s="16" t="s">
        <v>308</v>
      </c>
      <c r="I1615" s="19">
        <v>2.1552</v>
      </c>
      <c r="J1615" s="20">
        <v>2.187915401E9</v>
      </c>
      <c r="K1615" s="21"/>
      <c r="L1615" s="21">
        <v>-0.5698</v>
      </c>
      <c r="M1615" s="16" t="s">
        <v>5593</v>
      </c>
      <c r="N1615" s="16" t="s">
        <v>5414</v>
      </c>
      <c r="O1615" s="21">
        <v>-29.5457</v>
      </c>
      <c r="P1615" s="21">
        <v>-195.3894</v>
      </c>
      <c r="Q1615" s="21">
        <v>-44.8801</v>
      </c>
      <c r="R1615" s="21">
        <v>0.0146</v>
      </c>
      <c r="S1615" s="21">
        <v>4.9867</v>
      </c>
      <c r="T1615" s="22">
        <f>IFERROR(__xludf.DUMMYFUNCTION("IFERROR(GOOGLEFINANCE(B1615,""price""),"""")"),9.54)</f>
        <v>9.54</v>
      </c>
    </row>
    <row r="1616">
      <c r="A1616" s="7">
        <v>46106.66711101208</v>
      </c>
      <c r="B1616" s="8" t="s">
        <v>5481</v>
      </c>
      <c r="C1616" s="8" t="s">
        <v>5482</v>
      </c>
      <c r="D1616" s="9">
        <v>46110.0</v>
      </c>
      <c r="E1616" s="10">
        <v>9.96</v>
      </c>
      <c r="F1616" s="26">
        <v>0.8965</v>
      </c>
      <c r="G1616" s="12">
        <v>2.4710895E7</v>
      </c>
      <c r="H1616" s="8" t="s">
        <v>88</v>
      </c>
      <c r="I1616" s="11">
        <v>3.9666</v>
      </c>
      <c r="J1616" s="12">
        <v>2.547298856E9</v>
      </c>
      <c r="K1616" s="13"/>
      <c r="L1616" s="13">
        <v>-1.071</v>
      </c>
      <c r="M1616" s="8" t="s">
        <v>5483</v>
      </c>
      <c r="N1616" s="8" t="s">
        <v>5471</v>
      </c>
      <c r="O1616" s="13">
        <v>-15.3378</v>
      </c>
      <c r="P1616" s="13">
        <v>-20.8099</v>
      </c>
      <c r="Q1616" s="13">
        <v>67.959</v>
      </c>
      <c r="R1616" s="13">
        <v>1.2945</v>
      </c>
      <c r="S1616" s="13">
        <v>10.5425</v>
      </c>
      <c r="T1616" s="14">
        <f>IFERROR(__xludf.DUMMYFUNCTION("IFERROR(GOOGLEFINANCE(B1616,""price""),"""")"),10.02)</f>
        <v>10.02</v>
      </c>
    </row>
    <row r="1617">
      <c r="A1617" s="15">
        <v>46106.66711101208</v>
      </c>
      <c r="B1617" s="16" t="s">
        <v>5665</v>
      </c>
      <c r="C1617" s="16" t="s">
        <v>5666</v>
      </c>
      <c r="D1617" s="17">
        <v>46110.0</v>
      </c>
      <c r="E1617" s="18">
        <v>103.86</v>
      </c>
      <c r="F1617" s="27">
        <v>0.887</v>
      </c>
      <c r="G1617" s="20">
        <v>2.2077434E7</v>
      </c>
      <c r="H1617" s="16" t="s">
        <v>88</v>
      </c>
      <c r="I1617" s="19">
        <v>2.6589</v>
      </c>
      <c r="J1617" s="20">
        <v>2.5634268079E10</v>
      </c>
      <c r="K1617" s="21"/>
      <c r="L1617" s="21">
        <v>-0.5429</v>
      </c>
      <c r="M1617" s="16" t="s">
        <v>5667</v>
      </c>
      <c r="N1617" s="16" t="s">
        <v>5429</v>
      </c>
      <c r="O1617" s="21">
        <v>-2.7585</v>
      </c>
      <c r="P1617" s="21">
        <v>-3.1942</v>
      </c>
      <c r="Q1617" s="21">
        <v>63.8561</v>
      </c>
      <c r="R1617" s="21">
        <v>0.0155</v>
      </c>
      <c r="S1617" s="21">
        <v>1.0328</v>
      </c>
      <c r="T1617" s="22">
        <f>IFERROR(__xludf.DUMMYFUNCTION("IFERROR(GOOGLEFINANCE(B1617,""price""),"""")"),88.04)</f>
        <v>88.04</v>
      </c>
    </row>
    <row r="1618">
      <c r="A1618" s="7">
        <v>46106.66711101208</v>
      </c>
      <c r="B1618" s="8" t="s">
        <v>5496</v>
      </c>
      <c r="C1618" s="8" t="s">
        <v>5497</v>
      </c>
      <c r="D1618" s="9">
        <v>46110.0</v>
      </c>
      <c r="E1618" s="10">
        <v>8.28</v>
      </c>
      <c r="F1618" s="26">
        <v>0.8867</v>
      </c>
      <c r="G1618" s="12">
        <v>3.8665197E7</v>
      </c>
      <c r="H1618" s="8" t="s">
        <v>88</v>
      </c>
      <c r="I1618" s="11">
        <v>0.3636</v>
      </c>
      <c r="J1618" s="12">
        <v>3.148342647E9</v>
      </c>
      <c r="K1618" s="13"/>
      <c r="L1618" s="13">
        <v>-3.9593</v>
      </c>
      <c r="M1618" s="8" t="s">
        <v>5498</v>
      </c>
      <c r="N1618" s="8" t="s">
        <v>5471</v>
      </c>
      <c r="O1618" s="13">
        <v>-34.5092</v>
      </c>
      <c r="P1618" s="13">
        <v>-90.4167</v>
      </c>
      <c r="Q1618" s="13">
        <v>38.1967</v>
      </c>
      <c r="R1618" s="13">
        <v>1.05</v>
      </c>
      <c r="S1618" s="13">
        <v>1.2728</v>
      </c>
      <c r="T1618" s="14">
        <f>IFERROR(__xludf.DUMMYFUNCTION("IFERROR(GOOGLEFINANCE(B1618,""price""),"""")"),9.54)</f>
        <v>9.54</v>
      </c>
    </row>
    <row r="1619">
      <c r="A1619" s="15">
        <v>46106.66711101208</v>
      </c>
      <c r="B1619" s="16" t="s">
        <v>5574</v>
      </c>
      <c r="C1619" s="16" t="s">
        <v>5575</v>
      </c>
      <c r="D1619" s="17">
        <v>46110.0</v>
      </c>
      <c r="E1619" s="18">
        <v>18.75</v>
      </c>
      <c r="F1619" s="27">
        <v>0.8835</v>
      </c>
      <c r="G1619" s="20">
        <v>1.1317657E7</v>
      </c>
      <c r="H1619" s="16" t="s">
        <v>335</v>
      </c>
      <c r="I1619" s="19">
        <v>3.8206</v>
      </c>
      <c r="J1619" s="20">
        <v>4.530112419E9</v>
      </c>
      <c r="K1619" s="21"/>
      <c r="L1619" s="21">
        <v>-0.3843</v>
      </c>
      <c r="M1619" s="16" t="s">
        <v>5576</v>
      </c>
      <c r="N1619" s="16" t="s">
        <v>5506</v>
      </c>
      <c r="O1619" s="21">
        <v>-14.199</v>
      </c>
      <c r="P1619" s="21">
        <v>-153.4465</v>
      </c>
      <c r="Q1619" s="21">
        <v>-15.608</v>
      </c>
      <c r="R1619" s="21">
        <v>0.996</v>
      </c>
      <c r="S1619" s="21">
        <v>30.6942</v>
      </c>
      <c r="T1619" s="22">
        <f>IFERROR(__xludf.DUMMYFUNCTION("IFERROR(GOOGLEFINANCE(B1619,""price""),"""")"),18.4)</f>
        <v>18.4</v>
      </c>
    </row>
    <row r="1620">
      <c r="A1620" s="7">
        <v>46106.66711101208</v>
      </c>
      <c r="B1620" s="8" t="s">
        <v>5175</v>
      </c>
      <c r="C1620" s="8" t="s">
        <v>5176</v>
      </c>
      <c r="D1620" s="9">
        <v>46110.0</v>
      </c>
      <c r="E1620" s="10">
        <v>3.53</v>
      </c>
      <c r="F1620" s="26">
        <v>0.8828</v>
      </c>
      <c r="G1620" s="12">
        <v>1.0675068E7</v>
      </c>
      <c r="H1620" s="8" t="s">
        <v>93</v>
      </c>
      <c r="I1620" s="11">
        <v>-2.2161</v>
      </c>
      <c r="J1620" s="12">
        <v>5.647811883E9</v>
      </c>
      <c r="K1620" s="13">
        <v>57.8689</v>
      </c>
      <c r="L1620" s="13">
        <v>0.061</v>
      </c>
      <c r="M1620" s="8" t="s">
        <v>5177</v>
      </c>
      <c r="N1620" s="8" t="s">
        <v>5590</v>
      </c>
      <c r="O1620" s="13">
        <v>15.1674</v>
      </c>
      <c r="P1620" s="13">
        <v>45.0562</v>
      </c>
      <c r="Q1620" s="13">
        <v>32.5086</v>
      </c>
      <c r="R1620" s="13">
        <v>72.3717</v>
      </c>
      <c r="S1620" s="13">
        <v>0.2525</v>
      </c>
      <c r="T1620" s="14">
        <f>IFERROR(__xludf.DUMMYFUNCTION("IFERROR(GOOGLEFINANCE(B1620,""price""),"""")"),3.69)</f>
        <v>3.69</v>
      </c>
    </row>
    <row r="1621">
      <c r="A1621" s="15">
        <v>46106.66711101208</v>
      </c>
      <c r="B1621" s="16" t="s">
        <v>6078</v>
      </c>
      <c r="C1621" s="16" t="s">
        <v>6079</v>
      </c>
      <c r="D1621" s="17">
        <v>46110.0</v>
      </c>
      <c r="E1621" s="18">
        <v>16.71</v>
      </c>
      <c r="F1621" s="27">
        <v>0.8818</v>
      </c>
      <c r="G1621" s="20">
        <v>2.7979803E7</v>
      </c>
      <c r="H1621" s="16" t="s">
        <v>270</v>
      </c>
      <c r="I1621" s="19">
        <v>0.6627</v>
      </c>
      <c r="J1621" s="20">
        <v>4.1055974703E10</v>
      </c>
      <c r="K1621" s="21">
        <v>18.0649</v>
      </c>
      <c r="L1621" s="21">
        <v>0.925</v>
      </c>
      <c r="M1621" s="16" t="s">
        <v>6080</v>
      </c>
      <c r="N1621" s="16" t="s">
        <v>5777</v>
      </c>
      <c r="O1621" s="21">
        <v>41.9277</v>
      </c>
      <c r="P1621" s="21">
        <v>37.1124</v>
      </c>
      <c r="Q1621" s="21">
        <v>176.9308</v>
      </c>
      <c r="R1621" s="21">
        <v>4.1736</v>
      </c>
      <c r="S1621" s="21">
        <v>0.93</v>
      </c>
      <c r="T1621" s="22">
        <f>IFERROR(__xludf.DUMMYFUNCTION("IFERROR(GOOGLEFINANCE(B1621,""price""),"""")"),12.97)</f>
        <v>12.97</v>
      </c>
    </row>
    <row r="1622">
      <c r="A1622" s="7">
        <v>46107.66981243618</v>
      </c>
      <c r="B1622" s="8" t="s">
        <v>790</v>
      </c>
      <c r="C1622" s="8" t="s">
        <v>791</v>
      </c>
      <c r="D1622" s="9">
        <v>46110.0</v>
      </c>
      <c r="E1622" s="10">
        <v>2.04</v>
      </c>
      <c r="F1622" s="26">
        <v>1.9961</v>
      </c>
      <c r="G1622" s="12">
        <v>1.2071068E7</v>
      </c>
      <c r="H1622" s="8" t="s">
        <v>245</v>
      </c>
      <c r="I1622" s="11">
        <v>13.9665</v>
      </c>
      <c r="J1622" s="12">
        <v>1.21679082E8</v>
      </c>
      <c r="K1622" s="13"/>
      <c r="L1622" s="13">
        <v>-4.271</v>
      </c>
      <c r="M1622" s="8" t="s">
        <v>792</v>
      </c>
      <c r="N1622" s="8" t="s">
        <v>5776</v>
      </c>
      <c r="O1622" s="13">
        <v>24.2703</v>
      </c>
      <c r="P1622" s="13">
        <v>27.878</v>
      </c>
      <c r="Q1622" s="13">
        <v>18320.007</v>
      </c>
      <c r="R1622" s="13">
        <v>5.6874</v>
      </c>
      <c r="S1622" s="13">
        <v>0.8343</v>
      </c>
      <c r="T1622" s="14">
        <f>IFERROR(__xludf.DUMMYFUNCTION("IFERROR(GOOGLEFINANCE(B1622,""price""),"""")"),1.44)</f>
        <v>1.44</v>
      </c>
    </row>
    <row r="1623">
      <c r="A1623" s="15">
        <v>46107.66981243618</v>
      </c>
      <c r="B1623" s="16" t="s">
        <v>6043</v>
      </c>
      <c r="C1623" s="16" t="s">
        <v>6044</v>
      </c>
      <c r="D1623" s="17">
        <v>46110.0</v>
      </c>
      <c r="E1623" s="18">
        <v>4.77</v>
      </c>
      <c r="F1623" s="27">
        <v>1.3828</v>
      </c>
      <c r="G1623" s="20">
        <v>1.9164962E7</v>
      </c>
      <c r="H1623" s="16" t="s">
        <v>93</v>
      </c>
      <c r="I1623" s="19">
        <v>9.1533</v>
      </c>
      <c r="J1623" s="20">
        <v>1.48996044E9</v>
      </c>
      <c r="K1623" s="21"/>
      <c r="L1623" s="21">
        <v>-2.5108</v>
      </c>
      <c r="M1623" s="16" t="s">
        <v>6045</v>
      </c>
      <c r="N1623" s="16" t="s">
        <v>5590</v>
      </c>
      <c r="O1623" s="21"/>
      <c r="P1623" s="21">
        <v>1.0583</v>
      </c>
      <c r="Q1623" s="21">
        <v>-6.0228</v>
      </c>
      <c r="R1623" s="21"/>
      <c r="S1623" s="21">
        <v>0.5531</v>
      </c>
      <c r="T1623" s="22">
        <f>IFERROR(__xludf.DUMMYFUNCTION("IFERROR(GOOGLEFINANCE(B1623,""price""),"""")"),6.32)</f>
        <v>6.32</v>
      </c>
    </row>
    <row r="1624">
      <c r="A1624" s="7">
        <v>46107.66981243618</v>
      </c>
      <c r="B1624" s="8" t="s">
        <v>5640</v>
      </c>
      <c r="C1624" s="8" t="s">
        <v>5641</v>
      </c>
      <c r="D1624" s="9">
        <v>46110.0</v>
      </c>
      <c r="E1624" s="10">
        <v>58.51</v>
      </c>
      <c r="F1624" s="26">
        <v>1.3638</v>
      </c>
      <c r="G1624" s="12">
        <v>1.0082532E7</v>
      </c>
      <c r="H1624" s="8" t="s">
        <v>308</v>
      </c>
      <c r="I1624" s="11">
        <v>-13.1255</v>
      </c>
      <c r="J1624" s="12">
        <v>3.251611084E9</v>
      </c>
      <c r="K1624" s="13"/>
      <c r="L1624" s="13">
        <v>-0.4892</v>
      </c>
      <c r="M1624" s="8" t="s">
        <v>5642</v>
      </c>
      <c r="N1624" s="8" t="s">
        <v>5433</v>
      </c>
      <c r="O1624" s="13">
        <v>-9.1233</v>
      </c>
      <c r="P1624" s="13">
        <v>-24.8806</v>
      </c>
      <c r="Q1624" s="13">
        <v>-11.106</v>
      </c>
      <c r="R1624" s="13">
        <v>0.2562</v>
      </c>
      <c r="S1624" s="13">
        <v>2.7231</v>
      </c>
      <c r="T1624" s="14">
        <f>IFERROR(__xludf.DUMMYFUNCTION("IFERROR(GOOGLEFINANCE(B1624,""price""),"""")"),64.18)</f>
        <v>64.18</v>
      </c>
    </row>
    <row r="1625">
      <c r="A1625" s="15">
        <v>46107.66981243618</v>
      </c>
      <c r="B1625" s="16" t="s">
        <v>5836</v>
      </c>
      <c r="C1625" s="16" t="s">
        <v>5837</v>
      </c>
      <c r="D1625" s="17">
        <v>46110.0</v>
      </c>
      <c r="E1625" s="18">
        <v>6.08</v>
      </c>
      <c r="F1625" s="27">
        <v>1.2461</v>
      </c>
      <c r="G1625" s="20">
        <v>1.3838706E7</v>
      </c>
      <c r="H1625" s="16" t="s">
        <v>93</v>
      </c>
      <c r="I1625" s="19">
        <v>-8.7087</v>
      </c>
      <c r="J1625" s="20">
        <v>3.73327429E9</v>
      </c>
      <c r="K1625" s="21"/>
      <c r="L1625" s="21"/>
      <c r="M1625" s="16" t="s">
        <v>5838</v>
      </c>
      <c r="N1625" s="16" t="s">
        <v>5839</v>
      </c>
      <c r="O1625" s="21"/>
      <c r="P1625" s="21"/>
      <c r="Q1625" s="21"/>
      <c r="R1625" s="21">
        <v>0.4147</v>
      </c>
      <c r="S1625" s="21">
        <v>2.8104</v>
      </c>
      <c r="T1625" s="22">
        <f>IFERROR(__xludf.DUMMYFUNCTION("IFERROR(GOOGLEFINANCE(B1625,""price""),"""")"),4.87)</f>
        <v>4.87</v>
      </c>
    </row>
    <row r="1626">
      <c r="A1626" s="7">
        <v>46107.66981243618</v>
      </c>
      <c r="B1626" s="8" t="s">
        <v>5527</v>
      </c>
      <c r="C1626" s="8" t="s">
        <v>5528</v>
      </c>
      <c r="D1626" s="9">
        <v>46110.0</v>
      </c>
      <c r="E1626" s="10">
        <v>14.0</v>
      </c>
      <c r="F1626" s="26">
        <v>1.2389</v>
      </c>
      <c r="G1626" s="12">
        <v>1.3233492E7</v>
      </c>
      <c r="H1626" s="8" t="s">
        <v>88</v>
      </c>
      <c r="I1626" s="11">
        <v>-11.7832</v>
      </c>
      <c r="J1626" s="12">
        <v>1.695942676E9</v>
      </c>
      <c r="K1626" s="13"/>
      <c r="L1626" s="13">
        <v>-0.7413</v>
      </c>
      <c r="M1626" s="8" t="s">
        <v>5529</v>
      </c>
      <c r="N1626" s="8" t="s">
        <v>5429</v>
      </c>
      <c r="O1626" s="13">
        <v>-48.7073</v>
      </c>
      <c r="P1626" s="13">
        <v>-163.5071</v>
      </c>
      <c r="Q1626" s="13">
        <v>402.7429</v>
      </c>
      <c r="R1626" s="13">
        <v>0.075</v>
      </c>
      <c r="S1626" s="13">
        <v>15.2861</v>
      </c>
      <c r="T1626" s="14">
        <f>IFERROR(__xludf.DUMMYFUNCTION("IFERROR(GOOGLEFINANCE(B1626,""price""),"""")"),12.37)</f>
        <v>12.37</v>
      </c>
    </row>
    <row r="1627">
      <c r="A1627" s="15">
        <v>46107.66981243618</v>
      </c>
      <c r="B1627" s="16" t="s">
        <v>5778</v>
      </c>
      <c r="C1627" s="16" t="s">
        <v>5779</v>
      </c>
      <c r="D1627" s="17">
        <v>46110.0</v>
      </c>
      <c r="E1627" s="18">
        <v>1.54</v>
      </c>
      <c r="F1627" s="27">
        <v>1.2305</v>
      </c>
      <c r="G1627" s="20">
        <v>1.9689033E7</v>
      </c>
      <c r="H1627" s="16" t="s">
        <v>117</v>
      </c>
      <c r="I1627" s="19">
        <v>-1.9108</v>
      </c>
      <c r="J1627" s="20">
        <v>9.86438837E8</v>
      </c>
      <c r="K1627" s="21"/>
      <c r="L1627" s="21">
        <v>-0.1287</v>
      </c>
      <c r="M1627" s="16" t="s">
        <v>5780</v>
      </c>
      <c r="N1627" s="16" t="s">
        <v>5502</v>
      </c>
      <c r="O1627" s="21">
        <v>-33.8931</v>
      </c>
      <c r="P1627" s="21">
        <v>-29.2771</v>
      </c>
      <c r="Q1627" s="21">
        <v>138.822</v>
      </c>
      <c r="R1627" s="21">
        <v>1.1138</v>
      </c>
      <c r="S1627" s="21">
        <v>4.6644</v>
      </c>
      <c r="T1627" s="22">
        <f>IFERROR(__xludf.DUMMYFUNCTION("IFERROR(GOOGLEFINANCE(B1627,""price""),"""")"),1.67)</f>
        <v>1.67</v>
      </c>
    </row>
    <row r="1628">
      <c r="A1628" s="7">
        <v>46107.66981243618</v>
      </c>
      <c r="B1628" s="8" t="s">
        <v>5938</v>
      </c>
      <c r="C1628" s="8" t="s">
        <v>5939</v>
      </c>
      <c r="D1628" s="9">
        <v>46110.0</v>
      </c>
      <c r="E1628" s="10">
        <v>8.71</v>
      </c>
      <c r="F1628" s="26">
        <v>1.1973</v>
      </c>
      <c r="G1628" s="12">
        <v>1.2226689E7</v>
      </c>
      <c r="H1628" s="8" t="s">
        <v>88</v>
      </c>
      <c r="I1628" s="11">
        <v>1.2791</v>
      </c>
      <c r="J1628" s="12">
        <v>2.099590048E9</v>
      </c>
      <c r="K1628" s="13"/>
      <c r="L1628" s="13"/>
      <c r="M1628" s="8" t="s">
        <v>5940</v>
      </c>
      <c r="N1628" s="8" t="s">
        <v>5471</v>
      </c>
      <c r="O1628" s="13">
        <v>11.4635</v>
      </c>
      <c r="P1628" s="13">
        <v>-29.6598</v>
      </c>
      <c r="Q1628" s="13">
        <v>77.3256</v>
      </c>
      <c r="R1628" s="13">
        <v>1.2667</v>
      </c>
      <c r="S1628" s="13">
        <v>0.9119</v>
      </c>
      <c r="T1628" s="14">
        <f>IFERROR(__xludf.DUMMYFUNCTION("IFERROR(GOOGLEFINANCE(B1628,""price""),"""")"),10.75)</f>
        <v>10.75</v>
      </c>
    </row>
    <row r="1629">
      <c r="A1629" s="15">
        <v>46107.66981243618</v>
      </c>
      <c r="B1629" s="16" t="s">
        <v>5514</v>
      </c>
      <c r="C1629" s="16" t="s">
        <v>5515</v>
      </c>
      <c r="D1629" s="17">
        <v>46110.0</v>
      </c>
      <c r="E1629" s="18">
        <v>7.38</v>
      </c>
      <c r="F1629" s="27">
        <v>1.1758</v>
      </c>
      <c r="G1629" s="20">
        <v>2.7450736E7</v>
      </c>
      <c r="H1629" s="16" t="s">
        <v>117</v>
      </c>
      <c r="I1629" s="19">
        <v>-8.5502</v>
      </c>
      <c r="J1629" s="20">
        <v>7.587462215E9</v>
      </c>
      <c r="K1629" s="21"/>
      <c r="L1629" s="21">
        <v>-0.3898</v>
      </c>
      <c r="M1629" s="16" t="s">
        <v>5516</v>
      </c>
      <c r="N1629" s="16" t="s">
        <v>5491</v>
      </c>
      <c r="O1629" s="21"/>
      <c r="P1629" s="21">
        <v>-225.9966</v>
      </c>
      <c r="Q1629" s="21">
        <v>668.3147</v>
      </c>
      <c r="R1629" s="21"/>
      <c r="S1629" s="21">
        <v>5.0989</v>
      </c>
      <c r="T1629" s="22">
        <f>IFERROR(__xludf.DUMMYFUNCTION("IFERROR(GOOGLEFINANCE(B1629,""price""),"""")"),7.28)</f>
        <v>7.28</v>
      </c>
    </row>
    <row r="1630">
      <c r="A1630" s="7">
        <v>46107.66981243618</v>
      </c>
      <c r="B1630" s="8" t="s">
        <v>1403</v>
      </c>
      <c r="C1630" s="8" t="s">
        <v>1404</v>
      </c>
      <c r="D1630" s="9">
        <v>46110.0</v>
      </c>
      <c r="E1630" s="10">
        <v>25.28</v>
      </c>
      <c r="F1630" s="26">
        <v>1.1545</v>
      </c>
      <c r="G1630" s="12">
        <v>2.2382442E7</v>
      </c>
      <c r="H1630" s="8" t="s">
        <v>149</v>
      </c>
      <c r="I1630" s="11">
        <v>-1.7489</v>
      </c>
      <c r="J1630" s="12">
        <v>3.5017784241E10</v>
      </c>
      <c r="K1630" s="13">
        <v>12.6179</v>
      </c>
      <c r="L1630" s="13">
        <v>2.0035</v>
      </c>
      <c r="M1630" s="8" t="s">
        <v>1405</v>
      </c>
      <c r="N1630" s="8" t="s">
        <v>5904</v>
      </c>
      <c r="O1630" s="13">
        <v>25.642</v>
      </c>
      <c r="P1630" s="13">
        <v>16.8326</v>
      </c>
      <c r="Q1630" s="13">
        <v>6.3946</v>
      </c>
      <c r="R1630" s="13">
        <v>2.2788</v>
      </c>
      <c r="S1630" s="13">
        <v>0.2945</v>
      </c>
      <c r="T1630" s="14">
        <f>IFERROR(__xludf.DUMMYFUNCTION("IFERROR(GOOGLEFINANCE(B1630,""price""),"""")"),27.98)</f>
        <v>27.98</v>
      </c>
    </row>
    <row r="1631">
      <c r="A1631" s="15">
        <v>46107.66981243618</v>
      </c>
      <c r="B1631" s="16" t="s">
        <v>5570</v>
      </c>
      <c r="C1631" s="16" t="s">
        <v>5571</v>
      </c>
      <c r="D1631" s="17">
        <v>46110.0</v>
      </c>
      <c r="E1631" s="18">
        <v>1.44</v>
      </c>
      <c r="F1631" s="27">
        <v>1.125</v>
      </c>
      <c r="G1631" s="20">
        <v>1.7447726E7</v>
      </c>
      <c r="H1631" s="16" t="s">
        <v>186</v>
      </c>
      <c r="I1631" s="19">
        <v>-9.434</v>
      </c>
      <c r="J1631" s="20">
        <v>4.66091773E8</v>
      </c>
      <c r="K1631" s="21">
        <v>3.7113</v>
      </c>
      <c r="L1631" s="21">
        <v>0.388</v>
      </c>
      <c r="M1631" s="16" t="s">
        <v>5572</v>
      </c>
      <c r="N1631" s="16" t="s">
        <v>5573</v>
      </c>
      <c r="O1631" s="21">
        <v>22.4406</v>
      </c>
      <c r="P1631" s="21">
        <v>-53.6599</v>
      </c>
      <c r="Q1631" s="21">
        <v>9.523</v>
      </c>
      <c r="R1631" s="21">
        <v>0.0463</v>
      </c>
      <c r="S1631" s="21">
        <v>17.5059</v>
      </c>
      <c r="T1631" s="22">
        <f>IFERROR(__xludf.DUMMYFUNCTION("IFERROR(GOOGLEFINANCE(B1631,""price""),"""")"),1.37)</f>
        <v>1.37</v>
      </c>
    </row>
    <row r="1632">
      <c r="A1632" s="7">
        <v>46107.66981243618</v>
      </c>
      <c r="B1632" s="8" t="s">
        <v>5517</v>
      </c>
      <c r="C1632" s="8" t="s">
        <v>5518</v>
      </c>
      <c r="D1632" s="9">
        <v>46110.0</v>
      </c>
      <c r="E1632" s="10">
        <v>8.87</v>
      </c>
      <c r="F1632" s="26">
        <v>1.125</v>
      </c>
      <c r="G1632" s="12">
        <v>1.7836243E7</v>
      </c>
      <c r="H1632" s="8" t="s">
        <v>308</v>
      </c>
      <c r="I1632" s="11">
        <v>-3.1659</v>
      </c>
      <c r="J1632" s="12">
        <v>1.702825314E9</v>
      </c>
      <c r="K1632" s="13"/>
      <c r="L1632" s="13">
        <v>-2.3761</v>
      </c>
      <c r="M1632" s="8" t="s">
        <v>5519</v>
      </c>
      <c r="N1632" s="8" t="s">
        <v>5520</v>
      </c>
      <c r="O1632" s="13">
        <v>-52.0031</v>
      </c>
      <c r="P1632" s="13">
        <v>-49.6608</v>
      </c>
      <c r="Q1632" s="13">
        <v>10.2861</v>
      </c>
      <c r="R1632" s="13">
        <v>0.1895</v>
      </c>
      <c r="S1632" s="13">
        <v>1.6246</v>
      </c>
      <c r="T1632" s="14">
        <f>IFERROR(__xludf.DUMMYFUNCTION("IFERROR(GOOGLEFINANCE(B1632,""price""),"""")"),9.29)</f>
        <v>9.29</v>
      </c>
    </row>
    <row r="1633">
      <c r="A1633" s="15">
        <v>46107.66981243618</v>
      </c>
      <c r="B1633" s="16" t="s">
        <v>5604</v>
      </c>
      <c r="C1633" s="16" t="s">
        <v>5605</v>
      </c>
      <c r="D1633" s="17">
        <v>46110.0</v>
      </c>
      <c r="E1633" s="18">
        <v>97.42</v>
      </c>
      <c r="F1633" s="27">
        <v>1.099</v>
      </c>
      <c r="G1633" s="20">
        <v>9438104.0</v>
      </c>
      <c r="H1633" s="16" t="s">
        <v>308</v>
      </c>
      <c r="I1633" s="19">
        <v>-14.8501</v>
      </c>
      <c r="J1633" s="20">
        <v>7.325869476E9</v>
      </c>
      <c r="K1633" s="21"/>
      <c r="L1633" s="21">
        <v>-0.6555</v>
      </c>
      <c r="M1633" s="16" t="s">
        <v>5606</v>
      </c>
      <c r="N1633" s="16" t="s">
        <v>5414</v>
      </c>
      <c r="O1633" s="21">
        <v>-7.9391</v>
      </c>
      <c r="P1633" s="21">
        <v>-11.9814</v>
      </c>
      <c r="Q1633" s="21">
        <v>82.7502</v>
      </c>
      <c r="R1633" s="21">
        <v>0.338</v>
      </c>
      <c r="S1633" s="21">
        <v>2.6264</v>
      </c>
      <c r="T1633" s="22">
        <f>IFERROR(__xludf.DUMMYFUNCTION("IFERROR(GOOGLEFINANCE(B1633,""price""),"""")"),150.6)</f>
        <v>150.6</v>
      </c>
    </row>
    <row r="1634">
      <c r="A1634" s="7">
        <v>46107.66981243618</v>
      </c>
      <c r="B1634" s="8" t="s">
        <v>5652</v>
      </c>
      <c r="C1634" s="8" t="s">
        <v>5653</v>
      </c>
      <c r="D1634" s="9">
        <v>46110.0</v>
      </c>
      <c r="E1634" s="10">
        <v>3.15</v>
      </c>
      <c r="F1634" s="26">
        <v>1.0938</v>
      </c>
      <c r="G1634" s="12">
        <v>9428245.0</v>
      </c>
      <c r="H1634" s="8" t="s">
        <v>117</v>
      </c>
      <c r="I1634" s="11">
        <v>-0.6309</v>
      </c>
      <c r="J1634" s="12">
        <v>1.664152381E9</v>
      </c>
      <c r="K1634" s="13"/>
      <c r="L1634" s="13">
        <v>-1.4829</v>
      </c>
      <c r="M1634" s="8" t="s">
        <v>5654</v>
      </c>
      <c r="N1634" s="8" t="s">
        <v>5502</v>
      </c>
      <c r="O1634" s="13">
        <v>-59.5442</v>
      </c>
      <c r="P1634" s="13">
        <v>-867.866</v>
      </c>
      <c r="Q1634" s="13">
        <v>26.9243</v>
      </c>
      <c r="R1634" s="13">
        <v>0.0689</v>
      </c>
      <c r="S1634" s="13">
        <v>5.5031</v>
      </c>
      <c r="T1634" s="14">
        <f>IFERROR(__xludf.DUMMYFUNCTION("IFERROR(GOOGLEFINANCE(B1634,""price""),"""")"),3.28)</f>
        <v>3.28</v>
      </c>
    </row>
    <row r="1635">
      <c r="A1635" s="15">
        <v>46107.66981243618</v>
      </c>
      <c r="B1635" s="16" t="s">
        <v>5567</v>
      </c>
      <c r="C1635" s="16" t="s">
        <v>5568</v>
      </c>
      <c r="D1635" s="17">
        <v>46110.0</v>
      </c>
      <c r="E1635" s="18">
        <v>133.52</v>
      </c>
      <c r="F1635" s="27">
        <v>1.0038</v>
      </c>
      <c r="G1635" s="20">
        <v>1.0931489E7</v>
      </c>
      <c r="H1635" s="16" t="s">
        <v>308</v>
      </c>
      <c r="I1635" s="19">
        <v>-11.117</v>
      </c>
      <c r="J1635" s="20">
        <v>3.7458798341E10</v>
      </c>
      <c r="K1635" s="21"/>
      <c r="L1635" s="21">
        <v>-0.3809</v>
      </c>
      <c r="M1635" s="16" t="s">
        <v>5569</v>
      </c>
      <c r="N1635" s="16" t="s">
        <v>5433</v>
      </c>
      <c r="O1635" s="21">
        <v>-13.2874</v>
      </c>
      <c r="P1635" s="21">
        <v>5.4633</v>
      </c>
      <c r="Q1635" s="21">
        <v>37.3263</v>
      </c>
      <c r="R1635" s="21">
        <v>3.8975</v>
      </c>
      <c r="S1635" s="21">
        <v>5.9285</v>
      </c>
      <c r="T1635" s="22">
        <f>IFERROR(__xludf.DUMMYFUNCTION("IFERROR(GOOGLEFINANCE(B1635,""price""),"""")"),166.7)</f>
        <v>166.7</v>
      </c>
    </row>
    <row r="1636">
      <c r="A1636" s="7">
        <v>46107.66981243618</v>
      </c>
      <c r="B1636" s="8" t="s">
        <v>1077</v>
      </c>
      <c r="C1636" s="8" t="s">
        <v>1078</v>
      </c>
      <c r="D1636" s="9">
        <v>46110.0</v>
      </c>
      <c r="E1636" s="10">
        <v>8.85</v>
      </c>
      <c r="F1636" s="26">
        <v>0.9941</v>
      </c>
      <c r="G1636" s="12">
        <v>9486107.0</v>
      </c>
      <c r="H1636" s="8" t="s">
        <v>335</v>
      </c>
      <c r="I1636" s="11">
        <v>-10.3343</v>
      </c>
      <c r="J1636" s="12">
        <v>1.268841592E9</v>
      </c>
      <c r="K1636" s="13"/>
      <c r="L1636" s="13">
        <v>-0.0349</v>
      </c>
      <c r="M1636" s="8" t="s">
        <v>1102</v>
      </c>
      <c r="N1636" s="8" t="s">
        <v>5506</v>
      </c>
      <c r="O1636" s="13">
        <v>-5.1187</v>
      </c>
      <c r="P1636" s="13">
        <v>-22.613</v>
      </c>
      <c r="Q1636" s="13">
        <v>162.805</v>
      </c>
      <c r="R1636" s="13">
        <v>0.0017</v>
      </c>
      <c r="S1636" s="13">
        <v>5.3788</v>
      </c>
      <c r="T1636" s="14">
        <f>IFERROR(__xludf.DUMMYFUNCTION("IFERROR(GOOGLEFINANCE(B1636,""price""),"""")"),8.36)</f>
        <v>8.36</v>
      </c>
    </row>
    <row r="1637">
      <c r="A1637" s="15">
        <v>46107.66981243618</v>
      </c>
      <c r="B1637" s="16" t="s">
        <v>6193</v>
      </c>
      <c r="C1637" s="16" t="s">
        <v>6194</v>
      </c>
      <c r="D1637" s="17">
        <v>46110.0</v>
      </c>
      <c r="E1637" s="18">
        <v>6.82</v>
      </c>
      <c r="F1637" s="27">
        <v>0.9714</v>
      </c>
      <c r="G1637" s="20">
        <v>1.0893694E7</v>
      </c>
      <c r="H1637" s="16" t="s">
        <v>88</v>
      </c>
      <c r="I1637" s="19">
        <v>-1.5873</v>
      </c>
      <c r="J1637" s="20">
        <v>5.738221755E9</v>
      </c>
      <c r="K1637" s="21"/>
      <c r="L1637" s="21">
        <v>-0.4821</v>
      </c>
      <c r="M1637" s="16" t="s">
        <v>6195</v>
      </c>
      <c r="N1637" s="16" t="s">
        <v>5429</v>
      </c>
      <c r="O1637" s="21">
        <v>-3.271</v>
      </c>
      <c r="P1637" s="21">
        <v>-23.2313</v>
      </c>
      <c r="Q1637" s="21">
        <v>14.5103</v>
      </c>
      <c r="R1637" s="21">
        <v>0.0052</v>
      </c>
      <c r="S1637" s="21">
        <v>6.1034</v>
      </c>
      <c r="T1637" s="22">
        <f>IFERROR(__xludf.DUMMYFUNCTION("IFERROR(GOOGLEFINANCE(B1637,""price""),"""")"),7.24)</f>
        <v>7.24</v>
      </c>
    </row>
    <row r="1638">
      <c r="A1638" s="7">
        <v>46107.66981243618</v>
      </c>
      <c r="B1638" s="8" t="s">
        <v>5773</v>
      </c>
      <c r="C1638" s="8" t="s">
        <v>5774</v>
      </c>
      <c r="D1638" s="9">
        <v>46110.0</v>
      </c>
      <c r="E1638" s="10">
        <v>2.87</v>
      </c>
      <c r="F1638" s="26">
        <v>0.9648</v>
      </c>
      <c r="G1638" s="12">
        <v>3.1643006E7</v>
      </c>
      <c r="H1638" s="8" t="s">
        <v>245</v>
      </c>
      <c r="I1638" s="11">
        <v>7.8947</v>
      </c>
      <c r="J1638" s="12">
        <v>1.702340274E9</v>
      </c>
      <c r="K1638" s="13"/>
      <c r="L1638" s="13">
        <v>-1.4644</v>
      </c>
      <c r="M1638" s="8" t="s">
        <v>5775</v>
      </c>
      <c r="N1638" s="8" t="s">
        <v>5776</v>
      </c>
      <c r="O1638" s="13">
        <v>-80.9463</v>
      </c>
      <c r="P1638" s="13">
        <v>-20.4446</v>
      </c>
      <c r="Q1638" s="13">
        <v>-22.6468</v>
      </c>
      <c r="R1638" s="13">
        <v>5.7984</v>
      </c>
      <c r="S1638" s="13">
        <v>0.7476</v>
      </c>
      <c r="T1638" s="14">
        <f>IFERROR(__xludf.DUMMYFUNCTION("IFERROR(GOOGLEFINANCE(B1638,""price""),"""")"),2.57)</f>
        <v>2.57</v>
      </c>
    </row>
    <row r="1639">
      <c r="A1639" s="15">
        <v>46107.66981243618</v>
      </c>
      <c r="B1639" s="16" t="s">
        <v>5175</v>
      </c>
      <c r="C1639" s="16" t="s">
        <v>5176</v>
      </c>
      <c r="D1639" s="17">
        <v>46110.0</v>
      </c>
      <c r="E1639" s="18">
        <v>3.53</v>
      </c>
      <c r="F1639" s="27">
        <v>0.9531</v>
      </c>
      <c r="G1639" s="20">
        <v>1.2991639E7</v>
      </c>
      <c r="H1639" s="16" t="s">
        <v>93</v>
      </c>
      <c r="I1639" s="19">
        <v>0.0</v>
      </c>
      <c r="J1639" s="20">
        <v>5.647812002E9</v>
      </c>
      <c r="K1639" s="21">
        <v>57.8689</v>
      </c>
      <c r="L1639" s="21">
        <v>0.061</v>
      </c>
      <c r="M1639" s="16" t="s">
        <v>5177</v>
      </c>
      <c r="N1639" s="16" t="s">
        <v>5590</v>
      </c>
      <c r="O1639" s="21">
        <v>15.1674</v>
      </c>
      <c r="P1639" s="21">
        <v>45.0562</v>
      </c>
      <c r="Q1639" s="21">
        <v>32.5086</v>
      </c>
      <c r="R1639" s="21">
        <v>72.3717</v>
      </c>
      <c r="S1639" s="21">
        <v>0.2525</v>
      </c>
      <c r="T1639" s="22">
        <f>IFERROR(__xludf.DUMMYFUNCTION("IFERROR(GOOGLEFINANCE(B1639,""price""),"""")"),3.69)</f>
        <v>3.69</v>
      </c>
    </row>
    <row r="1640">
      <c r="A1640" s="7">
        <v>46107.66981243618</v>
      </c>
      <c r="B1640" s="8" t="s">
        <v>5607</v>
      </c>
      <c r="C1640" s="8" t="s">
        <v>5608</v>
      </c>
      <c r="D1640" s="9">
        <v>46110.0</v>
      </c>
      <c r="E1640" s="10">
        <v>19.23</v>
      </c>
      <c r="F1640" s="26">
        <v>0.9522</v>
      </c>
      <c r="G1640" s="12">
        <v>1.0992015E7</v>
      </c>
      <c r="H1640" s="8" t="s">
        <v>308</v>
      </c>
      <c r="I1640" s="11">
        <v>-6.4234</v>
      </c>
      <c r="J1640" s="12">
        <v>4.169078144E9</v>
      </c>
      <c r="K1640" s="13"/>
      <c r="L1640" s="13">
        <v>-0.7255</v>
      </c>
      <c r="M1640" s="8" t="s">
        <v>5609</v>
      </c>
      <c r="N1640" s="8" t="s">
        <v>5520</v>
      </c>
      <c r="O1640" s="13"/>
      <c r="P1640" s="13">
        <v>-36.3941</v>
      </c>
      <c r="Q1640" s="13">
        <v>-7.7134</v>
      </c>
      <c r="R1640" s="13"/>
      <c r="S1640" s="13">
        <v>4.9571</v>
      </c>
      <c r="T1640" s="14">
        <f>IFERROR(__xludf.DUMMYFUNCTION("IFERROR(GOOGLEFINANCE(B1640,""price""),"""")"),23.57)</f>
        <v>23.57</v>
      </c>
    </row>
    <row r="1641">
      <c r="A1641" s="15">
        <v>46107.66981243618</v>
      </c>
      <c r="B1641" s="16" t="s">
        <v>6196</v>
      </c>
      <c r="C1641" s="16" t="s">
        <v>6197</v>
      </c>
      <c r="D1641" s="17">
        <v>46110.0</v>
      </c>
      <c r="E1641" s="18">
        <v>13.11</v>
      </c>
      <c r="F1641" s="27">
        <v>0.9487</v>
      </c>
      <c r="G1641" s="20">
        <v>2.1115598E7</v>
      </c>
      <c r="H1641" s="16" t="s">
        <v>88</v>
      </c>
      <c r="I1641" s="19">
        <v>43.2787</v>
      </c>
      <c r="J1641" s="20">
        <v>3.259723579E9</v>
      </c>
      <c r="K1641" s="21"/>
      <c r="L1641" s="21">
        <v>-1.6015</v>
      </c>
      <c r="M1641" s="16" t="s">
        <v>6198</v>
      </c>
      <c r="N1641" s="16" t="s">
        <v>5429</v>
      </c>
      <c r="O1641" s="21">
        <v>-60.2035</v>
      </c>
      <c r="P1641" s="21">
        <v>-28.031</v>
      </c>
      <c r="Q1641" s="21">
        <v>30.8153</v>
      </c>
      <c r="R1641" s="21">
        <v>0.1443</v>
      </c>
      <c r="S1641" s="21">
        <v>4.0429</v>
      </c>
      <c r="T1641" s="22">
        <f>IFERROR(__xludf.DUMMYFUNCTION("IFERROR(GOOGLEFINANCE(B1641,""price""),"""")"),12.43)</f>
        <v>12.43</v>
      </c>
    </row>
    <row r="1642">
      <c r="A1642" s="7">
        <v>46107.66981243618</v>
      </c>
      <c r="B1642" s="8" t="s">
        <v>6087</v>
      </c>
      <c r="C1642" s="8" t="s">
        <v>6088</v>
      </c>
      <c r="D1642" s="9">
        <v>46110.0</v>
      </c>
      <c r="E1642" s="10">
        <v>5.49</v>
      </c>
      <c r="F1642" s="26">
        <v>0.9219</v>
      </c>
      <c r="G1642" s="12">
        <v>9633588.0</v>
      </c>
      <c r="H1642" s="8" t="s">
        <v>102</v>
      </c>
      <c r="I1642" s="11">
        <v>-10.0</v>
      </c>
      <c r="J1642" s="12">
        <v>8.38384374E8</v>
      </c>
      <c r="K1642" s="13"/>
      <c r="L1642" s="13">
        <v>-0.6318</v>
      </c>
      <c r="M1642" s="8" t="s">
        <v>6089</v>
      </c>
      <c r="N1642" s="8" t="s">
        <v>5536</v>
      </c>
      <c r="O1642" s="13">
        <v>-104.168</v>
      </c>
      <c r="P1642" s="13">
        <v>-5151.455</v>
      </c>
      <c r="Q1642" s="13">
        <v>535.8653</v>
      </c>
      <c r="R1642" s="13">
        <v>0.1096</v>
      </c>
      <c r="S1642" s="13">
        <v>2.2985</v>
      </c>
      <c r="T1642" s="14">
        <f>IFERROR(__xludf.DUMMYFUNCTION("IFERROR(GOOGLEFINANCE(B1642,""price""),"""")"),7.04)</f>
        <v>7.04</v>
      </c>
    </row>
    <row r="1643">
      <c r="A1643" s="15">
        <v>46107.66981243618</v>
      </c>
      <c r="B1643" s="16" t="s">
        <v>5434</v>
      </c>
      <c r="C1643" s="16" t="s">
        <v>5435</v>
      </c>
      <c r="D1643" s="17">
        <v>46110.0</v>
      </c>
      <c r="E1643" s="18">
        <v>9.44</v>
      </c>
      <c r="F1643" s="27">
        <v>0.9023</v>
      </c>
      <c r="G1643" s="20">
        <v>7.1815994E7</v>
      </c>
      <c r="H1643" s="16" t="s">
        <v>308</v>
      </c>
      <c r="I1643" s="19">
        <v>-8.4384</v>
      </c>
      <c r="J1643" s="20">
        <v>4.373796935E9</v>
      </c>
      <c r="K1643" s="21"/>
      <c r="L1643" s="21">
        <v>-0.6686</v>
      </c>
      <c r="M1643" s="16" t="s">
        <v>5436</v>
      </c>
      <c r="N1643" s="16" t="s">
        <v>5437</v>
      </c>
      <c r="O1643" s="21">
        <v>-58.1653</v>
      </c>
      <c r="P1643" s="21">
        <v>-115.0855</v>
      </c>
      <c r="Q1643" s="21">
        <v>605.3129</v>
      </c>
      <c r="R1643" s="21">
        <v>0.0286</v>
      </c>
      <c r="S1643" s="21">
        <v>4.8364</v>
      </c>
      <c r="T1643" s="22">
        <f>IFERROR(__xludf.DUMMYFUNCTION("IFERROR(GOOGLEFINANCE(B1643,""price""),"""")"),9.13)</f>
        <v>9.13</v>
      </c>
    </row>
    <row r="1644">
      <c r="A1644" s="7">
        <v>46107.66981243618</v>
      </c>
      <c r="B1644" s="8" t="s">
        <v>5649</v>
      </c>
      <c r="C1644" s="8" t="s">
        <v>5650</v>
      </c>
      <c r="D1644" s="9">
        <v>46110.0</v>
      </c>
      <c r="E1644" s="10">
        <v>32.4</v>
      </c>
      <c r="F1644" s="26">
        <v>0.8952</v>
      </c>
      <c r="G1644" s="12">
        <v>1.4448345E7</v>
      </c>
      <c r="H1644" s="8" t="s">
        <v>88</v>
      </c>
      <c r="I1644" s="11">
        <v>-8.3969</v>
      </c>
      <c r="J1644" s="12">
        <v>1.1215227533E10</v>
      </c>
      <c r="K1644" s="13"/>
      <c r="L1644" s="13">
        <v>-0.7881</v>
      </c>
      <c r="M1644" s="8" t="s">
        <v>5651</v>
      </c>
      <c r="N1644" s="8" t="s">
        <v>5429</v>
      </c>
      <c r="O1644" s="13">
        <v>-78.4035</v>
      </c>
      <c r="P1644" s="13">
        <v>-30.5248</v>
      </c>
      <c r="Q1644" s="13">
        <v>25.9359</v>
      </c>
      <c r="R1644" s="13">
        <v>2.4544</v>
      </c>
      <c r="S1644" s="13">
        <v>1.6475</v>
      </c>
      <c r="T1644" s="14">
        <f>IFERROR(__xludf.DUMMYFUNCTION("IFERROR(GOOGLEFINANCE(B1644,""price""),"""")"),34.67)</f>
        <v>34.67</v>
      </c>
    </row>
    <row r="1645">
      <c r="A1645" s="15">
        <v>46107.66981243618</v>
      </c>
      <c r="B1645" s="16" t="s">
        <v>5544</v>
      </c>
      <c r="C1645" s="16" t="s">
        <v>6105</v>
      </c>
      <c r="D1645" s="17">
        <v>46110.0</v>
      </c>
      <c r="E1645" s="18">
        <v>14.35</v>
      </c>
      <c r="F1645" s="27">
        <v>0.888</v>
      </c>
      <c r="G1645" s="20">
        <v>2.277939E7</v>
      </c>
      <c r="H1645" s="16" t="s">
        <v>88</v>
      </c>
      <c r="I1645" s="19">
        <v>-9.6348</v>
      </c>
      <c r="J1645" s="20">
        <v>5.813463651E9</v>
      </c>
      <c r="K1645" s="21"/>
      <c r="L1645" s="21">
        <v>-2.0516</v>
      </c>
      <c r="M1645" s="16" t="s">
        <v>5546</v>
      </c>
      <c r="N1645" s="16" t="s">
        <v>5471</v>
      </c>
      <c r="O1645" s="21">
        <v>-110.5547</v>
      </c>
      <c r="P1645" s="21">
        <v>-76.6975</v>
      </c>
      <c r="Q1645" s="21">
        <v>48.0413</v>
      </c>
      <c r="R1645" s="21">
        <v>3.435</v>
      </c>
      <c r="S1645" s="21">
        <v>3.7948</v>
      </c>
      <c r="T1645" s="22">
        <f>IFERROR(__xludf.DUMMYFUNCTION("IFERROR(GOOGLEFINANCE(B1645,""price""),"""")"),16.53)</f>
        <v>16.53</v>
      </c>
    </row>
    <row r="1646">
      <c r="A1646" s="7">
        <v>46107.66981243618</v>
      </c>
      <c r="B1646" s="8" t="s">
        <v>5558</v>
      </c>
      <c r="C1646" s="8" t="s">
        <v>5559</v>
      </c>
      <c r="D1646" s="9">
        <v>46110.0</v>
      </c>
      <c r="E1646" s="10">
        <v>4.82</v>
      </c>
      <c r="F1646" s="26">
        <v>0.8828</v>
      </c>
      <c r="G1646" s="12">
        <v>1.2810939E7</v>
      </c>
      <c r="H1646" s="8" t="s">
        <v>102</v>
      </c>
      <c r="I1646" s="11">
        <v>-5.4902</v>
      </c>
      <c r="J1646" s="12">
        <v>1.636073128E9</v>
      </c>
      <c r="K1646" s="13"/>
      <c r="L1646" s="13">
        <v>-6.9942</v>
      </c>
      <c r="M1646" s="8" t="s">
        <v>5560</v>
      </c>
      <c r="N1646" s="8" t="s">
        <v>5536</v>
      </c>
      <c r="O1646" s="13"/>
      <c r="P1646" s="13">
        <v>-225.4661</v>
      </c>
      <c r="Q1646" s="13">
        <v>631.7891</v>
      </c>
      <c r="R1646" s="13"/>
      <c r="S1646" s="13">
        <v>4.9358</v>
      </c>
      <c r="T1646" s="14">
        <f>IFERROR(__xludf.DUMMYFUNCTION("IFERROR(GOOGLEFINANCE(B1646,""price""),"""")"),5.62)</f>
        <v>5.62</v>
      </c>
    </row>
    <row r="1647">
      <c r="A1647" s="15">
        <v>46107.66981243618</v>
      </c>
      <c r="B1647" s="16" t="s">
        <v>5564</v>
      </c>
      <c r="C1647" s="16" t="s">
        <v>5565</v>
      </c>
      <c r="D1647" s="17">
        <v>46110.0</v>
      </c>
      <c r="E1647" s="18">
        <v>16.17</v>
      </c>
      <c r="F1647" s="27">
        <v>0.8815</v>
      </c>
      <c r="G1647" s="20">
        <v>4.5674993E7</v>
      </c>
      <c r="H1647" s="16" t="s">
        <v>335</v>
      </c>
      <c r="I1647" s="19">
        <v>-9.361</v>
      </c>
      <c r="J1647" s="20">
        <v>1.6728261892E10</v>
      </c>
      <c r="K1647" s="21">
        <v>17.5646</v>
      </c>
      <c r="L1647" s="21">
        <v>0.9206</v>
      </c>
      <c r="M1647" s="16" t="s">
        <v>5566</v>
      </c>
      <c r="N1647" s="16" t="s">
        <v>5445</v>
      </c>
      <c r="O1647" s="21">
        <v>26.4126</v>
      </c>
      <c r="P1647" s="21">
        <v>36.2825</v>
      </c>
      <c r="Q1647" s="21">
        <v>99.5473</v>
      </c>
      <c r="R1647" s="21">
        <v>0.1083</v>
      </c>
      <c r="S1647" s="21">
        <v>2.472</v>
      </c>
      <c r="T1647" s="22">
        <f>IFERROR(__xludf.DUMMYFUNCTION("IFERROR(GOOGLEFINANCE(B1647,""price""),"""")"),20.24)</f>
        <v>20.24</v>
      </c>
    </row>
    <row r="1648">
      <c r="A1648" s="7">
        <v>46107.66981243618</v>
      </c>
      <c r="B1648" s="8" t="s">
        <v>5496</v>
      </c>
      <c r="C1648" s="8" t="s">
        <v>5497</v>
      </c>
      <c r="D1648" s="9">
        <v>46110.0</v>
      </c>
      <c r="E1648" s="10">
        <v>8.58</v>
      </c>
      <c r="F1648" s="26">
        <v>0.8789</v>
      </c>
      <c r="G1648" s="12">
        <v>1.06293008E8</v>
      </c>
      <c r="H1648" s="8" t="s">
        <v>88</v>
      </c>
      <c r="I1648" s="11">
        <v>3.6232</v>
      </c>
      <c r="J1648" s="12">
        <v>3.262412927E9</v>
      </c>
      <c r="K1648" s="13"/>
      <c r="L1648" s="13">
        <v>-3.9593</v>
      </c>
      <c r="M1648" s="8" t="s">
        <v>5498</v>
      </c>
      <c r="N1648" s="8" t="s">
        <v>5471</v>
      </c>
      <c r="O1648" s="13">
        <v>-34.5092</v>
      </c>
      <c r="P1648" s="13">
        <v>-90.4167</v>
      </c>
      <c r="Q1648" s="13">
        <v>38.1967</v>
      </c>
      <c r="R1648" s="13">
        <v>1.05</v>
      </c>
      <c r="S1648" s="13">
        <v>1.2728</v>
      </c>
      <c r="T1648" s="14">
        <f>IFERROR(__xludf.DUMMYFUNCTION("IFERROR(GOOGLEFINANCE(B1648,""price""),"""")"),9.54)</f>
        <v>9.54</v>
      </c>
    </row>
    <row r="1649">
      <c r="A1649" s="15">
        <v>46107.66981243618</v>
      </c>
      <c r="B1649" s="16" t="s">
        <v>5858</v>
      </c>
      <c r="C1649" s="16" t="s">
        <v>5859</v>
      </c>
      <c r="D1649" s="17">
        <v>46110.0</v>
      </c>
      <c r="E1649" s="18">
        <v>28.59</v>
      </c>
      <c r="F1649" s="27">
        <v>0.8734</v>
      </c>
      <c r="G1649" s="20">
        <v>1.2427982E7</v>
      </c>
      <c r="H1649" s="16" t="s">
        <v>88</v>
      </c>
      <c r="I1649" s="19">
        <v>-4.0282</v>
      </c>
      <c r="J1649" s="20">
        <v>4.339962221E9</v>
      </c>
      <c r="K1649" s="21"/>
      <c r="L1649" s="21">
        <v>-0.8329</v>
      </c>
      <c r="M1649" s="16" t="s">
        <v>5860</v>
      </c>
      <c r="N1649" s="16" t="s">
        <v>5664</v>
      </c>
      <c r="O1649" s="21">
        <v>-12.8431</v>
      </c>
      <c r="P1649" s="21">
        <v>-19.0035</v>
      </c>
      <c r="Q1649" s="21">
        <v>14.7776</v>
      </c>
      <c r="R1649" s="21">
        <v>0.4628</v>
      </c>
      <c r="S1649" s="21">
        <v>2.6119</v>
      </c>
      <c r="T1649" s="22">
        <f>IFERROR(__xludf.DUMMYFUNCTION("IFERROR(GOOGLEFINANCE(B1649,""price""),"""")"),23.07)</f>
        <v>23.07</v>
      </c>
    </row>
    <row r="1650">
      <c r="A1650" s="7">
        <v>46107.66981243618</v>
      </c>
      <c r="B1650" s="8" t="s">
        <v>6199</v>
      </c>
      <c r="C1650" s="8" t="s">
        <v>6200</v>
      </c>
      <c r="D1650" s="9">
        <v>46110.0</v>
      </c>
      <c r="E1650" s="10">
        <v>6.2</v>
      </c>
      <c r="F1650" s="26">
        <v>0.8711</v>
      </c>
      <c r="G1650" s="12">
        <v>5.0013587E7</v>
      </c>
      <c r="H1650" s="8" t="s">
        <v>117</v>
      </c>
      <c r="I1650" s="11">
        <v>-49.5935</v>
      </c>
      <c r="J1650" s="12">
        <v>2.315536033E9</v>
      </c>
      <c r="K1650" s="13"/>
      <c r="L1650" s="13">
        <v>-1.2124</v>
      </c>
      <c r="M1650" s="8" t="s">
        <v>6201</v>
      </c>
      <c r="N1650" s="8" t="s">
        <v>5502</v>
      </c>
      <c r="O1650" s="13">
        <v>-54.9684</v>
      </c>
      <c r="P1650" s="13">
        <v>-504.0911</v>
      </c>
      <c r="Q1650" s="13">
        <v>-60.5483</v>
      </c>
      <c r="R1650" s="13">
        <v>0.0338</v>
      </c>
      <c r="S1650" s="13">
        <v>6.4673</v>
      </c>
      <c r="T1650" s="14">
        <f>IFERROR(__xludf.DUMMYFUNCTION("IFERROR(GOOGLEFINANCE(B1650,""price""),"""")"),7.18)</f>
        <v>7.18</v>
      </c>
    </row>
    <row r="1651">
      <c r="A1651" s="15">
        <v>46107.66981243618</v>
      </c>
      <c r="B1651" s="16" t="s">
        <v>5591</v>
      </c>
      <c r="C1651" s="16" t="s">
        <v>5592</v>
      </c>
      <c r="D1651" s="17">
        <v>46110.0</v>
      </c>
      <c r="E1651" s="18">
        <v>9.02</v>
      </c>
      <c r="F1651" s="27">
        <v>0.8711</v>
      </c>
      <c r="G1651" s="20">
        <v>1.7059867E7</v>
      </c>
      <c r="H1651" s="16" t="s">
        <v>308</v>
      </c>
      <c r="I1651" s="19">
        <v>-4.8523</v>
      </c>
      <c r="J1651" s="20">
        <v>2.081750689E9</v>
      </c>
      <c r="K1651" s="21"/>
      <c r="L1651" s="21">
        <v>-0.5698</v>
      </c>
      <c r="M1651" s="16" t="s">
        <v>5593</v>
      </c>
      <c r="N1651" s="16" t="s">
        <v>5414</v>
      </c>
      <c r="O1651" s="21">
        <v>-29.5457</v>
      </c>
      <c r="P1651" s="21">
        <v>-195.3894</v>
      </c>
      <c r="Q1651" s="21">
        <v>-44.8801</v>
      </c>
      <c r="R1651" s="21">
        <v>0.0146</v>
      </c>
      <c r="S1651" s="21">
        <v>4.9867</v>
      </c>
      <c r="T1651" s="22">
        <f>IFERROR(__xludf.DUMMYFUNCTION("IFERROR(GOOGLEFINANCE(B1651,""price""),"""")"),9.54)</f>
        <v>9.54</v>
      </c>
    </row>
    <row r="1652">
      <c r="A1652" s="7">
        <v>46108.49573878763</v>
      </c>
      <c r="B1652" s="8" t="s">
        <v>723</v>
      </c>
      <c r="C1652" s="8" t="s">
        <v>724</v>
      </c>
      <c r="D1652" s="9">
        <v>46110.0</v>
      </c>
      <c r="E1652" s="10">
        <v>1.05</v>
      </c>
      <c r="F1652" s="26">
        <v>2.1875</v>
      </c>
      <c r="G1652" s="12">
        <v>1.5616334E7</v>
      </c>
      <c r="H1652" s="8" t="s">
        <v>88</v>
      </c>
      <c r="I1652" s="11">
        <v>-9.4828</v>
      </c>
      <c r="J1652" s="12">
        <v>2.07723178E8</v>
      </c>
      <c r="K1652" s="13"/>
      <c r="L1652" s="13">
        <v>-2.8089</v>
      </c>
      <c r="M1652" s="8" t="s">
        <v>725</v>
      </c>
      <c r="N1652" s="8" t="s">
        <v>5429</v>
      </c>
      <c r="O1652" s="13">
        <v>-18.506</v>
      </c>
      <c r="P1652" s="13">
        <v>-27.9819</v>
      </c>
      <c r="Q1652" s="13">
        <v>-4.343</v>
      </c>
      <c r="R1652" s="13">
        <v>0.0308</v>
      </c>
      <c r="S1652" s="13">
        <v>18.8711</v>
      </c>
      <c r="T1652" s="14">
        <f>IFERROR(__xludf.DUMMYFUNCTION("IFERROR(GOOGLEFINANCE(B1652,""price""),"""")"),0.84)</f>
        <v>0.84</v>
      </c>
    </row>
    <row r="1653">
      <c r="A1653" s="15">
        <v>46108.49573878763</v>
      </c>
      <c r="B1653" s="16" t="s">
        <v>5524</v>
      </c>
      <c r="C1653" s="16" t="s">
        <v>5525</v>
      </c>
      <c r="D1653" s="17">
        <v>46110.0</v>
      </c>
      <c r="E1653" s="18">
        <v>2.485</v>
      </c>
      <c r="F1653" s="27">
        <v>1.875</v>
      </c>
      <c r="G1653" s="20">
        <v>4580855.0</v>
      </c>
      <c r="H1653" s="16" t="s">
        <v>308</v>
      </c>
      <c r="I1653" s="19">
        <v>-6.9288</v>
      </c>
      <c r="J1653" s="20">
        <v>5.53217584E8</v>
      </c>
      <c r="K1653" s="21"/>
      <c r="L1653" s="21">
        <v>-0.4809</v>
      </c>
      <c r="M1653" s="16" t="s">
        <v>5526</v>
      </c>
      <c r="N1653" s="16" t="s">
        <v>5414</v>
      </c>
      <c r="O1653" s="21">
        <v>-45.6168</v>
      </c>
      <c r="P1653" s="21">
        <v>-288.3958</v>
      </c>
      <c r="Q1653" s="21">
        <v>-44.2897</v>
      </c>
      <c r="R1653" s="21">
        <v>0.0539</v>
      </c>
      <c r="S1653" s="21">
        <v>7.3827</v>
      </c>
      <c r="T1653" s="22">
        <f>IFERROR(__xludf.DUMMYFUNCTION("IFERROR(GOOGLEFINANCE(B1653,""price""),"""")"),2.1)</f>
        <v>2.1</v>
      </c>
    </row>
    <row r="1654">
      <c r="A1654" s="7">
        <v>46108.49573878763</v>
      </c>
      <c r="B1654" s="8" t="s">
        <v>6184</v>
      </c>
      <c r="C1654" s="8" t="s">
        <v>6185</v>
      </c>
      <c r="D1654" s="9">
        <v>46110.0</v>
      </c>
      <c r="E1654" s="10">
        <v>9.56</v>
      </c>
      <c r="F1654" s="26">
        <v>1.582</v>
      </c>
      <c r="G1654" s="12">
        <v>1.4519791E7</v>
      </c>
      <c r="H1654" s="8" t="s">
        <v>117</v>
      </c>
      <c r="I1654" s="11">
        <v>15.3197</v>
      </c>
      <c r="J1654" s="12">
        <v>2.276801601E9</v>
      </c>
      <c r="K1654" s="13">
        <v>15.9599</v>
      </c>
      <c r="L1654" s="13">
        <v>0.599</v>
      </c>
      <c r="M1654" s="8" t="s">
        <v>6186</v>
      </c>
      <c r="N1654" s="8" t="s">
        <v>5502</v>
      </c>
      <c r="O1654" s="13">
        <v>35.5617</v>
      </c>
      <c r="P1654" s="13">
        <v>37.5249</v>
      </c>
      <c r="Q1654" s="13">
        <v>19.6314</v>
      </c>
      <c r="R1654" s="13">
        <v>0.1674</v>
      </c>
      <c r="S1654" s="13">
        <v>6.7084</v>
      </c>
      <c r="T1654" s="14">
        <f>IFERROR(__xludf.DUMMYFUNCTION("IFERROR(GOOGLEFINANCE(B1654,""price""),"""")"),9.7)</f>
        <v>9.7</v>
      </c>
    </row>
    <row r="1655">
      <c r="A1655" s="15">
        <v>46108.49573878763</v>
      </c>
      <c r="B1655" s="16" t="s">
        <v>5640</v>
      </c>
      <c r="C1655" s="16" t="s">
        <v>5641</v>
      </c>
      <c r="D1655" s="17">
        <v>46110.0</v>
      </c>
      <c r="E1655" s="18">
        <v>61.035</v>
      </c>
      <c r="F1655" s="27">
        <v>1.4424</v>
      </c>
      <c r="G1655" s="20">
        <v>5658510.0</v>
      </c>
      <c r="H1655" s="16" t="s">
        <v>308</v>
      </c>
      <c r="I1655" s="19">
        <v>4.3155</v>
      </c>
      <c r="J1655" s="20">
        <v>3.391934393E9</v>
      </c>
      <c r="K1655" s="21"/>
      <c r="L1655" s="21">
        <v>-0.4892</v>
      </c>
      <c r="M1655" s="16" t="s">
        <v>5642</v>
      </c>
      <c r="N1655" s="16" t="s">
        <v>5433</v>
      </c>
      <c r="O1655" s="21">
        <v>-9.1233</v>
      </c>
      <c r="P1655" s="21">
        <v>-24.8806</v>
      </c>
      <c r="Q1655" s="21">
        <v>-11.106</v>
      </c>
      <c r="R1655" s="21">
        <v>0.2562</v>
      </c>
      <c r="S1655" s="21">
        <v>2.7231</v>
      </c>
      <c r="T1655" s="22">
        <f>IFERROR(__xludf.DUMMYFUNCTION("IFERROR(GOOGLEFINANCE(B1655,""price""),"""")"),64.18)</f>
        <v>64.18</v>
      </c>
    </row>
    <row r="1656">
      <c r="A1656" s="7">
        <v>46108.49573878763</v>
      </c>
      <c r="B1656" s="8" t="s">
        <v>5533</v>
      </c>
      <c r="C1656" s="8" t="s">
        <v>5534</v>
      </c>
      <c r="D1656" s="9">
        <v>46110.0</v>
      </c>
      <c r="E1656" s="10">
        <v>5.8901</v>
      </c>
      <c r="F1656" s="26">
        <v>1.3672</v>
      </c>
      <c r="G1656" s="12">
        <v>3994574.0</v>
      </c>
      <c r="H1656" s="8" t="s">
        <v>102</v>
      </c>
      <c r="I1656" s="11">
        <v>-6.2086</v>
      </c>
      <c r="J1656" s="12">
        <v>1.593700991E9</v>
      </c>
      <c r="K1656" s="13"/>
      <c r="L1656" s="13">
        <v>-3.7839</v>
      </c>
      <c r="M1656" s="8" t="s">
        <v>5535</v>
      </c>
      <c r="N1656" s="8" t="s">
        <v>5536</v>
      </c>
      <c r="O1656" s="13">
        <v>-55.984</v>
      </c>
      <c r="P1656" s="13">
        <v>-31.1477</v>
      </c>
      <c r="Q1656" s="13"/>
      <c r="R1656" s="13">
        <v>4.5088</v>
      </c>
      <c r="S1656" s="13">
        <v>1.1293</v>
      </c>
      <c r="T1656" s="14">
        <f>IFERROR(__xludf.DUMMYFUNCTION("IFERROR(GOOGLEFINANCE(B1656,""price""),"""")"),4.69)</f>
        <v>4.69</v>
      </c>
    </row>
    <row r="1657">
      <c r="A1657" s="15">
        <v>46108.49573878763</v>
      </c>
      <c r="B1657" s="16" t="s">
        <v>6087</v>
      </c>
      <c r="C1657" s="16" t="s">
        <v>6088</v>
      </c>
      <c r="D1657" s="17">
        <v>46110.0</v>
      </c>
      <c r="E1657" s="18">
        <v>5.225</v>
      </c>
      <c r="F1657" s="27">
        <v>1.2344</v>
      </c>
      <c r="G1657" s="20">
        <v>5217317.0</v>
      </c>
      <c r="H1657" s="16" t="s">
        <v>102</v>
      </c>
      <c r="I1657" s="19">
        <v>-4.827</v>
      </c>
      <c r="J1657" s="20">
        <v>7.97915891E8</v>
      </c>
      <c r="K1657" s="21"/>
      <c r="L1657" s="21">
        <v>-0.6318</v>
      </c>
      <c r="M1657" s="16" t="s">
        <v>6089</v>
      </c>
      <c r="N1657" s="16" t="s">
        <v>5536</v>
      </c>
      <c r="O1657" s="21">
        <v>-104.168</v>
      </c>
      <c r="P1657" s="21">
        <v>-5151.455</v>
      </c>
      <c r="Q1657" s="21">
        <v>535.8653</v>
      </c>
      <c r="R1657" s="21">
        <v>0.1096</v>
      </c>
      <c r="S1657" s="21">
        <v>2.2985</v>
      </c>
      <c r="T1657" s="22">
        <f>IFERROR(__xludf.DUMMYFUNCTION("IFERROR(GOOGLEFINANCE(B1657,""price""),"""")"),7.04)</f>
        <v>7.04</v>
      </c>
    </row>
    <row r="1658">
      <c r="A1658" s="7">
        <v>46108.49573878763</v>
      </c>
      <c r="B1658" s="8" t="s">
        <v>4936</v>
      </c>
      <c r="C1658" s="8" t="s">
        <v>4937</v>
      </c>
      <c r="D1658" s="9">
        <v>46110.0</v>
      </c>
      <c r="E1658" s="10">
        <v>18.005</v>
      </c>
      <c r="F1658" s="26">
        <v>1.2083</v>
      </c>
      <c r="G1658" s="12">
        <v>4872282.0</v>
      </c>
      <c r="H1658" s="8" t="s">
        <v>93</v>
      </c>
      <c r="I1658" s="11">
        <v>-3.0947</v>
      </c>
      <c r="J1658" s="12">
        <v>9.487593602E9</v>
      </c>
      <c r="K1658" s="13"/>
      <c r="L1658" s="13"/>
      <c r="M1658" s="8" t="s">
        <v>4938</v>
      </c>
      <c r="N1658" s="8" t="s">
        <v>5708</v>
      </c>
      <c r="O1658" s="13">
        <v>24.5666</v>
      </c>
      <c r="P1658" s="13">
        <v>32.3937</v>
      </c>
      <c r="Q1658" s="13">
        <v>3.1882</v>
      </c>
      <c r="R1658" s="13">
        <v>3.6244</v>
      </c>
      <c r="S1658" s="13">
        <v>0.2582</v>
      </c>
      <c r="T1658" s="14">
        <f>IFERROR(__xludf.DUMMYFUNCTION("IFERROR(GOOGLEFINANCE(B1658,""price""),"""")"),19.99)</f>
        <v>19.99</v>
      </c>
    </row>
    <row r="1659">
      <c r="A1659" s="15">
        <v>46108.49573878763</v>
      </c>
      <c r="B1659" s="16" t="s">
        <v>6187</v>
      </c>
      <c r="C1659" s="16" t="s">
        <v>6188</v>
      </c>
      <c r="D1659" s="17">
        <v>46110.0</v>
      </c>
      <c r="E1659" s="18">
        <v>23.51</v>
      </c>
      <c r="F1659" s="27">
        <v>1.0816</v>
      </c>
      <c r="G1659" s="20">
        <v>3887952.0</v>
      </c>
      <c r="H1659" s="16" t="s">
        <v>308</v>
      </c>
      <c r="I1659" s="19">
        <v>-12.3088</v>
      </c>
      <c r="J1659" s="20">
        <v>3.760480675E9</v>
      </c>
      <c r="K1659" s="21"/>
      <c r="L1659" s="21">
        <v>-2.2672</v>
      </c>
      <c r="M1659" s="16" t="s">
        <v>6189</v>
      </c>
      <c r="N1659" s="16" t="s">
        <v>5520</v>
      </c>
      <c r="O1659" s="21">
        <v>-50.4849</v>
      </c>
      <c r="P1659" s="21">
        <v>-160.2215</v>
      </c>
      <c r="Q1659" s="21">
        <v>162.954</v>
      </c>
      <c r="R1659" s="21">
        <v>0.2593</v>
      </c>
      <c r="S1659" s="21">
        <v>4.5096</v>
      </c>
      <c r="T1659" s="22">
        <f>IFERROR(__xludf.DUMMYFUNCTION("IFERROR(GOOGLEFINANCE(B1659,""price""),"""")"),37.54)</f>
        <v>37.54</v>
      </c>
    </row>
    <row r="1660">
      <c r="A1660" s="7">
        <v>46108.49573878763</v>
      </c>
      <c r="B1660" s="8" t="s">
        <v>6010</v>
      </c>
      <c r="C1660" s="8" t="s">
        <v>6011</v>
      </c>
      <c r="D1660" s="9">
        <v>46110.0</v>
      </c>
      <c r="E1660" s="10">
        <v>14.84</v>
      </c>
      <c r="F1660" s="26">
        <v>1.0606</v>
      </c>
      <c r="G1660" s="12">
        <v>6262603.0</v>
      </c>
      <c r="H1660" s="8" t="s">
        <v>88</v>
      </c>
      <c r="I1660" s="11">
        <v>-7.7114</v>
      </c>
      <c r="J1660" s="12">
        <v>3.622794124E9</v>
      </c>
      <c r="K1660" s="13"/>
      <c r="L1660" s="13">
        <v>-0.1507</v>
      </c>
      <c r="M1660" s="8" t="s">
        <v>6012</v>
      </c>
      <c r="N1660" s="8" t="s">
        <v>5429</v>
      </c>
      <c r="O1660" s="13">
        <v>-4.254</v>
      </c>
      <c r="P1660" s="13">
        <v>2.2078</v>
      </c>
      <c r="Q1660" s="13">
        <v>29.7204</v>
      </c>
      <c r="R1660" s="13">
        <v>0.2706</v>
      </c>
      <c r="S1660" s="13">
        <v>1.5968</v>
      </c>
      <c r="T1660" s="14">
        <f>IFERROR(__xludf.DUMMYFUNCTION("IFERROR(GOOGLEFINANCE(B1660,""price""),"""")"),14.61)</f>
        <v>14.61</v>
      </c>
    </row>
    <row r="1661">
      <c r="A1661" s="15">
        <v>46108.49573878763</v>
      </c>
      <c r="B1661" s="16" t="s">
        <v>5858</v>
      </c>
      <c r="C1661" s="16" t="s">
        <v>5859</v>
      </c>
      <c r="D1661" s="17">
        <v>46110.0</v>
      </c>
      <c r="E1661" s="18">
        <v>27.47</v>
      </c>
      <c r="F1661" s="27">
        <v>1.0494</v>
      </c>
      <c r="G1661" s="20">
        <v>5999288.0</v>
      </c>
      <c r="H1661" s="16" t="s">
        <v>88</v>
      </c>
      <c r="I1661" s="19">
        <v>-3.9175</v>
      </c>
      <c r="J1661" s="20">
        <v>4.169946106E9</v>
      </c>
      <c r="K1661" s="21"/>
      <c r="L1661" s="21">
        <v>-0.8329</v>
      </c>
      <c r="M1661" s="16" t="s">
        <v>5860</v>
      </c>
      <c r="N1661" s="16" t="s">
        <v>5664</v>
      </c>
      <c r="O1661" s="21">
        <v>-12.8431</v>
      </c>
      <c r="P1661" s="21">
        <v>-19.0035</v>
      </c>
      <c r="Q1661" s="21">
        <v>14.7776</v>
      </c>
      <c r="R1661" s="21">
        <v>0.4628</v>
      </c>
      <c r="S1661" s="21">
        <v>2.6119</v>
      </c>
      <c r="T1661" s="22">
        <f>IFERROR(__xludf.DUMMYFUNCTION("IFERROR(GOOGLEFINANCE(B1661,""price""),"""")"),23.07)</f>
        <v>23.07</v>
      </c>
    </row>
    <row r="1662">
      <c r="A1662" s="7">
        <v>46108.49573878763</v>
      </c>
      <c r="B1662" s="8" t="s">
        <v>6099</v>
      </c>
      <c r="C1662" s="8" t="s">
        <v>6100</v>
      </c>
      <c r="D1662" s="9">
        <v>46110.0</v>
      </c>
      <c r="E1662" s="10">
        <v>3.335</v>
      </c>
      <c r="F1662" s="26">
        <v>1.0313</v>
      </c>
      <c r="G1662" s="12">
        <v>4249989.0</v>
      </c>
      <c r="H1662" s="8" t="s">
        <v>245</v>
      </c>
      <c r="I1662" s="11">
        <v>1.6768</v>
      </c>
      <c r="J1662" s="12">
        <v>4.96173658E8</v>
      </c>
      <c r="K1662" s="13"/>
      <c r="L1662" s="13">
        <v>-1.0118</v>
      </c>
      <c r="M1662" s="8" t="s">
        <v>6101</v>
      </c>
      <c r="N1662" s="8" t="s">
        <v>5410</v>
      </c>
      <c r="O1662" s="13"/>
      <c r="P1662" s="13">
        <v>-10.5298</v>
      </c>
      <c r="Q1662" s="13">
        <v>-4.5309</v>
      </c>
      <c r="R1662" s="13"/>
      <c r="S1662" s="13">
        <v>1.0213</v>
      </c>
      <c r="T1662" s="14">
        <f>IFERROR(__xludf.DUMMYFUNCTION("IFERROR(GOOGLEFINANCE(B1662,""price""),"""")"),2.76)</f>
        <v>2.76</v>
      </c>
    </row>
    <row r="1663">
      <c r="A1663" s="15">
        <v>46108.49573878763</v>
      </c>
      <c r="B1663" s="16" t="s">
        <v>6142</v>
      </c>
      <c r="C1663" s="16" t="s">
        <v>6143</v>
      </c>
      <c r="D1663" s="17">
        <v>46110.0</v>
      </c>
      <c r="E1663" s="18">
        <v>12.47</v>
      </c>
      <c r="F1663" s="27">
        <v>0.9753</v>
      </c>
      <c r="G1663" s="20">
        <v>5048908.0</v>
      </c>
      <c r="H1663" s="16" t="s">
        <v>88</v>
      </c>
      <c r="I1663" s="19">
        <v>-6.9403</v>
      </c>
      <c r="J1663" s="20">
        <v>4.243248061E9</v>
      </c>
      <c r="K1663" s="21"/>
      <c r="L1663" s="21">
        <v>-1.3628</v>
      </c>
      <c r="M1663" s="16" t="s">
        <v>6144</v>
      </c>
      <c r="N1663" s="16" t="s">
        <v>5429</v>
      </c>
      <c r="O1663" s="21">
        <v>-29.0198</v>
      </c>
      <c r="P1663" s="21">
        <v>-30.4055</v>
      </c>
      <c r="Q1663" s="21">
        <v>21.8899</v>
      </c>
      <c r="R1663" s="21">
        <v>0.0104</v>
      </c>
      <c r="S1663" s="21">
        <v>1.2952</v>
      </c>
      <c r="T1663" s="22">
        <f>IFERROR(__xludf.DUMMYFUNCTION("IFERROR(GOOGLEFINANCE(B1663,""price""),"""")"),11.94)</f>
        <v>11.94</v>
      </c>
    </row>
    <row r="1664">
      <c r="A1664" s="7">
        <v>46108.49573878763</v>
      </c>
      <c r="B1664" s="8" t="s">
        <v>5122</v>
      </c>
      <c r="C1664" s="8" t="s">
        <v>5123</v>
      </c>
      <c r="D1664" s="9">
        <v>46110.0</v>
      </c>
      <c r="E1664" s="10">
        <v>16.26</v>
      </c>
      <c r="F1664" s="26">
        <v>0.9734</v>
      </c>
      <c r="G1664" s="12">
        <v>3732613.0</v>
      </c>
      <c r="H1664" s="8" t="s">
        <v>102</v>
      </c>
      <c r="I1664" s="11">
        <v>-5.2448</v>
      </c>
      <c r="J1664" s="12">
        <v>2.227928875E9</v>
      </c>
      <c r="K1664" s="13"/>
      <c r="L1664" s="13">
        <v>-0.3472</v>
      </c>
      <c r="M1664" s="8" t="s">
        <v>5124</v>
      </c>
      <c r="N1664" s="8" t="s">
        <v>5536</v>
      </c>
      <c r="O1664" s="13">
        <v>-50.8105</v>
      </c>
      <c r="P1664" s="13">
        <v>-33.0389</v>
      </c>
      <c r="Q1664" s="13">
        <v>202.1103</v>
      </c>
      <c r="R1664" s="13">
        <v>0.3841</v>
      </c>
      <c r="S1664" s="13">
        <v>7.0758</v>
      </c>
      <c r="T1664" s="14">
        <f>IFERROR(__xludf.DUMMYFUNCTION("IFERROR(GOOGLEFINANCE(B1664,""price""),"""")"),17.22)</f>
        <v>17.22</v>
      </c>
    </row>
    <row r="1665">
      <c r="A1665" s="15">
        <v>46108.49573878763</v>
      </c>
      <c r="B1665" s="16" t="s">
        <v>5623</v>
      </c>
      <c r="C1665" s="16" t="s">
        <v>5624</v>
      </c>
      <c r="D1665" s="17">
        <v>46110.0</v>
      </c>
      <c r="E1665" s="18">
        <v>4.185</v>
      </c>
      <c r="F1665" s="27">
        <v>0.9531</v>
      </c>
      <c r="G1665" s="20">
        <v>8858718.0</v>
      </c>
      <c r="H1665" s="16" t="s">
        <v>88</v>
      </c>
      <c r="I1665" s="19">
        <v>-0.8294</v>
      </c>
      <c r="J1665" s="20">
        <v>8.155782761E9</v>
      </c>
      <c r="K1665" s="21"/>
      <c r="L1665" s="21">
        <v>-0.4446</v>
      </c>
      <c r="M1665" s="16" t="s">
        <v>5625</v>
      </c>
      <c r="N1665" s="16" t="s">
        <v>5429</v>
      </c>
      <c r="O1665" s="21">
        <v>-40.6476</v>
      </c>
      <c r="P1665" s="21">
        <v>-30033.3333</v>
      </c>
      <c r="Q1665" s="21"/>
      <c r="R1665" s="21">
        <v>0.0393</v>
      </c>
      <c r="S1665" s="21">
        <v>11.8649</v>
      </c>
      <c r="T1665" s="22">
        <f>IFERROR(__xludf.DUMMYFUNCTION("IFERROR(GOOGLEFINANCE(B1665,""price""),"""")"),4.15)</f>
        <v>4.15</v>
      </c>
    </row>
    <row r="1666">
      <c r="A1666" s="7">
        <v>46108.49573878763</v>
      </c>
      <c r="B1666" s="8" t="s">
        <v>5948</v>
      </c>
      <c r="C1666" s="8" t="s">
        <v>5949</v>
      </c>
      <c r="D1666" s="9">
        <v>46110.0</v>
      </c>
      <c r="E1666" s="10">
        <v>4.515</v>
      </c>
      <c r="F1666" s="26">
        <v>0.9375</v>
      </c>
      <c r="G1666" s="12">
        <v>5034105.0</v>
      </c>
      <c r="H1666" s="8" t="s">
        <v>117</v>
      </c>
      <c r="I1666" s="11">
        <v>-8.7879</v>
      </c>
      <c r="J1666" s="12">
        <v>8.1081532E8</v>
      </c>
      <c r="K1666" s="13"/>
      <c r="L1666" s="13">
        <v>-0.2459</v>
      </c>
      <c r="M1666" s="8" t="s">
        <v>5950</v>
      </c>
      <c r="N1666" s="8" t="s">
        <v>5491</v>
      </c>
      <c r="O1666" s="13">
        <v>-66.8766</v>
      </c>
      <c r="P1666" s="13"/>
      <c r="Q1666" s="13"/>
      <c r="R1666" s="13">
        <v>0.0141</v>
      </c>
      <c r="S1666" s="13">
        <v>10.7184</v>
      </c>
      <c r="T1666" s="14">
        <f>IFERROR(__xludf.DUMMYFUNCTION("IFERROR(GOOGLEFINANCE(B1666,""price""),"""")"),4.76)</f>
        <v>4.76</v>
      </c>
    </row>
    <row r="1667">
      <c r="A1667" s="15">
        <v>46108.49573878763</v>
      </c>
      <c r="B1667" s="16" t="s">
        <v>5517</v>
      </c>
      <c r="C1667" s="16" t="s">
        <v>5518</v>
      </c>
      <c r="D1667" s="17">
        <v>46110.0</v>
      </c>
      <c r="E1667" s="18">
        <v>8.3</v>
      </c>
      <c r="F1667" s="27">
        <v>0.9199</v>
      </c>
      <c r="G1667" s="20">
        <v>1.1406007E7</v>
      </c>
      <c r="H1667" s="16" t="s">
        <v>308</v>
      </c>
      <c r="I1667" s="19">
        <v>-6.4262</v>
      </c>
      <c r="J1667" s="20">
        <v>1.593399116E9</v>
      </c>
      <c r="K1667" s="21"/>
      <c r="L1667" s="21">
        <v>-2.3761</v>
      </c>
      <c r="M1667" s="16" t="s">
        <v>5519</v>
      </c>
      <c r="N1667" s="16" t="s">
        <v>5520</v>
      </c>
      <c r="O1667" s="21">
        <v>-52.0031</v>
      </c>
      <c r="P1667" s="21">
        <v>-49.6608</v>
      </c>
      <c r="Q1667" s="21">
        <v>10.2861</v>
      </c>
      <c r="R1667" s="21">
        <v>0.1895</v>
      </c>
      <c r="S1667" s="21">
        <v>1.6246</v>
      </c>
      <c r="T1667" s="22">
        <f>IFERROR(__xludf.DUMMYFUNCTION("IFERROR(GOOGLEFINANCE(B1667,""price""),"""")"),9.29)</f>
        <v>9.29</v>
      </c>
    </row>
    <row r="1668">
      <c r="A1668" s="7">
        <v>46108.49573878763</v>
      </c>
      <c r="B1668" s="8" t="s">
        <v>1077</v>
      </c>
      <c r="C1668" s="8" t="s">
        <v>1078</v>
      </c>
      <c r="D1668" s="9">
        <v>46110.0</v>
      </c>
      <c r="E1668" s="10">
        <v>8.8801</v>
      </c>
      <c r="F1668" s="26">
        <v>0.9102</v>
      </c>
      <c r="G1668" s="12">
        <v>3767086.0</v>
      </c>
      <c r="H1668" s="8" t="s">
        <v>335</v>
      </c>
      <c r="I1668" s="11">
        <v>0.3401</v>
      </c>
      <c r="J1668" s="12">
        <v>1.273157157E9</v>
      </c>
      <c r="K1668" s="13"/>
      <c r="L1668" s="13">
        <v>-0.0349</v>
      </c>
      <c r="M1668" s="8" t="s">
        <v>1102</v>
      </c>
      <c r="N1668" s="8" t="s">
        <v>5506</v>
      </c>
      <c r="O1668" s="13">
        <v>-5.1187</v>
      </c>
      <c r="P1668" s="13">
        <v>-22.613</v>
      </c>
      <c r="Q1668" s="13">
        <v>162.805</v>
      </c>
      <c r="R1668" s="13">
        <v>0.0017</v>
      </c>
      <c r="S1668" s="13">
        <v>5.3788</v>
      </c>
      <c r="T1668" s="14">
        <f>IFERROR(__xludf.DUMMYFUNCTION("IFERROR(GOOGLEFINANCE(B1668,""price""),"""")"),8.36)</f>
        <v>8.36</v>
      </c>
    </row>
    <row r="1669">
      <c r="A1669" s="15">
        <v>46108.49573878763</v>
      </c>
      <c r="B1669" s="16" t="s">
        <v>5649</v>
      </c>
      <c r="C1669" s="16" t="s">
        <v>5650</v>
      </c>
      <c r="D1669" s="17">
        <v>46110.0</v>
      </c>
      <c r="E1669" s="18">
        <v>31.06</v>
      </c>
      <c r="F1669" s="27">
        <v>0.8984</v>
      </c>
      <c r="G1669" s="20">
        <v>9306450.0</v>
      </c>
      <c r="H1669" s="16" t="s">
        <v>88</v>
      </c>
      <c r="I1669" s="19">
        <v>-4.1358</v>
      </c>
      <c r="J1669" s="20">
        <v>1.0751388707E10</v>
      </c>
      <c r="K1669" s="21"/>
      <c r="L1669" s="21">
        <v>-0.7881</v>
      </c>
      <c r="M1669" s="16" t="s">
        <v>5651</v>
      </c>
      <c r="N1669" s="16" t="s">
        <v>5429</v>
      </c>
      <c r="O1669" s="21">
        <v>-78.4035</v>
      </c>
      <c r="P1669" s="21">
        <v>-30.5248</v>
      </c>
      <c r="Q1669" s="21">
        <v>25.9359</v>
      </c>
      <c r="R1669" s="21">
        <v>2.4544</v>
      </c>
      <c r="S1669" s="21">
        <v>1.6475</v>
      </c>
      <c r="T1669" s="22">
        <f>IFERROR(__xludf.DUMMYFUNCTION("IFERROR(GOOGLEFINANCE(B1669,""price""),"""")"),34.67)</f>
        <v>34.67</v>
      </c>
    </row>
    <row r="1670">
      <c r="A1670" s="7">
        <v>46108.49573878763</v>
      </c>
      <c r="B1670" s="8" t="s">
        <v>5558</v>
      </c>
      <c r="C1670" s="8" t="s">
        <v>5559</v>
      </c>
      <c r="D1670" s="9">
        <v>46110.0</v>
      </c>
      <c r="E1670" s="10">
        <v>4.815</v>
      </c>
      <c r="F1670" s="26">
        <v>0.875</v>
      </c>
      <c r="G1670" s="12">
        <v>1.1571081E7</v>
      </c>
      <c r="H1670" s="8" t="s">
        <v>102</v>
      </c>
      <c r="I1670" s="11">
        <v>-0.1037</v>
      </c>
      <c r="J1670" s="12">
        <v>1.634376045E9</v>
      </c>
      <c r="K1670" s="13"/>
      <c r="L1670" s="13">
        <v>-6.9942</v>
      </c>
      <c r="M1670" s="8" t="s">
        <v>5560</v>
      </c>
      <c r="N1670" s="8" t="s">
        <v>5536</v>
      </c>
      <c r="O1670" s="13"/>
      <c r="P1670" s="13">
        <v>-225.4661</v>
      </c>
      <c r="Q1670" s="13">
        <v>631.7891</v>
      </c>
      <c r="R1670" s="13"/>
      <c r="S1670" s="13">
        <v>4.9358</v>
      </c>
      <c r="T1670" s="14">
        <f>IFERROR(__xludf.DUMMYFUNCTION("IFERROR(GOOGLEFINANCE(B1670,""price""),"""")"),5.62)</f>
        <v>5.62</v>
      </c>
    </row>
    <row r="1671">
      <c r="A1671" s="15">
        <v>46108.49573878763</v>
      </c>
      <c r="B1671" s="16" t="s">
        <v>5449</v>
      </c>
      <c r="C1671" s="16" t="s">
        <v>5450</v>
      </c>
      <c r="D1671" s="17">
        <v>46110.0</v>
      </c>
      <c r="E1671" s="18">
        <v>17.655</v>
      </c>
      <c r="F1671" s="27">
        <v>0.8706</v>
      </c>
      <c r="G1671" s="20">
        <v>4131683.0</v>
      </c>
      <c r="H1671" s="16" t="s">
        <v>286</v>
      </c>
      <c r="I1671" s="19">
        <v>0.4838</v>
      </c>
      <c r="J1671" s="20">
        <v>3.383990601E10</v>
      </c>
      <c r="K1671" s="21">
        <v>23.1086</v>
      </c>
      <c r="L1671" s="21">
        <v>0.764</v>
      </c>
      <c r="M1671" s="16" t="s">
        <v>5451</v>
      </c>
      <c r="N1671" s="16" t="s">
        <v>5452</v>
      </c>
      <c r="O1671" s="21">
        <v>14.3885</v>
      </c>
      <c r="P1671" s="21">
        <v>18.0916</v>
      </c>
      <c r="Q1671" s="21">
        <v>-2.1545</v>
      </c>
      <c r="R1671" s="21">
        <v>0.8058</v>
      </c>
      <c r="S1671" s="21">
        <v>0.9583</v>
      </c>
      <c r="T1671" s="22">
        <f>IFERROR(__xludf.DUMMYFUNCTION("IFERROR(GOOGLEFINANCE(B1671,""price""),"""")"),17.35)</f>
        <v>17.35</v>
      </c>
    </row>
    <row r="1672">
      <c r="A1672" s="7">
        <v>46108.49573878763</v>
      </c>
      <c r="B1672" s="8" t="s">
        <v>5530</v>
      </c>
      <c r="C1672" s="8" t="s">
        <v>5531</v>
      </c>
      <c r="D1672" s="9">
        <v>46110.0</v>
      </c>
      <c r="E1672" s="10">
        <v>4.385</v>
      </c>
      <c r="F1672" s="26">
        <v>0.8594</v>
      </c>
      <c r="G1672" s="12">
        <v>4573594.0</v>
      </c>
      <c r="H1672" s="8" t="s">
        <v>335</v>
      </c>
      <c r="I1672" s="11">
        <v>-4.8807</v>
      </c>
      <c r="J1672" s="12">
        <v>1.813162625E9</v>
      </c>
      <c r="K1672" s="13"/>
      <c r="L1672" s="13">
        <v>-0.7653</v>
      </c>
      <c r="M1672" s="8" t="s">
        <v>5532</v>
      </c>
      <c r="N1672" s="8" t="s">
        <v>5506</v>
      </c>
      <c r="O1672" s="13"/>
      <c r="P1672" s="13"/>
      <c r="Q1672" s="13"/>
      <c r="R1672" s="13"/>
      <c r="S1672" s="13">
        <v>2.5028</v>
      </c>
      <c r="T1672" s="14">
        <f>IFERROR(__xludf.DUMMYFUNCTION("IFERROR(GOOGLEFINANCE(B1672,""price""),"""")"),4.34)</f>
        <v>4.34</v>
      </c>
    </row>
    <row r="1673">
      <c r="A1673" s="15">
        <v>46108.49573878763</v>
      </c>
      <c r="B1673" s="16" t="s">
        <v>5778</v>
      </c>
      <c r="C1673" s="16" t="s">
        <v>5779</v>
      </c>
      <c r="D1673" s="17">
        <v>46110.0</v>
      </c>
      <c r="E1673" s="18">
        <v>1.45</v>
      </c>
      <c r="F1673" s="27">
        <v>0.8516</v>
      </c>
      <c r="G1673" s="20">
        <v>8326327.0</v>
      </c>
      <c r="H1673" s="16" t="s">
        <v>117</v>
      </c>
      <c r="I1673" s="19">
        <v>-5.8442</v>
      </c>
      <c r="J1673" s="20">
        <v>9.28789759E8</v>
      </c>
      <c r="K1673" s="21"/>
      <c r="L1673" s="21">
        <v>-0.1287</v>
      </c>
      <c r="M1673" s="16" t="s">
        <v>5780</v>
      </c>
      <c r="N1673" s="16" t="s">
        <v>5502</v>
      </c>
      <c r="O1673" s="21">
        <v>-33.8931</v>
      </c>
      <c r="P1673" s="21">
        <v>-29.2771</v>
      </c>
      <c r="Q1673" s="21">
        <v>138.822</v>
      </c>
      <c r="R1673" s="21">
        <v>1.1138</v>
      </c>
      <c r="S1673" s="21">
        <v>4.6644</v>
      </c>
      <c r="T1673" s="22">
        <f>IFERROR(__xludf.DUMMYFUNCTION("IFERROR(GOOGLEFINANCE(B1673,""price""),"""")"),1.67)</f>
        <v>1.67</v>
      </c>
    </row>
    <row r="1674">
      <c r="A1674" s="7">
        <v>46108.49573878763</v>
      </c>
      <c r="B1674" s="8" t="s">
        <v>5541</v>
      </c>
      <c r="C1674" s="8" t="s">
        <v>5542</v>
      </c>
      <c r="D1674" s="9">
        <v>46110.0</v>
      </c>
      <c r="E1674" s="10">
        <v>4.285</v>
      </c>
      <c r="F1674" s="26">
        <v>0.8281</v>
      </c>
      <c r="G1674" s="12">
        <v>9174234.0</v>
      </c>
      <c r="H1674" s="8" t="s">
        <v>162</v>
      </c>
      <c r="I1674" s="11">
        <v>-4.9889</v>
      </c>
      <c r="J1674" s="12">
        <v>1.585962821E9</v>
      </c>
      <c r="K1674" s="13"/>
      <c r="L1674" s="13">
        <v>-1.6664</v>
      </c>
      <c r="M1674" s="8" t="s">
        <v>5543</v>
      </c>
      <c r="N1674" s="8" t="s">
        <v>5490</v>
      </c>
      <c r="O1674" s="13">
        <v>-25.2888</v>
      </c>
      <c r="P1674" s="13">
        <v>-3.7299</v>
      </c>
      <c r="Q1674" s="13">
        <v>-2.3386</v>
      </c>
      <c r="R1674" s="13">
        <v>4.4415</v>
      </c>
      <c r="S1674" s="13">
        <v>0.7356</v>
      </c>
      <c r="T1674" s="14">
        <f>IFERROR(__xludf.DUMMYFUNCTION("IFERROR(GOOGLEFINANCE(B1674,""price""),"""")"),4.74)</f>
        <v>4.74</v>
      </c>
    </row>
    <row r="1675">
      <c r="A1675" s="15">
        <v>46108.49573878763</v>
      </c>
      <c r="B1675" s="16" t="s">
        <v>5792</v>
      </c>
      <c r="C1675" s="16" t="s">
        <v>5793</v>
      </c>
      <c r="D1675" s="17">
        <v>46110.0</v>
      </c>
      <c r="E1675" s="18">
        <v>7.135</v>
      </c>
      <c r="F1675" s="27">
        <v>0.8281</v>
      </c>
      <c r="G1675" s="20">
        <v>8550596.0</v>
      </c>
      <c r="H1675" s="16" t="s">
        <v>93</v>
      </c>
      <c r="I1675" s="19">
        <v>-6.3648</v>
      </c>
      <c r="J1675" s="20">
        <v>5.368353165E9</v>
      </c>
      <c r="K1675" s="21"/>
      <c r="L1675" s="21">
        <v>-0.1082</v>
      </c>
      <c r="M1675" s="16" t="s">
        <v>5794</v>
      </c>
      <c r="N1675" s="16" t="s">
        <v>5757</v>
      </c>
      <c r="O1675" s="21">
        <v>-9.8204</v>
      </c>
      <c r="P1675" s="21">
        <v>-0.3965</v>
      </c>
      <c r="Q1675" s="21">
        <v>23.6716</v>
      </c>
      <c r="R1675" s="21">
        <v>0.609</v>
      </c>
      <c r="S1675" s="21">
        <v>0.8636</v>
      </c>
      <c r="T1675" s="22">
        <f>IFERROR(__xludf.DUMMYFUNCTION("IFERROR(GOOGLEFINANCE(B1675,""price""),"""")"),7.14)</f>
        <v>7.14</v>
      </c>
    </row>
    <row r="1676">
      <c r="A1676" s="7">
        <v>46108.49573878763</v>
      </c>
      <c r="B1676" s="8" t="s">
        <v>5537</v>
      </c>
      <c r="C1676" s="8" t="s">
        <v>5538</v>
      </c>
      <c r="D1676" s="9">
        <v>46110.0</v>
      </c>
      <c r="E1676" s="10">
        <v>2.0</v>
      </c>
      <c r="F1676" s="26">
        <v>0.8281</v>
      </c>
      <c r="G1676" s="12">
        <v>4166820.0</v>
      </c>
      <c r="H1676" s="8" t="s">
        <v>112</v>
      </c>
      <c r="I1676" s="11">
        <v>-4.7619</v>
      </c>
      <c r="J1676" s="12">
        <v>4.47191907E8</v>
      </c>
      <c r="K1676" s="13"/>
      <c r="L1676" s="13">
        <v>-0.135</v>
      </c>
      <c r="M1676" s="8" t="s">
        <v>5539</v>
      </c>
      <c r="N1676" s="8" t="s">
        <v>5540</v>
      </c>
      <c r="O1676" s="13">
        <v>-10.5751</v>
      </c>
      <c r="P1676" s="13">
        <v>-523.9108</v>
      </c>
      <c r="Q1676" s="13">
        <v>12.4146</v>
      </c>
      <c r="R1676" s="13">
        <v>0.0018</v>
      </c>
      <c r="S1676" s="13">
        <v>35.7348</v>
      </c>
      <c r="T1676" s="14">
        <f>IFERROR(__xludf.DUMMYFUNCTION("IFERROR(GOOGLEFINANCE(B1676,""price""),"""")"),2.01)</f>
        <v>2.01</v>
      </c>
    </row>
    <row r="1677">
      <c r="A1677" s="15">
        <v>46108.49573878763</v>
      </c>
      <c r="B1677" s="16" t="s">
        <v>5789</v>
      </c>
      <c r="C1677" s="16" t="s">
        <v>5790</v>
      </c>
      <c r="D1677" s="17">
        <v>46110.0</v>
      </c>
      <c r="E1677" s="18">
        <v>18.185</v>
      </c>
      <c r="F1677" s="27">
        <v>0.8237</v>
      </c>
      <c r="G1677" s="20">
        <v>1.0460485E7</v>
      </c>
      <c r="H1677" s="16" t="s">
        <v>137</v>
      </c>
      <c r="I1677" s="19">
        <v>-1.0071</v>
      </c>
      <c r="J1677" s="20">
        <v>3.324566689E10</v>
      </c>
      <c r="K1677" s="21">
        <v>162.2212</v>
      </c>
      <c r="L1677" s="21">
        <v>0.1121</v>
      </c>
      <c r="M1677" s="16" t="s">
        <v>5791</v>
      </c>
      <c r="N1677" s="16" t="s">
        <v>5743</v>
      </c>
      <c r="O1677" s="21">
        <v>4.7674</v>
      </c>
      <c r="P1677" s="21">
        <v>1.4421</v>
      </c>
      <c r="Q1677" s="21">
        <v>14.0941</v>
      </c>
      <c r="R1677" s="21">
        <v>1.0026</v>
      </c>
      <c r="S1677" s="21">
        <v>1.0357</v>
      </c>
      <c r="T1677" s="22">
        <f>IFERROR(__xludf.DUMMYFUNCTION("IFERROR(GOOGLEFINANCE(B1677,""price""),"""")"),19.76)</f>
        <v>19.76</v>
      </c>
    </row>
    <row r="1678">
      <c r="A1678" s="7">
        <v>46108.49573878763</v>
      </c>
      <c r="B1678" s="8" t="s">
        <v>6202</v>
      </c>
      <c r="C1678" s="8" t="s">
        <v>6203</v>
      </c>
      <c r="D1678" s="9">
        <v>46110.0</v>
      </c>
      <c r="E1678" s="10">
        <v>30.5</v>
      </c>
      <c r="F1678" s="26">
        <v>0.8201</v>
      </c>
      <c r="G1678" s="12">
        <v>1.0877668E7</v>
      </c>
      <c r="H1678" s="8" t="s">
        <v>102</v>
      </c>
      <c r="I1678" s="11">
        <v>1.4637</v>
      </c>
      <c r="J1678" s="12">
        <v>9.360963929E9</v>
      </c>
      <c r="K1678" s="13"/>
      <c r="L1678" s="13"/>
      <c r="M1678" s="8" t="s">
        <v>6204</v>
      </c>
      <c r="N1678" s="8" t="s">
        <v>5536</v>
      </c>
      <c r="O1678" s="13"/>
      <c r="P1678" s="13"/>
      <c r="Q1678" s="13"/>
      <c r="R1678" s="13">
        <v>1.8385</v>
      </c>
      <c r="S1678" s="13">
        <v>1.6648</v>
      </c>
      <c r="T1678" s="14">
        <f>IFERROR(__xludf.DUMMYFUNCTION("IFERROR(GOOGLEFINANCE(B1678,""price""),"""")"),31.65)</f>
        <v>31.65</v>
      </c>
    </row>
    <row r="1679">
      <c r="A1679" s="15">
        <v>46108.49573878763</v>
      </c>
      <c r="B1679" s="16" t="s">
        <v>5888</v>
      </c>
      <c r="C1679" s="16" t="s">
        <v>5889</v>
      </c>
      <c r="D1679" s="17">
        <v>46110.0</v>
      </c>
      <c r="E1679" s="18">
        <v>5.175</v>
      </c>
      <c r="F1679" s="27">
        <v>0.7969</v>
      </c>
      <c r="G1679" s="20">
        <v>9974630.0</v>
      </c>
      <c r="H1679" s="16" t="s">
        <v>308</v>
      </c>
      <c r="I1679" s="19">
        <v>-3.6313</v>
      </c>
      <c r="J1679" s="20">
        <v>3.852988303E9</v>
      </c>
      <c r="K1679" s="21"/>
      <c r="L1679" s="21">
        <v>-0.9895</v>
      </c>
      <c r="M1679" s="16" t="s">
        <v>5890</v>
      </c>
      <c r="N1679" s="16" t="s">
        <v>5520</v>
      </c>
      <c r="O1679" s="21">
        <v>-41.8353</v>
      </c>
      <c r="P1679" s="21">
        <v>-242866.6667</v>
      </c>
      <c r="Q1679" s="21"/>
      <c r="R1679" s="21">
        <v>0.0553</v>
      </c>
      <c r="S1679" s="21">
        <v>19.886</v>
      </c>
      <c r="T1679" s="22">
        <f>IFERROR(__xludf.DUMMYFUNCTION("IFERROR(GOOGLEFINANCE(B1679,""price""),"""")"),5.4)</f>
        <v>5.4</v>
      </c>
    </row>
    <row r="1680">
      <c r="A1680" s="7">
        <v>46108.49573878763</v>
      </c>
      <c r="B1680" s="8" t="s">
        <v>6205</v>
      </c>
      <c r="C1680" s="8" t="s">
        <v>6206</v>
      </c>
      <c r="D1680" s="9">
        <v>46110.0</v>
      </c>
      <c r="E1680" s="10">
        <v>15.691</v>
      </c>
      <c r="F1680" s="26">
        <v>0.7813</v>
      </c>
      <c r="G1680" s="12">
        <v>7722683.0</v>
      </c>
      <c r="H1680" s="8" t="s">
        <v>286</v>
      </c>
      <c r="I1680" s="11">
        <v>3.2303</v>
      </c>
      <c r="J1680" s="12">
        <v>7.506095359E9</v>
      </c>
      <c r="K1680" s="13"/>
      <c r="L1680" s="13">
        <v>-0.2058</v>
      </c>
      <c r="M1680" s="8" t="s">
        <v>6207</v>
      </c>
      <c r="N1680" s="8" t="s">
        <v>6208</v>
      </c>
      <c r="O1680" s="13">
        <v>-1.1603</v>
      </c>
      <c r="P1680" s="13">
        <v>11.8163</v>
      </c>
      <c r="Q1680" s="13">
        <v>-5.8204</v>
      </c>
      <c r="R1680" s="13">
        <v>0.9423</v>
      </c>
      <c r="S1680" s="13">
        <v>0.8913</v>
      </c>
      <c r="T1680" s="14">
        <f>IFERROR(__xludf.DUMMYFUNCTION("IFERROR(GOOGLEFINANCE(B1680,""price""),"""")"),15.18)</f>
        <v>15.18</v>
      </c>
    </row>
    <row r="1681">
      <c r="A1681" s="15">
        <v>46108.49573878763</v>
      </c>
      <c r="B1681" s="16" t="s">
        <v>5604</v>
      </c>
      <c r="C1681" s="16" t="s">
        <v>5605</v>
      </c>
      <c r="D1681" s="17">
        <v>46110.0</v>
      </c>
      <c r="E1681" s="18">
        <v>96.01</v>
      </c>
      <c r="F1681" s="27">
        <v>0.7737</v>
      </c>
      <c r="G1681" s="20">
        <v>4911585.0</v>
      </c>
      <c r="H1681" s="16" t="s">
        <v>308</v>
      </c>
      <c r="I1681" s="19">
        <v>-1.4473</v>
      </c>
      <c r="J1681" s="20">
        <v>7.219838767E9</v>
      </c>
      <c r="K1681" s="21"/>
      <c r="L1681" s="21">
        <v>-0.6555</v>
      </c>
      <c r="M1681" s="16" t="s">
        <v>5606</v>
      </c>
      <c r="N1681" s="16" t="s">
        <v>5414</v>
      </c>
      <c r="O1681" s="21">
        <v>-7.9391</v>
      </c>
      <c r="P1681" s="21">
        <v>-11.9814</v>
      </c>
      <c r="Q1681" s="21">
        <v>82.7502</v>
      </c>
      <c r="R1681" s="21">
        <v>0.338</v>
      </c>
      <c r="S1681" s="21">
        <v>2.6264</v>
      </c>
      <c r="T1681" s="22">
        <f>IFERROR(__xludf.DUMMYFUNCTION("IFERROR(GOOGLEFINANCE(B1681,""price""),"""")"),150.6)</f>
        <v>150.6</v>
      </c>
    </row>
    <row r="1682">
      <c r="A1682" s="7">
        <v>46108.66986041439</v>
      </c>
      <c r="B1682" s="8" t="s">
        <v>5836</v>
      </c>
      <c r="C1682" s="8" t="s">
        <v>5837</v>
      </c>
      <c r="D1682" s="9">
        <v>46110.0</v>
      </c>
      <c r="E1682" s="10">
        <v>6.18</v>
      </c>
      <c r="F1682" s="26">
        <v>2.4844</v>
      </c>
      <c r="G1682" s="12">
        <v>9651712.0</v>
      </c>
      <c r="H1682" s="8" t="s">
        <v>93</v>
      </c>
      <c r="I1682" s="11">
        <v>1.6447</v>
      </c>
      <c r="J1682" s="12">
        <v>3.794676866E9</v>
      </c>
      <c r="K1682" s="13"/>
      <c r="L1682" s="13"/>
      <c r="M1682" s="8" t="s">
        <v>5838</v>
      </c>
      <c r="N1682" s="8" t="s">
        <v>5839</v>
      </c>
      <c r="O1682" s="13"/>
      <c r="P1682" s="13"/>
      <c r="Q1682" s="13"/>
      <c r="R1682" s="13">
        <v>0.4147</v>
      </c>
      <c r="S1682" s="13">
        <v>2.8104</v>
      </c>
      <c r="T1682" s="14">
        <f>IFERROR(__xludf.DUMMYFUNCTION("IFERROR(GOOGLEFINANCE(B1682,""price""),"""")"),4.87)</f>
        <v>4.87</v>
      </c>
    </row>
    <row r="1683">
      <c r="A1683" s="15">
        <v>46108.66986041439</v>
      </c>
      <c r="B1683" s="16" t="s">
        <v>4936</v>
      </c>
      <c r="C1683" s="16" t="s">
        <v>4937</v>
      </c>
      <c r="D1683" s="17">
        <v>46110.0</v>
      </c>
      <c r="E1683" s="18">
        <v>17.7</v>
      </c>
      <c r="F1683" s="27">
        <v>2.332</v>
      </c>
      <c r="G1683" s="20">
        <v>9426135.0</v>
      </c>
      <c r="H1683" s="16" t="s">
        <v>93</v>
      </c>
      <c r="I1683" s="19">
        <v>-4.7363</v>
      </c>
      <c r="J1683" s="20">
        <v>9.326876243E9</v>
      </c>
      <c r="K1683" s="21"/>
      <c r="L1683" s="21"/>
      <c r="M1683" s="16" t="s">
        <v>4938</v>
      </c>
      <c r="N1683" s="16" t="s">
        <v>5708</v>
      </c>
      <c r="O1683" s="21">
        <v>24.5666</v>
      </c>
      <c r="P1683" s="21">
        <v>32.3937</v>
      </c>
      <c r="Q1683" s="21">
        <v>3.1882</v>
      </c>
      <c r="R1683" s="21">
        <v>3.6244</v>
      </c>
      <c r="S1683" s="21">
        <v>0.2582</v>
      </c>
      <c r="T1683" s="22">
        <f>IFERROR(__xludf.DUMMYFUNCTION("IFERROR(GOOGLEFINANCE(B1683,""price""),"""")"),19.99)</f>
        <v>19.99</v>
      </c>
    </row>
    <row r="1684">
      <c r="A1684" s="7">
        <v>46108.66986041439</v>
      </c>
      <c r="B1684" s="8" t="s">
        <v>6184</v>
      </c>
      <c r="C1684" s="8" t="s">
        <v>6185</v>
      </c>
      <c r="D1684" s="9">
        <v>46110.0</v>
      </c>
      <c r="E1684" s="10">
        <v>9.25</v>
      </c>
      <c r="F1684" s="26">
        <v>1.6582</v>
      </c>
      <c r="G1684" s="12">
        <v>2.2259138E7</v>
      </c>
      <c r="H1684" s="8" t="s">
        <v>117</v>
      </c>
      <c r="I1684" s="11">
        <v>11.5802</v>
      </c>
      <c r="J1684" s="12">
        <v>2.202972261E9</v>
      </c>
      <c r="K1684" s="13">
        <v>15.4424</v>
      </c>
      <c r="L1684" s="13">
        <v>0.599</v>
      </c>
      <c r="M1684" s="8" t="s">
        <v>6186</v>
      </c>
      <c r="N1684" s="8" t="s">
        <v>5502</v>
      </c>
      <c r="O1684" s="13">
        <v>35.5617</v>
      </c>
      <c r="P1684" s="13">
        <v>37.5249</v>
      </c>
      <c r="Q1684" s="13">
        <v>19.6314</v>
      </c>
      <c r="R1684" s="13">
        <v>0.1674</v>
      </c>
      <c r="S1684" s="13">
        <v>6.7084</v>
      </c>
      <c r="T1684" s="14">
        <f>IFERROR(__xludf.DUMMYFUNCTION("IFERROR(GOOGLEFINANCE(B1684,""price""),"""")"),9.7)</f>
        <v>9.7</v>
      </c>
    </row>
    <row r="1685">
      <c r="A1685" s="15">
        <v>46108.66986041439</v>
      </c>
      <c r="B1685" s="16" t="s">
        <v>5533</v>
      </c>
      <c r="C1685" s="16" t="s">
        <v>5534</v>
      </c>
      <c r="D1685" s="17">
        <v>46110.0</v>
      </c>
      <c r="E1685" s="18">
        <v>5.76</v>
      </c>
      <c r="F1685" s="27">
        <v>1.5195</v>
      </c>
      <c r="G1685" s="20">
        <v>1.2767173E7</v>
      </c>
      <c r="H1685" s="16" t="s">
        <v>102</v>
      </c>
      <c r="I1685" s="19">
        <v>-8.2803</v>
      </c>
      <c r="J1685" s="20">
        <v>1.558499466E9</v>
      </c>
      <c r="K1685" s="21"/>
      <c r="L1685" s="21">
        <v>-3.7839</v>
      </c>
      <c r="M1685" s="16" t="s">
        <v>5535</v>
      </c>
      <c r="N1685" s="16" t="s">
        <v>5536</v>
      </c>
      <c r="O1685" s="21">
        <v>-55.984</v>
      </c>
      <c r="P1685" s="21">
        <v>-31.1477</v>
      </c>
      <c r="Q1685" s="21"/>
      <c r="R1685" s="21">
        <v>4.5088</v>
      </c>
      <c r="S1685" s="21">
        <v>1.1293</v>
      </c>
      <c r="T1685" s="22">
        <f>IFERROR(__xludf.DUMMYFUNCTION("IFERROR(GOOGLEFINANCE(B1685,""price""),"""")"),4.69)</f>
        <v>4.69</v>
      </c>
    </row>
    <row r="1686">
      <c r="A1686" s="7">
        <v>46108.66986041439</v>
      </c>
      <c r="B1686" s="8" t="s">
        <v>5798</v>
      </c>
      <c r="C1686" s="8" t="s">
        <v>5799</v>
      </c>
      <c r="D1686" s="9">
        <v>46110.0</v>
      </c>
      <c r="E1686" s="10">
        <v>6.04</v>
      </c>
      <c r="F1686" s="26">
        <v>1.5078</v>
      </c>
      <c r="G1686" s="12">
        <v>1.082018E7</v>
      </c>
      <c r="H1686" s="8" t="s">
        <v>186</v>
      </c>
      <c r="I1686" s="11">
        <v>-7.5038</v>
      </c>
      <c r="J1686" s="12">
        <v>1.190839271E9</v>
      </c>
      <c r="K1686" s="13"/>
      <c r="L1686" s="13">
        <v>-9.2186</v>
      </c>
      <c r="M1686" s="8" t="s">
        <v>5800</v>
      </c>
      <c r="N1686" s="8" t="s">
        <v>5801</v>
      </c>
      <c r="O1686" s="13">
        <v>-60.6762</v>
      </c>
      <c r="P1686" s="13">
        <v>-116.7314</v>
      </c>
      <c r="Q1686" s="13">
        <v>666.0384</v>
      </c>
      <c r="R1686" s="13">
        <v>0.0</v>
      </c>
      <c r="S1686" s="13">
        <v>2.4436</v>
      </c>
      <c r="T1686" s="14">
        <f>IFERROR(__xludf.DUMMYFUNCTION("IFERROR(GOOGLEFINANCE(B1686,""price""),"""")"),6.52)</f>
        <v>6.52</v>
      </c>
    </row>
    <row r="1687">
      <c r="A1687" s="15">
        <v>46108.66986041439</v>
      </c>
      <c r="B1687" s="16" t="s">
        <v>5948</v>
      </c>
      <c r="C1687" s="16" t="s">
        <v>5949</v>
      </c>
      <c r="D1687" s="17">
        <v>46110.0</v>
      </c>
      <c r="E1687" s="18">
        <v>4.365</v>
      </c>
      <c r="F1687" s="27">
        <v>1.4766</v>
      </c>
      <c r="G1687" s="20">
        <v>1.0127763E7</v>
      </c>
      <c r="H1687" s="16" t="s">
        <v>117</v>
      </c>
      <c r="I1687" s="19">
        <v>-11.8182</v>
      </c>
      <c r="J1687" s="20">
        <v>7.83877934E8</v>
      </c>
      <c r="K1687" s="21"/>
      <c r="L1687" s="21">
        <v>-0.2459</v>
      </c>
      <c r="M1687" s="16" t="s">
        <v>5950</v>
      </c>
      <c r="N1687" s="16" t="s">
        <v>5491</v>
      </c>
      <c r="O1687" s="21">
        <v>-66.8766</v>
      </c>
      <c r="P1687" s="21"/>
      <c r="Q1687" s="21"/>
      <c r="R1687" s="21">
        <v>0.0141</v>
      </c>
      <c r="S1687" s="21">
        <v>10.7184</v>
      </c>
      <c r="T1687" s="22">
        <f>IFERROR(__xludf.DUMMYFUNCTION("IFERROR(GOOGLEFINANCE(B1687,""price""),"""")"),4.76)</f>
        <v>4.76</v>
      </c>
    </row>
    <row r="1688">
      <c r="A1688" s="7">
        <v>46108.66986041439</v>
      </c>
      <c r="B1688" s="8" t="s">
        <v>5580</v>
      </c>
      <c r="C1688" s="8" t="s">
        <v>5581</v>
      </c>
      <c r="D1688" s="9">
        <v>46110.0</v>
      </c>
      <c r="E1688" s="10">
        <v>2.39</v>
      </c>
      <c r="F1688" s="26">
        <v>1.4688</v>
      </c>
      <c r="G1688" s="12">
        <v>1.3421761E7</v>
      </c>
      <c r="H1688" s="8" t="s">
        <v>88</v>
      </c>
      <c r="I1688" s="11">
        <v>1.7021</v>
      </c>
      <c r="J1688" s="12">
        <v>9.53197941E8</v>
      </c>
      <c r="K1688" s="13"/>
      <c r="L1688" s="13"/>
      <c r="M1688" s="8" t="s">
        <v>5582</v>
      </c>
      <c r="N1688" s="8" t="s">
        <v>5429</v>
      </c>
      <c r="O1688" s="13"/>
      <c r="P1688" s="13"/>
      <c r="Q1688" s="13"/>
      <c r="R1688" s="13"/>
      <c r="S1688" s="13">
        <v>0.2412</v>
      </c>
      <c r="T1688" s="14">
        <f>IFERROR(__xludf.DUMMYFUNCTION("IFERROR(GOOGLEFINANCE(B1688,""price""),"""")"),2.38)</f>
        <v>2.38</v>
      </c>
    </row>
    <row r="1689">
      <c r="A1689" s="15">
        <v>46108.66986041439</v>
      </c>
      <c r="B1689" s="16" t="s">
        <v>5461</v>
      </c>
      <c r="C1689" s="16" t="s">
        <v>5462</v>
      </c>
      <c r="D1689" s="17">
        <v>46110.0</v>
      </c>
      <c r="E1689" s="18">
        <v>13.6</v>
      </c>
      <c r="F1689" s="27">
        <v>1.3529</v>
      </c>
      <c r="G1689" s="20">
        <v>5.9292675E7</v>
      </c>
      <c r="H1689" s="16" t="s">
        <v>93</v>
      </c>
      <c r="I1689" s="19">
        <v>-2.9957</v>
      </c>
      <c r="J1689" s="20">
        <v>6.6037164422E10</v>
      </c>
      <c r="K1689" s="21">
        <v>23.2518</v>
      </c>
      <c r="L1689" s="21">
        <v>0.5849</v>
      </c>
      <c r="M1689" s="16" t="s">
        <v>5463</v>
      </c>
      <c r="N1689" s="16" t="s">
        <v>5464</v>
      </c>
      <c r="O1689" s="21">
        <v>30.299</v>
      </c>
      <c r="P1689" s="21">
        <v>26.8369</v>
      </c>
      <c r="Q1689" s="21">
        <v>39.6707</v>
      </c>
      <c r="R1689" s="21">
        <v>3.3447</v>
      </c>
      <c r="S1689" s="21">
        <v>0.6919</v>
      </c>
      <c r="T1689" s="22">
        <f>IFERROR(__xludf.DUMMYFUNCTION("IFERROR(GOOGLEFINANCE(B1689,""price""),"""")"),14.96)</f>
        <v>14.96</v>
      </c>
    </row>
    <row r="1690">
      <c r="A1690" s="7">
        <v>46108.66986041439</v>
      </c>
      <c r="B1690" s="8" t="s">
        <v>5623</v>
      </c>
      <c r="C1690" s="8" t="s">
        <v>5624</v>
      </c>
      <c r="D1690" s="9">
        <v>46110.0</v>
      </c>
      <c r="E1690" s="10">
        <v>4.12</v>
      </c>
      <c r="F1690" s="26">
        <v>1.1875</v>
      </c>
      <c r="G1690" s="12">
        <v>1.7909136E7</v>
      </c>
      <c r="H1690" s="8" t="s">
        <v>88</v>
      </c>
      <c r="I1690" s="11">
        <v>-2.3697</v>
      </c>
      <c r="J1690" s="12">
        <v>8.02910991E9</v>
      </c>
      <c r="K1690" s="13"/>
      <c r="L1690" s="13">
        <v>-0.4446</v>
      </c>
      <c r="M1690" s="8" t="s">
        <v>5625</v>
      </c>
      <c r="N1690" s="8" t="s">
        <v>5429</v>
      </c>
      <c r="O1690" s="13">
        <v>-40.6476</v>
      </c>
      <c r="P1690" s="13">
        <v>-30033.3333</v>
      </c>
      <c r="Q1690" s="13"/>
      <c r="R1690" s="13">
        <v>0.0393</v>
      </c>
      <c r="S1690" s="13">
        <v>11.8649</v>
      </c>
      <c r="T1690" s="14">
        <f>IFERROR(__xludf.DUMMYFUNCTION("IFERROR(GOOGLEFINANCE(B1690,""price""),"""")"),4.15)</f>
        <v>4.15</v>
      </c>
    </row>
    <row r="1691">
      <c r="A1691" s="15">
        <v>46108.66986041439</v>
      </c>
      <c r="B1691" s="16" t="s">
        <v>5517</v>
      </c>
      <c r="C1691" s="16" t="s">
        <v>5518</v>
      </c>
      <c r="D1691" s="17">
        <v>46110.0</v>
      </c>
      <c r="E1691" s="18">
        <v>8.16</v>
      </c>
      <c r="F1691" s="27">
        <v>1.1738</v>
      </c>
      <c r="G1691" s="20">
        <v>1.7289601E7</v>
      </c>
      <c r="H1691" s="16" t="s">
        <v>308</v>
      </c>
      <c r="I1691" s="19">
        <v>-8.0045</v>
      </c>
      <c r="J1691" s="20">
        <v>1.566522504E9</v>
      </c>
      <c r="K1691" s="21"/>
      <c r="L1691" s="21">
        <v>-2.3761</v>
      </c>
      <c r="M1691" s="16" t="s">
        <v>5519</v>
      </c>
      <c r="N1691" s="16" t="s">
        <v>5520</v>
      </c>
      <c r="O1691" s="21">
        <v>-52.0031</v>
      </c>
      <c r="P1691" s="21">
        <v>-49.6608</v>
      </c>
      <c r="Q1691" s="21">
        <v>10.2861</v>
      </c>
      <c r="R1691" s="21">
        <v>0.1895</v>
      </c>
      <c r="S1691" s="21">
        <v>1.6246</v>
      </c>
      <c r="T1691" s="22">
        <f>IFERROR(__xludf.DUMMYFUNCTION("IFERROR(GOOGLEFINANCE(B1691,""price""),"""")"),9.29)</f>
        <v>9.29</v>
      </c>
    </row>
    <row r="1692">
      <c r="A1692" s="7">
        <v>46108.66986041439</v>
      </c>
      <c r="B1692" s="8" t="s">
        <v>723</v>
      </c>
      <c r="C1692" s="8" t="s">
        <v>724</v>
      </c>
      <c r="D1692" s="9">
        <v>46110.0</v>
      </c>
      <c r="E1692" s="10">
        <v>1.01</v>
      </c>
      <c r="F1692" s="26">
        <v>1.1563</v>
      </c>
      <c r="G1692" s="12">
        <v>2.2318716E7</v>
      </c>
      <c r="H1692" s="8" t="s">
        <v>88</v>
      </c>
      <c r="I1692" s="11">
        <v>-12.931</v>
      </c>
      <c r="J1692" s="12">
        <v>1.99809914E8</v>
      </c>
      <c r="K1692" s="13"/>
      <c r="L1692" s="13">
        <v>-2.8089</v>
      </c>
      <c r="M1692" s="8" t="s">
        <v>725</v>
      </c>
      <c r="N1692" s="8" t="s">
        <v>5429</v>
      </c>
      <c r="O1692" s="13">
        <v>-18.506</v>
      </c>
      <c r="P1692" s="13">
        <v>-27.9819</v>
      </c>
      <c r="Q1692" s="13">
        <v>-4.343</v>
      </c>
      <c r="R1692" s="13">
        <v>0.0308</v>
      </c>
      <c r="S1692" s="13">
        <v>18.8711</v>
      </c>
      <c r="T1692" s="14">
        <f>IFERROR(__xludf.DUMMYFUNCTION("IFERROR(GOOGLEFINANCE(B1692,""price""),"""")"),0.84)</f>
        <v>0.84</v>
      </c>
    </row>
    <row r="1693">
      <c r="A1693" s="15">
        <v>46108.66986041439</v>
      </c>
      <c r="B1693" s="16" t="s">
        <v>1304</v>
      </c>
      <c r="C1693" s="16" t="s">
        <v>1305</v>
      </c>
      <c r="D1693" s="17">
        <v>46110.0</v>
      </c>
      <c r="E1693" s="18">
        <v>44.87</v>
      </c>
      <c r="F1693" s="27">
        <v>1.1082</v>
      </c>
      <c r="G1693" s="20">
        <v>9052480.0</v>
      </c>
      <c r="H1693" s="16" t="s">
        <v>137</v>
      </c>
      <c r="I1693" s="19">
        <v>-2.2227</v>
      </c>
      <c r="J1693" s="20">
        <v>2.361738334E10</v>
      </c>
      <c r="K1693" s="21">
        <v>21.7826</v>
      </c>
      <c r="L1693" s="21">
        <v>2.0599</v>
      </c>
      <c r="M1693" s="16" t="s">
        <v>1306</v>
      </c>
      <c r="N1693" s="16" t="s">
        <v>5937</v>
      </c>
      <c r="O1693" s="21">
        <v>45.1843</v>
      </c>
      <c r="P1693" s="21">
        <v>9.4524</v>
      </c>
      <c r="Q1693" s="21">
        <v>4.3056</v>
      </c>
      <c r="R1693" s="21">
        <v>2.3023</v>
      </c>
      <c r="S1693" s="21">
        <v>1.3417</v>
      </c>
      <c r="T1693" s="22">
        <f>IFERROR(__xludf.DUMMYFUNCTION("IFERROR(GOOGLEFINANCE(B1693,""price""),"""")"),45.03)</f>
        <v>45.03</v>
      </c>
    </row>
    <row r="1694">
      <c r="A1694" s="7">
        <v>46108.66986041439</v>
      </c>
      <c r="B1694" s="8" t="s">
        <v>2475</v>
      </c>
      <c r="C1694" s="8" t="s">
        <v>2476</v>
      </c>
      <c r="D1694" s="9">
        <v>46110.0</v>
      </c>
      <c r="E1694" s="10">
        <v>17.17</v>
      </c>
      <c r="F1694" s="26">
        <v>1.083</v>
      </c>
      <c r="G1694" s="12">
        <v>1.8075307E7</v>
      </c>
      <c r="H1694" s="8" t="s">
        <v>917</v>
      </c>
      <c r="I1694" s="11">
        <v>-1.1514</v>
      </c>
      <c r="J1694" s="12">
        <v>3.7739112685E10</v>
      </c>
      <c r="K1694" s="13">
        <v>14.7344</v>
      </c>
      <c r="L1694" s="13">
        <v>1.1653</v>
      </c>
      <c r="M1694" s="8" t="s">
        <v>2477</v>
      </c>
      <c r="N1694" s="8" t="s">
        <v>5883</v>
      </c>
      <c r="O1694" s="13">
        <v>8.6235</v>
      </c>
      <c r="P1694" s="13">
        <v>19.5869</v>
      </c>
      <c r="Q1694" s="13">
        <v>2.1131</v>
      </c>
      <c r="R1694" s="13">
        <v>1.8849</v>
      </c>
      <c r="S1694" s="13">
        <v>0.9712</v>
      </c>
      <c r="T1694" s="14">
        <f>IFERROR(__xludf.DUMMYFUNCTION("IFERROR(GOOGLEFINANCE(B1694,""price""),"""")"),18.54)</f>
        <v>18.54</v>
      </c>
    </row>
    <row r="1695">
      <c r="A1695" s="15">
        <v>46108.66986041439</v>
      </c>
      <c r="B1695" s="16" t="s">
        <v>6209</v>
      </c>
      <c r="C1695" s="16" t="s">
        <v>6210</v>
      </c>
      <c r="D1695" s="17">
        <v>46110.0</v>
      </c>
      <c r="E1695" s="18">
        <v>78.2</v>
      </c>
      <c r="F1695" s="27">
        <v>1.0422</v>
      </c>
      <c r="G1695" s="20">
        <v>8759581.0</v>
      </c>
      <c r="H1695" s="16" t="s">
        <v>88</v>
      </c>
      <c r="I1695" s="19">
        <v>-3.4925</v>
      </c>
      <c r="J1695" s="20">
        <v>5.7862023396E10</v>
      </c>
      <c r="K1695" s="21">
        <v>32.2275</v>
      </c>
      <c r="L1695" s="21">
        <v>2.4265</v>
      </c>
      <c r="M1695" s="16" t="s">
        <v>6211</v>
      </c>
      <c r="N1695" s="16" t="s">
        <v>5664</v>
      </c>
      <c r="O1695" s="21">
        <v>135.7156</v>
      </c>
      <c r="P1695" s="21">
        <v>30.5062</v>
      </c>
      <c r="Q1695" s="21">
        <v>14.1677</v>
      </c>
      <c r="R1695" s="21">
        <v>0.858</v>
      </c>
      <c r="S1695" s="21">
        <v>1.1721</v>
      </c>
      <c r="T1695" s="22">
        <f>IFERROR(__xludf.DUMMYFUNCTION("IFERROR(GOOGLEFINANCE(B1695,""price""),"""")"),76.66)</f>
        <v>76.66</v>
      </c>
    </row>
    <row r="1696">
      <c r="A1696" s="7">
        <v>46108.66986041439</v>
      </c>
      <c r="B1696" s="8" t="s">
        <v>3523</v>
      </c>
      <c r="C1696" s="8" t="s">
        <v>3524</v>
      </c>
      <c r="D1696" s="9">
        <v>46110.0</v>
      </c>
      <c r="E1696" s="10">
        <v>39.67</v>
      </c>
      <c r="F1696" s="26">
        <v>1.0271</v>
      </c>
      <c r="G1696" s="12">
        <v>1.312114E7</v>
      </c>
      <c r="H1696" s="8" t="s">
        <v>162</v>
      </c>
      <c r="I1696" s="11">
        <v>0.3034</v>
      </c>
      <c r="J1696" s="12">
        <v>7.3768615353E10</v>
      </c>
      <c r="K1696" s="13">
        <v>25.7097</v>
      </c>
      <c r="L1696" s="13">
        <v>1.543</v>
      </c>
      <c r="M1696" s="8" t="s">
        <v>3526</v>
      </c>
      <c r="N1696" s="8" t="s">
        <v>5781</v>
      </c>
      <c r="O1696" s="13">
        <v>22.5202</v>
      </c>
      <c r="P1696" s="13">
        <v>33.2458</v>
      </c>
      <c r="Q1696" s="13">
        <v>-3.0812</v>
      </c>
      <c r="R1696" s="13">
        <v>1.4762</v>
      </c>
      <c r="S1696" s="13">
        <v>0.8139</v>
      </c>
      <c r="T1696" s="14">
        <f>IFERROR(__xludf.DUMMYFUNCTION("IFERROR(GOOGLEFINANCE(B1696,""price""),"""")"),42.24)</f>
        <v>42.24</v>
      </c>
    </row>
    <row r="1697">
      <c r="A1697" s="15">
        <v>46108.66986041439</v>
      </c>
      <c r="B1697" s="16" t="s">
        <v>4939</v>
      </c>
      <c r="C1697" s="16" t="s">
        <v>4940</v>
      </c>
      <c r="D1697" s="17">
        <v>46110.0</v>
      </c>
      <c r="E1697" s="18">
        <v>32.0</v>
      </c>
      <c r="F1697" s="27">
        <v>0.9932</v>
      </c>
      <c r="G1697" s="20">
        <v>8568489.0</v>
      </c>
      <c r="H1697" s="16" t="s">
        <v>190</v>
      </c>
      <c r="I1697" s="19">
        <v>-4.6484</v>
      </c>
      <c r="J1697" s="20">
        <v>1.5736672519E10</v>
      </c>
      <c r="K1697" s="21"/>
      <c r="L1697" s="21">
        <v>-13.6222</v>
      </c>
      <c r="M1697" s="16" t="s">
        <v>4942</v>
      </c>
      <c r="N1697" s="16" t="s">
        <v>5782</v>
      </c>
      <c r="O1697" s="21">
        <v>-28.7902</v>
      </c>
      <c r="P1697" s="21">
        <v>-0.1468</v>
      </c>
      <c r="Q1697" s="21">
        <v>19.4431</v>
      </c>
      <c r="R1697" s="21">
        <v>0.9102</v>
      </c>
      <c r="S1697" s="21">
        <v>1.1001</v>
      </c>
      <c r="T1697" s="22">
        <f>IFERROR(__xludf.DUMMYFUNCTION("IFERROR(GOOGLEFINANCE(B1697,""price""),"""")"),37.3)</f>
        <v>37.3</v>
      </c>
    </row>
    <row r="1698">
      <c r="A1698" s="7">
        <v>46108.66986041439</v>
      </c>
      <c r="B1698" s="8" t="s">
        <v>6196</v>
      </c>
      <c r="C1698" s="8" t="s">
        <v>6197</v>
      </c>
      <c r="D1698" s="9">
        <v>46110.0</v>
      </c>
      <c r="E1698" s="10">
        <v>12.21</v>
      </c>
      <c r="F1698" s="26">
        <v>0.979</v>
      </c>
      <c r="G1698" s="12">
        <v>1.2716334E7</v>
      </c>
      <c r="H1698" s="8" t="s">
        <v>88</v>
      </c>
      <c r="I1698" s="11">
        <v>-6.865</v>
      </c>
      <c r="J1698" s="12">
        <v>3.035943975E9</v>
      </c>
      <c r="K1698" s="13"/>
      <c r="L1698" s="13">
        <v>-1.6015</v>
      </c>
      <c r="M1698" s="8" t="s">
        <v>6198</v>
      </c>
      <c r="N1698" s="8" t="s">
        <v>5429</v>
      </c>
      <c r="O1698" s="13">
        <v>-60.2035</v>
      </c>
      <c r="P1698" s="13">
        <v>-28.031</v>
      </c>
      <c r="Q1698" s="13">
        <v>30.8153</v>
      </c>
      <c r="R1698" s="13">
        <v>0.1443</v>
      </c>
      <c r="S1698" s="13">
        <v>4.0429</v>
      </c>
      <c r="T1698" s="14">
        <f>IFERROR(__xludf.DUMMYFUNCTION("IFERROR(GOOGLEFINANCE(B1698,""price""),"""")"),12.43)</f>
        <v>12.43</v>
      </c>
    </row>
    <row r="1699">
      <c r="A1699" s="15">
        <v>46108.66986041439</v>
      </c>
      <c r="B1699" s="16" t="s">
        <v>5773</v>
      </c>
      <c r="C1699" s="16" t="s">
        <v>5774</v>
      </c>
      <c r="D1699" s="17">
        <v>46110.0</v>
      </c>
      <c r="E1699" s="18">
        <v>2.91</v>
      </c>
      <c r="F1699" s="27">
        <v>0.9453</v>
      </c>
      <c r="G1699" s="20">
        <v>2.8648286E7</v>
      </c>
      <c r="H1699" s="16" t="s">
        <v>245</v>
      </c>
      <c r="I1699" s="19">
        <v>1.3937</v>
      </c>
      <c r="J1699" s="20">
        <v>1.726066147E9</v>
      </c>
      <c r="K1699" s="21"/>
      <c r="L1699" s="21">
        <v>-1.4644</v>
      </c>
      <c r="M1699" s="16" t="s">
        <v>5775</v>
      </c>
      <c r="N1699" s="16" t="s">
        <v>5776</v>
      </c>
      <c r="O1699" s="21">
        <v>-80.9463</v>
      </c>
      <c r="P1699" s="21">
        <v>-20.4446</v>
      </c>
      <c r="Q1699" s="21">
        <v>-22.6468</v>
      </c>
      <c r="R1699" s="21">
        <v>5.7984</v>
      </c>
      <c r="S1699" s="21">
        <v>0.7476</v>
      </c>
      <c r="T1699" s="22">
        <f>IFERROR(__xludf.DUMMYFUNCTION("IFERROR(GOOGLEFINANCE(B1699,""price""),"""")"),2.57)</f>
        <v>2.57</v>
      </c>
    </row>
    <row r="1700">
      <c r="A1700" s="7">
        <v>46108.66986041439</v>
      </c>
      <c r="B1700" s="8" t="s">
        <v>5879</v>
      </c>
      <c r="C1700" s="8" t="s">
        <v>5880</v>
      </c>
      <c r="D1700" s="9">
        <v>46110.0</v>
      </c>
      <c r="E1700" s="10">
        <v>58.27</v>
      </c>
      <c r="F1700" s="26">
        <v>0.9344</v>
      </c>
      <c r="G1700" s="12">
        <v>1.4111699E7</v>
      </c>
      <c r="H1700" s="8" t="s">
        <v>286</v>
      </c>
      <c r="I1700" s="11">
        <v>1.1983</v>
      </c>
      <c r="J1700" s="12">
        <v>7.4693144383E10</v>
      </c>
      <c r="K1700" s="13">
        <v>30.8388</v>
      </c>
      <c r="L1700" s="13">
        <v>1.8895</v>
      </c>
      <c r="M1700" s="8" t="s">
        <v>5881</v>
      </c>
      <c r="N1700" s="8" t="s">
        <v>5882</v>
      </c>
      <c r="O1700" s="13">
        <v>9.2894</v>
      </c>
      <c r="P1700" s="13">
        <v>12.3466</v>
      </c>
      <c r="Q1700" s="13">
        <v>5.7518</v>
      </c>
      <c r="R1700" s="13">
        <v>0.8502</v>
      </c>
      <c r="S1700" s="13">
        <v>0.5923</v>
      </c>
      <c r="T1700" s="14">
        <f>IFERROR(__xludf.DUMMYFUNCTION("IFERROR(GOOGLEFINANCE(B1700,""price""),"""")"),59.0)</f>
        <v>59</v>
      </c>
    </row>
    <row r="1701">
      <c r="A1701" s="15">
        <v>46108.66986041439</v>
      </c>
      <c r="B1701" s="16" t="s">
        <v>6166</v>
      </c>
      <c r="C1701" s="16" t="s">
        <v>6167</v>
      </c>
      <c r="D1701" s="17">
        <v>46110.0</v>
      </c>
      <c r="E1701" s="18">
        <v>8.79</v>
      </c>
      <c r="F1701" s="27">
        <v>0.9336</v>
      </c>
      <c r="G1701" s="20">
        <v>9666098.0</v>
      </c>
      <c r="H1701" s="16" t="s">
        <v>149</v>
      </c>
      <c r="I1701" s="19">
        <v>-1.0135</v>
      </c>
      <c r="J1701" s="20">
        <v>9.772203989E9</v>
      </c>
      <c r="K1701" s="21"/>
      <c r="L1701" s="21">
        <v>-0.4432</v>
      </c>
      <c r="M1701" s="16" t="s">
        <v>6168</v>
      </c>
      <c r="N1701" s="16" t="s">
        <v>5480</v>
      </c>
      <c r="O1701" s="21">
        <v>-4.4337</v>
      </c>
      <c r="P1701" s="21">
        <v>7.7567</v>
      </c>
      <c r="Q1701" s="21">
        <v>-1.1022</v>
      </c>
      <c r="R1701" s="21">
        <v>1.2907</v>
      </c>
      <c r="S1701" s="21">
        <v>1.2567</v>
      </c>
      <c r="T1701" s="22">
        <f>IFERROR(__xludf.DUMMYFUNCTION("IFERROR(GOOGLEFINANCE(B1701,""price""),"""")"),10.62)</f>
        <v>10.62</v>
      </c>
    </row>
    <row r="1702">
      <c r="A1702" s="7">
        <v>46108.66986041439</v>
      </c>
      <c r="B1702" s="8" t="s">
        <v>6142</v>
      </c>
      <c r="C1702" s="8" t="s">
        <v>6143</v>
      </c>
      <c r="D1702" s="9">
        <v>46110.0</v>
      </c>
      <c r="E1702" s="10">
        <v>12.58</v>
      </c>
      <c r="F1702" s="26">
        <v>0.8893</v>
      </c>
      <c r="G1702" s="12">
        <v>1.2130657E7</v>
      </c>
      <c r="H1702" s="8" t="s">
        <v>88</v>
      </c>
      <c r="I1702" s="11">
        <v>-6.1194</v>
      </c>
      <c r="J1702" s="12">
        <v>4.280678477E9</v>
      </c>
      <c r="K1702" s="13"/>
      <c r="L1702" s="13">
        <v>-1.3628</v>
      </c>
      <c r="M1702" s="8" t="s">
        <v>6144</v>
      </c>
      <c r="N1702" s="8" t="s">
        <v>5429</v>
      </c>
      <c r="O1702" s="13">
        <v>-29.0198</v>
      </c>
      <c r="P1702" s="13">
        <v>-30.4055</v>
      </c>
      <c r="Q1702" s="13">
        <v>21.8899</v>
      </c>
      <c r="R1702" s="13">
        <v>0.0104</v>
      </c>
      <c r="S1702" s="13">
        <v>1.2952</v>
      </c>
      <c r="T1702" s="14">
        <f>IFERROR(__xludf.DUMMYFUNCTION("IFERROR(GOOGLEFINANCE(B1702,""price""),"""")"),11.94)</f>
        <v>11.94</v>
      </c>
    </row>
    <row r="1703">
      <c r="A1703" s="15">
        <v>46108.66986041439</v>
      </c>
      <c r="B1703" s="16" t="s">
        <v>5477</v>
      </c>
      <c r="C1703" s="16" t="s">
        <v>5478</v>
      </c>
      <c r="D1703" s="17">
        <v>46110.0</v>
      </c>
      <c r="E1703" s="18">
        <v>28.33</v>
      </c>
      <c r="F1703" s="27">
        <v>0.8675</v>
      </c>
      <c r="G1703" s="20">
        <v>1.9653561E7</v>
      </c>
      <c r="H1703" s="16" t="s">
        <v>149</v>
      </c>
      <c r="I1703" s="19">
        <v>-1.3579</v>
      </c>
      <c r="J1703" s="20">
        <v>1.01926974356E11</v>
      </c>
      <c r="K1703" s="21">
        <v>5.2699</v>
      </c>
      <c r="L1703" s="21">
        <v>5.3758</v>
      </c>
      <c r="M1703" s="16" t="s">
        <v>5479</v>
      </c>
      <c r="N1703" s="16" t="s">
        <v>5480</v>
      </c>
      <c r="O1703" s="21">
        <v>21.9187</v>
      </c>
      <c r="P1703" s="21">
        <v>16.9011</v>
      </c>
      <c r="Q1703" s="21">
        <v>-0.0186</v>
      </c>
      <c r="R1703" s="21">
        <v>1.0839</v>
      </c>
      <c r="S1703" s="21">
        <v>0.882</v>
      </c>
      <c r="T1703" s="22">
        <f>IFERROR(__xludf.DUMMYFUNCTION("IFERROR(GOOGLEFINANCE(B1703,""price""),"""")"),27.93)</f>
        <v>27.93</v>
      </c>
    </row>
    <row r="1704">
      <c r="A1704" s="7">
        <v>46108.66986041439</v>
      </c>
      <c r="B1704" s="8" t="s">
        <v>6010</v>
      </c>
      <c r="C1704" s="8" t="s">
        <v>6011</v>
      </c>
      <c r="D1704" s="9">
        <v>46110.0</v>
      </c>
      <c r="E1704" s="10">
        <v>14.55</v>
      </c>
      <c r="F1704" s="26">
        <v>0.862</v>
      </c>
      <c r="G1704" s="12">
        <v>1.543263E7</v>
      </c>
      <c r="H1704" s="8" t="s">
        <v>88</v>
      </c>
      <c r="I1704" s="11">
        <v>-9.5149</v>
      </c>
      <c r="J1704" s="12">
        <v>3.551998282E9</v>
      </c>
      <c r="K1704" s="13"/>
      <c r="L1704" s="13">
        <v>-0.1507</v>
      </c>
      <c r="M1704" s="8" t="s">
        <v>6012</v>
      </c>
      <c r="N1704" s="8" t="s">
        <v>5429</v>
      </c>
      <c r="O1704" s="13">
        <v>-4.254</v>
      </c>
      <c r="P1704" s="13">
        <v>2.2078</v>
      </c>
      <c r="Q1704" s="13">
        <v>29.7204</v>
      </c>
      <c r="R1704" s="13">
        <v>0.2706</v>
      </c>
      <c r="S1704" s="13">
        <v>1.5968</v>
      </c>
      <c r="T1704" s="14">
        <f>IFERROR(__xludf.DUMMYFUNCTION("IFERROR(GOOGLEFINANCE(B1704,""price""),"""")"),14.61)</f>
        <v>14.61</v>
      </c>
    </row>
    <row r="1705">
      <c r="A1705" s="15">
        <v>46108.66986041439</v>
      </c>
      <c r="B1705" s="16" t="s">
        <v>5789</v>
      </c>
      <c r="C1705" s="16" t="s">
        <v>5790</v>
      </c>
      <c r="D1705" s="17">
        <v>46110.0</v>
      </c>
      <c r="E1705" s="18">
        <v>18.09</v>
      </c>
      <c r="F1705" s="27">
        <v>0.8529</v>
      </c>
      <c r="G1705" s="20">
        <v>2.5366668E7</v>
      </c>
      <c r="H1705" s="16" t="s">
        <v>137</v>
      </c>
      <c r="I1705" s="19">
        <v>-1.5242</v>
      </c>
      <c r="J1705" s="20">
        <v>3.3071988674E10</v>
      </c>
      <c r="K1705" s="21">
        <v>161.3738</v>
      </c>
      <c r="L1705" s="21">
        <v>0.1121</v>
      </c>
      <c r="M1705" s="16" t="s">
        <v>5791</v>
      </c>
      <c r="N1705" s="16" t="s">
        <v>5743</v>
      </c>
      <c r="O1705" s="21">
        <v>4.7674</v>
      </c>
      <c r="P1705" s="21">
        <v>1.4421</v>
      </c>
      <c r="Q1705" s="21">
        <v>14.0941</v>
      </c>
      <c r="R1705" s="21">
        <v>1.0026</v>
      </c>
      <c r="S1705" s="21">
        <v>1.0357</v>
      </c>
      <c r="T1705" s="22">
        <f>IFERROR(__xludf.DUMMYFUNCTION("IFERROR(GOOGLEFINANCE(B1705,""price""),"""")"),19.76)</f>
        <v>19.76</v>
      </c>
    </row>
    <row r="1706">
      <c r="A1706" s="7">
        <v>46108.66986041439</v>
      </c>
      <c r="B1706" s="8" t="s">
        <v>5905</v>
      </c>
      <c r="C1706" s="8" t="s">
        <v>5906</v>
      </c>
      <c r="D1706" s="9">
        <v>46110.0</v>
      </c>
      <c r="E1706" s="10">
        <v>40.42</v>
      </c>
      <c r="F1706" s="26">
        <v>0.844</v>
      </c>
      <c r="G1706" s="12">
        <v>1.5281731E7</v>
      </c>
      <c r="H1706" s="8" t="s">
        <v>270</v>
      </c>
      <c r="I1706" s="11">
        <v>4.2021</v>
      </c>
      <c r="J1706" s="12">
        <v>3.3853707163E10</v>
      </c>
      <c r="K1706" s="13">
        <v>26.7913</v>
      </c>
      <c r="L1706" s="13">
        <v>1.5087</v>
      </c>
      <c r="M1706" s="8" t="s">
        <v>5907</v>
      </c>
      <c r="N1706" s="8" t="s">
        <v>5908</v>
      </c>
      <c r="O1706" s="13">
        <v>12.2383</v>
      </c>
      <c r="P1706" s="13">
        <v>13.9335</v>
      </c>
      <c r="Q1706" s="13">
        <v>-3.3124</v>
      </c>
      <c r="R1706" s="13">
        <v>0.795</v>
      </c>
      <c r="S1706" s="13">
        <v>2.0397</v>
      </c>
      <c r="T1706" s="14">
        <f>IFERROR(__xludf.DUMMYFUNCTION("IFERROR(GOOGLEFINANCE(B1706,""price""),"""")"),37.59)</f>
        <v>37.59</v>
      </c>
    </row>
    <row r="1707">
      <c r="A1707" s="15">
        <v>46108.66986041439</v>
      </c>
      <c r="B1707" s="16" t="s">
        <v>5537</v>
      </c>
      <c r="C1707" s="16" t="s">
        <v>5538</v>
      </c>
      <c r="D1707" s="17">
        <v>46110.0</v>
      </c>
      <c r="E1707" s="18">
        <v>2.0</v>
      </c>
      <c r="F1707" s="27">
        <v>0.8438</v>
      </c>
      <c r="G1707" s="20">
        <v>8637339.0</v>
      </c>
      <c r="H1707" s="16" t="s">
        <v>112</v>
      </c>
      <c r="I1707" s="19">
        <v>-4.7619</v>
      </c>
      <c r="J1707" s="20">
        <v>4.47191907E8</v>
      </c>
      <c r="K1707" s="21"/>
      <c r="L1707" s="21">
        <v>-0.135</v>
      </c>
      <c r="M1707" s="16" t="s">
        <v>5539</v>
      </c>
      <c r="N1707" s="16" t="s">
        <v>5540</v>
      </c>
      <c r="O1707" s="21">
        <v>-10.5751</v>
      </c>
      <c r="P1707" s="21">
        <v>-523.9108</v>
      </c>
      <c r="Q1707" s="21">
        <v>12.4146</v>
      </c>
      <c r="R1707" s="21">
        <v>0.0018</v>
      </c>
      <c r="S1707" s="21">
        <v>35.7348</v>
      </c>
      <c r="T1707" s="22">
        <f>IFERROR(__xludf.DUMMYFUNCTION("IFERROR(GOOGLEFINANCE(B1707,""price""),"""")"),2.01)</f>
        <v>2.01</v>
      </c>
    </row>
    <row r="1708">
      <c r="A1708" s="7">
        <v>46108.66986041439</v>
      </c>
      <c r="B1708" s="8" t="s">
        <v>5786</v>
      </c>
      <c r="C1708" s="8" t="s">
        <v>5787</v>
      </c>
      <c r="D1708" s="9">
        <v>46110.0</v>
      </c>
      <c r="E1708" s="10">
        <v>69.17</v>
      </c>
      <c r="F1708" s="26">
        <v>0.8361</v>
      </c>
      <c r="G1708" s="12">
        <v>1.5945619E7</v>
      </c>
      <c r="H1708" s="8" t="s">
        <v>117</v>
      </c>
      <c r="I1708" s="11">
        <v>-1.4251</v>
      </c>
      <c r="J1708" s="12">
        <v>1.02640357222E11</v>
      </c>
      <c r="K1708" s="13">
        <v>35.6693</v>
      </c>
      <c r="L1708" s="13">
        <v>1.9392</v>
      </c>
      <c r="M1708" s="8" t="s">
        <v>5788</v>
      </c>
      <c r="N1708" s="8" t="s">
        <v>5418</v>
      </c>
      <c r="O1708" s="13">
        <v>12.5992</v>
      </c>
      <c r="P1708" s="13">
        <v>20.279</v>
      </c>
      <c r="Q1708" s="13">
        <v>19.8794</v>
      </c>
      <c r="R1708" s="13">
        <v>0.494</v>
      </c>
      <c r="S1708" s="13">
        <v>1.6168</v>
      </c>
      <c r="T1708" s="14">
        <f>IFERROR(__xludf.DUMMYFUNCTION("IFERROR(GOOGLEFINANCE(B1708,""price""),"""")"),61.79)</f>
        <v>61.79</v>
      </c>
    </row>
    <row r="1709">
      <c r="A1709" s="15">
        <v>46108.66986041439</v>
      </c>
      <c r="B1709" s="16" t="s">
        <v>5795</v>
      </c>
      <c r="C1709" s="16" t="s">
        <v>5796</v>
      </c>
      <c r="D1709" s="17">
        <v>46110.0</v>
      </c>
      <c r="E1709" s="18">
        <v>25.64</v>
      </c>
      <c r="F1709" s="27">
        <v>0.8232</v>
      </c>
      <c r="G1709" s="20">
        <v>1.3558511E7</v>
      </c>
      <c r="H1709" s="16" t="s">
        <v>88</v>
      </c>
      <c r="I1709" s="19">
        <v>-2.842</v>
      </c>
      <c r="J1709" s="20">
        <v>1.5101959651E10</v>
      </c>
      <c r="K1709" s="21">
        <v>46.9769</v>
      </c>
      <c r="L1709" s="21">
        <v>0.5458</v>
      </c>
      <c r="M1709" s="16" t="s">
        <v>5797</v>
      </c>
      <c r="N1709" s="16" t="s">
        <v>5429</v>
      </c>
      <c r="O1709" s="21">
        <v>18.6427</v>
      </c>
      <c r="P1709" s="21">
        <v>4.9407</v>
      </c>
      <c r="Q1709" s="21">
        <v>24.0524</v>
      </c>
      <c r="R1709" s="21">
        <v>0.0094</v>
      </c>
      <c r="S1709" s="21">
        <v>2.6533</v>
      </c>
      <c r="T1709" s="22">
        <f>IFERROR(__xludf.DUMMYFUNCTION("IFERROR(GOOGLEFINANCE(B1709,""price""),"""")"),25.4)</f>
        <v>25.4</v>
      </c>
    </row>
    <row r="1710">
      <c r="A1710" s="7">
        <v>46108.66986041439</v>
      </c>
      <c r="B1710" s="8" t="s">
        <v>5792</v>
      </c>
      <c r="C1710" s="8" t="s">
        <v>5793</v>
      </c>
      <c r="D1710" s="9">
        <v>46110.0</v>
      </c>
      <c r="E1710" s="10">
        <v>7.08</v>
      </c>
      <c r="F1710" s="26">
        <v>0.8164</v>
      </c>
      <c r="G1710" s="12">
        <v>1.8693262E7</v>
      </c>
      <c r="H1710" s="8" t="s">
        <v>93</v>
      </c>
      <c r="I1710" s="11">
        <v>-7.0866</v>
      </c>
      <c r="J1710" s="12">
        <v>5.326971326E9</v>
      </c>
      <c r="K1710" s="13"/>
      <c r="L1710" s="13">
        <v>-0.1082</v>
      </c>
      <c r="M1710" s="8" t="s">
        <v>5794</v>
      </c>
      <c r="N1710" s="8" t="s">
        <v>5757</v>
      </c>
      <c r="O1710" s="13">
        <v>-9.8204</v>
      </c>
      <c r="P1710" s="13">
        <v>-0.3965</v>
      </c>
      <c r="Q1710" s="13">
        <v>23.6716</v>
      </c>
      <c r="R1710" s="13">
        <v>0.609</v>
      </c>
      <c r="S1710" s="13">
        <v>0.8636</v>
      </c>
      <c r="T1710" s="14">
        <f>IFERROR(__xludf.DUMMYFUNCTION("IFERROR(GOOGLEFINANCE(B1710,""price""),"""")"),7.14)</f>
        <v>7.14</v>
      </c>
    </row>
    <row r="1711">
      <c r="A1711" s="15">
        <v>46108.66986041439</v>
      </c>
      <c r="B1711" s="16" t="s">
        <v>5558</v>
      </c>
      <c r="C1711" s="16" t="s">
        <v>5559</v>
      </c>
      <c r="D1711" s="17">
        <v>46110.0</v>
      </c>
      <c r="E1711" s="18">
        <v>4.86</v>
      </c>
      <c r="F1711" s="27">
        <v>0.8125</v>
      </c>
      <c r="G1711" s="20">
        <v>2.1638869E7</v>
      </c>
      <c r="H1711" s="16" t="s">
        <v>102</v>
      </c>
      <c r="I1711" s="19">
        <v>0.8299</v>
      </c>
      <c r="J1711" s="20">
        <v>1.649650587E9</v>
      </c>
      <c r="K1711" s="21"/>
      <c r="L1711" s="21">
        <v>-6.9942</v>
      </c>
      <c r="M1711" s="16" t="s">
        <v>5560</v>
      </c>
      <c r="N1711" s="16" t="s">
        <v>5536</v>
      </c>
      <c r="O1711" s="21"/>
      <c r="P1711" s="21">
        <v>-225.4661</v>
      </c>
      <c r="Q1711" s="21">
        <v>631.7891</v>
      </c>
      <c r="R1711" s="21"/>
      <c r="S1711" s="21">
        <v>4.9358</v>
      </c>
      <c r="T1711" s="22">
        <f>IFERROR(__xludf.DUMMYFUNCTION("IFERROR(GOOGLEFINANCE(B1711,""price""),"""")"),5.62)</f>
        <v>5.62</v>
      </c>
    </row>
    <row r="1712">
      <c r="A1712" s="7">
        <v>46111.66729726654</v>
      </c>
      <c r="B1712" s="8" t="s">
        <v>5533</v>
      </c>
      <c r="C1712" s="8" t="s">
        <v>5534</v>
      </c>
      <c r="D1712" s="9">
        <v>46117.0</v>
      </c>
      <c r="E1712" s="10">
        <v>5.62</v>
      </c>
      <c r="F1712" s="26">
        <v>1.9844</v>
      </c>
      <c r="G1712" s="12">
        <v>1.188712E7</v>
      </c>
      <c r="H1712" s="8" t="s">
        <v>102</v>
      </c>
      <c r="I1712" s="11">
        <v>-2.4306</v>
      </c>
      <c r="J1712" s="12">
        <v>1.52061928E9</v>
      </c>
      <c r="K1712" s="13"/>
      <c r="L1712" s="13">
        <v>-3.7839</v>
      </c>
      <c r="M1712" s="8" t="s">
        <v>5535</v>
      </c>
      <c r="N1712" s="8" t="s">
        <v>5536</v>
      </c>
      <c r="O1712" s="13">
        <v>-55.984</v>
      </c>
      <c r="P1712" s="13">
        <v>-31.1477</v>
      </c>
      <c r="Q1712" s="13"/>
      <c r="R1712" s="13">
        <v>4.5088</v>
      </c>
      <c r="S1712" s="13">
        <v>1.1293</v>
      </c>
      <c r="T1712" s="14">
        <f>IFERROR(__xludf.DUMMYFUNCTION("IFERROR(GOOGLEFINANCE(B1712,""price""),"""")"),4.69)</f>
        <v>4.69</v>
      </c>
    </row>
    <row r="1713">
      <c r="A1713" s="15">
        <v>46111.66729726654</v>
      </c>
      <c r="B1713" s="16" t="s">
        <v>5640</v>
      </c>
      <c r="C1713" s="16" t="s">
        <v>5641</v>
      </c>
      <c r="D1713" s="17">
        <v>46117.0</v>
      </c>
      <c r="E1713" s="18">
        <v>52.73</v>
      </c>
      <c r="F1713" s="27">
        <v>1.6133</v>
      </c>
      <c r="G1713" s="20">
        <v>2.0908889E7</v>
      </c>
      <c r="H1713" s="16" t="s">
        <v>308</v>
      </c>
      <c r="I1713" s="19">
        <v>-13.0299</v>
      </c>
      <c r="J1713" s="20">
        <v>2.930395819E9</v>
      </c>
      <c r="K1713" s="21"/>
      <c r="L1713" s="21">
        <v>-0.4892</v>
      </c>
      <c r="M1713" s="16" t="s">
        <v>5642</v>
      </c>
      <c r="N1713" s="16" t="s">
        <v>5433</v>
      </c>
      <c r="O1713" s="21">
        <v>-9.1233</v>
      </c>
      <c r="P1713" s="21">
        <v>-24.8806</v>
      </c>
      <c r="Q1713" s="21">
        <v>-11.106</v>
      </c>
      <c r="R1713" s="21">
        <v>0.2562</v>
      </c>
      <c r="S1713" s="21">
        <v>2.7231</v>
      </c>
      <c r="T1713" s="22">
        <f>IFERROR(__xludf.DUMMYFUNCTION("IFERROR(GOOGLEFINANCE(B1713,""price""),"""")"),64.18)</f>
        <v>64.18</v>
      </c>
    </row>
    <row r="1714">
      <c r="A1714" s="7">
        <v>46111.66729726654</v>
      </c>
      <c r="B1714" s="8" t="s">
        <v>5604</v>
      </c>
      <c r="C1714" s="8" t="s">
        <v>5605</v>
      </c>
      <c r="D1714" s="9">
        <v>46117.0</v>
      </c>
      <c r="E1714" s="10">
        <v>85.19</v>
      </c>
      <c r="F1714" s="26">
        <v>1.4126</v>
      </c>
      <c r="G1714" s="12">
        <v>1.3476671E7</v>
      </c>
      <c r="H1714" s="8" t="s">
        <v>308</v>
      </c>
      <c r="I1714" s="11">
        <v>-13.2573</v>
      </c>
      <c r="J1714" s="12">
        <v>6.406187588E9</v>
      </c>
      <c r="K1714" s="13"/>
      <c r="L1714" s="13">
        <v>-0.6555</v>
      </c>
      <c r="M1714" s="8" t="s">
        <v>5606</v>
      </c>
      <c r="N1714" s="8" t="s">
        <v>5414</v>
      </c>
      <c r="O1714" s="13">
        <v>-7.9391</v>
      </c>
      <c r="P1714" s="13">
        <v>-11.9814</v>
      </c>
      <c r="Q1714" s="13">
        <v>82.7502</v>
      </c>
      <c r="R1714" s="13">
        <v>0.338</v>
      </c>
      <c r="S1714" s="13">
        <v>2.6264</v>
      </c>
      <c r="T1714" s="14">
        <f>IFERROR(__xludf.DUMMYFUNCTION("IFERROR(GOOGLEFINANCE(B1714,""price""),"""")"),150.6)</f>
        <v>150.6</v>
      </c>
    </row>
    <row r="1715">
      <c r="A1715" s="15">
        <v>46111.66729726654</v>
      </c>
      <c r="B1715" s="16" t="s">
        <v>5620</v>
      </c>
      <c r="C1715" s="16" t="s">
        <v>5621</v>
      </c>
      <c r="D1715" s="17">
        <v>46117.0</v>
      </c>
      <c r="E1715" s="18">
        <v>4.97</v>
      </c>
      <c r="F1715" s="27">
        <v>1.3262</v>
      </c>
      <c r="G1715" s="20">
        <v>1.5021536E7</v>
      </c>
      <c r="H1715" s="16" t="s">
        <v>308</v>
      </c>
      <c r="I1715" s="19">
        <v>-16.1889</v>
      </c>
      <c r="J1715" s="20">
        <v>7.1100142E8</v>
      </c>
      <c r="K1715" s="21"/>
      <c r="L1715" s="21">
        <v>-0.3456</v>
      </c>
      <c r="M1715" s="16" t="s">
        <v>5622</v>
      </c>
      <c r="N1715" s="16" t="s">
        <v>5520</v>
      </c>
      <c r="O1715" s="21">
        <v>-127.6488</v>
      </c>
      <c r="P1715" s="21">
        <v>-175.1793</v>
      </c>
      <c r="Q1715" s="21"/>
      <c r="R1715" s="21">
        <v>1.0472</v>
      </c>
      <c r="S1715" s="21">
        <v>5.1177</v>
      </c>
      <c r="T1715" s="22">
        <f>IFERROR(__xludf.DUMMYFUNCTION("IFERROR(GOOGLEFINANCE(B1715,""price""),"""")"),7.33)</f>
        <v>7.33</v>
      </c>
    </row>
    <row r="1716">
      <c r="A1716" s="7">
        <v>46111.66729726654</v>
      </c>
      <c r="B1716" s="8" t="s">
        <v>5580</v>
      </c>
      <c r="C1716" s="8" t="s">
        <v>5581</v>
      </c>
      <c r="D1716" s="9">
        <v>46117.0</v>
      </c>
      <c r="E1716" s="10">
        <v>2.52</v>
      </c>
      <c r="F1716" s="26">
        <v>1.3125</v>
      </c>
      <c r="G1716" s="12">
        <v>6.8141103E7</v>
      </c>
      <c r="H1716" s="8" t="s">
        <v>88</v>
      </c>
      <c r="I1716" s="11">
        <v>5.4393</v>
      </c>
      <c r="J1716" s="12">
        <v>1.005045612E9</v>
      </c>
      <c r="K1716" s="13"/>
      <c r="L1716" s="13"/>
      <c r="M1716" s="8" t="s">
        <v>5582</v>
      </c>
      <c r="N1716" s="8" t="s">
        <v>5429</v>
      </c>
      <c r="O1716" s="13"/>
      <c r="P1716" s="13"/>
      <c r="Q1716" s="13"/>
      <c r="R1716" s="13"/>
      <c r="S1716" s="13">
        <v>0.2412</v>
      </c>
      <c r="T1716" s="14">
        <f>IFERROR(__xludf.DUMMYFUNCTION("IFERROR(GOOGLEFINANCE(B1716,""price""),"""")"),2.38)</f>
        <v>2.38</v>
      </c>
    </row>
    <row r="1717">
      <c r="A1717" s="15">
        <v>46111.66729726654</v>
      </c>
      <c r="B1717" s="16" t="s">
        <v>5836</v>
      </c>
      <c r="C1717" s="16" t="s">
        <v>5837</v>
      </c>
      <c r="D1717" s="17">
        <v>46117.0</v>
      </c>
      <c r="E1717" s="18">
        <v>5.36</v>
      </c>
      <c r="F1717" s="27">
        <v>1.3008</v>
      </c>
      <c r="G1717" s="20">
        <v>4.5735582E7</v>
      </c>
      <c r="H1717" s="16" t="s">
        <v>93</v>
      </c>
      <c r="I1717" s="19">
        <v>-13.2686</v>
      </c>
      <c r="J1717" s="20">
        <v>3.291176003E9</v>
      </c>
      <c r="K1717" s="21"/>
      <c r="L1717" s="21"/>
      <c r="M1717" s="16" t="s">
        <v>5838</v>
      </c>
      <c r="N1717" s="16" t="s">
        <v>5839</v>
      </c>
      <c r="O1717" s="21"/>
      <c r="P1717" s="21"/>
      <c r="Q1717" s="21"/>
      <c r="R1717" s="21">
        <v>0.4147</v>
      </c>
      <c r="S1717" s="21">
        <v>2.8104</v>
      </c>
      <c r="T1717" s="22">
        <f>IFERROR(__xludf.DUMMYFUNCTION("IFERROR(GOOGLEFINANCE(B1717,""price""),"""")"),4.87)</f>
        <v>4.87</v>
      </c>
    </row>
    <row r="1718">
      <c r="A1718" s="7">
        <v>46111.66729726654</v>
      </c>
      <c r="B1718" s="8" t="s">
        <v>6212</v>
      </c>
      <c r="C1718" s="8" t="s">
        <v>6213</v>
      </c>
      <c r="D1718" s="9">
        <v>46117.0</v>
      </c>
      <c r="E1718" s="10">
        <v>11.92</v>
      </c>
      <c r="F1718" s="26">
        <v>1.3</v>
      </c>
      <c r="G1718" s="12">
        <v>2.0354799E7</v>
      </c>
      <c r="H1718" s="8" t="s">
        <v>335</v>
      </c>
      <c r="I1718" s="11">
        <v>13.9579</v>
      </c>
      <c r="J1718" s="12">
        <v>1.327697012E9</v>
      </c>
      <c r="K1718" s="13"/>
      <c r="L1718" s="13">
        <v>-0.3029</v>
      </c>
      <c r="M1718" s="8" t="s">
        <v>6214</v>
      </c>
      <c r="N1718" s="8" t="s">
        <v>5506</v>
      </c>
      <c r="O1718" s="13">
        <v>-35.4976</v>
      </c>
      <c r="P1718" s="13">
        <v>-7.4098</v>
      </c>
      <c r="Q1718" s="13">
        <v>-14.1692</v>
      </c>
      <c r="R1718" s="13">
        <v>1.9865</v>
      </c>
      <c r="S1718" s="13">
        <v>0.4894</v>
      </c>
      <c r="T1718" s="14">
        <f>IFERROR(__xludf.DUMMYFUNCTION("IFERROR(GOOGLEFINANCE(B1718,""price""),"""")"),14.85)</f>
        <v>14.85</v>
      </c>
    </row>
    <row r="1719">
      <c r="A1719" s="15">
        <v>46111.66729726654</v>
      </c>
      <c r="B1719" s="16" t="s">
        <v>5527</v>
      </c>
      <c r="C1719" s="16" t="s">
        <v>5528</v>
      </c>
      <c r="D1719" s="17">
        <v>46117.0</v>
      </c>
      <c r="E1719" s="18">
        <v>11.59</v>
      </c>
      <c r="F1719" s="27">
        <v>1.2871</v>
      </c>
      <c r="G1719" s="20">
        <v>1.5300279E7</v>
      </c>
      <c r="H1719" s="16" t="s">
        <v>88</v>
      </c>
      <c r="I1719" s="19">
        <v>-8.5962</v>
      </c>
      <c r="J1719" s="20">
        <v>1.403998302E9</v>
      </c>
      <c r="K1719" s="21"/>
      <c r="L1719" s="21">
        <v>-0.7413</v>
      </c>
      <c r="M1719" s="16" t="s">
        <v>5529</v>
      </c>
      <c r="N1719" s="16" t="s">
        <v>5429</v>
      </c>
      <c r="O1719" s="21">
        <v>-48.7073</v>
      </c>
      <c r="P1719" s="21">
        <v>-163.5071</v>
      </c>
      <c r="Q1719" s="21">
        <v>402.7429</v>
      </c>
      <c r="R1719" s="21">
        <v>0.075</v>
      </c>
      <c r="S1719" s="21">
        <v>15.2861</v>
      </c>
      <c r="T1719" s="22">
        <f>IFERROR(__xludf.DUMMYFUNCTION("IFERROR(GOOGLEFINANCE(B1719,""price""),"""")"),12.37)</f>
        <v>12.37</v>
      </c>
    </row>
    <row r="1720">
      <c r="A1720" s="7">
        <v>46111.66729726654</v>
      </c>
      <c r="B1720" s="8" t="s">
        <v>5607</v>
      </c>
      <c r="C1720" s="8" t="s">
        <v>5608</v>
      </c>
      <c r="D1720" s="9">
        <v>46117.0</v>
      </c>
      <c r="E1720" s="10">
        <v>16.35</v>
      </c>
      <c r="F1720" s="26">
        <v>1.2158</v>
      </c>
      <c r="G1720" s="12">
        <v>1.3082033E7</v>
      </c>
      <c r="H1720" s="8" t="s">
        <v>308</v>
      </c>
      <c r="I1720" s="11">
        <v>-6.6781</v>
      </c>
      <c r="J1720" s="12">
        <v>3.54469225E9</v>
      </c>
      <c r="K1720" s="13"/>
      <c r="L1720" s="13">
        <v>-0.7255</v>
      </c>
      <c r="M1720" s="8" t="s">
        <v>5609</v>
      </c>
      <c r="N1720" s="8" t="s">
        <v>5520</v>
      </c>
      <c r="O1720" s="13"/>
      <c r="P1720" s="13">
        <v>-36.3941</v>
      </c>
      <c r="Q1720" s="13">
        <v>-7.7134</v>
      </c>
      <c r="R1720" s="13"/>
      <c r="S1720" s="13">
        <v>4.9571</v>
      </c>
      <c r="T1720" s="14">
        <f>IFERROR(__xludf.DUMMYFUNCTION("IFERROR(GOOGLEFINANCE(B1720,""price""),"""")"),23.57)</f>
        <v>23.57</v>
      </c>
    </row>
    <row r="1721">
      <c r="A1721" s="15">
        <v>46111.66729726654</v>
      </c>
      <c r="B1721" s="16" t="s">
        <v>1077</v>
      </c>
      <c r="C1721" s="16" t="s">
        <v>1078</v>
      </c>
      <c r="D1721" s="17">
        <v>46117.0</v>
      </c>
      <c r="E1721" s="18">
        <v>7.87</v>
      </c>
      <c r="F1721" s="27">
        <v>1.1973</v>
      </c>
      <c r="G1721" s="20">
        <v>1.0197602E7</v>
      </c>
      <c r="H1721" s="16" t="s">
        <v>335</v>
      </c>
      <c r="I1721" s="19">
        <v>-10.0571</v>
      </c>
      <c r="J1721" s="20">
        <v>1.128337113E9</v>
      </c>
      <c r="K1721" s="21"/>
      <c r="L1721" s="21">
        <v>-0.0349</v>
      </c>
      <c r="M1721" s="16" t="s">
        <v>1102</v>
      </c>
      <c r="N1721" s="16" t="s">
        <v>5506</v>
      </c>
      <c r="O1721" s="21">
        <v>-5.1187</v>
      </c>
      <c r="P1721" s="21">
        <v>-22.613</v>
      </c>
      <c r="Q1721" s="21">
        <v>162.805</v>
      </c>
      <c r="R1721" s="21">
        <v>0.0017</v>
      </c>
      <c r="S1721" s="21">
        <v>5.3788</v>
      </c>
      <c r="T1721" s="22">
        <f>IFERROR(__xludf.DUMMYFUNCTION("IFERROR(GOOGLEFINANCE(B1721,""price""),"""")"),8.36)</f>
        <v>8.36</v>
      </c>
    </row>
    <row r="1722">
      <c r="A1722" s="7">
        <v>46111.66729726654</v>
      </c>
      <c r="B1722" s="8" t="s">
        <v>6099</v>
      </c>
      <c r="C1722" s="8" t="s">
        <v>6100</v>
      </c>
      <c r="D1722" s="9">
        <v>46117.0</v>
      </c>
      <c r="E1722" s="10">
        <v>3.6</v>
      </c>
      <c r="F1722" s="26">
        <v>1.1953</v>
      </c>
      <c r="G1722" s="12">
        <v>1.1737502E7</v>
      </c>
      <c r="H1722" s="8" t="s">
        <v>245</v>
      </c>
      <c r="I1722" s="11">
        <v>6.5089</v>
      </c>
      <c r="J1722" s="12">
        <v>5.35599774E8</v>
      </c>
      <c r="K1722" s="13"/>
      <c r="L1722" s="13">
        <v>-1.0118</v>
      </c>
      <c r="M1722" s="8" t="s">
        <v>6101</v>
      </c>
      <c r="N1722" s="8" t="s">
        <v>5410</v>
      </c>
      <c r="O1722" s="13"/>
      <c r="P1722" s="13">
        <v>-10.5298</v>
      </c>
      <c r="Q1722" s="13">
        <v>-4.5309</v>
      </c>
      <c r="R1722" s="13"/>
      <c r="S1722" s="13">
        <v>1.0213</v>
      </c>
      <c r="T1722" s="14">
        <f>IFERROR(__xludf.DUMMYFUNCTION("IFERROR(GOOGLEFINANCE(B1722,""price""),"""")"),2.76)</f>
        <v>2.76</v>
      </c>
    </row>
    <row r="1723">
      <c r="A1723" s="15">
        <v>46111.66729726654</v>
      </c>
      <c r="B1723" s="16" t="s">
        <v>5567</v>
      </c>
      <c r="C1723" s="16" t="s">
        <v>5568</v>
      </c>
      <c r="D1723" s="17">
        <v>46117.0</v>
      </c>
      <c r="E1723" s="18">
        <v>119.51</v>
      </c>
      <c r="F1723" s="27">
        <v>1.1572</v>
      </c>
      <c r="G1723" s="20">
        <v>1.3127962E7</v>
      </c>
      <c r="H1723" s="16" t="s">
        <v>308</v>
      </c>
      <c r="I1723" s="19">
        <v>-10.3047</v>
      </c>
      <c r="J1723" s="20">
        <v>3.3528318888E10</v>
      </c>
      <c r="K1723" s="21"/>
      <c r="L1723" s="21">
        <v>-0.3809</v>
      </c>
      <c r="M1723" s="16" t="s">
        <v>5569</v>
      </c>
      <c r="N1723" s="16" t="s">
        <v>5433</v>
      </c>
      <c r="O1723" s="21">
        <v>-13.2874</v>
      </c>
      <c r="P1723" s="21">
        <v>5.4633</v>
      </c>
      <c r="Q1723" s="21">
        <v>37.3263</v>
      </c>
      <c r="R1723" s="21">
        <v>3.8975</v>
      </c>
      <c r="S1723" s="21">
        <v>5.9285</v>
      </c>
      <c r="T1723" s="22">
        <f>IFERROR(__xludf.DUMMYFUNCTION("IFERROR(GOOGLEFINANCE(B1723,""price""),"""")"),166.7)</f>
        <v>166.7</v>
      </c>
    </row>
    <row r="1724">
      <c r="A1724" s="7">
        <v>46111.66729726654</v>
      </c>
      <c r="B1724" s="8" t="s">
        <v>5544</v>
      </c>
      <c r="C1724" s="8" t="s">
        <v>6105</v>
      </c>
      <c r="D1724" s="9">
        <v>46117.0</v>
      </c>
      <c r="E1724" s="10">
        <v>12.015</v>
      </c>
      <c r="F1724" s="26">
        <v>1.1367</v>
      </c>
      <c r="G1724" s="12">
        <v>3.1987777E7</v>
      </c>
      <c r="H1724" s="8" t="s">
        <v>88</v>
      </c>
      <c r="I1724" s="11">
        <v>-12.5864</v>
      </c>
      <c r="J1724" s="12">
        <v>4.867509734E9</v>
      </c>
      <c r="K1724" s="13"/>
      <c r="L1724" s="13">
        <v>-2.0516</v>
      </c>
      <c r="M1724" s="8" t="s">
        <v>5546</v>
      </c>
      <c r="N1724" s="8" t="s">
        <v>5471</v>
      </c>
      <c r="O1724" s="13">
        <v>-110.5547</v>
      </c>
      <c r="P1724" s="13">
        <v>-76.6975</v>
      </c>
      <c r="Q1724" s="13">
        <v>48.0413</v>
      </c>
      <c r="R1724" s="13">
        <v>3.435</v>
      </c>
      <c r="S1724" s="13">
        <v>3.7948</v>
      </c>
      <c r="T1724" s="14">
        <f>IFERROR(__xludf.DUMMYFUNCTION("IFERROR(GOOGLEFINANCE(B1724,""price""),"""")"),16.53)</f>
        <v>16.53</v>
      </c>
    </row>
    <row r="1725">
      <c r="A1725" s="15">
        <v>46111.66729726654</v>
      </c>
      <c r="B1725" s="16" t="s">
        <v>5858</v>
      </c>
      <c r="C1725" s="16" t="s">
        <v>5859</v>
      </c>
      <c r="D1725" s="17">
        <v>46117.0</v>
      </c>
      <c r="E1725" s="18">
        <v>25.52</v>
      </c>
      <c r="F1725" s="27">
        <v>1.1189</v>
      </c>
      <c r="G1725" s="20">
        <v>1.2961189E7</v>
      </c>
      <c r="H1725" s="16" t="s">
        <v>88</v>
      </c>
      <c r="I1725" s="19">
        <v>-6.9632</v>
      </c>
      <c r="J1725" s="20">
        <v>3.873936121E9</v>
      </c>
      <c r="K1725" s="21"/>
      <c r="L1725" s="21">
        <v>-0.8329</v>
      </c>
      <c r="M1725" s="16" t="s">
        <v>5860</v>
      </c>
      <c r="N1725" s="16" t="s">
        <v>5664</v>
      </c>
      <c r="O1725" s="21">
        <v>-12.8431</v>
      </c>
      <c r="P1725" s="21">
        <v>-19.0035</v>
      </c>
      <c r="Q1725" s="21">
        <v>14.7776</v>
      </c>
      <c r="R1725" s="21">
        <v>0.4628</v>
      </c>
      <c r="S1725" s="21">
        <v>2.6119</v>
      </c>
      <c r="T1725" s="22">
        <f>IFERROR(__xludf.DUMMYFUNCTION("IFERROR(GOOGLEFINANCE(B1725,""price""),"""")"),23.07)</f>
        <v>23.07</v>
      </c>
    </row>
    <row r="1726">
      <c r="A1726" s="7">
        <v>46111.66729726654</v>
      </c>
      <c r="B1726" s="8" t="s">
        <v>5517</v>
      </c>
      <c r="C1726" s="8" t="s">
        <v>5518</v>
      </c>
      <c r="D1726" s="9">
        <v>46117.0</v>
      </c>
      <c r="E1726" s="10">
        <v>7.71</v>
      </c>
      <c r="F1726" s="26">
        <v>1.1172</v>
      </c>
      <c r="G1726" s="12">
        <v>1.7204715E7</v>
      </c>
      <c r="H1726" s="8" t="s">
        <v>308</v>
      </c>
      <c r="I1726" s="11">
        <v>-5.5147</v>
      </c>
      <c r="J1726" s="12">
        <v>1.480133387E9</v>
      </c>
      <c r="K1726" s="13"/>
      <c r="L1726" s="13">
        <v>-2.3761</v>
      </c>
      <c r="M1726" s="8" t="s">
        <v>5519</v>
      </c>
      <c r="N1726" s="8" t="s">
        <v>5520</v>
      </c>
      <c r="O1726" s="13">
        <v>-52.0031</v>
      </c>
      <c r="P1726" s="13">
        <v>-49.6608</v>
      </c>
      <c r="Q1726" s="13">
        <v>10.2861</v>
      </c>
      <c r="R1726" s="13">
        <v>0.1895</v>
      </c>
      <c r="S1726" s="13">
        <v>1.6246</v>
      </c>
      <c r="T1726" s="14">
        <f>IFERROR(__xludf.DUMMYFUNCTION("IFERROR(GOOGLEFINANCE(B1726,""price""),"""")"),9.29)</f>
        <v>9.29</v>
      </c>
    </row>
    <row r="1727">
      <c r="A1727" s="15">
        <v>46111.66729726654</v>
      </c>
      <c r="B1727" s="16" t="s">
        <v>5594</v>
      </c>
      <c r="C1727" s="16" t="s">
        <v>5595</v>
      </c>
      <c r="D1727" s="17">
        <v>46117.0</v>
      </c>
      <c r="E1727" s="18">
        <v>13.7</v>
      </c>
      <c r="F1727" s="27">
        <v>1.1143</v>
      </c>
      <c r="G1727" s="20">
        <v>3.0712534E7</v>
      </c>
      <c r="H1727" s="16" t="s">
        <v>88</v>
      </c>
      <c r="I1727" s="19">
        <v>-7.9919</v>
      </c>
      <c r="J1727" s="20">
        <v>5.809733312E9</v>
      </c>
      <c r="K1727" s="21"/>
      <c r="L1727" s="21">
        <v>-1.661</v>
      </c>
      <c r="M1727" s="16" t="s">
        <v>5596</v>
      </c>
      <c r="N1727" s="16" t="s">
        <v>5471</v>
      </c>
      <c r="O1727" s="21">
        <v>-343.6909</v>
      </c>
      <c r="P1727" s="21">
        <v>-100.2101</v>
      </c>
      <c r="Q1727" s="21">
        <v>20.2812</v>
      </c>
      <c r="R1727" s="21">
        <v>36.9947</v>
      </c>
      <c r="S1727" s="21">
        <v>2.0038</v>
      </c>
      <c r="T1727" s="22">
        <f>IFERROR(__xludf.DUMMYFUNCTION("IFERROR(GOOGLEFINANCE(B1727,""price""),"""")"),18.88)</f>
        <v>18.88</v>
      </c>
    </row>
    <row r="1728">
      <c r="A1728" s="7">
        <v>46111.66729726654</v>
      </c>
      <c r="B1728" s="8" t="s">
        <v>5514</v>
      </c>
      <c r="C1728" s="8" t="s">
        <v>5515</v>
      </c>
      <c r="D1728" s="9">
        <v>46117.0</v>
      </c>
      <c r="E1728" s="10">
        <v>6.66</v>
      </c>
      <c r="F1728" s="26">
        <v>1.1133</v>
      </c>
      <c r="G1728" s="12">
        <v>2.4242602E7</v>
      </c>
      <c r="H1728" s="8" t="s">
        <v>117</v>
      </c>
      <c r="I1728" s="11">
        <v>-9.7561</v>
      </c>
      <c r="J1728" s="12">
        <v>6.847222364E9</v>
      </c>
      <c r="K1728" s="13"/>
      <c r="L1728" s="13">
        <v>-0.3898</v>
      </c>
      <c r="M1728" s="8" t="s">
        <v>5516</v>
      </c>
      <c r="N1728" s="8" t="s">
        <v>5491</v>
      </c>
      <c r="O1728" s="13"/>
      <c r="P1728" s="13">
        <v>-225.9966</v>
      </c>
      <c r="Q1728" s="13">
        <v>668.3147</v>
      </c>
      <c r="R1728" s="13"/>
      <c r="S1728" s="13">
        <v>5.0989</v>
      </c>
      <c r="T1728" s="14">
        <f>IFERROR(__xludf.DUMMYFUNCTION("IFERROR(GOOGLEFINANCE(B1728,""price""),"""")"),7.28)</f>
        <v>7.28</v>
      </c>
    </row>
    <row r="1729">
      <c r="A1729" s="15">
        <v>46111.66729726654</v>
      </c>
      <c r="B1729" s="16" t="s">
        <v>2704</v>
      </c>
      <c r="C1729" s="16" t="s">
        <v>2705</v>
      </c>
      <c r="D1729" s="17">
        <v>46117.0</v>
      </c>
      <c r="E1729" s="18">
        <v>20.545</v>
      </c>
      <c r="F1729" s="27">
        <v>1.1067</v>
      </c>
      <c r="G1729" s="20">
        <v>2.6997525E7</v>
      </c>
      <c r="H1729" s="16" t="s">
        <v>88</v>
      </c>
      <c r="I1729" s="19">
        <v>-13.5311</v>
      </c>
      <c r="J1729" s="20">
        <v>5.744090634E9</v>
      </c>
      <c r="K1729" s="21"/>
      <c r="L1729" s="21">
        <v>-0.5438</v>
      </c>
      <c r="M1729" s="16" t="s">
        <v>2707</v>
      </c>
      <c r="N1729" s="16" t="s">
        <v>5471</v>
      </c>
      <c r="O1729" s="21">
        <v>-11.4029</v>
      </c>
      <c r="P1729" s="21">
        <v>-26.4624</v>
      </c>
      <c r="Q1729" s="21">
        <v>33.135</v>
      </c>
      <c r="R1729" s="21">
        <v>1.6778</v>
      </c>
      <c r="S1729" s="21">
        <v>4.8227</v>
      </c>
      <c r="T1729" s="22">
        <f>IFERROR(__xludf.DUMMYFUNCTION("IFERROR(GOOGLEFINANCE(B1729,""price""),"""")"),26.24)</f>
        <v>26.24</v>
      </c>
    </row>
    <row r="1730">
      <c r="A1730" s="7">
        <v>46111.66729726654</v>
      </c>
      <c r="B1730" s="8" t="s">
        <v>5558</v>
      </c>
      <c r="C1730" s="8" t="s">
        <v>5559</v>
      </c>
      <c r="D1730" s="9">
        <v>46117.0</v>
      </c>
      <c r="E1730" s="10">
        <v>4.395</v>
      </c>
      <c r="F1730" s="26">
        <v>1.1055</v>
      </c>
      <c r="G1730" s="12">
        <v>1.9140148E7</v>
      </c>
      <c r="H1730" s="8" t="s">
        <v>102</v>
      </c>
      <c r="I1730" s="11">
        <v>-9.5679</v>
      </c>
      <c r="J1730" s="12">
        <v>1.491813636E9</v>
      </c>
      <c r="K1730" s="13"/>
      <c r="L1730" s="13">
        <v>-6.9942</v>
      </c>
      <c r="M1730" s="8" t="s">
        <v>5560</v>
      </c>
      <c r="N1730" s="8" t="s">
        <v>5536</v>
      </c>
      <c r="O1730" s="13"/>
      <c r="P1730" s="13">
        <v>-225.4661</v>
      </c>
      <c r="Q1730" s="13">
        <v>631.7891</v>
      </c>
      <c r="R1730" s="13"/>
      <c r="S1730" s="13">
        <v>4.9358</v>
      </c>
      <c r="T1730" s="14">
        <f>IFERROR(__xludf.DUMMYFUNCTION("IFERROR(GOOGLEFINANCE(B1730,""price""),"""")"),5.62)</f>
        <v>5.62</v>
      </c>
    </row>
    <row r="1731">
      <c r="A1731" s="15">
        <v>46111.66729726654</v>
      </c>
      <c r="B1731" s="16" t="s">
        <v>5434</v>
      </c>
      <c r="C1731" s="16" t="s">
        <v>5435</v>
      </c>
      <c r="D1731" s="17">
        <v>46117.0</v>
      </c>
      <c r="E1731" s="18">
        <v>8.15</v>
      </c>
      <c r="F1731" s="27">
        <v>1.0654</v>
      </c>
      <c r="G1731" s="20">
        <v>7.0046671E7</v>
      </c>
      <c r="H1731" s="16" t="s">
        <v>308</v>
      </c>
      <c r="I1731" s="19">
        <v>-7.3864</v>
      </c>
      <c r="J1731" s="20">
        <v>3.776106392E9</v>
      </c>
      <c r="K1731" s="21"/>
      <c r="L1731" s="21">
        <v>-0.6686</v>
      </c>
      <c r="M1731" s="16" t="s">
        <v>5436</v>
      </c>
      <c r="N1731" s="16" t="s">
        <v>5437</v>
      </c>
      <c r="O1731" s="21">
        <v>-58.1653</v>
      </c>
      <c r="P1731" s="21">
        <v>-115.0855</v>
      </c>
      <c r="Q1731" s="21">
        <v>605.3129</v>
      </c>
      <c r="R1731" s="21">
        <v>0.0286</v>
      </c>
      <c r="S1731" s="21">
        <v>4.8364</v>
      </c>
      <c r="T1731" s="22">
        <f>IFERROR(__xludf.DUMMYFUNCTION("IFERROR(GOOGLEFINANCE(B1731,""price""),"""")"),9.13)</f>
        <v>9.13</v>
      </c>
    </row>
    <row r="1732">
      <c r="A1732" s="7">
        <v>46111.66729726654</v>
      </c>
      <c r="B1732" s="8" t="s">
        <v>5773</v>
      </c>
      <c r="C1732" s="8" t="s">
        <v>5774</v>
      </c>
      <c r="D1732" s="9">
        <v>46117.0</v>
      </c>
      <c r="E1732" s="10">
        <v>2.96</v>
      </c>
      <c r="F1732" s="26">
        <v>1.0586</v>
      </c>
      <c r="G1732" s="12">
        <v>2.7983724E7</v>
      </c>
      <c r="H1732" s="8" t="s">
        <v>245</v>
      </c>
      <c r="I1732" s="11">
        <v>1.7182</v>
      </c>
      <c r="J1732" s="12">
        <v>1.755723763E9</v>
      </c>
      <c r="K1732" s="13"/>
      <c r="L1732" s="13">
        <v>-1.4644</v>
      </c>
      <c r="M1732" s="8" t="s">
        <v>5775</v>
      </c>
      <c r="N1732" s="8" t="s">
        <v>5776</v>
      </c>
      <c r="O1732" s="13">
        <v>-80.9463</v>
      </c>
      <c r="P1732" s="13">
        <v>-20.4446</v>
      </c>
      <c r="Q1732" s="13">
        <v>-22.6468</v>
      </c>
      <c r="R1732" s="13">
        <v>5.7984</v>
      </c>
      <c r="S1732" s="13">
        <v>0.7476</v>
      </c>
      <c r="T1732" s="14">
        <f>IFERROR(__xludf.DUMMYFUNCTION("IFERROR(GOOGLEFINANCE(B1732,""price""),"""")"),2.57)</f>
        <v>2.57</v>
      </c>
    </row>
    <row r="1733">
      <c r="A1733" s="15">
        <v>46111.66729726654</v>
      </c>
      <c r="B1733" s="16" t="s">
        <v>5649</v>
      </c>
      <c r="C1733" s="16" t="s">
        <v>5650</v>
      </c>
      <c r="D1733" s="17">
        <v>46117.0</v>
      </c>
      <c r="E1733" s="18">
        <v>27.89</v>
      </c>
      <c r="F1733" s="27">
        <v>1.0586</v>
      </c>
      <c r="G1733" s="20">
        <v>1.5711911E7</v>
      </c>
      <c r="H1733" s="16" t="s">
        <v>88</v>
      </c>
      <c r="I1733" s="19">
        <v>-9.6241</v>
      </c>
      <c r="J1733" s="20">
        <v>9.654096036E9</v>
      </c>
      <c r="K1733" s="21"/>
      <c r="L1733" s="21">
        <v>-0.7881</v>
      </c>
      <c r="M1733" s="16" t="s">
        <v>5651</v>
      </c>
      <c r="N1733" s="16" t="s">
        <v>5429</v>
      </c>
      <c r="O1733" s="21">
        <v>-78.4035</v>
      </c>
      <c r="P1733" s="21">
        <v>-30.5248</v>
      </c>
      <c r="Q1733" s="21">
        <v>25.9359</v>
      </c>
      <c r="R1733" s="21">
        <v>2.4544</v>
      </c>
      <c r="S1733" s="21">
        <v>1.6475</v>
      </c>
      <c r="T1733" s="22">
        <f>IFERROR(__xludf.DUMMYFUNCTION("IFERROR(GOOGLEFINANCE(B1733,""price""),"""")"),34.67)</f>
        <v>34.67</v>
      </c>
    </row>
    <row r="1734">
      <c r="A1734" s="7">
        <v>46111.66729726654</v>
      </c>
      <c r="B1734" s="8" t="s">
        <v>5554</v>
      </c>
      <c r="C1734" s="8" t="s">
        <v>5555</v>
      </c>
      <c r="D1734" s="9">
        <v>46117.0</v>
      </c>
      <c r="E1734" s="10">
        <v>73.82</v>
      </c>
      <c r="F1734" s="26">
        <v>1.0427</v>
      </c>
      <c r="G1734" s="12">
        <v>1.3344712E7</v>
      </c>
      <c r="H1734" s="8" t="s">
        <v>873</v>
      </c>
      <c r="I1734" s="11">
        <v>-6.165</v>
      </c>
      <c r="J1734" s="12">
        <v>2.8201261564E10</v>
      </c>
      <c r="K1734" s="13"/>
      <c r="L1734" s="13">
        <v>-1.3255</v>
      </c>
      <c r="M1734" s="8" t="s">
        <v>5556</v>
      </c>
      <c r="N1734" s="8" t="s">
        <v>5557</v>
      </c>
      <c r="O1734" s="13">
        <v>-29.4701</v>
      </c>
      <c r="P1734" s="13">
        <v>-405.6981</v>
      </c>
      <c r="Q1734" s="13">
        <v>1505.206</v>
      </c>
      <c r="R1734" s="13">
        <v>1.2162</v>
      </c>
      <c r="S1734" s="13">
        <v>16.3526</v>
      </c>
      <c r="T1734" s="14">
        <f>IFERROR(__xludf.DUMMYFUNCTION("IFERROR(GOOGLEFINANCE(B1734,""price""),"""")"),94.9)</f>
        <v>94.9</v>
      </c>
    </row>
    <row r="1735">
      <c r="A1735" s="15">
        <v>46111.66729726654</v>
      </c>
      <c r="B1735" s="16" t="s">
        <v>5484</v>
      </c>
      <c r="C1735" s="16" t="s">
        <v>5485</v>
      </c>
      <c r="D1735" s="17">
        <v>46117.0</v>
      </c>
      <c r="E1735" s="18">
        <v>31.62</v>
      </c>
      <c r="F1735" s="27">
        <v>1.0385</v>
      </c>
      <c r="G1735" s="20">
        <v>4.1360775E7</v>
      </c>
      <c r="H1735" s="16" t="s">
        <v>88</v>
      </c>
      <c r="I1735" s="19">
        <v>-9.8889</v>
      </c>
      <c r="J1735" s="20">
        <v>1.0490225563E10</v>
      </c>
      <c r="K1735" s="21">
        <v>36.2282</v>
      </c>
      <c r="L1735" s="21">
        <v>0.8728</v>
      </c>
      <c r="M1735" s="16" t="s">
        <v>5486</v>
      </c>
      <c r="N1735" s="16" t="s">
        <v>5471</v>
      </c>
      <c r="O1735" s="21">
        <v>22.5116</v>
      </c>
      <c r="P1735" s="21">
        <v>-13.85</v>
      </c>
      <c r="Q1735" s="21">
        <v>123.3192</v>
      </c>
      <c r="R1735" s="21">
        <v>1.5302</v>
      </c>
      <c r="S1735" s="21">
        <v>4.9601</v>
      </c>
      <c r="T1735" s="22">
        <f>IFERROR(__xludf.DUMMYFUNCTION("IFERROR(GOOGLEFINANCE(B1735,""price""),"""")"),39.32)</f>
        <v>39.32</v>
      </c>
    </row>
    <row r="1736">
      <c r="A1736" s="7">
        <v>46111.66729726654</v>
      </c>
      <c r="B1736" s="8" t="s">
        <v>5481</v>
      </c>
      <c r="C1736" s="8" t="s">
        <v>5482</v>
      </c>
      <c r="D1736" s="9">
        <v>46117.0</v>
      </c>
      <c r="E1736" s="10">
        <v>8.18</v>
      </c>
      <c r="F1736" s="26">
        <v>1.0234</v>
      </c>
      <c r="G1736" s="12">
        <v>1.9293739E7</v>
      </c>
      <c r="H1736" s="8" t="s">
        <v>88</v>
      </c>
      <c r="I1736" s="11">
        <v>-5.5427</v>
      </c>
      <c r="J1736" s="12">
        <v>2.092058679E9</v>
      </c>
      <c r="K1736" s="13"/>
      <c r="L1736" s="13">
        <v>-1.071</v>
      </c>
      <c r="M1736" s="8" t="s">
        <v>5483</v>
      </c>
      <c r="N1736" s="8" t="s">
        <v>5471</v>
      </c>
      <c r="O1736" s="13">
        <v>-15.3378</v>
      </c>
      <c r="P1736" s="13">
        <v>-20.8099</v>
      </c>
      <c r="Q1736" s="13">
        <v>67.959</v>
      </c>
      <c r="R1736" s="13">
        <v>1.2945</v>
      </c>
      <c r="S1736" s="13">
        <v>10.5425</v>
      </c>
      <c r="T1736" s="14">
        <f>IFERROR(__xludf.DUMMYFUNCTION("IFERROR(GOOGLEFINANCE(B1736,""price""),"""")"),10.02)</f>
        <v>10.02</v>
      </c>
    </row>
    <row r="1737">
      <c r="A1737" s="15">
        <v>46111.66729726654</v>
      </c>
      <c r="B1737" s="16" t="s">
        <v>5496</v>
      </c>
      <c r="C1737" s="16" t="s">
        <v>5497</v>
      </c>
      <c r="D1737" s="17">
        <v>46117.0</v>
      </c>
      <c r="E1737" s="18">
        <v>7.795</v>
      </c>
      <c r="F1737" s="27">
        <v>1.0156</v>
      </c>
      <c r="G1737" s="20">
        <v>3.5841787E7</v>
      </c>
      <c r="H1737" s="16" t="s">
        <v>88</v>
      </c>
      <c r="I1737" s="19">
        <v>-2.8055</v>
      </c>
      <c r="J1737" s="20">
        <v>2.963929026E9</v>
      </c>
      <c r="K1737" s="21"/>
      <c r="L1737" s="21">
        <v>-3.9593</v>
      </c>
      <c r="M1737" s="16" t="s">
        <v>5498</v>
      </c>
      <c r="N1737" s="16" t="s">
        <v>5471</v>
      </c>
      <c r="O1737" s="21">
        <v>-34.5092</v>
      </c>
      <c r="P1737" s="21">
        <v>-90.4167</v>
      </c>
      <c r="Q1737" s="21">
        <v>38.1967</v>
      </c>
      <c r="R1737" s="21">
        <v>1.05</v>
      </c>
      <c r="S1737" s="21">
        <v>1.2728</v>
      </c>
      <c r="T1737" s="22">
        <f>IFERROR(__xludf.DUMMYFUNCTION("IFERROR(GOOGLEFINANCE(B1737,""price""),"""")"),9.54)</f>
        <v>9.54</v>
      </c>
    </row>
    <row r="1738">
      <c r="A1738" s="7">
        <v>46111.66729726654</v>
      </c>
      <c r="B1738" s="8" t="s">
        <v>5422</v>
      </c>
      <c r="C1738" s="8" t="s">
        <v>5423</v>
      </c>
      <c r="D1738" s="9">
        <v>46117.0</v>
      </c>
      <c r="E1738" s="10">
        <v>14.23</v>
      </c>
      <c r="F1738" s="26">
        <v>1.0147</v>
      </c>
      <c r="G1738" s="12">
        <v>1.2251364E7</v>
      </c>
      <c r="H1738" s="8" t="s">
        <v>102</v>
      </c>
      <c r="I1738" s="11">
        <v>-7.7173</v>
      </c>
      <c r="J1738" s="12">
        <v>3.101295369E9</v>
      </c>
      <c r="K1738" s="13"/>
      <c r="L1738" s="13">
        <v>-2.5128</v>
      </c>
      <c r="M1738" s="8" t="s">
        <v>5424</v>
      </c>
      <c r="N1738" s="8" t="s">
        <v>5425</v>
      </c>
      <c r="O1738" s="13">
        <v>-255.9098</v>
      </c>
      <c r="P1738" s="13"/>
      <c r="Q1738" s="13"/>
      <c r="R1738" s="13"/>
      <c r="S1738" s="13">
        <v>16.5111</v>
      </c>
      <c r="T1738" s="14">
        <f>IFERROR(__xludf.DUMMYFUNCTION("IFERROR(GOOGLEFINANCE(B1738,""price""),"""")"),16.15)</f>
        <v>16.15</v>
      </c>
    </row>
    <row r="1739">
      <c r="A1739" s="15">
        <v>46111.66729726654</v>
      </c>
      <c r="B1739" s="16" t="s">
        <v>6215</v>
      </c>
      <c r="C1739" s="16" t="s">
        <v>6216</v>
      </c>
      <c r="D1739" s="17">
        <v>46117.0</v>
      </c>
      <c r="E1739" s="18">
        <v>51.24</v>
      </c>
      <c r="F1739" s="27">
        <v>1.0008</v>
      </c>
      <c r="G1739" s="20">
        <v>1.6293312E7</v>
      </c>
      <c r="H1739" s="16" t="s">
        <v>286</v>
      </c>
      <c r="I1739" s="19">
        <v>-0.2531</v>
      </c>
      <c r="J1739" s="20">
        <v>7.5854854367E10</v>
      </c>
      <c r="K1739" s="21">
        <v>30.0457</v>
      </c>
      <c r="L1739" s="21">
        <v>1.7054</v>
      </c>
      <c r="M1739" s="16" t="s">
        <v>6217</v>
      </c>
      <c r="N1739" s="16" t="s">
        <v>5586</v>
      </c>
      <c r="O1739" s="21">
        <v>17.9504</v>
      </c>
      <c r="P1739" s="21">
        <v>6.1591</v>
      </c>
      <c r="Q1739" s="21">
        <v>-5.0663</v>
      </c>
      <c r="R1739" s="21">
        <v>0.801</v>
      </c>
      <c r="S1739" s="21">
        <v>2.0631</v>
      </c>
      <c r="T1739" s="22">
        <f>IFERROR(__xludf.DUMMYFUNCTION("IFERROR(GOOGLEFINANCE(B1739,""price""),"""")"),42.62)</f>
        <v>42.62</v>
      </c>
    </row>
    <row r="1740">
      <c r="A1740" s="7">
        <v>46111.66729726654</v>
      </c>
      <c r="B1740" s="8" t="s">
        <v>5751</v>
      </c>
      <c r="C1740" s="8" t="s">
        <v>5752</v>
      </c>
      <c r="D1740" s="9">
        <v>46117.0</v>
      </c>
      <c r="E1740" s="10">
        <v>11.83</v>
      </c>
      <c r="F1740" s="26">
        <v>0.998</v>
      </c>
      <c r="G1740" s="12">
        <v>1.6745753E7</v>
      </c>
      <c r="H1740" s="8" t="s">
        <v>88</v>
      </c>
      <c r="I1740" s="11">
        <v>-7.5781</v>
      </c>
      <c r="J1740" s="12">
        <v>4.485058926E9</v>
      </c>
      <c r="K1740" s="13"/>
      <c r="L1740" s="13">
        <v>-1.9177</v>
      </c>
      <c r="M1740" s="8" t="s">
        <v>5753</v>
      </c>
      <c r="N1740" s="8" t="s">
        <v>5664</v>
      </c>
      <c r="O1740" s="13">
        <v>-22.0983</v>
      </c>
      <c r="P1740" s="13">
        <v>-61.7864</v>
      </c>
      <c r="Q1740" s="13">
        <v>71.8894</v>
      </c>
      <c r="R1740" s="13">
        <v>0.3032</v>
      </c>
      <c r="S1740" s="13">
        <v>0.9552</v>
      </c>
      <c r="T1740" s="14">
        <f>IFERROR(__xludf.DUMMYFUNCTION("IFERROR(GOOGLEFINANCE(B1740,""price""),"""")"),16.6)</f>
        <v>16.6</v>
      </c>
    </row>
    <row r="1741">
      <c r="A1741" s="15">
        <v>46111.66729726654</v>
      </c>
      <c r="B1741" s="16" t="s">
        <v>5465</v>
      </c>
      <c r="C1741" s="16" t="s">
        <v>5466</v>
      </c>
      <c r="D1741" s="17">
        <v>46117.0</v>
      </c>
      <c r="E1741" s="18">
        <v>69.15</v>
      </c>
      <c r="F1741" s="27">
        <v>0.997</v>
      </c>
      <c r="G1741" s="20">
        <v>2.5330758E7</v>
      </c>
      <c r="H1741" s="16" t="s">
        <v>88</v>
      </c>
      <c r="I1741" s="19">
        <v>-7.5658</v>
      </c>
      <c r="J1741" s="20">
        <v>3.6351334987E10</v>
      </c>
      <c r="K1741" s="21"/>
      <c r="L1741" s="21">
        <v>-2.5447</v>
      </c>
      <c r="M1741" s="16" t="s">
        <v>5467</v>
      </c>
      <c r="N1741" s="16" t="s">
        <v>5429</v>
      </c>
      <c r="O1741" s="21">
        <v>-50.2755</v>
      </c>
      <c r="P1741" s="21">
        <v>-0.885</v>
      </c>
      <c r="Q1741" s="21">
        <v>167.8828</v>
      </c>
      <c r="R1741" s="21">
        <v>8.9421</v>
      </c>
      <c r="S1741" s="21">
        <v>0.4555</v>
      </c>
      <c r="T1741" s="22">
        <f>IFERROR(__xludf.DUMMYFUNCTION("IFERROR(GOOGLEFINANCE(B1741,""price""),"""")"),102.0)</f>
        <v>102</v>
      </c>
    </row>
    <row r="1742">
      <c r="A1742" s="7">
        <v>46112.66733697576</v>
      </c>
      <c r="B1742" s="8" t="s">
        <v>5640</v>
      </c>
      <c r="C1742" s="8" t="s">
        <v>5641</v>
      </c>
      <c r="D1742" s="9">
        <v>46117.0</v>
      </c>
      <c r="E1742" s="10">
        <v>56.98</v>
      </c>
      <c r="F1742" s="26">
        <v>1.4552</v>
      </c>
      <c r="G1742" s="12">
        <v>1.5307689E7</v>
      </c>
      <c r="H1742" s="8" t="s">
        <v>308</v>
      </c>
      <c r="I1742" s="11">
        <v>8.0599</v>
      </c>
      <c r="J1742" s="12">
        <v>3.166583611E9</v>
      </c>
      <c r="K1742" s="13"/>
      <c r="L1742" s="13">
        <v>-0.4892</v>
      </c>
      <c r="M1742" s="8" t="s">
        <v>5642</v>
      </c>
      <c r="N1742" s="8" t="s">
        <v>5433</v>
      </c>
      <c r="O1742" s="13">
        <v>-9.1233</v>
      </c>
      <c r="P1742" s="13">
        <v>-24.8806</v>
      </c>
      <c r="Q1742" s="13">
        <v>-11.106</v>
      </c>
      <c r="R1742" s="13">
        <v>0.2562</v>
      </c>
      <c r="S1742" s="13">
        <v>2.7231</v>
      </c>
      <c r="T1742" s="14">
        <f>IFERROR(__xludf.DUMMYFUNCTION("IFERROR(GOOGLEFINANCE(B1742,""price""),"""")"),64.18)</f>
        <v>64.18</v>
      </c>
    </row>
    <row r="1743">
      <c r="A1743" s="15">
        <v>46112.66733697576</v>
      </c>
      <c r="B1743" s="16" t="s">
        <v>5604</v>
      </c>
      <c r="C1743" s="16" t="s">
        <v>5605</v>
      </c>
      <c r="D1743" s="17">
        <v>46117.0</v>
      </c>
      <c r="E1743" s="18">
        <v>84.59</v>
      </c>
      <c r="F1743" s="27">
        <v>1.2801</v>
      </c>
      <c r="G1743" s="20">
        <v>1.2764727E7</v>
      </c>
      <c r="H1743" s="16" t="s">
        <v>308</v>
      </c>
      <c r="I1743" s="19">
        <v>-0.7043</v>
      </c>
      <c r="J1743" s="20">
        <v>6.361068296E9</v>
      </c>
      <c r="K1743" s="21"/>
      <c r="L1743" s="21">
        <v>-0.6555</v>
      </c>
      <c r="M1743" s="16" t="s">
        <v>5606</v>
      </c>
      <c r="N1743" s="16" t="s">
        <v>5414</v>
      </c>
      <c r="O1743" s="21">
        <v>-7.9391</v>
      </c>
      <c r="P1743" s="21">
        <v>-11.9814</v>
      </c>
      <c r="Q1743" s="21">
        <v>82.7502</v>
      </c>
      <c r="R1743" s="21">
        <v>0.338</v>
      </c>
      <c r="S1743" s="21">
        <v>2.6264</v>
      </c>
      <c r="T1743" s="22">
        <f>IFERROR(__xludf.DUMMYFUNCTION("IFERROR(GOOGLEFINANCE(B1743,""price""),"""")"),150.6)</f>
        <v>150.6</v>
      </c>
    </row>
    <row r="1744">
      <c r="A1744" s="7">
        <v>46112.66733697576</v>
      </c>
      <c r="B1744" s="8" t="s">
        <v>5836</v>
      </c>
      <c r="C1744" s="8" t="s">
        <v>5837</v>
      </c>
      <c r="D1744" s="9">
        <v>46117.0</v>
      </c>
      <c r="E1744" s="10">
        <v>5.84</v>
      </c>
      <c r="F1744" s="26">
        <v>1.25</v>
      </c>
      <c r="G1744" s="12">
        <v>2.3567997E7</v>
      </c>
      <c r="H1744" s="8" t="s">
        <v>93</v>
      </c>
      <c r="I1744" s="11">
        <v>8.9552</v>
      </c>
      <c r="J1744" s="12">
        <v>3.585908182E9</v>
      </c>
      <c r="K1744" s="13"/>
      <c r="L1744" s="13"/>
      <c r="M1744" s="8" t="s">
        <v>5838</v>
      </c>
      <c r="N1744" s="8" t="s">
        <v>5839</v>
      </c>
      <c r="O1744" s="13"/>
      <c r="P1744" s="13"/>
      <c r="Q1744" s="13"/>
      <c r="R1744" s="13">
        <v>0.4147</v>
      </c>
      <c r="S1744" s="13">
        <v>2.8104</v>
      </c>
      <c r="T1744" s="14">
        <f>IFERROR(__xludf.DUMMYFUNCTION("IFERROR(GOOGLEFINANCE(B1744,""price""),"""")"),4.87)</f>
        <v>4.87</v>
      </c>
    </row>
    <row r="1745">
      <c r="A1745" s="15">
        <v>46112.66733697576</v>
      </c>
      <c r="B1745" s="16" t="s">
        <v>5607</v>
      </c>
      <c r="C1745" s="16" t="s">
        <v>5608</v>
      </c>
      <c r="D1745" s="17">
        <v>46117.0</v>
      </c>
      <c r="E1745" s="18">
        <v>18.56</v>
      </c>
      <c r="F1745" s="27">
        <v>1.2051</v>
      </c>
      <c r="G1745" s="20">
        <v>1.2950466E7</v>
      </c>
      <c r="H1745" s="16" t="s">
        <v>308</v>
      </c>
      <c r="I1745" s="19">
        <v>13.5168</v>
      </c>
      <c r="J1745" s="20">
        <v>4.023821906E9</v>
      </c>
      <c r="K1745" s="21"/>
      <c r="L1745" s="21">
        <v>-0.7255</v>
      </c>
      <c r="M1745" s="16" t="s">
        <v>5609</v>
      </c>
      <c r="N1745" s="16" t="s">
        <v>5520</v>
      </c>
      <c r="O1745" s="21"/>
      <c r="P1745" s="21">
        <v>-36.3941</v>
      </c>
      <c r="Q1745" s="21">
        <v>-7.7134</v>
      </c>
      <c r="R1745" s="21"/>
      <c r="S1745" s="21">
        <v>4.9571</v>
      </c>
      <c r="T1745" s="22">
        <f>IFERROR(__xludf.DUMMYFUNCTION("IFERROR(GOOGLEFINANCE(B1745,""price""),"""")"),23.57)</f>
        <v>23.57</v>
      </c>
    </row>
    <row r="1746">
      <c r="A1746" s="7">
        <v>46112.66733697576</v>
      </c>
      <c r="B1746" s="8" t="s">
        <v>5514</v>
      </c>
      <c r="C1746" s="8" t="s">
        <v>5515</v>
      </c>
      <c r="D1746" s="9">
        <v>46117.0</v>
      </c>
      <c r="E1746" s="10">
        <v>7.67</v>
      </c>
      <c r="F1746" s="26">
        <v>1.1973</v>
      </c>
      <c r="G1746" s="12">
        <v>2.3867909E7</v>
      </c>
      <c r="H1746" s="8" t="s">
        <v>117</v>
      </c>
      <c r="I1746" s="11">
        <v>15.1652</v>
      </c>
      <c r="J1746" s="12">
        <v>7.885614945E9</v>
      </c>
      <c r="K1746" s="13"/>
      <c r="L1746" s="13">
        <v>-0.3898</v>
      </c>
      <c r="M1746" s="8" t="s">
        <v>5516</v>
      </c>
      <c r="N1746" s="8" t="s">
        <v>5491</v>
      </c>
      <c r="O1746" s="13"/>
      <c r="P1746" s="13">
        <v>-225.9966</v>
      </c>
      <c r="Q1746" s="13">
        <v>668.3147</v>
      </c>
      <c r="R1746" s="13"/>
      <c r="S1746" s="13">
        <v>5.0989</v>
      </c>
      <c r="T1746" s="14">
        <f>IFERROR(__xludf.DUMMYFUNCTION("IFERROR(GOOGLEFINANCE(B1746,""price""),"""")"),7.28)</f>
        <v>7.28</v>
      </c>
    </row>
    <row r="1747">
      <c r="A1747" s="15">
        <v>46112.66733697576</v>
      </c>
      <c r="B1747" s="16" t="s">
        <v>5533</v>
      </c>
      <c r="C1747" s="16" t="s">
        <v>5534</v>
      </c>
      <c r="D1747" s="17">
        <v>46117.0</v>
      </c>
      <c r="E1747" s="18">
        <v>4.395</v>
      </c>
      <c r="F1747" s="27">
        <v>1.1875</v>
      </c>
      <c r="G1747" s="20">
        <v>3.4546844E7</v>
      </c>
      <c r="H1747" s="16" t="s">
        <v>102</v>
      </c>
      <c r="I1747" s="19">
        <v>-21.7972</v>
      </c>
      <c r="J1747" s="20">
        <v>1.189167569E9</v>
      </c>
      <c r="K1747" s="21"/>
      <c r="L1747" s="21">
        <v>-3.7839</v>
      </c>
      <c r="M1747" s="16" t="s">
        <v>5535</v>
      </c>
      <c r="N1747" s="16" t="s">
        <v>5536</v>
      </c>
      <c r="O1747" s="21">
        <v>-55.984</v>
      </c>
      <c r="P1747" s="21">
        <v>-31.1477</v>
      </c>
      <c r="Q1747" s="21"/>
      <c r="R1747" s="21">
        <v>4.5088</v>
      </c>
      <c r="S1747" s="21">
        <v>1.1293</v>
      </c>
      <c r="T1747" s="22">
        <f>IFERROR(__xludf.DUMMYFUNCTION("IFERROR(GOOGLEFINANCE(B1747,""price""),"""")"),4.69)</f>
        <v>4.69</v>
      </c>
    </row>
    <row r="1748">
      <c r="A1748" s="7">
        <v>46112.66733697576</v>
      </c>
      <c r="B1748" s="8" t="s">
        <v>6218</v>
      </c>
      <c r="C1748" s="8" t="s">
        <v>6219</v>
      </c>
      <c r="D1748" s="9">
        <v>46117.0</v>
      </c>
      <c r="E1748" s="10">
        <v>2.43</v>
      </c>
      <c r="F1748" s="26">
        <v>1.1563</v>
      </c>
      <c r="G1748" s="12">
        <v>2.2498422E7</v>
      </c>
      <c r="H1748" s="8" t="s">
        <v>308</v>
      </c>
      <c r="I1748" s="11">
        <v>11.9816</v>
      </c>
      <c r="J1748" s="12">
        <v>1.77704316E8</v>
      </c>
      <c r="K1748" s="13"/>
      <c r="L1748" s="13">
        <v>-7.4709</v>
      </c>
      <c r="M1748" s="8" t="s">
        <v>6220</v>
      </c>
      <c r="N1748" s="8" t="s">
        <v>5520</v>
      </c>
      <c r="O1748" s="13">
        <v>-98.8689</v>
      </c>
      <c r="P1748" s="13">
        <v>-18308.7899</v>
      </c>
      <c r="Q1748" s="13">
        <v>-82.3598</v>
      </c>
      <c r="R1748" s="13">
        <v>2.1007</v>
      </c>
      <c r="S1748" s="13">
        <v>2.8684</v>
      </c>
      <c r="T1748" s="14">
        <f>IFERROR(__xludf.DUMMYFUNCTION("IFERROR(GOOGLEFINANCE(B1748,""price""),"""")"),3.02)</f>
        <v>3.02</v>
      </c>
    </row>
    <row r="1749">
      <c r="A1749" s="15">
        <v>46112.66733697576</v>
      </c>
      <c r="B1749" s="16" t="s">
        <v>6215</v>
      </c>
      <c r="C1749" s="16" t="s">
        <v>6216</v>
      </c>
      <c r="D1749" s="17">
        <v>46117.0</v>
      </c>
      <c r="E1749" s="18">
        <v>52.82</v>
      </c>
      <c r="F1749" s="27">
        <v>1.1214</v>
      </c>
      <c r="G1749" s="20">
        <v>2.8675295E7</v>
      </c>
      <c r="H1749" s="16" t="s">
        <v>286</v>
      </c>
      <c r="I1749" s="19">
        <v>3.0835</v>
      </c>
      <c r="J1749" s="20">
        <v>7.8193860415E10</v>
      </c>
      <c r="K1749" s="21">
        <v>30.9722</v>
      </c>
      <c r="L1749" s="21">
        <v>1.7054</v>
      </c>
      <c r="M1749" s="16" t="s">
        <v>6217</v>
      </c>
      <c r="N1749" s="16" t="s">
        <v>5586</v>
      </c>
      <c r="O1749" s="21">
        <v>17.9504</v>
      </c>
      <c r="P1749" s="21">
        <v>6.1591</v>
      </c>
      <c r="Q1749" s="21">
        <v>-5.0663</v>
      </c>
      <c r="R1749" s="21">
        <v>0.801</v>
      </c>
      <c r="S1749" s="21">
        <v>2.0631</v>
      </c>
      <c r="T1749" s="22">
        <f>IFERROR(__xludf.DUMMYFUNCTION("IFERROR(GOOGLEFINANCE(B1749,""price""),"""")"),42.62)</f>
        <v>42.62</v>
      </c>
    </row>
    <row r="1750">
      <c r="A1750" s="7">
        <v>46112.66733697576</v>
      </c>
      <c r="B1750" s="8" t="s">
        <v>5912</v>
      </c>
      <c r="C1750" s="8" t="s">
        <v>5913</v>
      </c>
      <c r="D1750" s="9">
        <v>46117.0</v>
      </c>
      <c r="E1750" s="10">
        <v>3.87</v>
      </c>
      <c r="F1750" s="26">
        <v>1.1055</v>
      </c>
      <c r="G1750" s="12">
        <v>1.2547865E7</v>
      </c>
      <c r="H1750" s="8" t="s">
        <v>117</v>
      </c>
      <c r="I1750" s="11">
        <v>19.0769</v>
      </c>
      <c r="J1750" s="12">
        <v>1.369704022E9</v>
      </c>
      <c r="K1750" s="13"/>
      <c r="L1750" s="13">
        <v>-1.3997</v>
      </c>
      <c r="M1750" s="8" t="s">
        <v>5914</v>
      </c>
      <c r="N1750" s="8" t="s">
        <v>5502</v>
      </c>
      <c r="O1750" s="13">
        <v>-571.9678</v>
      </c>
      <c r="P1750" s="13">
        <v>-1100.7848</v>
      </c>
      <c r="Q1750" s="13">
        <v>146.7261</v>
      </c>
      <c r="R1750" s="13">
        <v>4.7004</v>
      </c>
      <c r="S1750" s="13">
        <v>3.0889</v>
      </c>
      <c r="T1750" s="14">
        <f>IFERROR(__xludf.DUMMYFUNCTION("IFERROR(GOOGLEFINANCE(B1750,""price""),"""")"),4.16)</f>
        <v>4.16</v>
      </c>
    </row>
    <row r="1751">
      <c r="A1751" s="15">
        <v>46112.66733697576</v>
      </c>
      <c r="B1751" s="16" t="s">
        <v>5558</v>
      </c>
      <c r="C1751" s="16" t="s">
        <v>5559</v>
      </c>
      <c r="D1751" s="17">
        <v>46117.0</v>
      </c>
      <c r="E1751" s="18">
        <v>4.96</v>
      </c>
      <c r="F1751" s="27">
        <v>1.0938</v>
      </c>
      <c r="G1751" s="20">
        <v>1.8844291E7</v>
      </c>
      <c r="H1751" s="16" t="s">
        <v>102</v>
      </c>
      <c r="I1751" s="19">
        <v>12.8555</v>
      </c>
      <c r="J1751" s="20">
        <v>1.683594001E9</v>
      </c>
      <c r="K1751" s="21"/>
      <c r="L1751" s="21">
        <v>-6.9942</v>
      </c>
      <c r="M1751" s="16" t="s">
        <v>5560</v>
      </c>
      <c r="N1751" s="16" t="s">
        <v>5536</v>
      </c>
      <c r="O1751" s="21"/>
      <c r="P1751" s="21">
        <v>-225.4661</v>
      </c>
      <c r="Q1751" s="21">
        <v>631.7891</v>
      </c>
      <c r="R1751" s="21"/>
      <c r="S1751" s="21">
        <v>4.9358</v>
      </c>
      <c r="T1751" s="22">
        <f>IFERROR(__xludf.DUMMYFUNCTION("IFERROR(GOOGLEFINANCE(B1751,""price""),"""")"),5.62)</f>
        <v>5.62</v>
      </c>
    </row>
    <row r="1752">
      <c r="A1752" s="7">
        <v>46112.66733697576</v>
      </c>
      <c r="B1752" s="8" t="s">
        <v>5527</v>
      </c>
      <c r="C1752" s="8" t="s">
        <v>5528</v>
      </c>
      <c r="D1752" s="9">
        <v>46117.0</v>
      </c>
      <c r="E1752" s="10">
        <v>13.09</v>
      </c>
      <c r="F1752" s="26">
        <v>1.0866</v>
      </c>
      <c r="G1752" s="12">
        <v>1.4308854E7</v>
      </c>
      <c r="H1752" s="8" t="s">
        <v>88</v>
      </c>
      <c r="I1752" s="11">
        <v>12.9422</v>
      </c>
      <c r="J1752" s="12">
        <v>1.585706451E9</v>
      </c>
      <c r="K1752" s="13"/>
      <c r="L1752" s="13">
        <v>-0.7413</v>
      </c>
      <c r="M1752" s="8" t="s">
        <v>5529</v>
      </c>
      <c r="N1752" s="8" t="s">
        <v>5429</v>
      </c>
      <c r="O1752" s="13">
        <v>-48.7073</v>
      </c>
      <c r="P1752" s="13">
        <v>-163.5071</v>
      </c>
      <c r="Q1752" s="13">
        <v>402.7429</v>
      </c>
      <c r="R1752" s="13">
        <v>0.075</v>
      </c>
      <c r="S1752" s="13">
        <v>15.2861</v>
      </c>
      <c r="T1752" s="14">
        <f>IFERROR(__xludf.DUMMYFUNCTION("IFERROR(GOOGLEFINANCE(B1752,""price""),"""")"),12.37)</f>
        <v>12.37</v>
      </c>
    </row>
    <row r="1753">
      <c r="A1753" s="15">
        <v>46112.66733697576</v>
      </c>
      <c r="B1753" s="16" t="s">
        <v>5695</v>
      </c>
      <c r="C1753" s="16" t="s">
        <v>5696</v>
      </c>
      <c r="D1753" s="17">
        <v>46117.0</v>
      </c>
      <c r="E1753" s="18">
        <v>4.29</v>
      </c>
      <c r="F1753" s="27">
        <v>1.082</v>
      </c>
      <c r="G1753" s="20">
        <v>2.9650498E7</v>
      </c>
      <c r="H1753" s="16" t="s">
        <v>149</v>
      </c>
      <c r="I1753" s="19">
        <v>7.25</v>
      </c>
      <c r="J1753" s="20">
        <v>1.825348161E9</v>
      </c>
      <c r="K1753" s="21"/>
      <c r="L1753" s="21">
        <v>-0.1277</v>
      </c>
      <c r="M1753" s="16" t="s">
        <v>5697</v>
      </c>
      <c r="N1753" s="16" t="s">
        <v>5698</v>
      </c>
      <c r="O1753" s="21"/>
      <c r="P1753" s="21">
        <v>5.4343</v>
      </c>
      <c r="Q1753" s="21">
        <v>-6.9815</v>
      </c>
      <c r="R1753" s="21"/>
      <c r="S1753" s="21">
        <v>1.9828</v>
      </c>
      <c r="T1753" s="22">
        <f>IFERROR(__xludf.DUMMYFUNCTION("IFERROR(GOOGLEFINANCE(B1753,""price""),"""")"),4.62)</f>
        <v>4.62</v>
      </c>
    </row>
    <row r="1754">
      <c r="A1754" s="7">
        <v>46112.66733697576</v>
      </c>
      <c r="B1754" s="8" t="s">
        <v>5580</v>
      </c>
      <c r="C1754" s="8" t="s">
        <v>5581</v>
      </c>
      <c r="D1754" s="9">
        <v>46117.0</v>
      </c>
      <c r="E1754" s="10">
        <v>2.56</v>
      </c>
      <c r="F1754" s="26">
        <v>1.0625</v>
      </c>
      <c r="G1754" s="12">
        <v>3.3449858E7</v>
      </c>
      <c r="H1754" s="8" t="s">
        <v>88</v>
      </c>
      <c r="I1754" s="11">
        <v>1.5873</v>
      </c>
      <c r="J1754" s="12">
        <v>1.020998717E9</v>
      </c>
      <c r="K1754" s="13"/>
      <c r="L1754" s="13"/>
      <c r="M1754" s="8" t="s">
        <v>5582</v>
      </c>
      <c r="N1754" s="8" t="s">
        <v>5429</v>
      </c>
      <c r="O1754" s="13"/>
      <c r="P1754" s="13"/>
      <c r="Q1754" s="13"/>
      <c r="R1754" s="13"/>
      <c r="S1754" s="13">
        <v>0.2412</v>
      </c>
      <c r="T1754" s="14">
        <f>IFERROR(__xludf.DUMMYFUNCTION("IFERROR(GOOGLEFINANCE(B1754,""price""),"""")"),2.38)</f>
        <v>2.38</v>
      </c>
    </row>
    <row r="1755">
      <c r="A1755" s="15">
        <v>46112.66733697576</v>
      </c>
      <c r="B1755" s="16" t="s">
        <v>6099</v>
      </c>
      <c r="C1755" s="16" t="s">
        <v>6100</v>
      </c>
      <c r="D1755" s="17">
        <v>46117.0</v>
      </c>
      <c r="E1755" s="18">
        <v>3.41</v>
      </c>
      <c r="F1755" s="27">
        <v>1.0566</v>
      </c>
      <c r="G1755" s="20">
        <v>1.4415955E7</v>
      </c>
      <c r="H1755" s="16" t="s">
        <v>245</v>
      </c>
      <c r="I1755" s="19">
        <v>-5.2778</v>
      </c>
      <c r="J1755" s="20">
        <v>5.07332008E8</v>
      </c>
      <c r="K1755" s="21"/>
      <c r="L1755" s="21">
        <v>-1.0118</v>
      </c>
      <c r="M1755" s="16" t="s">
        <v>6101</v>
      </c>
      <c r="N1755" s="16" t="s">
        <v>5410</v>
      </c>
      <c r="O1755" s="21"/>
      <c r="P1755" s="21">
        <v>-10.5298</v>
      </c>
      <c r="Q1755" s="21">
        <v>-4.5309</v>
      </c>
      <c r="R1755" s="21"/>
      <c r="S1755" s="21">
        <v>1.0213</v>
      </c>
      <c r="T1755" s="22">
        <f>IFERROR(__xludf.DUMMYFUNCTION("IFERROR(GOOGLEFINANCE(B1755,""price""),"""")"),2.76)</f>
        <v>2.76</v>
      </c>
    </row>
    <row r="1756">
      <c r="A1756" s="7">
        <v>46112.66733697576</v>
      </c>
      <c r="B1756" s="8" t="s">
        <v>6087</v>
      </c>
      <c r="C1756" s="8" t="s">
        <v>6088</v>
      </c>
      <c r="D1756" s="9">
        <v>46117.0</v>
      </c>
      <c r="E1756" s="10">
        <v>5.94</v>
      </c>
      <c r="F1756" s="26">
        <v>1.0508</v>
      </c>
      <c r="G1756" s="12">
        <v>1.2157765E7</v>
      </c>
      <c r="H1756" s="8" t="s">
        <v>102</v>
      </c>
      <c r="I1756" s="11">
        <v>16.9291</v>
      </c>
      <c r="J1756" s="12">
        <v>9.07104428E8</v>
      </c>
      <c r="K1756" s="13"/>
      <c r="L1756" s="13">
        <v>-0.6318</v>
      </c>
      <c r="M1756" s="8" t="s">
        <v>6089</v>
      </c>
      <c r="N1756" s="8" t="s">
        <v>5536</v>
      </c>
      <c r="O1756" s="13">
        <v>-104.168</v>
      </c>
      <c r="P1756" s="13">
        <v>-5151.455</v>
      </c>
      <c r="Q1756" s="13">
        <v>535.8653</v>
      </c>
      <c r="R1756" s="13">
        <v>0.1096</v>
      </c>
      <c r="S1756" s="13">
        <v>2.2985</v>
      </c>
      <c r="T1756" s="14">
        <f>IFERROR(__xludf.DUMMYFUNCTION("IFERROR(GOOGLEFINANCE(B1756,""price""),"""")"),7.04)</f>
        <v>7.04</v>
      </c>
    </row>
    <row r="1757">
      <c r="A1757" s="15">
        <v>46112.66733697576</v>
      </c>
      <c r="B1757" s="16" t="s">
        <v>5517</v>
      </c>
      <c r="C1757" s="16" t="s">
        <v>5518</v>
      </c>
      <c r="D1757" s="17">
        <v>46117.0</v>
      </c>
      <c r="E1757" s="18">
        <v>8.5</v>
      </c>
      <c r="F1757" s="27">
        <v>1.0176</v>
      </c>
      <c r="G1757" s="20">
        <v>1.5863026E7</v>
      </c>
      <c r="H1757" s="16" t="s">
        <v>308</v>
      </c>
      <c r="I1757" s="19">
        <v>10.2464</v>
      </c>
      <c r="J1757" s="20">
        <v>1.631794266E9</v>
      </c>
      <c r="K1757" s="21"/>
      <c r="L1757" s="21">
        <v>-2.3761</v>
      </c>
      <c r="M1757" s="16" t="s">
        <v>5519</v>
      </c>
      <c r="N1757" s="16" t="s">
        <v>5520</v>
      </c>
      <c r="O1757" s="21">
        <v>-52.0031</v>
      </c>
      <c r="P1757" s="21">
        <v>-49.6608</v>
      </c>
      <c r="Q1757" s="21">
        <v>10.2861</v>
      </c>
      <c r="R1757" s="21">
        <v>0.1895</v>
      </c>
      <c r="S1757" s="21">
        <v>1.6246</v>
      </c>
      <c r="T1757" s="22">
        <f>IFERROR(__xludf.DUMMYFUNCTION("IFERROR(GOOGLEFINANCE(B1757,""price""),"""")"),9.29)</f>
        <v>9.29</v>
      </c>
    </row>
    <row r="1758">
      <c r="A1758" s="7">
        <v>46112.66733697576</v>
      </c>
      <c r="B1758" s="8" t="s">
        <v>5567</v>
      </c>
      <c r="C1758" s="8" t="s">
        <v>5568</v>
      </c>
      <c r="D1758" s="9">
        <v>46117.0</v>
      </c>
      <c r="E1758" s="10">
        <v>135.49</v>
      </c>
      <c r="F1758" s="26">
        <v>1.0017</v>
      </c>
      <c r="G1758" s="12">
        <v>1.1431854E7</v>
      </c>
      <c r="H1758" s="8" t="s">
        <v>308</v>
      </c>
      <c r="I1758" s="11">
        <v>13.3713</v>
      </c>
      <c r="J1758" s="12">
        <v>3.8011479593E10</v>
      </c>
      <c r="K1758" s="13"/>
      <c r="L1758" s="13">
        <v>-0.3809</v>
      </c>
      <c r="M1758" s="8" t="s">
        <v>5569</v>
      </c>
      <c r="N1758" s="8" t="s">
        <v>5433</v>
      </c>
      <c r="O1758" s="13">
        <v>-13.2874</v>
      </c>
      <c r="P1758" s="13">
        <v>5.4633</v>
      </c>
      <c r="Q1758" s="13">
        <v>37.3263</v>
      </c>
      <c r="R1758" s="13">
        <v>3.8975</v>
      </c>
      <c r="S1758" s="13">
        <v>5.9285</v>
      </c>
      <c r="T1758" s="14">
        <f>IFERROR(__xludf.DUMMYFUNCTION("IFERROR(GOOGLEFINANCE(B1758,""price""),"""")"),166.7)</f>
        <v>166.7</v>
      </c>
    </row>
    <row r="1759">
      <c r="A1759" s="15">
        <v>46112.66733697576</v>
      </c>
      <c r="B1759" s="16" t="s">
        <v>5649</v>
      </c>
      <c r="C1759" s="16" t="s">
        <v>5650</v>
      </c>
      <c r="D1759" s="17">
        <v>46117.0</v>
      </c>
      <c r="E1759" s="18">
        <v>27.95</v>
      </c>
      <c r="F1759" s="27">
        <v>0.9898</v>
      </c>
      <c r="G1759" s="20">
        <v>1.8884225E7</v>
      </c>
      <c r="H1759" s="16" t="s">
        <v>88</v>
      </c>
      <c r="I1759" s="19">
        <v>0.2151</v>
      </c>
      <c r="J1759" s="20">
        <v>9.674864977E9</v>
      </c>
      <c r="K1759" s="21"/>
      <c r="L1759" s="21">
        <v>-0.7881</v>
      </c>
      <c r="M1759" s="16" t="s">
        <v>5651</v>
      </c>
      <c r="N1759" s="16" t="s">
        <v>5429</v>
      </c>
      <c r="O1759" s="21">
        <v>-78.4035</v>
      </c>
      <c r="P1759" s="21">
        <v>-30.5248</v>
      </c>
      <c r="Q1759" s="21">
        <v>25.9359</v>
      </c>
      <c r="R1759" s="21">
        <v>2.4544</v>
      </c>
      <c r="S1759" s="21">
        <v>1.6475</v>
      </c>
      <c r="T1759" s="22">
        <f>IFERROR(__xludf.DUMMYFUNCTION("IFERROR(GOOGLEFINANCE(B1759,""price""),"""")"),34.67)</f>
        <v>34.67</v>
      </c>
    </row>
    <row r="1760">
      <c r="A1760" s="7">
        <v>46112.66733697576</v>
      </c>
      <c r="B1760" s="8" t="s">
        <v>5858</v>
      </c>
      <c r="C1760" s="8" t="s">
        <v>5859</v>
      </c>
      <c r="D1760" s="9">
        <v>46117.0</v>
      </c>
      <c r="E1760" s="10">
        <v>29.06</v>
      </c>
      <c r="F1760" s="26">
        <v>0.9683</v>
      </c>
      <c r="G1760" s="12">
        <v>1.2791537E7</v>
      </c>
      <c r="H1760" s="8" t="s">
        <v>88</v>
      </c>
      <c r="I1760" s="11">
        <v>13.8715</v>
      </c>
      <c r="J1760" s="12">
        <v>4.411308138E9</v>
      </c>
      <c r="K1760" s="13"/>
      <c r="L1760" s="13">
        <v>-0.8329</v>
      </c>
      <c r="M1760" s="8" t="s">
        <v>5860</v>
      </c>
      <c r="N1760" s="8" t="s">
        <v>5664</v>
      </c>
      <c r="O1760" s="13">
        <v>-12.8431</v>
      </c>
      <c r="P1760" s="13">
        <v>-19.0035</v>
      </c>
      <c r="Q1760" s="13">
        <v>14.7776</v>
      </c>
      <c r="R1760" s="13">
        <v>0.4628</v>
      </c>
      <c r="S1760" s="13">
        <v>2.6119</v>
      </c>
      <c r="T1760" s="14">
        <f>IFERROR(__xludf.DUMMYFUNCTION("IFERROR(GOOGLEFINANCE(B1760,""price""),"""")"),23.07)</f>
        <v>23.07</v>
      </c>
    </row>
    <row r="1761">
      <c r="A1761" s="15">
        <v>46112.66733697576</v>
      </c>
      <c r="B1761" s="16" t="s">
        <v>5594</v>
      </c>
      <c r="C1761" s="16" t="s">
        <v>5595</v>
      </c>
      <c r="D1761" s="17">
        <v>46117.0</v>
      </c>
      <c r="E1761" s="18">
        <v>14.43</v>
      </c>
      <c r="F1761" s="27">
        <v>0.9648</v>
      </c>
      <c r="G1761" s="20">
        <v>2.9587833E7</v>
      </c>
      <c r="H1761" s="16" t="s">
        <v>88</v>
      </c>
      <c r="I1761" s="19">
        <v>5.3285</v>
      </c>
      <c r="J1761" s="20">
        <v>6.119303044E9</v>
      </c>
      <c r="K1761" s="21"/>
      <c r="L1761" s="21">
        <v>-1.661</v>
      </c>
      <c r="M1761" s="16" t="s">
        <v>5596</v>
      </c>
      <c r="N1761" s="16" t="s">
        <v>5471</v>
      </c>
      <c r="O1761" s="21">
        <v>-343.6909</v>
      </c>
      <c r="P1761" s="21">
        <v>-100.2101</v>
      </c>
      <c r="Q1761" s="21">
        <v>20.2812</v>
      </c>
      <c r="R1761" s="21">
        <v>36.9947</v>
      </c>
      <c r="S1761" s="21">
        <v>2.0038</v>
      </c>
      <c r="T1761" s="22">
        <f>IFERROR(__xludf.DUMMYFUNCTION("IFERROR(GOOGLEFINANCE(B1761,""price""),"""")"),18.88)</f>
        <v>18.88</v>
      </c>
    </row>
    <row r="1762">
      <c r="A1762" s="7">
        <v>46112.66733697576</v>
      </c>
      <c r="B1762" s="8" t="s">
        <v>5422</v>
      </c>
      <c r="C1762" s="8" t="s">
        <v>5423</v>
      </c>
      <c r="D1762" s="9">
        <v>46117.0</v>
      </c>
      <c r="E1762" s="10">
        <v>15.135</v>
      </c>
      <c r="F1762" s="26">
        <v>0.9587</v>
      </c>
      <c r="G1762" s="12">
        <v>1.3193709E7</v>
      </c>
      <c r="H1762" s="8" t="s">
        <v>102</v>
      </c>
      <c r="I1762" s="11">
        <v>6.3598</v>
      </c>
      <c r="J1762" s="12">
        <v>3.298531652E9</v>
      </c>
      <c r="K1762" s="13"/>
      <c r="L1762" s="13">
        <v>-2.5128</v>
      </c>
      <c r="M1762" s="8" t="s">
        <v>5424</v>
      </c>
      <c r="N1762" s="8" t="s">
        <v>5425</v>
      </c>
      <c r="O1762" s="13">
        <v>-255.9098</v>
      </c>
      <c r="P1762" s="13"/>
      <c r="Q1762" s="13"/>
      <c r="R1762" s="13"/>
      <c r="S1762" s="13">
        <v>16.5111</v>
      </c>
      <c r="T1762" s="14">
        <f>IFERROR(__xludf.DUMMYFUNCTION("IFERROR(GOOGLEFINANCE(B1762,""price""),"""")"),16.15)</f>
        <v>16.15</v>
      </c>
    </row>
    <row r="1763">
      <c r="A1763" s="15">
        <v>46112.66733697576</v>
      </c>
      <c r="B1763" s="16" t="s">
        <v>5434</v>
      </c>
      <c r="C1763" s="16" t="s">
        <v>5435</v>
      </c>
      <c r="D1763" s="17">
        <v>46117.0</v>
      </c>
      <c r="E1763" s="18">
        <v>9.04</v>
      </c>
      <c r="F1763" s="27">
        <v>0.957</v>
      </c>
      <c r="G1763" s="20">
        <v>5.8456814E7</v>
      </c>
      <c r="H1763" s="16" t="s">
        <v>308</v>
      </c>
      <c r="I1763" s="19">
        <v>10.9202</v>
      </c>
      <c r="J1763" s="20">
        <v>4.188466477E9</v>
      </c>
      <c r="K1763" s="21"/>
      <c r="L1763" s="21">
        <v>-0.6686</v>
      </c>
      <c r="M1763" s="16" t="s">
        <v>5436</v>
      </c>
      <c r="N1763" s="16" t="s">
        <v>5437</v>
      </c>
      <c r="O1763" s="21">
        <v>-58.1653</v>
      </c>
      <c r="P1763" s="21">
        <v>-115.0855</v>
      </c>
      <c r="Q1763" s="21">
        <v>605.3129</v>
      </c>
      <c r="R1763" s="21">
        <v>0.0286</v>
      </c>
      <c r="S1763" s="21">
        <v>4.8364</v>
      </c>
      <c r="T1763" s="22">
        <f>IFERROR(__xludf.DUMMYFUNCTION("IFERROR(GOOGLEFINANCE(B1763,""price""),"""")"),9.13)</f>
        <v>9.13</v>
      </c>
    </row>
    <row r="1764">
      <c r="A1764" s="7">
        <v>46112.66733697576</v>
      </c>
      <c r="B1764" s="8" t="s">
        <v>5544</v>
      </c>
      <c r="C1764" s="8" t="s">
        <v>6105</v>
      </c>
      <c r="D1764" s="9">
        <v>46117.0</v>
      </c>
      <c r="E1764" s="10">
        <v>12.87</v>
      </c>
      <c r="F1764" s="26">
        <v>0.9551</v>
      </c>
      <c r="G1764" s="12">
        <v>2.6543502E7</v>
      </c>
      <c r="H1764" s="8" t="s">
        <v>88</v>
      </c>
      <c r="I1764" s="11">
        <v>7.1161</v>
      </c>
      <c r="J1764" s="12">
        <v>5.213886832E9</v>
      </c>
      <c r="K1764" s="13"/>
      <c r="L1764" s="13">
        <v>-2.0516</v>
      </c>
      <c r="M1764" s="8" t="s">
        <v>5546</v>
      </c>
      <c r="N1764" s="8" t="s">
        <v>5471</v>
      </c>
      <c r="O1764" s="13">
        <v>-110.5547</v>
      </c>
      <c r="P1764" s="13">
        <v>-76.6975</v>
      </c>
      <c r="Q1764" s="13">
        <v>48.0413</v>
      </c>
      <c r="R1764" s="13">
        <v>3.435</v>
      </c>
      <c r="S1764" s="13">
        <v>3.7948</v>
      </c>
      <c r="T1764" s="14">
        <f>IFERROR(__xludf.DUMMYFUNCTION("IFERROR(GOOGLEFINANCE(B1764,""price""),"""")"),16.53)</f>
        <v>16.53</v>
      </c>
    </row>
    <row r="1765">
      <c r="A1765" s="15">
        <v>46112.66733697576</v>
      </c>
      <c r="B1765" s="16" t="s">
        <v>5778</v>
      </c>
      <c r="C1765" s="16" t="s">
        <v>5779</v>
      </c>
      <c r="D1765" s="17">
        <v>46117.0</v>
      </c>
      <c r="E1765" s="18">
        <v>1.49</v>
      </c>
      <c r="F1765" s="27">
        <v>0.9453</v>
      </c>
      <c r="G1765" s="20">
        <v>1.4403003E7</v>
      </c>
      <c r="H1765" s="16" t="s">
        <v>117</v>
      </c>
      <c r="I1765" s="19">
        <v>5.6738</v>
      </c>
      <c r="J1765" s="20">
        <v>9.54411554E8</v>
      </c>
      <c r="K1765" s="21"/>
      <c r="L1765" s="21">
        <v>-0.1287</v>
      </c>
      <c r="M1765" s="16" t="s">
        <v>5780</v>
      </c>
      <c r="N1765" s="16" t="s">
        <v>5502</v>
      </c>
      <c r="O1765" s="21">
        <v>-33.8931</v>
      </c>
      <c r="P1765" s="21">
        <v>-29.2771</v>
      </c>
      <c r="Q1765" s="21">
        <v>138.822</v>
      </c>
      <c r="R1765" s="21">
        <v>1.1138</v>
      </c>
      <c r="S1765" s="21">
        <v>4.6644</v>
      </c>
      <c r="T1765" s="22">
        <f>IFERROR(__xludf.DUMMYFUNCTION("IFERROR(GOOGLEFINANCE(B1765,""price""),"""")"),1.67)</f>
        <v>1.67</v>
      </c>
    </row>
    <row r="1766">
      <c r="A1766" s="7">
        <v>46112.66733697576</v>
      </c>
      <c r="B1766" s="8" t="s">
        <v>5652</v>
      </c>
      <c r="C1766" s="8" t="s">
        <v>5653</v>
      </c>
      <c r="D1766" s="9">
        <v>46117.0</v>
      </c>
      <c r="E1766" s="10">
        <v>3.07</v>
      </c>
      <c r="F1766" s="26">
        <v>0.9453</v>
      </c>
      <c r="G1766" s="12">
        <v>1.3805732E7</v>
      </c>
      <c r="H1766" s="8" t="s">
        <v>117</v>
      </c>
      <c r="I1766" s="11">
        <v>8.0986</v>
      </c>
      <c r="J1766" s="12">
        <v>1.621888186E9</v>
      </c>
      <c r="K1766" s="13"/>
      <c r="L1766" s="13">
        <v>-1.4829</v>
      </c>
      <c r="M1766" s="8" t="s">
        <v>5654</v>
      </c>
      <c r="N1766" s="8" t="s">
        <v>5502</v>
      </c>
      <c r="O1766" s="13">
        <v>-59.5442</v>
      </c>
      <c r="P1766" s="13">
        <v>-867.866</v>
      </c>
      <c r="Q1766" s="13">
        <v>26.9243</v>
      </c>
      <c r="R1766" s="13">
        <v>0.0689</v>
      </c>
      <c r="S1766" s="13">
        <v>5.5031</v>
      </c>
      <c r="T1766" s="14">
        <f>IFERROR(__xludf.DUMMYFUNCTION("IFERROR(GOOGLEFINANCE(B1766,""price""),"""")"),3.28)</f>
        <v>3.28</v>
      </c>
    </row>
    <row r="1767">
      <c r="A1767" s="15">
        <v>46112.66733697576</v>
      </c>
      <c r="B1767" s="16" t="s">
        <v>2704</v>
      </c>
      <c r="C1767" s="16" t="s">
        <v>2705</v>
      </c>
      <c r="D1767" s="17">
        <v>46117.0</v>
      </c>
      <c r="E1767" s="18">
        <v>23.74</v>
      </c>
      <c r="F1767" s="27">
        <v>0.9385</v>
      </c>
      <c r="G1767" s="20">
        <v>2.3799772E7</v>
      </c>
      <c r="H1767" s="16" t="s">
        <v>88</v>
      </c>
      <c r="I1767" s="19">
        <v>15.5512</v>
      </c>
      <c r="J1767" s="20">
        <v>6.637367323E9</v>
      </c>
      <c r="K1767" s="21"/>
      <c r="L1767" s="21">
        <v>-0.5438</v>
      </c>
      <c r="M1767" s="16" t="s">
        <v>2707</v>
      </c>
      <c r="N1767" s="16" t="s">
        <v>5471</v>
      </c>
      <c r="O1767" s="21">
        <v>-11.4029</v>
      </c>
      <c r="P1767" s="21">
        <v>-26.4624</v>
      </c>
      <c r="Q1767" s="21">
        <v>33.135</v>
      </c>
      <c r="R1767" s="21">
        <v>1.6778</v>
      </c>
      <c r="S1767" s="21">
        <v>4.8227</v>
      </c>
      <c r="T1767" s="22">
        <f>IFERROR(__xludf.DUMMYFUNCTION("IFERROR(GOOGLEFINANCE(B1767,""price""),"""")"),26.24)</f>
        <v>26.24</v>
      </c>
    </row>
    <row r="1768">
      <c r="A1768" s="7">
        <v>46112.66733697576</v>
      </c>
      <c r="B1768" s="8" t="s">
        <v>5554</v>
      </c>
      <c r="C1768" s="8" t="s">
        <v>5555</v>
      </c>
      <c r="D1768" s="9">
        <v>46117.0</v>
      </c>
      <c r="E1768" s="10">
        <v>82.87</v>
      </c>
      <c r="F1768" s="26">
        <v>0.9303</v>
      </c>
      <c r="G1768" s="12">
        <v>1.5014526E7</v>
      </c>
      <c r="H1768" s="8" t="s">
        <v>873</v>
      </c>
      <c r="I1768" s="11">
        <v>12.2596</v>
      </c>
      <c r="J1768" s="12">
        <v>3.1658609398E10</v>
      </c>
      <c r="K1768" s="13"/>
      <c r="L1768" s="13">
        <v>-1.3255</v>
      </c>
      <c r="M1768" s="8" t="s">
        <v>5556</v>
      </c>
      <c r="N1768" s="8" t="s">
        <v>5557</v>
      </c>
      <c r="O1768" s="13">
        <v>-29.4701</v>
      </c>
      <c r="P1768" s="13">
        <v>-405.6981</v>
      </c>
      <c r="Q1768" s="13">
        <v>1505.206</v>
      </c>
      <c r="R1768" s="13">
        <v>1.2162</v>
      </c>
      <c r="S1768" s="13">
        <v>16.3526</v>
      </c>
      <c r="T1768" s="14">
        <f>IFERROR(__xludf.DUMMYFUNCTION("IFERROR(GOOGLEFINANCE(B1768,""price""),"""")"),94.9)</f>
        <v>94.9</v>
      </c>
    </row>
    <row r="1769">
      <c r="A1769" s="15">
        <v>46112.66733697576</v>
      </c>
      <c r="B1769" s="16" t="s">
        <v>5798</v>
      </c>
      <c r="C1769" s="16" t="s">
        <v>5799</v>
      </c>
      <c r="D1769" s="17">
        <v>46117.0</v>
      </c>
      <c r="E1769" s="18">
        <v>6.45</v>
      </c>
      <c r="F1769" s="27">
        <v>0.9141</v>
      </c>
      <c r="G1769" s="20">
        <v>1.156619E7</v>
      </c>
      <c r="H1769" s="16" t="s">
        <v>186</v>
      </c>
      <c r="I1769" s="19">
        <v>7.3211</v>
      </c>
      <c r="J1769" s="20">
        <v>1.271674339E9</v>
      </c>
      <c r="K1769" s="21"/>
      <c r="L1769" s="21">
        <v>-9.2186</v>
      </c>
      <c r="M1769" s="16" t="s">
        <v>5800</v>
      </c>
      <c r="N1769" s="16" t="s">
        <v>5801</v>
      </c>
      <c r="O1769" s="21">
        <v>-60.6762</v>
      </c>
      <c r="P1769" s="21">
        <v>-116.7314</v>
      </c>
      <c r="Q1769" s="21">
        <v>666.0384</v>
      </c>
      <c r="R1769" s="21">
        <v>0.0</v>
      </c>
      <c r="S1769" s="21">
        <v>2.4436</v>
      </c>
      <c r="T1769" s="22">
        <f>IFERROR(__xludf.DUMMYFUNCTION("IFERROR(GOOGLEFINANCE(B1769,""price""),"""")"),6.52)</f>
        <v>6.52</v>
      </c>
    </row>
    <row r="1770">
      <c r="A1770" s="7">
        <v>46112.66733697576</v>
      </c>
      <c r="B1770" s="8" t="s">
        <v>5591</v>
      </c>
      <c r="C1770" s="8" t="s">
        <v>5592</v>
      </c>
      <c r="D1770" s="9">
        <v>46117.0</v>
      </c>
      <c r="E1770" s="10">
        <v>8.77</v>
      </c>
      <c r="F1770" s="26">
        <v>0.9102</v>
      </c>
      <c r="G1770" s="12">
        <v>2.4817924E7</v>
      </c>
      <c r="H1770" s="8" t="s">
        <v>308</v>
      </c>
      <c r="I1770" s="11">
        <v>12.0051</v>
      </c>
      <c r="J1770" s="12">
        <v>2.024052531E9</v>
      </c>
      <c r="K1770" s="13"/>
      <c r="L1770" s="13">
        <v>-0.5698</v>
      </c>
      <c r="M1770" s="8" t="s">
        <v>5593</v>
      </c>
      <c r="N1770" s="8" t="s">
        <v>5414</v>
      </c>
      <c r="O1770" s="13">
        <v>-29.5457</v>
      </c>
      <c r="P1770" s="13">
        <v>-195.3894</v>
      </c>
      <c r="Q1770" s="13">
        <v>-44.8801</v>
      </c>
      <c r="R1770" s="13">
        <v>0.0146</v>
      </c>
      <c r="S1770" s="13">
        <v>4.9867</v>
      </c>
      <c r="T1770" s="14">
        <f>IFERROR(__xludf.DUMMYFUNCTION("IFERROR(GOOGLEFINANCE(B1770,""price""),"""")"),9.54)</f>
        <v>9.54</v>
      </c>
    </row>
    <row r="1771">
      <c r="A1771" s="15">
        <v>46112.66733697576</v>
      </c>
      <c r="B1771" s="16" t="s">
        <v>5561</v>
      </c>
      <c r="C1771" s="16" t="s">
        <v>5562</v>
      </c>
      <c r="D1771" s="17">
        <v>46117.0</v>
      </c>
      <c r="E1771" s="18">
        <v>10.84</v>
      </c>
      <c r="F1771" s="27">
        <v>0.9072</v>
      </c>
      <c r="G1771" s="20">
        <v>1.9297195E7</v>
      </c>
      <c r="H1771" s="16" t="s">
        <v>102</v>
      </c>
      <c r="I1771" s="19">
        <v>5.7561</v>
      </c>
      <c r="J1771" s="20">
        <v>3.664097133E9</v>
      </c>
      <c r="K1771" s="21"/>
      <c r="L1771" s="21">
        <v>-2.2522</v>
      </c>
      <c r="M1771" s="16" t="s">
        <v>5563</v>
      </c>
      <c r="N1771" s="16" t="s">
        <v>5536</v>
      </c>
      <c r="O1771" s="21">
        <v>-39.8083</v>
      </c>
      <c r="P1771" s="21">
        <v>-2190.5747</v>
      </c>
      <c r="Q1771" s="21">
        <v>-15.025</v>
      </c>
      <c r="R1771" s="21">
        <v>0.0</v>
      </c>
      <c r="S1771" s="21">
        <v>4.2984</v>
      </c>
      <c r="T1771" s="22">
        <f>IFERROR(__xludf.DUMMYFUNCTION("IFERROR(GOOGLEFINANCE(B1771,""price""),"""")"),9.21)</f>
        <v>9.21</v>
      </c>
    </row>
    <row r="1772">
      <c r="A1772" s="7">
        <v>46113.66720777368</v>
      </c>
      <c r="B1772" s="8" t="s">
        <v>5640</v>
      </c>
      <c r="C1772" s="8" t="s">
        <v>5641</v>
      </c>
      <c r="D1772" s="9">
        <v>46117.0</v>
      </c>
      <c r="E1772" s="10">
        <v>47.14</v>
      </c>
      <c r="F1772" s="26">
        <v>1.5781</v>
      </c>
      <c r="G1772" s="12">
        <v>2.1050533E7</v>
      </c>
      <c r="H1772" s="8" t="s">
        <v>308</v>
      </c>
      <c r="I1772" s="11">
        <v>-17.2692</v>
      </c>
      <c r="J1772" s="12">
        <v>2.619739504E9</v>
      </c>
      <c r="K1772" s="13"/>
      <c r="L1772" s="13">
        <v>-0.4892</v>
      </c>
      <c r="M1772" s="8" t="s">
        <v>5642</v>
      </c>
      <c r="N1772" s="8" t="s">
        <v>5433</v>
      </c>
      <c r="O1772" s="13">
        <v>-9.1233</v>
      </c>
      <c r="P1772" s="13">
        <v>-24.8806</v>
      </c>
      <c r="Q1772" s="13">
        <v>-11.106</v>
      </c>
      <c r="R1772" s="13">
        <v>0.2562</v>
      </c>
      <c r="S1772" s="13">
        <v>2.7231</v>
      </c>
      <c r="T1772" s="14">
        <f>IFERROR(__xludf.DUMMYFUNCTION("IFERROR(GOOGLEFINANCE(B1772,""price""),"""")"),64.18)</f>
        <v>64.18</v>
      </c>
    </row>
    <row r="1773">
      <c r="A1773" s="15">
        <v>46113.66720777368</v>
      </c>
      <c r="B1773" s="16" t="s">
        <v>5617</v>
      </c>
      <c r="C1773" s="16" t="s">
        <v>5618</v>
      </c>
      <c r="D1773" s="17">
        <v>46117.0</v>
      </c>
      <c r="E1773" s="18">
        <v>2.1</v>
      </c>
      <c r="F1773" s="27">
        <v>1.4766</v>
      </c>
      <c r="G1773" s="20">
        <v>1.1604245E7</v>
      </c>
      <c r="H1773" s="16" t="s">
        <v>308</v>
      </c>
      <c r="I1773" s="19">
        <v>-9.4828</v>
      </c>
      <c r="J1773" s="20">
        <v>1.39481685E8</v>
      </c>
      <c r="K1773" s="21"/>
      <c r="L1773" s="21">
        <v>-1.2872</v>
      </c>
      <c r="M1773" s="16" t="s">
        <v>5619</v>
      </c>
      <c r="N1773" s="16" t="s">
        <v>5437</v>
      </c>
      <c r="O1773" s="21">
        <v>-142.809</v>
      </c>
      <c r="P1773" s="21">
        <v>-488.9575</v>
      </c>
      <c r="Q1773" s="21">
        <v>-30.1811</v>
      </c>
      <c r="R1773" s="21">
        <v>0.4161</v>
      </c>
      <c r="S1773" s="21">
        <v>1.3755</v>
      </c>
      <c r="T1773" s="22">
        <f>IFERROR(__xludf.DUMMYFUNCTION("IFERROR(GOOGLEFINANCE(B1773,""price""),"""")"),4.25)</f>
        <v>4.25</v>
      </c>
    </row>
    <row r="1774">
      <c r="A1774" s="7">
        <v>46113.66720777368</v>
      </c>
      <c r="B1774" s="8" t="s">
        <v>6043</v>
      </c>
      <c r="C1774" s="8" t="s">
        <v>6044</v>
      </c>
      <c r="D1774" s="9">
        <v>46117.0</v>
      </c>
      <c r="E1774" s="10">
        <v>5.18</v>
      </c>
      <c r="F1774" s="26">
        <v>1.375</v>
      </c>
      <c r="G1774" s="12">
        <v>1.0878118E7</v>
      </c>
      <c r="H1774" s="8" t="s">
        <v>93</v>
      </c>
      <c r="I1774" s="11">
        <v>12.3644</v>
      </c>
      <c r="J1774" s="12">
        <v>1.618028426E9</v>
      </c>
      <c r="K1774" s="13"/>
      <c r="L1774" s="13">
        <v>-2.5108</v>
      </c>
      <c r="M1774" s="8" t="s">
        <v>6045</v>
      </c>
      <c r="N1774" s="8" t="s">
        <v>5590</v>
      </c>
      <c r="O1774" s="13"/>
      <c r="P1774" s="13">
        <v>1.0583</v>
      </c>
      <c r="Q1774" s="13">
        <v>-6.0228</v>
      </c>
      <c r="R1774" s="13"/>
      <c r="S1774" s="13">
        <v>0.5531</v>
      </c>
      <c r="T1774" s="14">
        <f>IFERROR(__xludf.DUMMYFUNCTION("IFERROR(GOOGLEFINANCE(B1774,""price""),"""")"),6.32)</f>
        <v>6.32</v>
      </c>
    </row>
    <row r="1775">
      <c r="A1775" s="15">
        <v>46113.66720777368</v>
      </c>
      <c r="B1775" s="16" t="s">
        <v>5623</v>
      </c>
      <c r="C1775" s="16" t="s">
        <v>5624</v>
      </c>
      <c r="D1775" s="17">
        <v>46117.0</v>
      </c>
      <c r="E1775" s="18">
        <v>4.18</v>
      </c>
      <c r="F1775" s="27">
        <v>1.3047</v>
      </c>
      <c r="G1775" s="20">
        <v>1.822455E7</v>
      </c>
      <c r="H1775" s="16" t="s">
        <v>88</v>
      </c>
      <c r="I1775" s="19">
        <v>1.4563</v>
      </c>
      <c r="J1775" s="20">
        <v>6.8592546E9</v>
      </c>
      <c r="K1775" s="21"/>
      <c r="L1775" s="21">
        <v>-0.4446</v>
      </c>
      <c r="M1775" s="16" t="s">
        <v>5625</v>
      </c>
      <c r="N1775" s="16" t="s">
        <v>5429</v>
      </c>
      <c r="O1775" s="21">
        <v>-40.6476</v>
      </c>
      <c r="P1775" s="21">
        <v>-30033.3333</v>
      </c>
      <c r="Q1775" s="21"/>
      <c r="R1775" s="21">
        <v>0.0393</v>
      </c>
      <c r="S1775" s="21">
        <v>11.8649</v>
      </c>
      <c r="T1775" s="22">
        <f>IFERROR(__xludf.DUMMYFUNCTION("IFERROR(GOOGLEFINANCE(B1775,""price""),"""")"),4.15)</f>
        <v>4.15</v>
      </c>
    </row>
    <row r="1776">
      <c r="A1776" s="7">
        <v>46113.66720777368</v>
      </c>
      <c r="B1776" s="8" t="s">
        <v>5607</v>
      </c>
      <c r="C1776" s="8" t="s">
        <v>5608</v>
      </c>
      <c r="D1776" s="9">
        <v>46117.0</v>
      </c>
      <c r="E1776" s="10">
        <v>20.24</v>
      </c>
      <c r="F1776" s="26">
        <v>1.1592</v>
      </c>
      <c r="G1776" s="12">
        <v>1.7349879E7</v>
      </c>
      <c r="H1776" s="8" t="s">
        <v>308</v>
      </c>
      <c r="I1776" s="11">
        <v>9.0517</v>
      </c>
      <c r="J1776" s="12">
        <v>3.225700817E9</v>
      </c>
      <c r="K1776" s="13"/>
      <c r="L1776" s="13">
        <v>-0.7255</v>
      </c>
      <c r="M1776" s="8" t="s">
        <v>5609</v>
      </c>
      <c r="N1776" s="8" t="s">
        <v>5520</v>
      </c>
      <c r="O1776" s="13"/>
      <c r="P1776" s="13">
        <v>-36.3941</v>
      </c>
      <c r="Q1776" s="13">
        <v>-7.7134</v>
      </c>
      <c r="R1776" s="13"/>
      <c r="S1776" s="13">
        <v>4.9571</v>
      </c>
      <c r="T1776" s="14">
        <f>IFERROR(__xludf.DUMMYFUNCTION("IFERROR(GOOGLEFINANCE(B1776,""price""),"""")"),23.57)</f>
        <v>23.57</v>
      </c>
    </row>
    <row r="1777">
      <c r="A1777" s="15">
        <v>46113.66720777368</v>
      </c>
      <c r="B1777" s="16" t="s">
        <v>5604</v>
      </c>
      <c r="C1777" s="16" t="s">
        <v>5605</v>
      </c>
      <c r="D1777" s="17">
        <v>46117.0</v>
      </c>
      <c r="E1777" s="18">
        <v>86.35</v>
      </c>
      <c r="F1777" s="27">
        <v>1.0782</v>
      </c>
      <c r="G1777" s="20">
        <v>1.2674717E7</v>
      </c>
      <c r="H1777" s="16" t="s">
        <v>308</v>
      </c>
      <c r="I1777" s="19">
        <v>2.0806</v>
      </c>
      <c r="J1777" s="20">
        <v>6.49341638E9</v>
      </c>
      <c r="K1777" s="21"/>
      <c r="L1777" s="21">
        <v>-0.6555</v>
      </c>
      <c r="M1777" s="16" t="s">
        <v>5606</v>
      </c>
      <c r="N1777" s="16" t="s">
        <v>5414</v>
      </c>
      <c r="O1777" s="21">
        <v>-7.9391</v>
      </c>
      <c r="P1777" s="21">
        <v>-11.9814</v>
      </c>
      <c r="Q1777" s="21">
        <v>82.7502</v>
      </c>
      <c r="R1777" s="21">
        <v>0.338</v>
      </c>
      <c r="S1777" s="21">
        <v>2.6264</v>
      </c>
      <c r="T1777" s="22">
        <f>IFERROR(__xludf.DUMMYFUNCTION("IFERROR(GOOGLEFINANCE(B1777,""price""),"""")"),150.6)</f>
        <v>150.6</v>
      </c>
    </row>
    <row r="1778">
      <c r="A1778" s="7">
        <v>46113.66720777368</v>
      </c>
      <c r="B1778" s="8" t="s">
        <v>6099</v>
      </c>
      <c r="C1778" s="8" t="s">
        <v>6100</v>
      </c>
      <c r="D1778" s="9">
        <v>46117.0</v>
      </c>
      <c r="E1778" s="10">
        <v>3.01</v>
      </c>
      <c r="F1778" s="26">
        <v>1.0664</v>
      </c>
      <c r="G1778" s="12">
        <v>1.077361E7</v>
      </c>
      <c r="H1778" s="8" t="s">
        <v>245</v>
      </c>
      <c r="I1778" s="11">
        <v>-11.7302</v>
      </c>
      <c r="J1778" s="12">
        <v>4.4782178E8</v>
      </c>
      <c r="K1778" s="13"/>
      <c r="L1778" s="13">
        <v>-1.0118</v>
      </c>
      <c r="M1778" s="8" t="s">
        <v>6101</v>
      </c>
      <c r="N1778" s="8" t="s">
        <v>5410</v>
      </c>
      <c r="O1778" s="13"/>
      <c r="P1778" s="13">
        <v>-10.5298</v>
      </c>
      <c r="Q1778" s="13">
        <v>-4.5309</v>
      </c>
      <c r="R1778" s="13"/>
      <c r="S1778" s="13">
        <v>1.0213</v>
      </c>
      <c r="T1778" s="14">
        <f>IFERROR(__xludf.DUMMYFUNCTION("IFERROR(GOOGLEFINANCE(B1778,""price""),"""")"),2.76)</f>
        <v>2.76</v>
      </c>
    </row>
    <row r="1779">
      <c r="A1779" s="15">
        <v>46113.66720777368</v>
      </c>
      <c r="B1779" s="16" t="s">
        <v>5533</v>
      </c>
      <c r="C1779" s="16" t="s">
        <v>5534</v>
      </c>
      <c r="D1779" s="17">
        <v>46117.0</v>
      </c>
      <c r="E1779" s="18">
        <v>4.48</v>
      </c>
      <c r="F1779" s="27">
        <v>1.0469</v>
      </c>
      <c r="G1779" s="20">
        <v>1.6709746E7</v>
      </c>
      <c r="H1779" s="16" t="s">
        <v>102</v>
      </c>
      <c r="I1779" s="19">
        <v>1.934</v>
      </c>
      <c r="J1779" s="20">
        <v>1.21216704E9</v>
      </c>
      <c r="K1779" s="21"/>
      <c r="L1779" s="21">
        <v>-3.7839</v>
      </c>
      <c r="M1779" s="16" t="s">
        <v>5535</v>
      </c>
      <c r="N1779" s="16" t="s">
        <v>5536</v>
      </c>
      <c r="O1779" s="21">
        <v>-55.984</v>
      </c>
      <c r="P1779" s="21">
        <v>-31.1477</v>
      </c>
      <c r="Q1779" s="21"/>
      <c r="R1779" s="21">
        <v>4.5088</v>
      </c>
      <c r="S1779" s="21">
        <v>1.1293</v>
      </c>
      <c r="T1779" s="22">
        <f>IFERROR(__xludf.DUMMYFUNCTION("IFERROR(GOOGLEFINANCE(B1779,""price""),"""")"),4.69)</f>
        <v>4.69</v>
      </c>
    </row>
    <row r="1780">
      <c r="A1780" s="7">
        <v>46113.66720777368</v>
      </c>
      <c r="B1780" s="8" t="s">
        <v>5503</v>
      </c>
      <c r="C1780" s="8" t="s">
        <v>5504</v>
      </c>
      <c r="D1780" s="9">
        <v>46117.0</v>
      </c>
      <c r="E1780" s="10">
        <v>8.31</v>
      </c>
      <c r="F1780" s="26">
        <v>1.0449</v>
      </c>
      <c r="G1780" s="12">
        <v>1.3348017E7</v>
      </c>
      <c r="H1780" s="8" t="s">
        <v>335</v>
      </c>
      <c r="I1780" s="11">
        <v>4.6599</v>
      </c>
      <c r="J1780" s="12">
        <v>1.014441671E9</v>
      </c>
      <c r="K1780" s="13"/>
      <c r="L1780" s="13">
        <v>-1.4123</v>
      </c>
      <c r="M1780" s="8" t="s">
        <v>5505</v>
      </c>
      <c r="N1780" s="8" t="s">
        <v>5445</v>
      </c>
      <c r="O1780" s="13">
        <v>-138.754</v>
      </c>
      <c r="P1780" s="13"/>
      <c r="Q1780" s="13"/>
      <c r="R1780" s="13">
        <v>0.0165</v>
      </c>
      <c r="S1780" s="13">
        <v>0.7469</v>
      </c>
      <c r="T1780" s="14">
        <f>IFERROR(__xludf.DUMMYFUNCTION("IFERROR(GOOGLEFINANCE(B1780,""price""),"""")"),8.87)</f>
        <v>8.87</v>
      </c>
    </row>
    <row r="1781">
      <c r="A1781" s="15">
        <v>46113.66720777368</v>
      </c>
      <c r="B1781" s="16" t="s">
        <v>5514</v>
      </c>
      <c r="C1781" s="16" t="s">
        <v>5515</v>
      </c>
      <c r="D1781" s="17">
        <v>46117.0</v>
      </c>
      <c r="E1781" s="18">
        <v>7.14</v>
      </c>
      <c r="F1781" s="27">
        <v>1.0391</v>
      </c>
      <c r="G1781" s="20">
        <v>1.9337438E7</v>
      </c>
      <c r="H1781" s="16" t="s">
        <v>117</v>
      </c>
      <c r="I1781" s="19">
        <v>-6.91</v>
      </c>
      <c r="J1781" s="20">
        <v>7.3407054E9</v>
      </c>
      <c r="K1781" s="21"/>
      <c r="L1781" s="21">
        <v>-0.3898</v>
      </c>
      <c r="M1781" s="16" t="s">
        <v>5516</v>
      </c>
      <c r="N1781" s="16" t="s">
        <v>5491</v>
      </c>
      <c r="O1781" s="21"/>
      <c r="P1781" s="21">
        <v>-225.9966</v>
      </c>
      <c r="Q1781" s="21">
        <v>668.3147</v>
      </c>
      <c r="R1781" s="21"/>
      <c r="S1781" s="21">
        <v>5.0989</v>
      </c>
      <c r="T1781" s="22">
        <f>IFERROR(__xludf.DUMMYFUNCTION("IFERROR(GOOGLEFINANCE(B1781,""price""),"""")"),7.28)</f>
        <v>7.28</v>
      </c>
    </row>
    <row r="1782">
      <c r="A1782" s="7">
        <v>46113.66720777368</v>
      </c>
      <c r="B1782" s="8" t="s">
        <v>6187</v>
      </c>
      <c r="C1782" s="8" t="s">
        <v>6188</v>
      </c>
      <c r="D1782" s="9">
        <v>46117.0</v>
      </c>
      <c r="E1782" s="10">
        <v>29.76</v>
      </c>
      <c r="F1782" s="26">
        <v>1.0007</v>
      </c>
      <c r="G1782" s="12">
        <v>9750985.0</v>
      </c>
      <c r="H1782" s="8" t="s">
        <v>308</v>
      </c>
      <c r="I1782" s="11">
        <v>4.5311</v>
      </c>
      <c r="J1782" s="12">
        <v>4.760183424E9</v>
      </c>
      <c r="K1782" s="13"/>
      <c r="L1782" s="13">
        <v>-2.2672</v>
      </c>
      <c r="M1782" s="8" t="s">
        <v>6189</v>
      </c>
      <c r="N1782" s="8" t="s">
        <v>5520</v>
      </c>
      <c r="O1782" s="13">
        <v>-50.4849</v>
      </c>
      <c r="P1782" s="13">
        <v>-160.2215</v>
      </c>
      <c r="Q1782" s="13">
        <v>162.954</v>
      </c>
      <c r="R1782" s="13">
        <v>0.2593</v>
      </c>
      <c r="S1782" s="13">
        <v>4.5096</v>
      </c>
      <c r="T1782" s="14">
        <f>IFERROR(__xludf.DUMMYFUNCTION("IFERROR(GOOGLEFINANCE(B1782,""price""),"""")"),37.54)</f>
        <v>37.54</v>
      </c>
    </row>
    <row r="1783">
      <c r="A1783" s="15">
        <v>46113.66720777368</v>
      </c>
      <c r="B1783" s="16" t="s">
        <v>5652</v>
      </c>
      <c r="C1783" s="16" t="s">
        <v>5653</v>
      </c>
      <c r="D1783" s="17">
        <v>46117.0</v>
      </c>
      <c r="E1783" s="18">
        <v>3.06</v>
      </c>
      <c r="F1783" s="27">
        <v>1.0</v>
      </c>
      <c r="G1783" s="20">
        <v>1.0804126E7</v>
      </c>
      <c r="H1783" s="16" t="s">
        <v>117</v>
      </c>
      <c r="I1783" s="19">
        <v>-0.3257</v>
      </c>
      <c r="J1783" s="20">
        <v>1.59717006E9</v>
      </c>
      <c r="K1783" s="21"/>
      <c r="L1783" s="21">
        <v>-1.4829</v>
      </c>
      <c r="M1783" s="16" t="s">
        <v>5654</v>
      </c>
      <c r="N1783" s="16" t="s">
        <v>5502</v>
      </c>
      <c r="O1783" s="21">
        <v>-59.5442</v>
      </c>
      <c r="P1783" s="21">
        <v>-867.866</v>
      </c>
      <c r="Q1783" s="21">
        <v>26.9243</v>
      </c>
      <c r="R1783" s="21">
        <v>0.0689</v>
      </c>
      <c r="S1783" s="21">
        <v>5.5031</v>
      </c>
      <c r="T1783" s="22">
        <f>IFERROR(__xludf.DUMMYFUNCTION("IFERROR(GOOGLEFINANCE(B1783,""price""),"""")"),3.28)</f>
        <v>3.28</v>
      </c>
    </row>
    <row r="1784">
      <c r="A1784" s="7">
        <v>46113.66720777368</v>
      </c>
      <c r="B1784" s="8" t="s">
        <v>5499</v>
      </c>
      <c r="C1784" s="8" t="s">
        <v>5500</v>
      </c>
      <c r="D1784" s="9">
        <v>46117.0</v>
      </c>
      <c r="E1784" s="10">
        <v>3.45</v>
      </c>
      <c r="F1784" s="26">
        <v>0.9531</v>
      </c>
      <c r="G1784" s="12">
        <v>9216538.0</v>
      </c>
      <c r="H1784" s="8" t="s">
        <v>117</v>
      </c>
      <c r="I1784" s="11">
        <v>-1.7094</v>
      </c>
      <c r="J1784" s="12">
        <v>1.4212689E9</v>
      </c>
      <c r="K1784" s="13"/>
      <c r="L1784" s="13">
        <v>-1.1209</v>
      </c>
      <c r="M1784" s="8" t="s">
        <v>5501</v>
      </c>
      <c r="N1784" s="8" t="s">
        <v>5502</v>
      </c>
      <c r="O1784" s="13">
        <v>-55.4977</v>
      </c>
      <c r="P1784" s="13">
        <v>-151.1805</v>
      </c>
      <c r="Q1784" s="13">
        <v>60.5668</v>
      </c>
      <c r="R1784" s="13">
        <v>0.0708</v>
      </c>
      <c r="S1784" s="13">
        <v>3.1996</v>
      </c>
      <c r="T1784" s="14">
        <f>IFERROR(__xludf.DUMMYFUNCTION("IFERROR(GOOGLEFINANCE(B1784,""price""),"""")"),3.7)</f>
        <v>3.7</v>
      </c>
    </row>
    <row r="1785">
      <c r="A1785" s="15">
        <v>46113.66720777368</v>
      </c>
      <c r="B1785" s="16" t="s">
        <v>5524</v>
      </c>
      <c r="C1785" s="16" t="s">
        <v>5525</v>
      </c>
      <c r="D1785" s="17">
        <v>46117.0</v>
      </c>
      <c r="E1785" s="18">
        <v>2.51</v>
      </c>
      <c r="F1785" s="27">
        <v>0.9375</v>
      </c>
      <c r="G1785" s="20">
        <v>1.1120048E7</v>
      </c>
      <c r="H1785" s="16" t="s">
        <v>308</v>
      </c>
      <c r="I1785" s="19">
        <v>-4.1985</v>
      </c>
      <c r="J1785" s="20">
        <v>5.39960638E8</v>
      </c>
      <c r="K1785" s="21"/>
      <c r="L1785" s="21"/>
      <c r="M1785" s="16" t="s">
        <v>5526</v>
      </c>
      <c r="N1785" s="16" t="s">
        <v>5414</v>
      </c>
      <c r="O1785" s="21"/>
      <c r="P1785" s="21"/>
      <c r="Q1785" s="21"/>
      <c r="R1785" s="21"/>
      <c r="S1785" s="21"/>
      <c r="T1785" s="22">
        <f>IFERROR(__xludf.DUMMYFUNCTION("IFERROR(GOOGLEFINANCE(B1785,""price""),"""")"),2.1)</f>
        <v>2.1</v>
      </c>
    </row>
    <row r="1786">
      <c r="A1786" s="7">
        <v>46113.66720777368</v>
      </c>
      <c r="B1786" s="8" t="s">
        <v>5580</v>
      </c>
      <c r="C1786" s="8" t="s">
        <v>5581</v>
      </c>
      <c r="D1786" s="9">
        <v>46117.0</v>
      </c>
      <c r="E1786" s="10">
        <v>3.13</v>
      </c>
      <c r="F1786" s="26">
        <v>0.9297</v>
      </c>
      <c r="G1786" s="12">
        <v>5.7899326E7</v>
      </c>
      <c r="H1786" s="8" t="s">
        <v>88</v>
      </c>
      <c r="I1786" s="11">
        <v>22.2656</v>
      </c>
      <c r="J1786" s="12">
        <v>1.248330325E9</v>
      </c>
      <c r="K1786" s="13"/>
      <c r="L1786" s="13"/>
      <c r="M1786" s="8" t="s">
        <v>5582</v>
      </c>
      <c r="N1786" s="8" t="s">
        <v>5429</v>
      </c>
      <c r="O1786" s="13"/>
      <c r="P1786" s="13"/>
      <c r="Q1786" s="13"/>
      <c r="R1786" s="13"/>
      <c r="S1786" s="13"/>
      <c r="T1786" s="14">
        <f>IFERROR(__xludf.DUMMYFUNCTION("IFERROR(GOOGLEFINANCE(B1786,""price""),"""")"),2.38)</f>
        <v>2.38</v>
      </c>
    </row>
    <row r="1787">
      <c r="A1787" s="15">
        <v>46113.66720777368</v>
      </c>
      <c r="B1787" s="16" t="s">
        <v>5517</v>
      </c>
      <c r="C1787" s="16" t="s">
        <v>5518</v>
      </c>
      <c r="D1787" s="17">
        <v>46117.0</v>
      </c>
      <c r="E1787" s="18">
        <v>9.08</v>
      </c>
      <c r="F1787" s="27">
        <v>0.9102</v>
      </c>
      <c r="G1787" s="20">
        <v>1.8312164E7</v>
      </c>
      <c r="H1787" s="16" t="s">
        <v>308</v>
      </c>
      <c r="I1787" s="19">
        <v>6.8235</v>
      </c>
      <c r="J1787" s="20">
        <v>1.74314208E9</v>
      </c>
      <c r="K1787" s="21"/>
      <c r="L1787" s="21">
        <v>-2.3761</v>
      </c>
      <c r="M1787" s="16" t="s">
        <v>5519</v>
      </c>
      <c r="N1787" s="16" t="s">
        <v>5520</v>
      </c>
      <c r="O1787" s="21">
        <v>-52.0031</v>
      </c>
      <c r="P1787" s="21">
        <v>-49.6608</v>
      </c>
      <c r="Q1787" s="21">
        <v>10.2861</v>
      </c>
      <c r="R1787" s="21">
        <v>0.1895</v>
      </c>
      <c r="S1787" s="21">
        <v>1.6246</v>
      </c>
      <c r="T1787" s="22">
        <f>IFERROR(__xludf.DUMMYFUNCTION("IFERROR(GOOGLEFINANCE(B1787,""price""),"""")"),9.29)</f>
        <v>9.29</v>
      </c>
    </row>
    <row r="1788">
      <c r="A1788" s="7">
        <v>46113.66720777368</v>
      </c>
      <c r="B1788" s="8" t="s">
        <v>5527</v>
      </c>
      <c r="C1788" s="8" t="s">
        <v>5528</v>
      </c>
      <c r="D1788" s="9">
        <v>46117.0</v>
      </c>
      <c r="E1788" s="10">
        <v>12.15</v>
      </c>
      <c r="F1788" s="26">
        <v>0.9043</v>
      </c>
      <c r="G1788" s="12">
        <v>1.3566855E7</v>
      </c>
      <c r="H1788" s="8" t="s">
        <v>88</v>
      </c>
      <c r="I1788" s="11">
        <v>-7.1811</v>
      </c>
      <c r="J1788" s="12">
        <v>1.47183885E9</v>
      </c>
      <c r="K1788" s="13"/>
      <c r="L1788" s="13">
        <v>-0.7413</v>
      </c>
      <c r="M1788" s="8" t="s">
        <v>5529</v>
      </c>
      <c r="N1788" s="8" t="s">
        <v>5429</v>
      </c>
      <c r="O1788" s="13">
        <v>-48.7073</v>
      </c>
      <c r="P1788" s="13">
        <v>-163.5071</v>
      </c>
      <c r="Q1788" s="13">
        <v>402.7429</v>
      </c>
      <c r="R1788" s="13">
        <v>0.075</v>
      </c>
      <c r="S1788" s="13">
        <v>15.2861</v>
      </c>
      <c r="T1788" s="14">
        <f>IFERROR(__xludf.DUMMYFUNCTION("IFERROR(GOOGLEFINANCE(B1788,""price""),"""")"),12.37)</f>
        <v>12.37</v>
      </c>
    </row>
    <row r="1789">
      <c r="A1789" s="15">
        <v>46113.66720777368</v>
      </c>
      <c r="B1789" s="16" t="s">
        <v>6087</v>
      </c>
      <c r="C1789" s="16" t="s">
        <v>6088</v>
      </c>
      <c r="D1789" s="17">
        <v>46117.0</v>
      </c>
      <c r="E1789" s="18">
        <v>5.6</v>
      </c>
      <c r="F1789" s="27">
        <v>0.8984</v>
      </c>
      <c r="G1789" s="20">
        <v>1.0058765E7</v>
      </c>
      <c r="H1789" s="16" t="s">
        <v>102</v>
      </c>
      <c r="I1789" s="19">
        <v>-5.7239</v>
      </c>
      <c r="J1789" s="20">
        <v>5.0803368E8</v>
      </c>
      <c r="K1789" s="21"/>
      <c r="L1789" s="21">
        <v>-0.6318</v>
      </c>
      <c r="M1789" s="16" t="s">
        <v>6089</v>
      </c>
      <c r="N1789" s="16" t="s">
        <v>5536</v>
      </c>
      <c r="O1789" s="21">
        <v>-104.168</v>
      </c>
      <c r="P1789" s="21">
        <v>-5151.455</v>
      </c>
      <c r="Q1789" s="21">
        <v>535.8653</v>
      </c>
      <c r="R1789" s="21">
        <v>0.1096</v>
      </c>
      <c r="S1789" s="21">
        <v>2.2985</v>
      </c>
      <c r="T1789" s="22">
        <f>IFERROR(__xludf.DUMMYFUNCTION("IFERROR(GOOGLEFINANCE(B1789,""price""),"""")"),7.04)</f>
        <v>7.04</v>
      </c>
    </row>
    <row r="1790">
      <c r="A1790" s="7">
        <v>46113.66720777368</v>
      </c>
      <c r="B1790" s="8" t="s">
        <v>5567</v>
      </c>
      <c r="C1790" s="8" t="s">
        <v>5568</v>
      </c>
      <c r="D1790" s="9">
        <v>46117.0</v>
      </c>
      <c r="E1790" s="10">
        <v>132.45</v>
      </c>
      <c r="F1790" s="26">
        <v>0.8929</v>
      </c>
      <c r="G1790" s="12">
        <v>1.0919955E7</v>
      </c>
      <c r="H1790" s="8" t="s">
        <v>308</v>
      </c>
      <c r="I1790" s="11">
        <v>-2.2437</v>
      </c>
      <c r="J1790" s="12">
        <v>3.71585826E10</v>
      </c>
      <c r="K1790" s="13"/>
      <c r="L1790" s="13">
        <v>-0.3809</v>
      </c>
      <c r="M1790" s="8" t="s">
        <v>5569</v>
      </c>
      <c r="N1790" s="8" t="s">
        <v>5433</v>
      </c>
      <c r="O1790" s="13">
        <v>-13.2874</v>
      </c>
      <c r="P1790" s="13">
        <v>5.4633</v>
      </c>
      <c r="Q1790" s="13">
        <v>37.3263</v>
      </c>
      <c r="R1790" s="13">
        <v>3.8975</v>
      </c>
      <c r="S1790" s="13">
        <v>5.9285</v>
      </c>
      <c r="T1790" s="14">
        <f>IFERROR(__xludf.DUMMYFUNCTION("IFERROR(GOOGLEFINANCE(B1790,""price""),"""")"),166.7)</f>
        <v>166.7</v>
      </c>
    </row>
    <row r="1791">
      <c r="A1791" s="15">
        <v>46113.66720777368</v>
      </c>
      <c r="B1791" s="16" t="s">
        <v>5649</v>
      </c>
      <c r="C1791" s="16" t="s">
        <v>5650</v>
      </c>
      <c r="D1791" s="17">
        <v>46117.0</v>
      </c>
      <c r="E1791" s="18">
        <v>30.71</v>
      </c>
      <c r="F1791" s="27">
        <v>0.8799</v>
      </c>
      <c r="G1791" s="20">
        <v>1.7120271E7</v>
      </c>
      <c r="H1791" s="16" t="s">
        <v>88</v>
      </c>
      <c r="I1791" s="19">
        <v>9.8748</v>
      </c>
      <c r="J1791" s="20">
        <v>9.90873505E9</v>
      </c>
      <c r="K1791" s="21"/>
      <c r="L1791" s="21">
        <v>-0.7881</v>
      </c>
      <c r="M1791" s="16" t="s">
        <v>5651</v>
      </c>
      <c r="N1791" s="16" t="s">
        <v>5429</v>
      </c>
      <c r="O1791" s="21">
        <v>-78.4035</v>
      </c>
      <c r="P1791" s="21">
        <v>-30.5248</v>
      </c>
      <c r="Q1791" s="21">
        <v>25.9359</v>
      </c>
      <c r="R1791" s="21">
        <v>2.4544</v>
      </c>
      <c r="S1791" s="21">
        <v>1.6475</v>
      </c>
      <c r="T1791" s="22">
        <f>IFERROR(__xludf.DUMMYFUNCTION("IFERROR(GOOGLEFINANCE(B1791,""price""),"""")"),34.67)</f>
        <v>34.67</v>
      </c>
    </row>
    <row r="1792">
      <c r="A1792" s="7">
        <v>46113.66720777368</v>
      </c>
      <c r="B1792" s="8" t="s">
        <v>5558</v>
      </c>
      <c r="C1792" s="8" t="s">
        <v>5559</v>
      </c>
      <c r="D1792" s="9">
        <v>46117.0</v>
      </c>
      <c r="E1792" s="10">
        <v>4.99</v>
      </c>
      <c r="F1792" s="26">
        <v>0.875</v>
      </c>
      <c r="G1792" s="12">
        <v>1.5038721E7</v>
      </c>
      <c r="H1792" s="8" t="s">
        <v>102</v>
      </c>
      <c r="I1792" s="11">
        <v>0.6048</v>
      </c>
      <c r="J1792" s="12">
        <v>1.69377566E9</v>
      </c>
      <c r="K1792" s="13"/>
      <c r="L1792" s="13">
        <v>-6.9942</v>
      </c>
      <c r="M1792" s="8" t="s">
        <v>5560</v>
      </c>
      <c r="N1792" s="8" t="s">
        <v>5536</v>
      </c>
      <c r="O1792" s="13"/>
      <c r="P1792" s="13">
        <v>-225.4661</v>
      </c>
      <c r="Q1792" s="13">
        <v>631.7891</v>
      </c>
      <c r="R1792" s="13"/>
      <c r="S1792" s="13">
        <v>4.9358</v>
      </c>
      <c r="T1792" s="14">
        <f>IFERROR(__xludf.DUMMYFUNCTION("IFERROR(GOOGLEFINANCE(B1792,""price""),"""")"),5.62)</f>
        <v>5.62</v>
      </c>
    </row>
    <row r="1793">
      <c r="A1793" s="15">
        <v>46113.66720777368</v>
      </c>
      <c r="B1793" s="16" t="s">
        <v>1077</v>
      </c>
      <c r="C1793" s="16" t="s">
        <v>1078</v>
      </c>
      <c r="D1793" s="17">
        <v>46117.0</v>
      </c>
      <c r="E1793" s="18">
        <v>8.3</v>
      </c>
      <c r="F1793" s="27">
        <v>0.8731</v>
      </c>
      <c r="G1793" s="20">
        <v>1.0112431E7</v>
      </c>
      <c r="H1793" s="16" t="s">
        <v>335</v>
      </c>
      <c r="I1793" s="19">
        <v>-4.9255</v>
      </c>
      <c r="J1793" s="20">
        <v>1.1899876E9</v>
      </c>
      <c r="K1793" s="21"/>
      <c r="L1793" s="21">
        <v>-0.0349</v>
      </c>
      <c r="M1793" s="16" t="s">
        <v>1102</v>
      </c>
      <c r="N1793" s="16" t="s">
        <v>5506</v>
      </c>
      <c r="O1793" s="21">
        <v>-5.1187</v>
      </c>
      <c r="P1793" s="21">
        <v>-22.613</v>
      </c>
      <c r="Q1793" s="21">
        <v>162.805</v>
      </c>
      <c r="R1793" s="21">
        <v>0.0017</v>
      </c>
      <c r="S1793" s="21">
        <v>5.3788</v>
      </c>
      <c r="T1793" s="22">
        <f>IFERROR(__xludf.DUMMYFUNCTION("IFERROR(GOOGLEFINANCE(B1793,""price""),"""")"),8.36)</f>
        <v>8.36</v>
      </c>
    </row>
    <row r="1794">
      <c r="A1794" s="7">
        <v>46113.66720777368</v>
      </c>
      <c r="B1794" s="8" t="s">
        <v>5695</v>
      </c>
      <c r="C1794" s="8" t="s">
        <v>5696</v>
      </c>
      <c r="D1794" s="9">
        <v>46117.0</v>
      </c>
      <c r="E1794" s="10">
        <v>4.3</v>
      </c>
      <c r="F1794" s="26">
        <v>0.8672</v>
      </c>
      <c r="G1794" s="12">
        <v>1.4232125E7</v>
      </c>
      <c r="H1794" s="8" t="s">
        <v>149</v>
      </c>
      <c r="I1794" s="11">
        <v>0.2331</v>
      </c>
      <c r="J1794" s="12">
        <v>1.7615036E9</v>
      </c>
      <c r="K1794" s="13"/>
      <c r="L1794" s="13">
        <v>-0.1277</v>
      </c>
      <c r="M1794" s="8" t="s">
        <v>5697</v>
      </c>
      <c r="N1794" s="8" t="s">
        <v>5698</v>
      </c>
      <c r="O1794" s="13"/>
      <c r="P1794" s="13">
        <v>5.4343</v>
      </c>
      <c r="Q1794" s="13">
        <v>-6.9815</v>
      </c>
      <c r="R1794" s="13"/>
      <c r="S1794" s="13">
        <v>1.9828</v>
      </c>
      <c r="T1794" s="14">
        <f>IFERROR(__xludf.DUMMYFUNCTION("IFERROR(GOOGLEFINANCE(B1794,""price""),"""")"),4.62)</f>
        <v>4.62</v>
      </c>
    </row>
    <row r="1795">
      <c r="A1795" s="15">
        <v>46113.66720777368</v>
      </c>
      <c r="B1795" s="16" t="s">
        <v>5858</v>
      </c>
      <c r="C1795" s="16" t="s">
        <v>5859</v>
      </c>
      <c r="D1795" s="17">
        <v>46117.0</v>
      </c>
      <c r="E1795" s="18">
        <v>32.36</v>
      </c>
      <c r="F1795" s="27">
        <v>0.8523</v>
      </c>
      <c r="G1795" s="20">
        <v>1.439119E7</v>
      </c>
      <c r="H1795" s="16" t="s">
        <v>88</v>
      </c>
      <c r="I1795" s="19">
        <v>11.3558</v>
      </c>
      <c r="J1795" s="20">
        <v>4.912248E9</v>
      </c>
      <c r="K1795" s="21"/>
      <c r="L1795" s="21">
        <v>-0.8329</v>
      </c>
      <c r="M1795" s="16" t="s">
        <v>5860</v>
      </c>
      <c r="N1795" s="16" t="s">
        <v>5664</v>
      </c>
      <c r="O1795" s="21">
        <v>-12.8431</v>
      </c>
      <c r="P1795" s="21">
        <v>-19.0035</v>
      </c>
      <c r="Q1795" s="21">
        <v>14.7776</v>
      </c>
      <c r="R1795" s="21">
        <v>0.4628</v>
      </c>
      <c r="S1795" s="21">
        <v>2.6119</v>
      </c>
      <c r="T1795" s="22">
        <f>IFERROR(__xludf.DUMMYFUNCTION("IFERROR(GOOGLEFINANCE(B1795,""price""),"""")"),23.07)</f>
        <v>23.07</v>
      </c>
    </row>
    <row r="1796">
      <c r="A1796" s="7">
        <v>46113.66720777368</v>
      </c>
      <c r="B1796" s="8" t="s">
        <v>5434</v>
      </c>
      <c r="C1796" s="8" t="s">
        <v>5435</v>
      </c>
      <c r="D1796" s="9">
        <v>46117.0</v>
      </c>
      <c r="E1796" s="10">
        <v>8.81</v>
      </c>
      <c r="F1796" s="26">
        <v>0.8516</v>
      </c>
      <c r="G1796" s="12">
        <v>6.259161E7</v>
      </c>
      <c r="H1796" s="8" t="s">
        <v>308</v>
      </c>
      <c r="I1796" s="11">
        <v>-2.5442</v>
      </c>
      <c r="J1796" s="12">
        <v>4.08190206E9</v>
      </c>
      <c r="K1796" s="13"/>
      <c r="L1796" s="13">
        <v>-0.6686</v>
      </c>
      <c r="M1796" s="8" t="s">
        <v>5436</v>
      </c>
      <c r="N1796" s="8" t="s">
        <v>5437</v>
      </c>
      <c r="O1796" s="13">
        <v>-58.1653</v>
      </c>
      <c r="P1796" s="13">
        <v>-115.0855</v>
      </c>
      <c r="Q1796" s="13">
        <v>605.3129</v>
      </c>
      <c r="R1796" s="13">
        <v>0.0286</v>
      </c>
      <c r="S1796" s="13">
        <v>4.8364</v>
      </c>
      <c r="T1796" s="14">
        <f>IFERROR(__xludf.DUMMYFUNCTION("IFERROR(GOOGLEFINANCE(B1796,""price""),"""")"),9.13)</f>
        <v>9.13</v>
      </c>
    </row>
    <row r="1797">
      <c r="A1797" s="15">
        <v>46113.66720777368</v>
      </c>
      <c r="B1797" s="16" t="s">
        <v>5554</v>
      </c>
      <c r="C1797" s="16" t="s">
        <v>5555</v>
      </c>
      <c r="D1797" s="17">
        <v>46117.0</v>
      </c>
      <c r="E1797" s="18">
        <v>83.99</v>
      </c>
      <c r="F1797" s="27">
        <v>0.8499</v>
      </c>
      <c r="G1797" s="20">
        <v>1.1947784E7</v>
      </c>
      <c r="H1797" s="16" t="s">
        <v>873</v>
      </c>
      <c r="I1797" s="19">
        <v>1.3515</v>
      </c>
      <c r="J1797" s="20">
        <v>2.457858163E10</v>
      </c>
      <c r="K1797" s="21"/>
      <c r="L1797" s="21">
        <v>-1.3255</v>
      </c>
      <c r="M1797" s="16" t="s">
        <v>5556</v>
      </c>
      <c r="N1797" s="16" t="s">
        <v>5557</v>
      </c>
      <c r="O1797" s="21">
        <v>-29.4701</v>
      </c>
      <c r="P1797" s="21">
        <v>-405.6981</v>
      </c>
      <c r="Q1797" s="21">
        <v>1505.206</v>
      </c>
      <c r="R1797" s="21">
        <v>1.2162</v>
      </c>
      <c r="S1797" s="21">
        <v>16.3526</v>
      </c>
      <c r="T1797" s="22">
        <f>IFERROR(__xludf.DUMMYFUNCTION("IFERROR(GOOGLEFINANCE(B1797,""price""),"""")"),94.9)</f>
        <v>94.9</v>
      </c>
    </row>
    <row r="1798">
      <c r="A1798" s="7">
        <v>46113.66720777368</v>
      </c>
      <c r="B1798" s="8" t="s">
        <v>5594</v>
      </c>
      <c r="C1798" s="8" t="s">
        <v>5595</v>
      </c>
      <c r="D1798" s="9">
        <v>46117.0</v>
      </c>
      <c r="E1798" s="10">
        <v>14.48</v>
      </c>
      <c r="F1798" s="26">
        <v>0.8275</v>
      </c>
      <c r="G1798" s="12">
        <v>2.2906342E7</v>
      </c>
      <c r="H1798" s="8" t="s">
        <v>88</v>
      </c>
      <c r="I1798" s="11">
        <v>0.3465</v>
      </c>
      <c r="J1798" s="12">
        <v>6.14050464E9</v>
      </c>
      <c r="K1798" s="13"/>
      <c r="L1798" s="13">
        <v>-1.661</v>
      </c>
      <c r="M1798" s="8" t="s">
        <v>5596</v>
      </c>
      <c r="N1798" s="8" t="s">
        <v>5471</v>
      </c>
      <c r="O1798" s="13">
        <v>-343.6909</v>
      </c>
      <c r="P1798" s="13">
        <v>-100.2101</v>
      </c>
      <c r="Q1798" s="13">
        <v>20.2812</v>
      </c>
      <c r="R1798" s="13">
        <v>36.9947</v>
      </c>
      <c r="S1798" s="13">
        <v>2.0038</v>
      </c>
      <c r="T1798" s="14">
        <f>IFERROR(__xludf.DUMMYFUNCTION("IFERROR(GOOGLEFINANCE(B1798,""price""),"""")"),18.88)</f>
        <v>18.88</v>
      </c>
    </row>
    <row r="1799">
      <c r="A1799" s="15">
        <v>46113.66720777368</v>
      </c>
      <c r="B1799" s="16" t="s">
        <v>2704</v>
      </c>
      <c r="C1799" s="16" t="s">
        <v>2705</v>
      </c>
      <c r="D1799" s="17">
        <v>46117.0</v>
      </c>
      <c r="E1799" s="18">
        <v>24.49</v>
      </c>
      <c r="F1799" s="27">
        <v>0.8209</v>
      </c>
      <c r="G1799" s="20">
        <v>2.5132886E7</v>
      </c>
      <c r="H1799" s="16" t="s">
        <v>88</v>
      </c>
      <c r="I1799" s="19">
        <v>3.1592</v>
      </c>
      <c r="J1799" s="20">
        <v>6.847056732E9</v>
      </c>
      <c r="K1799" s="21"/>
      <c r="L1799" s="21">
        <v>-0.5438</v>
      </c>
      <c r="M1799" s="16" t="s">
        <v>2707</v>
      </c>
      <c r="N1799" s="16" t="s">
        <v>5471</v>
      </c>
      <c r="O1799" s="21">
        <v>-11.4029</v>
      </c>
      <c r="P1799" s="21">
        <v>-26.4624</v>
      </c>
      <c r="Q1799" s="21">
        <v>33.135</v>
      </c>
      <c r="R1799" s="21">
        <v>1.6778</v>
      </c>
      <c r="S1799" s="21">
        <v>4.8227</v>
      </c>
      <c r="T1799" s="22">
        <f>IFERROR(__xludf.DUMMYFUNCTION("IFERROR(GOOGLEFINANCE(B1799,""price""),"""")"),26.24)</f>
        <v>26.24</v>
      </c>
    </row>
    <row r="1800">
      <c r="A1800" s="7">
        <v>46113.66720777368</v>
      </c>
      <c r="B1800" s="8" t="s">
        <v>5544</v>
      </c>
      <c r="C1800" s="8" t="s">
        <v>6105</v>
      </c>
      <c r="D1800" s="9">
        <v>46117.0</v>
      </c>
      <c r="E1800" s="10">
        <v>12.64</v>
      </c>
      <c r="F1800" s="26">
        <v>0.8145</v>
      </c>
      <c r="G1800" s="12">
        <v>2.1867815E7</v>
      </c>
      <c r="H1800" s="8" t="s">
        <v>88</v>
      </c>
      <c r="I1800" s="11">
        <v>-1.7871</v>
      </c>
      <c r="J1800" s="12">
        <v>5.12070416E9</v>
      </c>
      <c r="K1800" s="13"/>
      <c r="L1800" s="13">
        <v>-2.0516</v>
      </c>
      <c r="M1800" s="8" t="s">
        <v>5546</v>
      </c>
      <c r="N1800" s="8" t="s">
        <v>5471</v>
      </c>
      <c r="O1800" s="13">
        <v>-110.5547</v>
      </c>
      <c r="P1800" s="13">
        <v>-76.6975</v>
      </c>
      <c r="Q1800" s="13">
        <v>48.0413</v>
      </c>
      <c r="R1800" s="13">
        <v>3.435</v>
      </c>
      <c r="S1800" s="13">
        <v>3.7948</v>
      </c>
      <c r="T1800" s="14">
        <f>IFERROR(__xludf.DUMMYFUNCTION("IFERROR(GOOGLEFINANCE(B1800,""price""),"""")"),16.53)</f>
        <v>16.53</v>
      </c>
    </row>
    <row r="1801">
      <c r="A1801" s="15">
        <v>46113.66720777368</v>
      </c>
      <c r="B1801" s="16" t="s">
        <v>6193</v>
      </c>
      <c r="C1801" s="16" t="s">
        <v>6194</v>
      </c>
      <c r="D1801" s="17">
        <v>46117.0</v>
      </c>
      <c r="E1801" s="18">
        <v>7.39</v>
      </c>
      <c r="F1801" s="27">
        <v>0.8047</v>
      </c>
      <c r="G1801" s="20">
        <v>1.2197105E7</v>
      </c>
      <c r="H1801" s="16" t="s">
        <v>88</v>
      </c>
      <c r="I1801" s="19">
        <v>7.5691</v>
      </c>
      <c r="J1801" s="20">
        <v>5.780290877E9</v>
      </c>
      <c r="K1801" s="21"/>
      <c r="L1801" s="21">
        <v>-0.4821</v>
      </c>
      <c r="M1801" s="16" t="s">
        <v>6195</v>
      </c>
      <c r="N1801" s="16" t="s">
        <v>5429</v>
      </c>
      <c r="O1801" s="21">
        <v>-3.271</v>
      </c>
      <c r="P1801" s="21">
        <v>-23.2313</v>
      </c>
      <c r="Q1801" s="21">
        <v>14.5103</v>
      </c>
      <c r="R1801" s="21">
        <v>0.0052</v>
      </c>
      <c r="S1801" s="21">
        <v>6.1034</v>
      </c>
      <c r="T1801" s="22">
        <f>IFERROR(__xludf.DUMMYFUNCTION("IFERROR(GOOGLEFINANCE(B1801,""price""),"""")"),7.24)</f>
        <v>7.24</v>
      </c>
    </row>
    <row r="1802">
      <c r="A1802" s="7">
        <v>46114.668113569176</v>
      </c>
      <c r="B1802" s="8" t="s">
        <v>790</v>
      </c>
      <c r="C1802" s="8" t="s">
        <v>791</v>
      </c>
      <c r="D1802" s="9">
        <v>46117.0</v>
      </c>
      <c r="E1802" s="10">
        <v>2.41</v>
      </c>
      <c r="F1802" s="26">
        <v>2.332</v>
      </c>
      <c r="G1802" s="12">
        <v>8418872.0</v>
      </c>
      <c r="H1802" s="8" t="s">
        <v>245</v>
      </c>
      <c r="I1802" s="11">
        <v>6.6372</v>
      </c>
      <c r="J1802" s="12">
        <v>1.43748306E8</v>
      </c>
      <c r="K1802" s="13"/>
      <c r="L1802" s="13">
        <v>-4.271</v>
      </c>
      <c r="M1802" s="8" t="s">
        <v>792</v>
      </c>
      <c r="N1802" s="8" t="s">
        <v>5776</v>
      </c>
      <c r="O1802" s="13">
        <v>24.2703</v>
      </c>
      <c r="P1802" s="13">
        <v>27.878</v>
      </c>
      <c r="Q1802" s="13">
        <v>18320.007</v>
      </c>
      <c r="R1802" s="13">
        <v>5.6874</v>
      </c>
      <c r="S1802" s="13">
        <v>0.8343</v>
      </c>
      <c r="T1802" s="14">
        <f>IFERROR(__xludf.DUMMYFUNCTION("IFERROR(GOOGLEFINANCE(B1802,""price""),"""")"),1.44)</f>
        <v>1.44</v>
      </c>
    </row>
    <row r="1803">
      <c r="A1803" s="15">
        <v>46114.668113569176</v>
      </c>
      <c r="B1803" s="16" t="s">
        <v>6221</v>
      </c>
      <c r="C1803" s="16" t="s">
        <v>6222</v>
      </c>
      <c r="D1803" s="17">
        <v>46117.0</v>
      </c>
      <c r="E1803" s="18">
        <v>12.54</v>
      </c>
      <c r="F1803" s="27">
        <v>2.0684</v>
      </c>
      <c r="G1803" s="20">
        <v>8888696.0</v>
      </c>
      <c r="H1803" s="16" t="s">
        <v>117</v>
      </c>
      <c r="I1803" s="19">
        <v>16.4345</v>
      </c>
      <c r="J1803" s="20">
        <v>2.24122404E9</v>
      </c>
      <c r="K1803" s="21"/>
      <c r="L1803" s="21">
        <v>-1.613</v>
      </c>
      <c r="M1803" s="16" t="s">
        <v>6223</v>
      </c>
      <c r="N1803" s="16" t="s">
        <v>5502</v>
      </c>
      <c r="O1803" s="21">
        <v>-41.1166</v>
      </c>
      <c r="P1803" s="21">
        <v>-1971.4574</v>
      </c>
      <c r="Q1803" s="21">
        <v>53.4526</v>
      </c>
      <c r="R1803" s="21">
        <v>0.0572</v>
      </c>
      <c r="S1803" s="21">
        <v>22.6085</v>
      </c>
      <c r="T1803" s="22">
        <f>IFERROR(__xludf.DUMMYFUNCTION("IFERROR(GOOGLEFINANCE(B1803,""price""),"""")"),14.94)</f>
        <v>14.94</v>
      </c>
    </row>
    <row r="1804">
      <c r="A1804" s="7">
        <v>46114.668113569176</v>
      </c>
      <c r="B1804" s="8" t="s">
        <v>5617</v>
      </c>
      <c r="C1804" s="8" t="s">
        <v>5618</v>
      </c>
      <c r="D1804" s="9">
        <v>46117.0</v>
      </c>
      <c r="E1804" s="10">
        <v>3.09</v>
      </c>
      <c r="F1804" s="26">
        <v>1.7734</v>
      </c>
      <c r="G1804" s="12">
        <v>6.4983678E7</v>
      </c>
      <c r="H1804" s="8" t="s">
        <v>308</v>
      </c>
      <c r="I1804" s="11">
        <v>47.1429</v>
      </c>
      <c r="J1804" s="12">
        <v>2.05237336E8</v>
      </c>
      <c r="K1804" s="13"/>
      <c r="L1804" s="13">
        <v>-1.2872</v>
      </c>
      <c r="M1804" s="8" t="s">
        <v>5619</v>
      </c>
      <c r="N1804" s="8" t="s">
        <v>5437</v>
      </c>
      <c r="O1804" s="13">
        <v>-142.809</v>
      </c>
      <c r="P1804" s="13">
        <v>-488.9575</v>
      </c>
      <c r="Q1804" s="13">
        <v>-30.1811</v>
      </c>
      <c r="R1804" s="13">
        <v>0.4161</v>
      </c>
      <c r="S1804" s="13">
        <v>1.3755</v>
      </c>
      <c r="T1804" s="14">
        <f>IFERROR(__xludf.DUMMYFUNCTION("IFERROR(GOOGLEFINANCE(B1804,""price""),"""")"),4.25)</f>
        <v>4.25</v>
      </c>
    </row>
    <row r="1805">
      <c r="A1805" s="15">
        <v>46114.668113569176</v>
      </c>
      <c r="B1805" s="16" t="s">
        <v>5623</v>
      </c>
      <c r="C1805" s="16" t="s">
        <v>5624</v>
      </c>
      <c r="D1805" s="17">
        <v>46117.0</v>
      </c>
      <c r="E1805" s="18">
        <v>4.15</v>
      </c>
      <c r="F1805" s="27">
        <v>1.7266</v>
      </c>
      <c r="G1805" s="20">
        <v>1.2269705E7</v>
      </c>
      <c r="H1805" s="16" t="s">
        <v>88</v>
      </c>
      <c r="I1805" s="19">
        <v>-0.7177</v>
      </c>
      <c r="J1805" s="20">
        <v>6.8100255E9</v>
      </c>
      <c r="K1805" s="21"/>
      <c r="L1805" s="21">
        <v>-0.4446</v>
      </c>
      <c r="M1805" s="16" t="s">
        <v>5625</v>
      </c>
      <c r="N1805" s="16" t="s">
        <v>5429</v>
      </c>
      <c r="O1805" s="21">
        <v>-40.6476</v>
      </c>
      <c r="P1805" s="21">
        <v>-30033.3333</v>
      </c>
      <c r="Q1805" s="21"/>
      <c r="R1805" s="21">
        <v>0.0393</v>
      </c>
      <c r="S1805" s="21">
        <v>11.8649</v>
      </c>
      <c r="T1805" s="22">
        <f>IFERROR(__xludf.DUMMYFUNCTION("IFERROR(GOOGLEFINANCE(B1805,""price""),"""")"),4.15)</f>
        <v>4.15</v>
      </c>
    </row>
    <row r="1806">
      <c r="A1806" s="7">
        <v>46114.668113569176</v>
      </c>
      <c r="B1806" s="8" t="s">
        <v>5652</v>
      </c>
      <c r="C1806" s="8" t="s">
        <v>5653</v>
      </c>
      <c r="D1806" s="9">
        <v>46117.0</v>
      </c>
      <c r="E1806" s="10">
        <v>3.11</v>
      </c>
      <c r="F1806" s="26">
        <v>1.7031</v>
      </c>
      <c r="G1806" s="12">
        <v>9237705.0</v>
      </c>
      <c r="H1806" s="8" t="s">
        <v>117</v>
      </c>
      <c r="I1806" s="11">
        <v>1.634</v>
      </c>
      <c r="J1806" s="12">
        <v>1.62326761E9</v>
      </c>
      <c r="K1806" s="13"/>
      <c r="L1806" s="13">
        <v>-1.4829</v>
      </c>
      <c r="M1806" s="8" t="s">
        <v>5654</v>
      </c>
      <c r="N1806" s="8" t="s">
        <v>5502</v>
      </c>
      <c r="O1806" s="13">
        <v>-59.5442</v>
      </c>
      <c r="P1806" s="13">
        <v>-867.866</v>
      </c>
      <c r="Q1806" s="13">
        <v>26.9243</v>
      </c>
      <c r="R1806" s="13">
        <v>0.0689</v>
      </c>
      <c r="S1806" s="13">
        <v>5.5031</v>
      </c>
      <c r="T1806" s="14">
        <f>IFERROR(__xludf.DUMMYFUNCTION("IFERROR(GOOGLEFINANCE(B1806,""price""),"""")"),3.28)</f>
        <v>3.28</v>
      </c>
    </row>
    <row r="1807">
      <c r="A1807" s="15">
        <v>46114.668113569176</v>
      </c>
      <c r="B1807" s="16" t="s">
        <v>4884</v>
      </c>
      <c r="C1807" s="16" t="s">
        <v>4885</v>
      </c>
      <c r="D1807" s="17">
        <v>46117.0</v>
      </c>
      <c r="E1807" s="18">
        <v>16.23</v>
      </c>
      <c r="F1807" s="27">
        <v>1.6128</v>
      </c>
      <c r="G1807" s="20">
        <v>1.2020398E7</v>
      </c>
      <c r="H1807" s="16" t="s">
        <v>88</v>
      </c>
      <c r="I1807" s="19">
        <v>6.0784</v>
      </c>
      <c r="J1807" s="20">
        <v>5.117848747E9</v>
      </c>
      <c r="K1807" s="21">
        <v>14.1241</v>
      </c>
      <c r="L1807" s="21">
        <v>1.1491</v>
      </c>
      <c r="M1807" s="16" t="s">
        <v>4886</v>
      </c>
      <c r="N1807" s="16" t="s">
        <v>5471</v>
      </c>
      <c r="O1807" s="21"/>
      <c r="P1807" s="21">
        <v>-60.4814</v>
      </c>
      <c r="Q1807" s="21">
        <v>-37.5296</v>
      </c>
      <c r="R1807" s="21"/>
      <c r="S1807" s="21">
        <v>1.1461</v>
      </c>
      <c r="T1807" s="22">
        <f>IFERROR(__xludf.DUMMYFUNCTION("IFERROR(GOOGLEFINANCE(B1807,""price""),"""")"),18.32)</f>
        <v>18.32</v>
      </c>
    </row>
    <row r="1808">
      <c r="A1808" s="7">
        <v>46114.668113569176</v>
      </c>
      <c r="B1808" s="8" t="s">
        <v>5798</v>
      </c>
      <c r="C1808" s="8" t="s">
        <v>5799</v>
      </c>
      <c r="D1808" s="9">
        <v>46117.0</v>
      </c>
      <c r="E1808" s="10">
        <v>6.19</v>
      </c>
      <c r="F1808" s="26">
        <v>1.5391</v>
      </c>
      <c r="G1808" s="12">
        <v>7654430.0</v>
      </c>
      <c r="H1808" s="8" t="s">
        <v>186</v>
      </c>
      <c r="I1808" s="11">
        <v>-4.1796</v>
      </c>
      <c r="J1808" s="12">
        <v>1.22041421E9</v>
      </c>
      <c r="K1808" s="13"/>
      <c r="L1808" s="13">
        <v>-9.2186</v>
      </c>
      <c r="M1808" s="8" t="s">
        <v>5800</v>
      </c>
      <c r="N1808" s="8" t="s">
        <v>5801</v>
      </c>
      <c r="O1808" s="13">
        <v>-60.6762</v>
      </c>
      <c r="P1808" s="13">
        <v>-116.7314</v>
      </c>
      <c r="Q1808" s="13">
        <v>666.0384</v>
      </c>
      <c r="R1808" s="13">
        <v>0.0</v>
      </c>
      <c r="S1808" s="13">
        <v>2.4436</v>
      </c>
      <c r="T1808" s="14">
        <f>IFERROR(__xludf.DUMMYFUNCTION("IFERROR(GOOGLEFINANCE(B1808,""price""),"""")"),6.52)</f>
        <v>6.52</v>
      </c>
    </row>
    <row r="1809">
      <c r="A1809" s="15">
        <v>46114.668113569176</v>
      </c>
      <c r="B1809" s="16" t="s">
        <v>5461</v>
      </c>
      <c r="C1809" s="16" t="s">
        <v>5462</v>
      </c>
      <c r="D1809" s="17">
        <v>46117.0</v>
      </c>
      <c r="E1809" s="18">
        <v>14.15</v>
      </c>
      <c r="F1809" s="27">
        <v>1.4805</v>
      </c>
      <c r="G1809" s="20">
        <v>3.926797E7</v>
      </c>
      <c r="H1809" s="16" t="s">
        <v>93</v>
      </c>
      <c r="I1809" s="19">
        <v>-2.0083</v>
      </c>
      <c r="J1809" s="20">
        <v>5.423798295E10</v>
      </c>
      <c r="K1809" s="21">
        <v>24.1922</v>
      </c>
      <c r="L1809" s="21">
        <v>0.5849</v>
      </c>
      <c r="M1809" s="16" t="s">
        <v>5463</v>
      </c>
      <c r="N1809" s="16" t="s">
        <v>5464</v>
      </c>
      <c r="O1809" s="21">
        <v>30.299</v>
      </c>
      <c r="P1809" s="21">
        <v>26.8369</v>
      </c>
      <c r="Q1809" s="21">
        <v>39.6707</v>
      </c>
      <c r="R1809" s="21">
        <v>3.3447</v>
      </c>
      <c r="S1809" s="21">
        <v>0.6919</v>
      </c>
      <c r="T1809" s="22">
        <f>IFERROR(__xludf.DUMMYFUNCTION("IFERROR(GOOGLEFINANCE(B1809,""price""),"""")"),14.96)</f>
        <v>14.96</v>
      </c>
    </row>
    <row r="1810">
      <c r="A1810" s="7">
        <v>46114.668113569176</v>
      </c>
      <c r="B1810" s="8" t="s">
        <v>5821</v>
      </c>
      <c r="C1810" s="8" t="s">
        <v>5822</v>
      </c>
      <c r="D1810" s="9">
        <v>46117.0</v>
      </c>
      <c r="E1810" s="10">
        <v>5.81</v>
      </c>
      <c r="F1810" s="26">
        <v>1.4766</v>
      </c>
      <c r="G1810" s="12">
        <v>1.156039E7</v>
      </c>
      <c r="H1810" s="8" t="s">
        <v>88</v>
      </c>
      <c r="I1810" s="11">
        <v>-0.6838</v>
      </c>
      <c r="J1810" s="12">
        <v>1.77376395E9</v>
      </c>
      <c r="K1810" s="13">
        <v>15.0129</v>
      </c>
      <c r="L1810" s="13">
        <v>0.387</v>
      </c>
      <c r="M1810" s="8" t="s">
        <v>5823</v>
      </c>
      <c r="N1810" s="8" t="s">
        <v>5429</v>
      </c>
      <c r="O1810" s="13">
        <v>7.7572</v>
      </c>
      <c r="P1810" s="13">
        <v>21.2885</v>
      </c>
      <c r="Q1810" s="13">
        <v>2.8988</v>
      </c>
      <c r="R1810" s="13">
        <v>1.0401</v>
      </c>
      <c r="S1810" s="13">
        <v>0.7173</v>
      </c>
      <c r="T1810" s="14">
        <f>IFERROR(__xludf.DUMMYFUNCTION("IFERROR(GOOGLEFINANCE(B1810,""price""),"""")"),5.23)</f>
        <v>5.23</v>
      </c>
    </row>
    <row r="1811">
      <c r="A1811" s="15">
        <v>46114.668113569176</v>
      </c>
      <c r="B1811" s="16" t="s">
        <v>3523</v>
      </c>
      <c r="C1811" s="16" t="s">
        <v>3524</v>
      </c>
      <c r="D1811" s="17">
        <v>46117.0</v>
      </c>
      <c r="E1811" s="18">
        <v>41.22</v>
      </c>
      <c r="F1811" s="27">
        <v>1.4516</v>
      </c>
      <c r="G1811" s="20">
        <v>1.2671705E7</v>
      </c>
      <c r="H1811" s="16" t="s">
        <v>162</v>
      </c>
      <c r="I1811" s="19">
        <v>-0.5309</v>
      </c>
      <c r="J1811" s="20">
        <v>7.66510632E10</v>
      </c>
      <c r="K1811" s="21">
        <v>26.7142</v>
      </c>
      <c r="L1811" s="21">
        <v>1.543</v>
      </c>
      <c r="M1811" s="16" t="s">
        <v>3526</v>
      </c>
      <c r="N1811" s="16" t="s">
        <v>5781</v>
      </c>
      <c r="O1811" s="21">
        <v>22.5202</v>
      </c>
      <c r="P1811" s="21">
        <v>33.2458</v>
      </c>
      <c r="Q1811" s="21">
        <v>-3.0812</v>
      </c>
      <c r="R1811" s="21">
        <v>1.4762</v>
      </c>
      <c r="S1811" s="21">
        <v>0.8139</v>
      </c>
      <c r="T1811" s="22">
        <f>IFERROR(__xludf.DUMMYFUNCTION("IFERROR(GOOGLEFINANCE(B1811,""price""),"""")"),42.24)</f>
        <v>42.24</v>
      </c>
    </row>
    <row r="1812">
      <c r="A1812" s="7">
        <v>46114.668113569176</v>
      </c>
      <c r="B1812" s="8" t="s">
        <v>6212</v>
      </c>
      <c r="C1812" s="8" t="s">
        <v>6213</v>
      </c>
      <c r="D1812" s="9">
        <v>46117.0</v>
      </c>
      <c r="E1812" s="10">
        <v>14.37</v>
      </c>
      <c r="F1812" s="26">
        <v>1.4043</v>
      </c>
      <c r="G1812" s="12">
        <v>8189940.0</v>
      </c>
      <c r="H1812" s="8" t="s">
        <v>335</v>
      </c>
      <c r="I1812" s="11">
        <v>21.4708</v>
      </c>
      <c r="J1812" s="12">
        <v>1.60058808E9</v>
      </c>
      <c r="K1812" s="13"/>
      <c r="L1812" s="13">
        <v>-0.3029</v>
      </c>
      <c r="M1812" s="8" t="s">
        <v>6214</v>
      </c>
      <c r="N1812" s="8" t="s">
        <v>5506</v>
      </c>
      <c r="O1812" s="13">
        <v>-35.4976</v>
      </c>
      <c r="P1812" s="13">
        <v>-7.4098</v>
      </c>
      <c r="Q1812" s="13">
        <v>-14.1692</v>
      </c>
      <c r="R1812" s="13">
        <v>1.9865</v>
      </c>
      <c r="S1812" s="13">
        <v>0.4894</v>
      </c>
      <c r="T1812" s="14">
        <f>IFERROR(__xludf.DUMMYFUNCTION("IFERROR(GOOGLEFINANCE(B1812,""price""),"""")"),14.85)</f>
        <v>14.85</v>
      </c>
    </row>
    <row r="1813">
      <c r="A1813" s="15">
        <v>46114.668113569176</v>
      </c>
      <c r="B1813" s="16" t="s">
        <v>5514</v>
      </c>
      <c r="C1813" s="16" t="s">
        <v>5515</v>
      </c>
      <c r="D1813" s="17">
        <v>46117.0</v>
      </c>
      <c r="E1813" s="18">
        <v>7.3</v>
      </c>
      <c r="F1813" s="27">
        <v>1.3711</v>
      </c>
      <c r="G1813" s="20">
        <v>1.4070338E7</v>
      </c>
      <c r="H1813" s="16" t="s">
        <v>117</v>
      </c>
      <c r="I1813" s="19">
        <v>2.2409</v>
      </c>
      <c r="J1813" s="20">
        <v>7.505203E9</v>
      </c>
      <c r="K1813" s="21"/>
      <c r="L1813" s="21">
        <v>-0.3898</v>
      </c>
      <c r="M1813" s="16" t="s">
        <v>5516</v>
      </c>
      <c r="N1813" s="16" t="s">
        <v>5491</v>
      </c>
      <c r="O1813" s="21"/>
      <c r="P1813" s="21">
        <v>-225.9966</v>
      </c>
      <c r="Q1813" s="21">
        <v>668.3147</v>
      </c>
      <c r="R1813" s="21"/>
      <c r="S1813" s="21">
        <v>5.0989</v>
      </c>
      <c r="T1813" s="22">
        <f>IFERROR(__xludf.DUMMYFUNCTION("IFERROR(GOOGLEFINANCE(B1813,""price""),"""")"),7.28)</f>
        <v>7.28</v>
      </c>
    </row>
    <row r="1814">
      <c r="A1814" s="7">
        <v>46114.668113569176</v>
      </c>
      <c r="B1814" s="8" t="s">
        <v>5818</v>
      </c>
      <c r="C1814" s="8" t="s">
        <v>5819</v>
      </c>
      <c r="D1814" s="9">
        <v>46117.0</v>
      </c>
      <c r="E1814" s="10">
        <v>6.36</v>
      </c>
      <c r="F1814" s="26">
        <v>1.3359</v>
      </c>
      <c r="G1814" s="12">
        <v>9554407.0</v>
      </c>
      <c r="H1814" s="8" t="s">
        <v>102</v>
      </c>
      <c r="I1814" s="11">
        <v>2.4155</v>
      </c>
      <c r="J1814" s="12">
        <v>3.65885076E9</v>
      </c>
      <c r="K1814" s="13"/>
      <c r="L1814" s="13">
        <v>-0.7583</v>
      </c>
      <c r="M1814" s="8" t="s">
        <v>5820</v>
      </c>
      <c r="N1814" s="8" t="s">
        <v>5536</v>
      </c>
      <c r="O1814" s="13">
        <v>-37.3944</v>
      </c>
      <c r="P1814" s="13"/>
      <c r="Q1814" s="13"/>
      <c r="R1814" s="13">
        <v>0.0607</v>
      </c>
      <c r="S1814" s="13">
        <v>15.9497</v>
      </c>
      <c r="T1814" s="14">
        <f>IFERROR(__xludf.DUMMYFUNCTION("IFERROR(GOOGLEFINANCE(B1814,""price""),"""")"),6.36)</f>
        <v>6.36</v>
      </c>
    </row>
    <row r="1815">
      <c r="A1815" s="15">
        <v>46114.668113569176</v>
      </c>
      <c r="B1815" s="16" t="s">
        <v>5533</v>
      </c>
      <c r="C1815" s="16" t="s">
        <v>5534</v>
      </c>
      <c r="D1815" s="17">
        <v>46117.0</v>
      </c>
      <c r="E1815" s="18">
        <v>4.19</v>
      </c>
      <c r="F1815" s="27">
        <v>1.3281</v>
      </c>
      <c r="G1815" s="20">
        <v>1.6508633E7</v>
      </c>
      <c r="H1815" s="16" t="s">
        <v>102</v>
      </c>
      <c r="I1815" s="19">
        <v>-6.4732</v>
      </c>
      <c r="J1815" s="20">
        <v>1.13370087E9</v>
      </c>
      <c r="K1815" s="21"/>
      <c r="L1815" s="21">
        <v>-3.7839</v>
      </c>
      <c r="M1815" s="16" t="s">
        <v>5535</v>
      </c>
      <c r="N1815" s="16" t="s">
        <v>5536</v>
      </c>
      <c r="O1815" s="21">
        <v>-55.984</v>
      </c>
      <c r="P1815" s="21">
        <v>-31.1477</v>
      </c>
      <c r="Q1815" s="21"/>
      <c r="R1815" s="21">
        <v>4.5088</v>
      </c>
      <c r="S1815" s="21">
        <v>1.1293</v>
      </c>
      <c r="T1815" s="22">
        <f>IFERROR(__xludf.DUMMYFUNCTION("IFERROR(GOOGLEFINANCE(B1815,""price""),"""")"),4.69)</f>
        <v>4.69</v>
      </c>
    </row>
    <row r="1816">
      <c r="A1816" s="7">
        <v>46114.668113569176</v>
      </c>
      <c r="B1816" s="8" t="s">
        <v>5802</v>
      </c>
      <c r="C1816" s="8" t="s">
        <v>5803</v>
      </c>
      <c r="D1816" s="9">
        <v>46117.0</v>
      </c>
      <c r="E1816" s="10">
        <v>18.18</v>
      </c>
      <c r="F1816" s="26">
        <v>1.2529</v>
      </c>
      <c r="G1816" s="12">
        <v>1.4512538E7</v>
      </c>
      <c r="H1816" s="8" t="s">
        <v>88</v>
      </c>
      <c r="I1816" s="11">
        <v>-0.6014</v>
      </c>
      <c r="J1816" s="12">
        <v>1.02015252E10</v>
      </c>
      <c r="K1816" s="13">
        <v>29.7691</v>
      </c>
      <c r="L1816" s="13">
        <v>0.6107</v>
      </c>
      <c r="M1816" s="8" t="s">
        <v>5804</v>
      </c>
      <c r="N1816" s="8" t="s">
        <v>5495</v>
      </c>
      <c r="O1816" s="13">
        <v>8.7792</v>
      </c>
      <c r="P1816" s="13">
        <v>7.577</v>
      </c>
      <c r="Q1816" s="13">
        <v>15.7865</v>
      </c>
      <c r="R1816" s="13">
        <v>0.0552</v>
      </c>
      <c r="S1816" s="13">
        <v>7.639</v>
      </c>
      <c r="T1816" s="14">
        <f>IFERROR(__xludf.DUMMYFUNCTION("IFERROR(GOOGLEFINANCE(B1816,""price""),"""")"),17.62)</f>
        <v>17.62</v>
      </c>
    </row>
    <row r="1817">
      <c r="A1817" s="15">
        <v>46114.668113569176</v>
      </c>
      <c r="B1817" s="16" t="s">
        <v>5449</v>
      </c>
      <c r="C1817" s="16" t="s">
        <v>5450</v>
      </c>
      <c r="D1817" s="17">
        <v>46117.0</v>
      </c>
      <c r="E1817" s="18">
        <v>17.14</v>
      </c>
      <c r="F1817" s="27">
        <v>1.1797</v>
      </c>
      <c r="G1817" s="20">
        <v>1.4169872E7</v>
      </c>
      <c r="H1817" s="16" t="s">
        <v>286</v>
      </c>
      <c r="I1817" s="19">
        <v>-1.3809</v>
      </c>
      <c r="J1817" s="20">
        <v>3.285278648E10</v>
      </c>
      <c r="K1817" s="21">
        <v>22.4346</v>
      </c>
      <c r="L1817" s="21">
        <v>0.764</v>
      </c>
      <c r="M1817" s="16" t="s">
        <v>5451</v>
      </c>
      <c r="N1817" s="16" t="s">
        <v>5452</v>
      </c>
      <c r="O1817" s="21">
        <v>14.3885</v>
      </c>
      <c r="P1817" s="21">
        <v>18.0916</v>
      </c>
      <c r="Q1817" s="21">
        <v>-2.1545</v>
      </c>
      <c r="R1817" s="21">
        <v>0.8058</v>
      </c>
      <c r="S1817" s="21">
        <v>0.9583</v>
      </c>
      <c r="T1817" s="22">
        <f>IFERROR(__xludf.DUMMYFUNCTION("IFERROR(GOOGLEFINANCE(B1817,""price""),"""")"),17.35)</f>
        <v>17.35</v>
      </c>
    </row>
    <row r="1818">
      <c r="A1818" s="7">
        <v>46114.668113569176</v>
      </c>
      <c r="B1818" s="8" t="s">
        <v>6175</v>
      </c>
      <c r="C1818" s="8" t="s">
        <v>6176</v>
      </c>
      <c r="D1818" s="9">
        <v>46117.0</v>
      </c>
      <c r="E1818" s="10">
        <v>9.02</v>
      </c>
      <c r="F1818" s="26">
        <v>1.1504</v>
      </c>
      <c r="G1818" s="12">
        <v>7819231.0</v>
      </c>
      <c r="H1818" s="8" t="s">
        <v>117</v>
      </c>
      <c r="I1818" s="11">
        <v>-3.838</v>
      </c>
      <c r="J1818" s="12">
        <v>2.26222502E9</v>
      </c>
      <c r="K1818" s="13">
        <v>7.4967</v>
      </c>
      <c r="L1818" s="13">
        <v>1.2032</v>
      </c>
      <c r="M1818" s="8" t="s">
        <v>6177</v>
      </c>
      <c r="N1818" s="8" t="s">
        <v>5502</v>
      </c>
      <c r="O1818" s="13"/>
      <c r="P1818" s="13">
        <v>38.9774</v>
      </c>
      <c r="Q1818" s="13">
        <v>94.1011</v>
      </c>
      <c r="R1818" s="13"/>
      <c r="S1818" s="13">
        <v>2.0623</v>
      </c>
      <c r="T1818" s="14">
        <f>IFERROR(__xludf.DUMMYFUNCTION("IFERROR(GOOGLEFINANCE(B1818,""price""),"""")"),9.56)</f>
        <v>9.56</v>
      </c>
    </row>
    <row r="1819">
      <c r="A1819" s="15">
        <v>46114.668113569176</v>
      </c>
      <c r="B1819" s="16" t="s">
        <v>5499</v>
      </c>
      <c r="C1819" s="16" t="s">
        <v>5500</v>
      </c>
      <c r="D1819" s="17">
        <v>46117.0</v>
      </c>
      <c r="E1819" s="18">
        <v>3.43</v>
      </c>
      <c r="F1819" s="27">
        <v>1.125</v>
      </c>
      <c r="G1819" s="20">
        <v>7737981.0</v>
      </c>
      <c r="H1819" s="16" t="s">
        <v>117</v>
      </c>
      <c r="I1819" s="19">
        <v>-0.5797</v>
      </c>
      <c r="J1819" s="20">
        <v>1.41302966E9</v>
      </c>
      <c r="K1819" s="21"/>
      <c r="L1819" s="21">
        <v>-1.1209</v>
      </c>
      <c r="M1819" s="16" t="s">
        <v>5501</v>
      </c>
      <c r="N1819" s="16" t="s">
        <v>5502</v>
      </c>
      <c r="O1819" s="21">
        <v>-55.4977</v>
      </c>
      <c r="P1819" s="21">
        <v>-151.1805</v>
      </c>
      <c r="Q1819" s="21">
        <v>60.5668</v>
      </c>
      <c r="R1819" s="21">
        <v>0.0708</v>
      </c>
      <c r="S1819" s="21">
        <v>3.1996</v>
      </c>
      <c r="T1819" s="22">
        <f>IFERROR(__xludf.DUMMYFUNCTION("IFERROR(GOOGLEFINANCE(B1819,""price""),"""")"),3.7)</f>
        <v>3.7</v>
      </c>
    </row>
    <row r="1820">
      <c r="A1820" s="7">
        <v>46114.668113569176</v>
      </c>
      <c r="B1820" s="8" t="s">
        <v>1077</v>
      </c>
      <c r="C1820" s="8" t="s">
        <v>1078</v>
      </c>
      <c r="D1820" s="9">
        <v>46117.0</v>
      </c>
      <c r="E1820" s="10">
        <v>8.69</v>
      </c>
      <c r="F1820" s="26">
        <v>1.1191</v>
      </c>
      <c r="G1820" s="12">
        <v>9534652.0</v>
      </c>
      <c r="H1820" s="8" t="s">
        <v>335</v>
      </c>
      <c r="I1820" s="11">
        <v>4.6988</v>
      </c>
      <c r="J1820" s="12">
        <v>1.24590268E9</v>
      </c>
      <c r="K1820" s="13"/>
      <c r="L1820" s="13">
        <v>-0.0349</v>
      </c>
      <c r="M1820" s="8" t="s">
        <v>1102</v>
      </c>
      <c r="N1820" s="8" t="s">
        <v>5506</v>
      </c>
      <c r="O1820" s="13">
        <v>-5.1187</v>
      </c>
      <c r="P1820" s="13">
        <v>-22.613</v>
      </c>
      <c r="Q1820" s="13">
        <v>162.805</v>
      </c>
      <c r="R1820" s="13">
        <v>0.0017</v>
      </c>
      <c r="S1820" s="13">
        <v>5.3788</v>
      </c>
      <c r="T1820" s="14">
        <f>IFERROR(__xludf.DUMMYFUNCTION("IFERROR(GOOGLEFINANCE(B1820,""price""),"""")"),8.36)</f>
        <v>8.36</v>
      </c>
    </row>
    <row r="1821">
      <c r="A1821" s="15">
        <v>46114.668113569176</v>
      </c>
      <c r="B1821" s="16" t="s">
        <v>6224</v>
      </c>
      <c r="C1821" s="16" t="s">
        <v>6225</v>
      </c>
      <c r="D1821" s="17">
        <v>46117.0</v>
      </c>
      <c r="E1821" s="18">
        <v>10.85</v>
      </c>
      <c r="F1821" s="27">
        <v>1.0957</v>
      </c>
      <c r="G1821" s="20">
        <v>8103288.0</v>
      </c>
      <c r="H1821" s="16" t="s">
        <v>149</v>
      </c>
      <c r="I1821" s="19">
        <v>1.3072</v>
      </c>
      <c r="J1821" s="20">
        <v>1.24509175E9</v>
      </c>
      <c r="K1821" s="21">
        <v>36.2634</v>
      </c>
      <c r="L1821" s="21">
        <v>0.2992</v>
      </c>
      <c r="M1821" s="16" t="s">
        <v>6226</v>
      </c>
      <c r="N1821" s="16" t="s">
        <v>5698</v>
      </c>
      <c r="O1821" s="21">
        <v>5.0378</v>
      </c>
      <c r="P1821" s="21">
        <v>6.2718</v>
      </c>
      <c r="Q1821" s="21">
        <v>3.0518</v>
      </c>
      <c r="R1821" s="21">
        <v>1.9395</v>
      </c>
      <c r="S1821" s="21">
        <v>1.2936</v>
      </c>
      <c r="T1821" s="22">
        <f>IFERROR(__xludf.DUMMYFUNCTION("IFERROR(GOOGLEFINANCE(B1821,""price""),"""")"),10.92)</f>
        <v>10.92</v>
      </c>
    </row>
    <row r="1822">
      <c r="A1822" s="7">
        <v>46114.668113569176</v>
      </c>
      <c r="B1822" s="8" t="s">
        <v>6227</v>
      </c>
      <c r="C1822" s="8" t="s">
        <v>6228</v>
      </c>
      <c r="D1822" s="9">
        <v>46117.0</v>
      </c>
      <c r="E1822" s="10">
        <v>56.16</v>
      </c>
      <c r="F1822" s="26">
        <v>1.0732</v>
      </c>
      <c r="G1822" s="12">
        <v>9171011.0</v>
      </c>
      <c r="H1822" s="8" t="s">
        <v>186</v>
      </c>
      <c r="I1822" s="11">
        <v>1.2804</v>
      </c>
      <c r="J1822" s="12">
        <v>3.003313248E10</v>
      </c>
      <c r="K1822" s="13">
        <v>8.8645</v>
      </c>
      <c r="L1822" s="13">
        <v>6.3354</v>
      </c>
      <c r="M1822" s="8" t="s">
        <v>6229</v>
      </c>
      <c r="N1822" s="8" t="s">
        <v>5573</v>
      </c>
      <c r="O1822" s="13">
        <v>13.1669</v>
      </c>
      <c r="P1822" s="13">
        <v>26.9193</v>
      </c>
      <c r="Q1822" s="13">
        <v>3.6029</v>
      </c>
      <c r="R1822" s="13">
        <v>1.1538</v>
      </c>
      <c r="S1822" s="13">
        <v>1.032</v>
      </c>
      <c r="T1822" s="14">
        <f>IFERROR(__xludf.DUMMYFUNCTION("IFERROR(GOOGLEFINANCE(B1822,""price""),"""")"),56.09)</f>
        <v>56.09</v>
      </c>
    </row>
    <row r="1823">
      <c r="A1823" s="15">
        <v>46114.668113569176</v>
      </c>
      <c r="B1823" s="16" t="s">
        <v>5477</v>
      </c>
      <c r="C1823" s="16" t="s">
        <v>5478</v>
      </c>
      <c r="D1823" s="17">
        <v>46117.0</v>
      </c>
      <c r="E1823" s="18">
        <v>27.93</v>
      </c>
      <c r="F1823" s="27">
        <v>1.0707</v>
      </c>
      <c r="G1823" s="20">
        <v>2.1196497E7</v>
      </c>
      <c r="H1823" s="16" t="s">
        <v>149</v>
      </c>
      <c r="I1823" s="19">
        <v>-0.4278</v>
      </c>
      <c r="J1823" s="20">
        <v>1.00224012E11</v>
      </c>
      <c r="K1823" s="21">
        <v>5.1955</v>
      </c>
      <c r="L1823" s="21">
        <v>5.3758</v>
      </c>
      <c r="M1823" s="16" t="s">
        <v>5479</v>
      </c>
      <c r="N1823" s="16" t="s">
        <v>5480</v>
      </c>
      <c r="O1823" s="21">
        <v>21.9187</v>
      </c>
      <c r="P1823" s="21">
        <v>16.9011</v>
      </c>
      <c r="Q1823" s="21">
        <v>-0.0186</v>
      </c>
      <c r="R1823" s="21">
        <v>1.0839</v>
      </c>
      <c r="S1823" s="21">
        <v>0.882</v>
      </c>
      <c r="T1823" s="22">
        <f>IFERROR(__xludf.DUMMYFUNCTION("IFERROR(GOOGLEFINANCE(B1823,""price""),"""")"),27.93)</f>
        <v>27.93</v>
      </c>
    </row>
    <row r="1824">
      <c r="A1824" s="7">
        <v>46114.668113569176</v>
      </c>
      <c r="B1824" s="8" t="s">
        <v>6099</v>
      </c>
      <c r="C1824" s="8" t="s">
        <v>6100</v>
      </c>
      <c r="D1824" s="9">
        <v>46117.0</v>
      </c>
      <c r="E1824" s="10">
        <v>3.15</v>
      </c>
      <c r="F1824" s="26">
        <v>1.0469</v>
      </c>
      <c r="G1824" s="12">
        <v>1.2016766E7</v>
      </c>
      <c r="H1824" s="8" t="s">
        <v>245</v>
      </c>
      <c r="I1824" s="11">
        <v>4.6512</v>
      </c>
      <c r="J1824" s="12">
        <v>4.686507E8</v>
      </c>
      <c r="K1824" s="13"/>
      <c r="L1824" s="13">
        <v>-1.0118</v>
      </c>
      <c r="M1824" s="8" t="s">
        <v>6101</v>
      </c>
      <c r="N1824" s="8" t="s">
        <v>5410</v>
      </c>
      <c r="O1824" s="13"/>
      <c r="P1824" s="13">
        <v>-10.5298</v>
      </c>
      <c r="Q1824" s="13">
        <v>-4.5309</v>
      </c>
      <c r="R1824" s="13"/>
      <c r="S1824" s="13">
        <v>1.0213</v>
      </c>
      <c r="T1824" s="14">
        <f>IFERROR(__xludf.DUMMYFUNCTION("IFERROR(GOOGLEFINANCE(B1824,""price""),"""")"),2.76)</f>
        <v>2.76</v>
      </c>
    </row>
    <row r="1825">
      <c r="A1825" s="15">
        <v>46114.668113569176</v>
      </c>
      <c r="B1825" s="16" t="s">
        <v>6230</v>
      </c>
      <c r="C1825" s="16" t="s">
        <v>6231</v>
      </c>
      <c r="D1825" s="17">
        <v>46117.0</v>
      </c>
      <c r="E1825" s="18">
        <v>33.03</v>
      </c>
      <c r="F1825" s="27">
        <v>1.0183</v>
      </c>
      <c r="G1825" s="20">
        <v>8085068.0</v>
      </c>
      <c r="H1825" s="16" t="s">
        <v>286</v>
      </c>
      <c r="I1825" s="19">
        <v>-5.0043</v>
      </c>
      <c r="J1825" s="20">
        <v>9.80572675E9</v>
      </c>
      <c r="K1825" s="21">
        <v>44.4789</v>
      </c>
      <c r="L1825" s="21">
        <v>0.7426</v>
      </c>
      <c r="M1825" s="16" t="s">
        <v>6232</v>
      </c>
      <c r="N1825" s="16" t="s">
        <v>5586</v>
      </c>
      <c r="O1825" s="21">
        <v>13.8284</v>
      </c>
      <c r="P1825" s="21">
        <v>12.5677</v>
      </c>
      <c r="Q1825" s="21">
        <v>38.1017</v>
      </c>
      <c r="R1825" s="21">
        <v>0.3559</v>
      </c>
      <c r="S1825" s="21">
        <v>2.709</v>
      </c>
      <c r="T1825" s="22">
        <f>IFERROR(__xludf.DUMMYFUNCTION("IFERROR(GOOGLEFINANCE(B1825,""price""),"""")"),33.55)</f>
        <v>33.55</v>
      </c>
    </row>
    <row r="1826">
      <c r="A1826" s="7">
        <v>46114.668113569176</v>
      </c>
      <c r="B1826" s="8" t="s">
        <v>6233</v>
      </c>
      <c r="C1826" s="8" t="s">
        <v>6234</v>
      </c>
      <c r="D1826" s="9">
        <v>46117.0</v>
      </c>
      <c r="E1826" s="10">
        <v>8.4</v>
      </c>
      <c r="F1826" s="26">
        <v>0.9883</v>
      </c>
      <c r="G1826" s="12">
        <v>1.5868533E7</v>
      </c>
      <c r="H1826" s="8" t="s">
        <v>335</v>
      </c>
      <c r="I1826" s="11">
        <v>1.5719</v>
      </c>
      <c r="J1826" s="12">
        <v>4.7912844E9</v>
      </c>
      <c r="K1826" s="13"/>
      <c r="L1826" s="13">
        <v>-2.9228</v>
      </c>
      <c r="M1826" s="8" t="s">
        <v>6235</v>
      </c>
      <c r="N1826" s="8" t="s">
        <v>6236</v>
      </c>
      <c r="O1826" s="13">
        <v>-22.9577</v>
      </c>
      <c r="P1826" s="13">
        <v>-7.2488</v>
      </c>
      <c r="Q1826" s="13">
        <v>-2.9971</v>
      </c>
      <c r="R1826" s="13">
        <v>1.2977</v>
      </c>
      <c r="S1826" s="13">
        <v>1.9488</v>
      </c>
      <c r="T1826" s="14">
        <f>IFERROR(__xludf.DUMMYFUNCTION("IFERROR(GOOGLEFINANCE(B1826,""price""),"""")"),9.04)</f>
        <v>9.04</v>
      </c>
    </row>
    <row r="1827">
      <c r="A1827" s="15">
        <v>46114.668113569176</v>
      </c>
      <c r="B1827" s="16" t="s">
        <v>6237</v>
      </c>
      <c r="C1827" s="16" t="s">
        <v>6238</v>
      </c>
      <c r="D1827" s="17">
        <v>46117.0</v>
      </c>
      <c r="E1827" s="18">
        <v>128.68</v>
      </c>
      <c r="F1827" s="27">
        <v>0.9714</v>
      </c>
      <c r="G1827" s="20">
        <v>1.0631825E7</v>
      </c>
      <c r="H1827" s="16" t="s">
        <v>873</v>
      </c>
      <c r="I1827" s="19">
        <v>6.6998</v>
      </c>
      <c r="J1827" s="20">
        <v>2.027057436E10</v>
      </c>
      <c r="K1827" s="21"/>
      <c r="L1827" s="21">
        <v>-50.3231</v>
      </c>
      <c r="M1827" s="16" t="s">
        <v>6239</v>
      </c>
      <c r="N1827" s="16" t="s">
        <v>5557</v>
      </c>
      <c r="O1827" s="21">
        <v>-111.7008</v>
      </c>
      <c r="P1827" s="21">
        <v>-0.6074</v>
      </c>
      <c r="Q1827" s="21">
        <v>-5.1848</v>
      </c>
      <c r="R1827" s="21">
        <v>5.3777</v>
      </c>
      <c r="S1827" s="21">
        <v>0.4152</v>
      </c>
      <c r="T1827" s="22">
        <f>IFERROR(__xludf.DUMMYFUNCTION("IFERROR(GOOGLEFINANCE(B1827,""price""),"""")"),128.59)</f>
        <v>128.59</v>
      </c>
    </row>
    <row r="1828">
      <c r="A1828" s="7">
        <v>46114.668113569176</v>
      </c>
      <c r="B1828" s="8" t="s">
        <v>6078</v>
      </c>
      <c r="C1828" s="8" t="s">
        <v>6079</v>
      </c>
      <c r="D1828" s="9">
        <v>46117.0</v>
      </c>
      <c r="E1828" s="10">
        <v>14.64</v>
      </c>
      <c r="F1828" s="26">
        <v>0.9701</v>
      </c>
      <c r="G1828" s="12">
        <v>3.2198256E7</v>
      </c>
      <c r="H1828" s="8" t="s">
        <v>270</v>
      </c>
      <c r="I1828" s="11">
        <v>-0.2725</v>
      </c>
      <c r="J1828" s="12">
        <v>3.6068324794E10</v>
      </c>
      <c r="K1828" s="13">
        <v>15.827</v>
      </c>
      <c r="L1828" s="13">
        <v>0.925</v>
      </c>
      <c r="M1828" s="8" t="s">
        <v>6080</v>
      </c>
      <c r="N1828" s="8" t="s">
        <v>5777</v>
      </c>
      <c r="O1828" s="13">
        <v>41.9277</v>
      </c>
      <c r="P1828" s="13">
        <v>37.1124</v>
      </c>
      <c r="Q1828" s="13">
        <v>176.9308</v>
      </c>
      <c r="R1828" s="13">
        <v>4.1736</v>
      </c>
      <c r="S1828" s="13">
        <v>0.93</v>
      </c>
      <c r="T1828" s="14">
        <f>IFERROR(__xludf.DUMMYFUNCTION("IFERROR(GOOGLEFINANCE(B1828,""price""),"""")"),12.97)</f>
        <v>12.97</v>
      </c>
    </row>
    <row r="1829">
      <c r="A1829" s="15">
        <v>46114.668113569176</v>
      </c>
      <c r="B1829" s="16" t="s">
        <v>2475</v>
      </c>
      <c r="C1829" s="16" t="s">
        <v>2476</v>
      </c>
      <c r="D1829" s="17">
        <v>46117.0</v>
      </c>
      <c r="E1829" s="18">
        <v>17.77</v>
      </c>
      <c r="F1829" s="27">
        <v>0.9634</v>
      </c>
      <c r="G1829" s="20">
        <v>1.4314414E7</v>
      </c>
      <c r="H1829" s="16" t="s">
        <v>917</v>
      </c>
      <c r="I1829" s="19">
        <v>0.1127</v>
      </c>
      <c r="J1829" s="20">
        <v>3.90579269E10</v>
      </c>
      <c r="K1829" s="21">
        <v>15.2493</v>
      </c>
      <c r="L1829" s="21">
        <v>1.1653</v>
      </c>
      <c r="M1829" s="16" t="s">
        <v>2477</v>
      </c>
      <c r="N1829" s="16" t="s">
        <v>5883</v>
      </c>
      <c r="O1829" s="21">
        <v>8.6235</v>
      </c>
      <c r="P1829" s="21">
        <v>19.5869</v>
      </c>
      <c r="Q1829" s="21">
        <v>2.1131</v>
      </c>
      <c r="R1829" s="21">
        <v>1.8849</v>
      </c>
      <c r="S1829" s="21">
        <v>0.9712</v>
      </c>
      <c r="T1829" s="22">
        <f>IFERROR(__xludf.DUMMYFUNCTION("IFERROR(GOOGLEFINANCE(B1829,""price""),"""")"),18.54)</f>
        <v>18.54</v>
      </c>
    </row>
    <row r="1830">
      <c r="A1830" s="7">
        <v>46114.668113569176</v>
      </c>
      <c r="B1830" s="8" t="s">
        <v>5751</v>
      </c>
      <c r="C1830" s="8" t="s">
        <v>5752</v>
      </c>
      <c r="D1830" s="9">
        <v>46117.0</v>
      </c>
      <c r="E1830" s="10">
        <v>12.86</v>
      </c>
      <c r="F1830" s="26">
        <v>0.9388</v>
      </c>
      <c r="G1830" s="12">
        <v>1.4427491E7</v>
      </c>
      <c r="H1830" s="8" t="s">
        <v>88</v>
      </c>
      <c r="I1830" s="11">
        <v>2.4701</v>
      </c>
      <c r="J1830" s="12">
        <v>4.87556036E9</v>
      </c>
      <c r="K1830" s="13"/>
      <c r="L1830" s="13">
        <v>-1.9177</v>
      </c>
      <c r="M1830" s="8" t="s">
        <v>5753</v>
      </c>
      <c r="N1830" s="8" t="s">
        <v>5664</v>
      </c>
      <c r="O1830" s="13">
        <v>-22.0983</v>
      </c>
      <c r="P1830" s="13">
        <v>-61.7864</v>
      </c>
      <c r="Q1830" s="13">
        <v>71.8894</v>
      </c>
      <c r="R1830" s="13">
        <v>0.3032</v>
      </c>
      <c r="S1830" s="13">
        <v>0.9552</v>
      </c>
      <c r="T1830" s="14">
        <f>IFERROR(__xludf.DUMMYFUNCTION("IFERROR(GOOGLEFINANCE(B1830,""price""),"""")"),16.6)</f>
        <v>16.6</v>
      </c>
    </row>
    <row r="1831">
      <c r="A1831" s="15">
        <v>46114.668113569176</v>
      </c>
      <c r="B1831" s="16" t="s">
        <v>5580</v>
      </c>
      <c r="C1831" s="16" t="s">
        <v>5581</v>
      </c>
      <c r="D1831" s="17">
        <v>46117.0</v>
      </c>
      <c r="E1831" s="18">
        <v>3.11</v>
      </c>
      <c r="F1831" s="27">
        <v>0.9219</v>
      </c>
      <c r="G1831" s="20">
        <v>2.5527643E7</v>
      </c>
      <c r="H1831" s="16" t="s">
        <v>88</v>
      </c>
      <c r="I1831" s="19">
        <v>-0.639</v>
      </c>
      <c r="J1831" s="20">
        <v>1.240353774E9</v>
      </c>
      <c r="K1831" s="21"/>
      <c r="L1831" s="21"/>
      <c r="M1831" s="16" t="s">
        <v>5582</v>
      </c>
      <c r="N1831" s="16" t="s">
        <v>5429</v>
      </c>
      <c r="O1831" s="21"/>
      <c r="P1831" s="21"/>
      <c r="Q1831" s="21"/>
      <c r="R1831" s="21"/>
      <c r="S1831" s="21"/>
      <c r="T1831" s="22">
        <f>IFERROR(__xludf.DUMMYFUNCTION("IFERROR(GOOGLEFINANCE(B1831,""price""),"""")"),2.38)</f>
        <v>2.38</v>
      </c>
    </row>
    <row r="1832">
      <c r="A1832" s="7">
        <v>46115.66777997307</v>
      </c>
      <c r="B1832" s="8" t="s">
        <v>790</v>
      </c>
      <c r="C1832" s="8" t="s">
        <v>791</v>
      </c>
      <c r="D1832" s="9">
        <v>46117.0</v>
      </c>
      <c r="E1832" s="10">
        <v>2.41</v>
      </c>
      <c r="F1832" s="26">
        <v>2.4102</v>
      </c>
      <c r="G1832" s="12">
        <v>8488788.0</v>
      </c>
      <c r="H1832" s="8" t="s">
        <v>245</v>
      </c>
      <c r="I1832" s="11">
        <v>6.6372</v>
      </c>
      <c r="J1832" s="12">
        <v>1.43748306E8</v>
      </c>
      <c r="K1832" s="13"/>
      <c r="L1832" s="13">
        <v>-4.271</v>
      </c>
      <c r="M1832" s="8" t="s">
        <v>792</v>
      </c>
      <c r="N1832" s="8" t="s">
        <v>5776</v>
      </c>
      <c r="O1832" s="13">
        <v>24.2703</v>
      </c>
      <c r="P1832" s="13">
        <v>27.878</v>
      </c>
      <c r="Q1832" s="13">
        <v>18320.007</v>
      </c>
      <c r="R1832" s="13">
        <v>5.6874</v>
      </c>
      <c r="S1832" s="13">
        <v>0.8343</v>
      </c>
      <c r="T1832" s="14">
        <f>IFERROR(__xludf.DUMMYFUNCTION("IFERROR(GOOGLEFINANCE(B1832,""price""),"""")"),1.44)</f>
        <v>1.44</v>
      </c>
    </row>
    <row r="1833">
      <c r="A1833" s="15">
        <v>46115.66777997307</v>
      </c>
      <c r="B1833" s="16" t="s">
        <v>6221</v>
      </c>
      <c r="C1833" s="16" t="s">
        <v>6222</v>
      </c>
      <c r="D1833" s="17">
        <v>46117.0</v>
      </c>
      <c r="E1833" s="18">
        <v>12.54</v>
      </c>
      <c r="F1833" s="27">
        <v>2.1357</v>
      </c>
      <c r="G1833" s="20">
        <v>8891909.0</v>
      </c>
      <c r="H1833" s="16" t="s">
        <v>117</v>
      </c>
      <c r="I1833" s="19">
        <v>16.4345</v>
      </c>
      <c r="J1833" s="20">
        <v>2.24122404E9</v>
      </c>
      <c r="K1833" s="21"/>
      <c r="L1833" s="21">
        <v>-1.613</v>
      </c>
      <c r="M1833" s="16" t="s">
        <v>6223</v>
      </c>
      <c r="N1833" s="16" t="s">
        <v>5502</v>
      </c>
      <c r="O1833" s="21">
        <v>-41.1166</v>
      </c>
      <c r="P1833" s="21">
        <v>-1971.4574</v>
      </c>
      <c r="Q1833" s="21">
        <v>53.4526</v>
      </c>
      <c r="R1833" s="21">
        <v>0.0572</v>
      </c>
      <c r="S1833" s="21">
        <v>22.6085</v>
      </c>
      <c r="T1833" s="22">
        <f>IFERROR(__xludf.DUMMYFUNCTION("IFERROR(GOOGLEFINANCE(B1833,""price""),"""")"),14.94)</f>
        <v>14.94</v>
      </c>
    </row>
    <row r="1834">
      <c r="A1834" s="7">
        <v>46115.66777997307</v>
      </c>
      <c r="B1834" s="8" t="s">
        <v>5617</v>
      </c>
      <c r="C1834" s="8" t="s">
        <v>5618</v>
      </c>
      <c r="D1834" s="9">
        <v>46117.0</v>
      </c>
      <c r="E1834" s="10">
        <v>3.09</v>
      </c>
      <c r="F1834" s="26">
        <v>1.832</v>
      </c>
      <c r="G1834" s="12">
        <v>6.6714786E7</v>
      </c>
      <c r="H1834" s="8" t="s">
        <v>308</v>
      </c>
      <c r="I1834" s="11">
        <v>47.1429</v>
      </c>
      <c r="J1834" s="12">
        <v>2.05237336E8</v>
      </c>
      <c r="K1834" s="13"/>
      <c r="L1834" s="13">
        <v>-1.2872</v>
      </c>
      <c r="M1834" s="8" t="s">
        <v>5619</v>
      </c>
      <c r="N1834" s="8" t="s">
        <v>5437</v>
      </c>
      <c r="O1834" s="13">
        <v>-142.809</v>
      </c>
      <c r="P1834" s="13">
        <v>-488.9575</v>
      </c>
      <c r="Q1834" s="13">
        <v>-30.1811</v>
      </c>
      <c r="R1834" s="13">
        <v>0.4161</v>
      </c>
      <c r="S1834" s="13">
        <v>1.3755</v>
      </c>
      <c r="T1834" s="14">
        <f>IFERROR(__xludf.DUMMYFUNCTION("IFERROR(GOOGLEFINANCE(B1834,""price""),"""")"),4.25)</f>
        <v>4.25</v>
      </c>
    </row>
    <row r="1835">
      <c r="A1835" s="15">
        <v>46115.66777997307</v>
      </c>
      <c r="B1835" s="16" t="s">
        <v>5640</v>
      </c>
      <c r="C1835" s="16" t="s">
        <v>5641</v>
      </c>
      <c r="D1835" s="17">
        <v>46117.0</v>
      </c>
      <c r="E1835" s="18">
        <v>52.84</v>
      </c>
      <c r="F1835" s="27">
        <v>1.46</v>
      </c>
      <c r="G1835" s="20">
        <v>1.5936861E7</v>
      </c>
      <c r="H1835" s="16" t="s">
        <v>308</v>
      </c>
      <c r="I1835" s="19">
        <v>12.0916</v>
      </c>
      <c r="J1835" s="20">
        <v>2.936509024E9</v>
      </c>
      <c r="K1835" s="21"/>
      <c r="L1835" s="21">
        <v>-0.4892</v>
      </c>
      <c r="M1835" s="16" t="s">
        <v>5642</v>
      </c>
      <c r="N1835" s="16" t="s">
        <v>5433</v>
      </c>
      <c r="O1835" s="21">
        <v>-9.1233</v>
      </c>
      <c r="P1835" s="21">
        <v>-24.8806</v>
      </c>
      <c r="Q1835" s="21">
        <v>-11.106</v>
      </c>
      <c r="R1835" s="21">
        <v>0.2562</v>
      </c>
      <c r="S1835" s="21">
        <v>2.7231</v>
      </c>
      <c r="T1835" s="22">
        <f>IFERROR(__xludf.DUMMYFUNCTION("IFERROR(GOOGLEFINANCE(B1835,""price""),"""")"),64.18)</f>
        <v>64.18</v>
      </c>
    </row>
    <row r="1836">
      <c r="A1836" s="7">
        <v>46115.66777997307</v>
      </c>
      <c r="B1836" s="8" t="s">
        <v>2704</v>
      </c>
      <c r="C1836" s="8" t="s">
        <v>2705</v>
      </c>
      <c r="D1836" s="9">
        <v>46117.0</v>
      </c>
      <c r="E1836" s="10">
        <v>24.56</v>
      </c>
      <c r="F1836" s="26">
        <v>1.3934</v>
      </c>
      <c r="G1836" s="12">
        <v>1.9745655E7</v>
      </c>
      <c r="H1836" s="8" t="s">
        <v>88</v>
      </c>
      <c r="I1836" s="11">
        <v>0.2858</v>
      </c>
      <c r="J1836" s="12">
        <v>6.866627739E9</v>
      </c>
      <c r="K1836" s="13"/>
      <c r="L1836" s="13">
        <v>-0.5438</v>
      </c>
      <c r="M1836" s="8" t="s">
        <v>2707</v>
      </c>
      <c r="N1836" s="8" t="s">
        <v>5471</v>
      </c>
      <c r="O1836" s="13">
        <v>-11.4029</v>
      </c>
      <c r="P1836" s="13">
        <v>-26.4624</v>
      </c>
      <c r="Q1836" s="13">
        <v>33.135</v>
      </c>
      <c r="R1836" s="13">
        <v>1.6778</v>
      </c>
      <c r="S1836" s="13">
        <v>4.8227</v>
      </c>
      <c r="T1836" s="14">
        <f>IFERROR(__xludf.DUMMYFUNCTION("IFERROR(GOOGLEFINANCE(B1836,""price""),"""")"),26.24)</f>
        <v>26.24</v>
      </c>
    </row>
    <row r="1837">
      <c r="A1837" s="15">
        <v>46115.66777997307</v>
      </c>
      <c r="B1837" s="16" t="s">
        <v>5604</v>
      </c>
      <c r="C1837" s="16" t="s">
        <v>5605</v>
      </c>
      <c r="D1837" s="17">
        <v>46117.0</v>
      </c>
      <c r="E1837" s="18">
        <v>103.91</v>
      </c>
      <c r="F1837" s="27">
        <v>1.2946</v>
      </c>
      <c r="G1837" s="20">
        <v>2.0042488E7</v>
      </c>
      <c r="H1837" s="16" t="s">
        <v>308</v>
      </c>
      <c r="I1837" s="19">
        <v>20.3358</v>
      </c>
      <c r="J1837" s="20">
        <v>7.813907308E9</v>
      </c>
      <c r="K1837" s="21"/>
      <c r="L1837" s="21">
        <v>-0.6555</v>
      </c>
      <c r="M1837" s="16" t="s">
        <v>5606</v>
      </c>
      <c r="N1837" s="16" t="s">
        <v>5414</v>
      </c>
      <c r="O1837" s="21">
        <v>-7.9391</v>
      </c>
      <c r="P1837" s="21">
        <v>-11.9814</v>
      </c>
      <c r="Q1837" s="21">
        <v>82.7502</v>
      </c>
      <c r="R1837" s="21">
        <v>0.338</v>
      </c>
      <c r="S1837" s="21">
        <v>2.6264</v>
      </c>
      <c r="T1837" s="22">
        <f>IFERROR(__xludf.DUMMYFUNCTION("IFERROR(GOOGLEFINANCE(B1837,""price""),"""")"),150.6)</f>
        <v>150.6</v>
      </c>
    </row>
    <row r="1838">
      <c r="A1838" s="7">
        <v>46115.66777997307</v>
      </c>
      <c r="B1838" s="8" t="s">
        <v>5836</v>
      </c>
      <c r="C1838" s="8" t="s">
        <v>5837</v>
      </c>
      <c r="D1838" s="9">
        <v>46117.0</v>
      </c>
      <c r="E1838" s="10">
        <v>5.355</v>
      </c>
      <c r="F1838" s="26">
        <v>1.2734</v>
      </c>
      <c r="G1838" s="12">
        <v>9160155.0</v>
      </c>
      <c r="H1838" s="8" t="s">
        <v>93</v>
      </c>
      <c r="I1838" s="11">
        <v>-0.2793</v>
      </c>
      <c r="J1838" s="12">
        <v>3.288106017E9</v>
      </c>
      <c r="K1838" s="13"/>
      <c r="L1838" s="13"/>
      <c r="M1838" s="8" t="s">
        <v>5838</v>
      </c>
      <c r="N1838" s="8" t="s">
        <v>5839</v>
      </c>
      <c r="O1838" s="13"/>
      <c r="P1838" s="13"/>
      <c r="Q1838" s="13"/>
      <c r="R1838" s="13">
        <v>0.4147</v>
      </c>
      <c r="S1838" s="13">
        <v>2.8104</v>
      </c>
      <c r="T1838" s="14">
        <f>IFERROR(__xludf.DUMMYFUNCTION("IFERROR(GOOGLEFINANCE(B1838,""price""),"""")"),4.87)</f>
        <v>4.87</v>
      </c>
    </row>
    <row r="1839">
      <c r="A1839" s="15">
        <v>46115.66777997307</v>
      </c>
      <c r="B1839" s="16" t="s">
        <v>5514</v>
      </c>
      <c r="C1839" s="16" t="s">
        <v>5515</v>
      </c>
      <c r="D1839" s="17">
        <v>46117.0</v>
      </c>
      <c r="E1839" s="18">
        <v>7.3</v>
      </c>
      <c r="F1839" s="27">
        <v>1.2549</v>
      </c>
      <c r="G1839" s="20">
        <v>1.4219093E7</v>
      </c>
      <c r="H1839" s="16" t="s">
        <v>117</v>
      </c>
      <c r="I1839" s="19">
        <v>2.2409</v>
      </c>
      <c r="J1839" s="20">
        <v>7.505203E9</v>
      </c>
      <c r="K1839" s="21"/>
      <c r="L1839" s="21">
        <v>-0.3898</v>
      </c>
      <c r="M1839" s="16" t="s">
        <v>5516</v>
      </c>
      <c r="N1839" s="16" t="s">
        <v>5491</v>
      </c>
      <c r="O1839" s="21"/>
      <c r="P1839" s="21">
        <v>-225.9966</v>
      </c>
      <c r="Q1839" s="21">
        <v>668.3147</v>
      </c>
      <c r="R1839" s="21"/>
      <c r="S1839" s="21">
        <v>5.0989</v>
      </c>
      <c r="T1839" s="22">
        <f>IFERROR(__xludf.DUMMYFUNCTION("IFERROR(GOOGLEFINANCE(B1839,""price""),"""")"),7.28)</f>
        <v>7.28</v>
      </c>
    </row>
    <row r="1840">
      <c r="A1840" s="7">
        <v>46115.66777997307</v>
      </c>
      <c r="B1840" s="8" t="s">
        <v>6175</v>
      </c>
      <c r="C1840" s="8" t="s">
        <v>6176</v>
      </c>
      <c r="D1840" s="9">
        <v>46117.0</v>
      </c>
      <c r="E1840" s="10">
        <v>9.02</v>
      </c>
      <c r="F1840" s="26">
        <v>1.1885</v>
      </c>
      <c r="G1840" s="12">
        <v>7824922.0</v>
      </c>
      <c r="H1840" s="8" t="s">
        <v>117</v>
      </c>
      <c r="I1840" s="11">
        <v>-3.838</v>
      </c>
      <c r="J1840" s="12">
        <v>2.26222502E9</v>
      </c>
      <c r="K1840" s="13">
        <v>7.4967</v>
      </c>
      <c r="L1840" s="13">
        <v>1.2032</v>
      </c>
      <c r="M1840" s="8" t="s">
        <v>6177</v>
      </c>
      <c r="N1840" s="8" t="s">
        <v>5502</v>
      </c>
      <c r="O1840" s="13"/>
      <c r="P1840" s="13">
        <v>38.9774</v>
      </c>
      <c r="Q1840" s="13">
        <v>94.1011</v>
      </c>
      <c r="R1840" s="13"/>
      <c r="S1840" s="13">
        <v>2.0623</v>
      </c>
      <c r="T1840" s="14">
        <f>IFERROR(__xludf.DUMMYFUNCTION("IFERROR(GOOGLEFINANCE(B1840,""price""),"""")"),9.56)</f>
        <v>9.56</v>
      </c>
    </row>
    <row r="1841">
      <c r="A1841" s="15">
        <v>46115.66777997307</v>
      </c>
      <c r="B1841" s="16" t="s">
        <v>6212</v>
      </c>
      <c r="C1841" s="16" t="s">
        <v>6213</v>
      </c>
      <c r="D1841" s="17">
        <v>46117.0</v>
      </c>
      <c r="E1841" s="18">
        <v>14.37</v>
      </c>
      <c r="F1841" s="27">
        <v>1.1732</v>
      </c>
      <c r="G1841" s="20">
        <v>8226001.0</v>
      </c>
      <c r="H1841" s="16" t="s">
        <v>335</v>
      </c>
      <c r="I1841" s="19">
        <v>21.4708</v>
      </c>
      <c r="J1841" s="20">
        <v>1.60058808E9</v>
      </c>
      <c r="K1841" s="21"/>
      <c r="L1841" s="21">
        <v>-0.3029</v>
      </c>
      <c r="M1841" s="16" t="s">
        <v>6214</v>
      </c>
      <c r="N1841" s="16" t="s">
        <v>5506</v>
      </c>
      <c r="O1841" s="21">
        <v>-35.4976</v>
      </c>
      <c r="P1841" s="21">
        <v>-7.4098</v>
      </c>
      <c r="Q1841" s="21">
        <v>-14.1692</v>
      </c>
      <c r="R1841" s="21">
        <v>1.9865</v>
      </c>
      <c r="S1841" s="21">
        <v>0.4894</v>
      </c>
      <c r="T1841" s="22">
        <f>IFERROR(__xludf.DUMMYFUNCTION("IFERROR(GOOGLEFINANCE(B1841,""price""),"""")"),14.85)</f>
        <v>14.85</v>
      </c>
    </row>
    <row r="1842">
      <c r="A1842" s="7">
        <v>46115.66777997307</v>
      </c>
      <c r="B1842" s="8" t="s">
        <v>5503</v>
      </c>
      <c r="C1842" s="8" t="s">
        <v>5504</v>
      </c>
      <c r="D1842" s="9">
        <v>46117.0</v>
      </c>
      <c r="E1842" s="10">
        <v>8.4</v>
      </c>
      <c r="F1842" s="26">
        <v>1.1436</v>
      </c>
      <c r="G1842" s="12">
        <v>7692128.0</v>
      </c>
      <c r="H1842" s="8" t="s">
        <v>335</v>
      </c>
      <c r="I1842" s="11">
        <v>1.083</v>
      </c>
      <c r="J1842" s="12">
        <v>1.025428404E9</v>
      </c>
      <c r="K1842" s="13"/>
      <c r="L1842" s="13">
        <v>-1.4123</v>
      </c>
      <c r="M1842" s="8" t="s">
        <v>5505</v>
      </c>
      <c r="N1842" s="8" t="s">
        <v>5445</v>
      </c>
      <c r="O1842" s="13">
        <v>-138.754</v>
      </c>
      <c r="P1842" s="13"/>
      <c r="Q1842" s="13"/>
      <c r="R1842" s="13">
        <v>0.0165</v>
      </c>
      <c r="S1842" s="13">
        <v>0.7469</v>
      </c>
      <c r="T1842" s="14">
        <f>IFERROR(__xludf.DUMMYFUNCTION("IFERROR(GOOGLEFINANCE(B1842,""price""),"""")"),8.87)</f>
        <v>8.87</v>
      </c>
    </row>
    <row r="1843">
      <c r="A1843" s="15">
        <v>46115.66777997307</v>
      </c>
      <c r="B1843" s="16" t="s">
        <v>1077</v>
      </c>
      <c r="C1843" s="16" t="s">
        <v>1078</v>
      </c>
      <c r="D1843" s="17">
        <v>46117.0</v>
      </c>
      <c r="E1843" s="18">
        <v>8.69</v>
      </c>
      <c r="F1843" s="27">
        <v>1.1006</v>
      </c>
      <c r="G1843" s="20">
        <v>9596644.0</v>
      </c>
      <c r="H1843" s="16" t="s">
        <v>335</v>
      </c>
      <c r="I1843" s="19">
        <v>4.6988</v>
      </c>
      <c r="J1843" s="20">
        <v>1.24590268E9</v>
      </c>
      <c r="K1843" s="21"/>
      <c r="L1843" s="21">
        <v>-0.0349</v>
      </c>
      <c r="M1843" s="16" t="s">
        <v>1102</v>
      </c>
      <c r="N1843" s="16" t="s">
        <v>5506</v>
      </c>
      <c r="O1843" s="21">
        <v>-5.1187</v>
      </c>
      <c r="P1843" s="21">
        <v>-22.613</v>
      </c>
      <c r="Q1843" s="21">
        <v>162.805</v>
      </c>
      <c r="R1843" s="21">
        <v>0.0017</v>
      </c>
      <c r="S1843" s="21">
        <v>5.3788</v>
      </c>
      <c r="T1843" s="22">
        <f>IFERROR(__xludf.DUMMYFUNCTION("IFERROR(GOOGLEFINANCE(B1843,""price""),"""")"),8.36)</f>
        <v>8.36</v>
      </c>
    </row>
    <row r="1844">
      <c r="A1844" s="7">
        <v>46115.66777997307</v>
      </c>
      <c r="B1844" s="8" t="s">
        <v>5517</v>
      </c>
      <c r="C1844" s="8" t="s">
        <v>5518</v>
      </c>
      <c r="D1844" s="9">
        <v>46117.0</v>
      </c>
      <c r="E1844" s="10">
        <v>9.73</v>
      </c>
      <c r="F1844" s="26">
        <v>1.0957</v>
      </c>
      <c r="G1844" s="12">
        <v>2.8420893E7</v>
      </c>
      <c r="H1844" s="8" t="s">
        <v>308</v>
      </c>
      <c r="I1844" s="11">
        <v>7.1586</v>
      </c>
      <c r="J1844" s="12">
        <v>1.86792648E9</v>
      </c>
      <c r="K1844" s="13"/>
      <c r="L1844" s="13">
        <v>-2.3761</v>
      </c>
      <c r="M1844" s="8" t="s">
        <v>5519</v>
      </c>
      <c r="N1844" s="8" t="s">
        <v>5520</v>
      </c>
      <c r="O1844" s="13">
        <v>-52.0031</v>
      </c>
      <c r="P1844" s="13">
        <v>-49.6608</v>
      </c>
      <c r="Q1844" s="13">
        <v>10.2861</v>
      </c>
      <c r="R1844" s="13">
        <v>0.1895</v>
      </c>
      <c r="S1844" s="13">
        <v>1.6246</v>
      </c>
      <c r="T1844" s="14">
        <f>IFERROR(__xludf.DUMMYFUNCTION("IFERROR(GOOGLEFINANCE(B1844,""price""),"""")"),9.29)</f>
        <v>9.29</v>
      </c>
    </row>
    <row r="1845">
      <c r="A1845" s="15">
        <v>46115.66777997307</v>
      </c>
      <c r="B1845" s="16" t="s">
        <v>5607</v>
      </c>
      <c r="C1845" s="16" t="s">
        <v>5608</v>
      </c>
      <c r="D1845" s="17">
        <v>46117.0</v>
      </c>
      <c r="E1845" s="18">
        <v>23.99</v>
      </c>
      <c r="F1845" s="27">
        <v>1.0873</v>
      </c>
      <c r="G1845" s="20">
        <v>4.0685124E7</v>
      </c>
      <c r="H1845" s="16" t="s">
        <v>308</v>
      </c>
      <c r="I1845" s="19">
        <v>18.5277</v>
      </c>
      <c r="J1845" s="20">
        <v>3.823347954E9</v>
      </c>
      <c r="K1845" s="21"/>
      <c r="L1845" s="21">
        <v>-0.7255</v>
      </c>
      <c r="M1845" s="16" t="s">
        <v>5609</v>
      </c>
      <c r="N1845" s="16" t="s">
        <v>5520</v>
      </c>
      <c r="O1845" s="21"/>
      <c r="P1845" s="21">
        <v>-36.3941</v>
      </c>
      <c r="Q1845" s="21">
        <v>-7.7134</v>
      </c>
      <c r="R1845" s="21"/>
      <c r="S1845" s="21">
        <v>4.9571</v>
      </c>
      <c r="T1845" s="22">
        <f>IFERROR(__xludf.DUMMYFUNCTION("IFERROR(GOOGLEFINANCE(B1845,""price""),"""")"),23.57)</f>
        <v>23.57</v>
      </c>
    </row>
    <row r="1846">
      <c r="A1846" s="7">
        <v>46115.66777997307</v>
      </c>
      <c r="B1846" s="8" t="s">
        <v>5580</v>
      </c>
      <c r="C1846" s="8" t="s">
        <v>5581</v>
      </c>
      <c r="D1846" s="9">
        <v>46117.0</v>
      </c>
      <c r="E1846" s="10">
        <v>3.11</v>
      </c>
      <c r="F1846" s="26">
        <v>1.082</v>
      </c>
      <c r="G1846" s="12">
        <v>2.5787493E7</v>
      </c>
      <c r="H1846" s="8" t="s">
        <v>88</v>
      </c>
      <c r="I1846" s="11">
        <v>-0.639</v>
      </c>
      <c r="J1846" s="12">
        <v>1.240353774E9</v>
      </c>
      <c r="K1846" s="13"/>
      <c r="L1846" s="13"/>
      <c r="M1846" s="8" t="s">
        <v>5582</v>
      </c>
      <c r="N1846" s="8" t="s">
        <v>5429</v>
      </c>
      <c r="O1846" s="13"/>
      <c r="P1846" s="13"/>
      <c r="Q1846" s="13"/>
      <c r="R1846" s="13"/>
      <c r="S1846" s="13"/>
      <c r="T1846" s="14">
        <f>IFERROR(__xludf.DUMMYFUNCTION("IFERROR(GOOGLEFINANCE(B1846,""price""),"""")"),2.38)</f>
        <v>2.38</v>
      </c>
    </row>
    <row r="1847">
      <c r="A1847" s="15">
        <v>46115.66777997307</v>
      </c>
      <c r="B1847" s="16" t="s">
        <v>6099</v>
      </c>
      <c r="C1847" s="16" t="s">
        <v>6100</v>
      </c>
      <c r="D1847" s="17">
        <v>46117.0</v>
      </c>
      <c r="E1847" s="18">
        <v>3.15</v>
      </c>
      <c r="F1847" s="27">
        <v>1.0781</v>
      </c>
      <c r="G1847" s="20">
        <v>1.2054915E7</v>
      </c>
      <c r="H1847" s="16" t="s">
        <v>245</v>
      </c>
      <c r="I1847" s="19">
        <v>4.6512</v>
      </c>
      <c r="J1847" s="20">
        <v>4.686507E8</v>
      </c>
      <c r="K1847" s="21"/>
      <c r="L1847" s="21">
        <v>-1.0118</v>
      </c>
      <c r="M1847" s="16" t="s">
        <v>6101</v>
      </c>
      <c r="N1847" s="16" t="s">
        <v>5410</v>
      </c>
      <c r="O1847" s="21"/>
      <c r="P1847" s="21">
        <v>-10.5298</v>
      </c>
      <c r="Q1847" s="21">
        <v>-4.5309</v>
      </c>
      <c r="R1847" s="21"/>
      <c r="S1847" s="21">
        <v>1.0213</v>
      </c>
      <c r="T1847" s="22">
        <f>IFERROR(__xludf.DUMMYFUNCTION("IFERROR(GOOGLEFINANCE(B1847,""price""),"""")"),2.76)</f>
        <v>2.76</v>
      </c>
    </row>
    <row r="1848">
      <c r="A1848" s="7">
        <v>46115.66777997307</v>
      </c>
      <c r="B1848" s="8" t="s">
        <v>6187</v>
      </c>
      <c r="C1848" s="8" t="s">
        <v>6188</v>
      </c>
      <c r="D1848" s="9">
        <v>46117.0</v>
      </c>
      <c r="E1848" s="10">
        <v>32.93</v>
      </c>
      <c r="F1848" s="26">
        <v>1.0522</v>
      </c>
      <c r="G1848" s="12">
        <v>7745201.0</v>
      </c>
      <c r="H1848" s="8" t="s">
        <v>308</v>
      </c>
      <c r="I1848" s="11">
        <v>10.6519</v>
      </c>
      <c r="J1848" s="12">
        <v>5.267232532E9</v>
      </c>
      <c r="K1848" s="13"/>
      <c r="L1848" s="13">
        <v>-2.2672</v>
      </c>
      <c r="M1848" s="8" t="s">
        <v>6189</v>
      </c>
      <c r="N1848" s="8" t="s">
        <v>5520</v>
      </c>
      <c r="O1848" s="13">
        <v>-50.4849</v>
      </c>
      <c r="P1848" s="13">
        <v>-160.2215</v>
      </c>
      <c r="Q1848" s="13">
        <v>162.954</v>
      </c>
      <c r="R1848" s="13">
        <v>0.2593</v>
      </c>
      <c r="S1848" s="13">
        <v>4.5096</v>
      </c>
      <c r="T1848" s="14">
        <f>IFERROR(__xludf.DUMMYFUNCTION("IFERROR(GOOGLEFINANCE(B1848,""price""),"""")"),37.54)</f>
        <v>37.54</v>
      </c>
    </row>
    <row r="1849">
      <c r="A1849" s="15">
        <v>46115.66777997307</v>
      </c>
      <c r="B1849" s="16" t="s">
        <v>5649</v>
      </c>
      <c r="C1849" s="16" t="s">
        <v>5650</v>
      </c>
      <c r="D1849" s="17">
        <v>46117.0</v>
      </c>
      <c r="E1849" s="18">
        <v>35.88</v>
      </c>
      <c r="F1849" s="27">
        <v>1.0396</v>
      </c>
      <c r="G1849" s="20">
        <v>2.5891363E7</v>
      </c>
      <c r="H1849" s="16" t="s">
        <v>88</v>
      </c>
      <c r="I1849" s="19">
        <v>16.8349</v>
      </c>
      <c r="J1849" s="20">
        <v>1.15768614E10</v>
      </c>
      <c r="K1849" s="21"/>
      <c r="L1849" s="21">
        <v>-0.7881</v>
      </c>
      <c r="M1849" s="16" t="s">
        <v>5651</v>
      </c>
      <c r="N1849" s="16" t="s">
        <v>5429</v>
      </c>
      <c r="O1849" s="21">
        <v>-78.4035</v>
      </c>
      <c r="P1849" s="21">
        <v>-30.5248</v>
      </c>
      <c r="Q1849" s="21">
        <v>25.9359</v>
      </c>
      <c r="R1849" s="21">
        <v>2.4544</v>
      </c>
      <c r="S1849" s="21">
        <v>1.6475</v>
      </c>
      <c r="T1849" s="22">
        <f>IFERROR(__xludf.DUMMYFUNCTION("IFERROR(GOOGLEFINANCE(B1849,""price""),"""")"),34.67)</f>
        <v>34.67</v>
      </c>
    </row>
    <row r="1850">
      <c r="A1850" s="7">
        <v>46115.66777997307</v>
      </c>
      <c r="B1850" s="8" t="s">
        <v>5533</v>
      </c>
      <c r="C1850" s="8" t="s">
        <v>5534</v>
      </c>
      <c r="D1850" s="9">
        <v>46117.0</v>
      </c>
      <c r="E1850" s="10">
        <v>4.19</v>
      </c>
      <c r="F1850" s="26">
        <v>1.0391</v>
      </c>
      <c r="G1850" s="12">
        <v>1.6574013E7</v>
      </c>
      <c r="H1850" s="8" t="s">
        <v>102</v>
      </c>
      <c r="I1850" s="11">
        <v>-6.4732</v>
      </c>
      <c r="J1850" s="12">
        <v>1.13370087E9</v>
      </c>
      <c r="K1850" s="13"/>
      <c r="L1850" s="13">
        <v>-3.7839</v>
      </c>
      <c r="M1850" s="8" t="s">
        <v>5535</v>
      </c>
      <c r="N1850" s="8" t="s">
        <v>5536</v>
      </c>
      <c r="O1850" s="13">
        <v>-55.984</v>
      </c>
      <c r="P1850" s="13">
        <v>-31.1477</v>
      </c>
      <c r="Q1850" s="13"/>
      <c r="R1850" s="13">
        <v>4.5088</v>
      </c>
      <c r="S1850" s="13">
        <v>1.1293</v>
      </c>
      <c r="T1850" s="14">
        <f>IFERROR(__xludf.DUMMYFUNCTION("IFERROR(GOOGLEFINANCE(B1850,""price""),"""")"),4.69)</f>
        <v>4.69</v>
      </c>
    </row>
    <row r="1851">
      <c r="A1851" s="15">
        <v>46115.66777997307</v>
      </c>
      <c r="B1851" s="16" t="s">
        <v>5527</v>
      </c>
      <c r="C1851" s="16" t="s">
        <v>5528</v>
      </c>
      <c r="D1851" s="17">
        <v>46117.0</v>
      </c>
      <c r="E1851" s="18">
        <v>12.94</v>
      </c>
      <c r="F1851" s="27">
        <v>1.0179</v>
      </c>
      <c r="G1851" s="20">
        <v>1.5096325E7</v>
      </c>
      <c r="H1851" s="16" t="s">
        <v>88</v>
      </c>
      <c r="I1851" s="19">
        <v>6.5021</v>
      </c>
      <c r="J1851" s="20">
        <v>1.56753866E9</v>
      </c>
      <c r="K1851" s="21"/>
      <c r="L1851" s="21">
        <v>-0.7413</v>
      </c>
      <c r="M1851" s="16" t="s">
        <v>5529</v>
      </c>
      <c r="N1851" s="16" t="s">
        <v>5429</v>
      </c>
      <c r="O1851" s="21">
        <v>-48.7073</v>
      </c>
      <c r="P1851" s="21">
        <v>-163.5071</v>
      </c>
      <c r="Q1851" s="21">
        <v>402.7429</v>
      </c>
      <c r="R1851" s="21">
        <v>0.075</v>
      </c>
      <c r="S1851" s="21">
        <v>15.2861</v>
      </c>
      <c r="T1851" s="22">
        <f>IFERROR(__xludf.DUMMYFUNCTION("IFERROR(GOOGLEFINANCE(B1851,""price""),"""")"),12.37)</f>
        <v>12.37</v>
      </c>
    </row>
    <row r="1852">
      <c r="A1852" s="7">
        <v>46115.66777997307</v>
      </c>
      <c r="B1852" s="8" t="s">
        <v>5858</v>
      </c>
      <c r="C1852" s="8" t="s">
        <v>5859</v>
      </c>
      <c r="D1852" s="9">
        <v>46117.0</v>
      </c>
      <c r="E1852" s="10">
        <v>33.5</v>
      </c>
      <c r="F1852" s="26">
        <v>0.996</v>
      </c>
      <c r="G1852" s="12">
        <v>1.2131094E7</v>
      </c>
      <c r="H1852" s="8" t="s">
        <v>88</v>
      </c>
      <c r="I1852" s="11">
        <v>3.5229</v>
      </c>
      <c r="J1852" s="12">
        <v>5.0853E9</v>
      </c>
      <c r="K1852" s="13"/>
      <c r="L1852" s="13">
        <v>-0.8329</v>
      </c>
      <c r="M1852" s="8" t="s">
        <v>5860</v>
      </c>
      <c r="N1852" s="8" t="s">
        <v>5664</v>
      </c>
      <c r="O1852" s="13">
        <v>-12.8431</v>
      </c>
      <c r="P1852" s="13">
        <v>-19.0035</v>
      </c>
      <c r="Q1852" s="13">
        <v>14.7776</v>
      </c>
      <c r="R1852" s="13">
        <v>0.4628</v>
      </c>
      <c r="S1852" s="13">
        <v>2.6119</v>
      </c>
      <c r="T1852" s="14">
        <f>IFERROR(__xludf.DUMMYFUNCTION("IFERROR(GOOGLEFINANCE(B1852,""price""),"""")"),23.07)</f>
        <v>23.07</v>
      </c>
    </row>
    <row r="1853">
      <c r="A1853" s="15">
        <v>46115.66777997307</v>
      </c>
      <c r="B1853" s="16" t="s">
        <v>5554</v>
      </c>
      <c r="C1853" s="16" t="s">
        <v>5555</v>
      </c>
      <c r="D1853" s="17">
        <v>46117.0</v>
      </c>
      <c r="E1853" s="18">
        <v>92.62</v>
      </c>
      <c r="F1853" s="27">
        <v>0.9537</v>
      </c>
      <c r="G1853" s="20">
        <v>1.6939088E7</v>
      </c>
      <c r="H1853" s="16" t="s">
        <v>873</v>
      </c>
      <c r="I1853" s="19">
        <v>10.275</v>
      </c>
      <c r="J1853" s="20">
        <v>2.710403894E10</v>
      </c>
      <c r="K1853" s="21"/>
      <c r="L1853" s="21">
        <v>-1.3255</v>
      </c>
      <c r="M1853" s="16" t="s">
        <v>5556</v>
      </c>
      <c r="N1853" s="16" t="s">
        <v>5557</v>
      </c>
      <c r="O1853" s="21">
        <v>-29.4701</v>
      </c>
      <c r="P1853" s="21">
        <v>-405.6981</v>
      </c>
      <c r="Q1853" s="21">
        <v>1505.206</v>
      </c>
      <c r="R1853" s="21">
        <v>1.2162</v>
      </c>
      <c r="S1853" s="21">
        <v>16.3526</v>
      </c>
      <c r="T1853" s="22">
        <f>IFERROR(__xludf.DUMMYFUNCTION("IFERROR(GOOGLEFINANCE(B1853,""price""),"""")"),94.9)</f>
        <v>94.9</v>
      </c>
    </row>
    <row r="1854">
      <c r="A1854" s="7">
        <v>46115.66777997307</v>
      </c>
      <c r="B1854" s="8" t="s">
        <v>5430</v>
      </c>
      <c r="C1854" s="8" t="s">
        <v>5431</v>
      </c>
      <c r="D1854" s="9">
        <v>46117.0</v>
      </c>
      <c r="E1854" s="10">
        <v>2.41</v>
      </c>
      <c r="F1854" s="26">
        <v>0.9531</v>
      </c>
      <c r="G1854" s="12">
        <v>8.5948165E7</v>
      </c>
      <c r="H1854" s="8" t="s">
        <v>308</v>
      </c>
      <c r="I1854" s="11">
        <v>7.1111</v>
      </c>
      <c r="J1854" s="12">
        <v>3.3594436E9</v>
      </c>
      <c r="K1854" s="13"/>
      <c r="L1854" s="13">
        <v>-1.329</v>
      </c>
      <c r="M1854" s="8" t="s">
        <v>5432</v>
      </c>
      <c r="N1854" s="8" t="s">
        <v>5433</v>
      </c>
      <c r="O1854" s="13">
        <v>-120.3149</v>
      </c>
      <c r="P1854" s="13">
        <v>-95.725</v>
      </c>
      <c r="Q1854" s="13">
        <v>12.8981</v>
      </c>
      <c r="R1854" s="13">
        <v>1.0195</v>
      </c>
      <c r="S1854" s="13">
        <v>2.3097</v>
      </c>
      <c r="T1854" s="14">
        <f>IFERROR(__xludf.DUMMYFUNCTION("IFERROR(GOOGLEFINANCE(B1854,""price""),"""")"),2.74)</f>
        <v>2.74</v>
      </c>
    </row>
    <row r="1855">
      <c r="A1855" s="15">
        <v>46115.66777997307</v>
      </c>
      <c r="B1855" s="16" t="s">
        <v>6043</v>
      </c>
      <c r="C1855" s="16" t="s">
        <v>6044</v>
      </c>
      <c r="D1855" s="17">
        <v>46117.0</v>
      </c>
      <c r="E1855" s="18">
        <v>5.11</v>
      </c>
      <c r="F1855" s="27">
        <v>0.9277</v>
      </c>
      <c r="G1855" s="20">
        <v>8123980.0</v>
      </c>
      <c r="H1855" s="16" t="s">
        <v>93</v>
      </c>
      <c r="I1855" s="19">
        <v>-1.3514</v>
      </c>
      <c r="J1855" s="20">
        <v>1.596163177E9</v>
      </c>
      <c r="K1855" s="21"/>
      <c r="L1855" s="21">
        <v>-2.5108</v>
      </c>
      <c r="M1855" s="16" t="s">
        <v>6045</v>
      </c>
      <c r="N1855" s="16" t="s">
        <v>5590</v>
      </c>
      <c r="O1855" s="21"/>
      <c r="P1855" s="21">
        <v>1.0583</v>
      </c>
      <c r="Q1855" s="21">
        <v>-6.0228</v>
      </c>
      <c r="R1855" s="21"/>
      <c r="S1855" s="21">
        <v>0.5531</v>
      </c>
      <c r="T1855" s="22">
        <f>IFERROR(__xludf.DUMMYFUNCTION("IFERROR(GOOGLEFINANCE(B1855,""price""),"""")"),6.32)</f>
        <v>6.32</v>
      </c>
    </row>
    <row r="1856">
      <c r="A1856" s="7">
        <v>46115.66777997307</v>
      </c>
      <c r="B1856" s="8" t="s">
        <v>5594</v>
      </c>
      <c r="C1856" s="8" t="s">
        <v>5595</v>
      </c>
      <c r="D1856" s="9">
        <v>46117.0</v>
      </c>
      <c r="E1856" s="10">
        <v>14.88</v>
      </c>
      <c r="F1856" s="26">
        <v>0.9245</v>
      </c>
      <c r="G1856" s="12">
        <v>2.2445937E7</v>
      </c>
      <c r="H1856" s="8" t="s">
        <v>88</v>
      </c>
      <c r="I1856" s="11">
        <v>2.7624</v>
      </c>
      <c r="J1856" s="12">
        <v>6.31013184E9</v>
      </c>
      <c r="K1856" s="13"/>
      <c r="L1856" s="13">
        <v>-1.661</v>
      </c>
      <c r="M1856" s="8" t="s">
        <v>5596</v>
      </c>
      <c r="N1856" s="8" t="s">
        <v>5471</v>
      </c>
      <c r="O1856" s="13">
        <v>-343.6909</v>
      </c>
      <c r="P1856" s="13">
        <v>-100.2101</v>
      </c>
      <c r="Q1856" s="13">
        <v>20.2812</v>
      </c>
      <c r="R1856" s="13">
        <v>36.9947</v>
      </c>
      <c r="S1856" s="13">
        <v>2.0038</v>
      </c>
      <c r="T1856" s="14">
        <f>IFERROR(__xludf.DUMMYFUNCTION("IFERROR(GOOGLEFINANCE(B1856,""price""),"""")"),18.88)</f>
        <v>18.88</v>
      </c>
    </row>
    <row r="1857">
      <c r="A1857" s="15">
        <v>46115.66777997307</v>
      </c>
      <c r="B1857" s="16" t="s">
        <v>5544</v>
      </c>
      <c r="C1857" s="16" t="s">
        <v>6105</v>
      </c>
      <c r="D1857" s="17">
        <v>46117.0</v>
      </c>
      <c r="E1857" s="18">
        <v>12.82</v>
      </c>
      <c r="F1857" s="27">
        <v>0.9243</v>
      </c>
      <c r="G1857" s="20">
        <v>1.8962401E7</v>
      </c>
      <c r="H1857" s="16" t="s">
        <v>88</v>
      </c>
      <c r="I1857" s="19">
        <v>1.4241</v>
      </c>
      <c r="J1857" s="20">
        <v>5.19362558E9</v>
      </c>
      <c r="K1857" s="21"/>
      <c r="L1857" s="21">
        <v>-2.0516</v>
      </c>
      <c r="M1857" s="16" t="s">
        <v>5546</v>
      </c>
      <c r="N1857" s="16" t="s">
        <v>5471</v>
      </c>
      <c r="O1857" s="21">
        <v>-110.5547</v>
      </c>
      <c r="P1857" s="21">
        <v>-76.6975</v>
      </c>
      <c r="Q1857" s="21">
        <v>48.0413</v>
      </c>
      <c r="R1857" s="21">
        <v>3.435</v>
      </c>
      <c r="S1857" s="21">
        <v>3.7948</v>
      </c>
      <c r="T1857" s="22">
        <f>IFERROR(__xludf.DUMMYFUNCTION("IFERROR(GOOGLEFINANCE(B1857,""price""),"""")"),16.53)</f>
        <v>16.53</v>
      </c>
    </row>
    <row r="1858">
      <c r="A1858" s="7">
        <v>46115.66777997307</v>
      </c>
      <c r="B1858" s="8" t="s">
        <v>6087</v>
      </c>
      <c r="C1858" s="8" t="s">
        <v>6088</v>
      </c>
      <c r="D1858" s="9">
        <v>46117.0</v>
      </c>
      <c r="E1858" s="10">
        <v>6.11</v>
      </c>
      <c r="F1858" s="26">
        <v>0.9238</v>
      </c>
      <c r="G1858" s="12">
        <v>9542662.0</v>
      </c>
      <c r="H1858" s="8" t="s">
        <v>102</v>
      </c>
      <c r="I1858" s="11">
        <v>9.1071</v>
      </c>
      <c r="J1858" s="12">
        <v>5.54301033E8</v>
      </c>
      <c r="K1858" s="13"/>
      <c r="L1858" s="13">
        <v>-0.6318</v>
      </c>
      <c r="M1858" s="8" t="s">
        <v>6089</v>
      </c>
      <c r="N1858" s="8" t="s">
        <v>5536</v>
      </c>
      <c r="O1858" s="13">
        <v>-104.168</v>
      </c>
      <c r="P1858" s="13">
        <v>-5151.455</v>
      </c>
      <c r="Q1858" s="13">
        <v>535.8653</v>
      </c>
      <c r="R1858" s="13">
        <v>0.1096</v>
      </c>
      <c r="S1858" s="13">
        <v>2.2985</v>
      </c>
      <c r="T1858" s="14">
        <f>IFERROR(__xludf.DUMMYFUNCTION("IFERROR(GOOGLEFINANCE(B1858,""price""),"""")"),7.04)</f>
        <v>7.04</v>
      </c>
    </row>
    <row r="1859">
      <c r="A1859" s="15">
        <v>46115.66777997307</v>
      </c>
      <c r="B1859" s="16" t="s">
        <v>6240</v>
      </c>
      <c r="C1859" s="16" t="s">
        <v>6241</v>
      </c>
      <c r="D1859" s="17">
        <v>46117.0</v>
      </c>
      <c r="E1859" s="18">
        <v>2.53</v>
      </c>
      <c r="F1859" s="27">
        <v>0.9219</v>
      </c>
      <c r="G1859" s="20">
        <v>9190061.0</v>
      </c>
      <c r="H1859" s="16" t="s">
        <v>186</v>
      </c>
      <c r="I1859" s="19">
        <v>1.6064</v>
      </c>
      <c r="J1859" s="20">
        <v>1.62096847E9</v>
      </c>
      <c r="K1859" s="21"/>
      <c r="L1859" s="21">
        <v>-0.294</v>
      </c>
      <c r="M1859" s="16" t="s">
        <v>6242</v>
      </c>
      <c r="N1859" s="16" t="s">
        <v>5573</v>
      </c>
      <c r="O1859" s="21">
        <v>-4.0293</v>
      </c>
      <c r="P1859" s="21">
        <v>6.6756</v>
      </c>
      <c r="Q1859" s="21">
        <v>-3.97</v>
      </c>
      <c r="R1859" s="21">
        <v>0.9249</v>
      </c>
      <c r="S1859" s="21">
        <v>0.835</v>
      </c>
      <c r="T1859" s="22">
        <f>IFERROR(__xludf.DUMMYFUNCTION("IFERROR(GOOGLEFINANCE(B1859,""price""),"""")"),2.17)</f>
        <v>2.17</v>
      </c>
    </row>
    <row r="1860">
      <c r="A1860" s="7">
        <v>46115.66777997307</v>
      </c>
      <c r="B1860" s="8" t="s">
        <v>5484</v>
      </c>
      <c r="C1860" s="8" t="s">
        <v>5485</v>
      </c>
      <c r="D1860" s="9">
        <v>46117.0</v>
      </c>
      <c r="E1860" s="10">
        <v>34.77</v>
      </c>
      <c r="F1860" s="26">
        <v>0.9194</v>
      </c>
      <c r="G1860" s="12">
        <v>3.0118142E7</v>
      </c>
      <c r="H1860" s="8" t="s">
        <v>88</v>
      </c>
      <c r="I1860" s="11">
        <v>1.9947</v>
      </c>
      <c r="J1860" s="12">
        <v>1.1535267175E10</v>
      </c>
      <c r="K1860" s="13">
        <v>39.8373</v>
      </c>
      <c r="L1860" s="13">
        <v>0.8728</v>
      </c>
      <c r="M1860" s="8" t="s">
        <v>5486</v>
      </c>
      <c r="N1860" s="8" t="s">
        <v>5471</v>
      </c>
      <c r="O1860" s="13">
        <v>22.5116</v>
      </c>
      <c r="P1860" s="13">
        <v>-13.85</v>
      </c>
      <c r="Q1860" s="13">
        <v>123.3192</v>
      </c>
      <c r="R1860" s="13">
        <v>1.5302</v>
      </c>
      <c r="S1860" s="13">
        <v>4.9601</v>
      </c>
      <c r="T1860" s="14">
        <f>IFERROR(__xludf.DUMMYFUNCTION("IFERROR(GOOGLEFINANCE(B1860,""price""),"""")"),39.32)</f>
        <v>39.32</v>
      </c>
    </row>
    <row r="1861">
      <c r="A1861" s="15">
        <v>46115.66777997307</v>
      </c>
      <c r="B1861" s="16" t="s">
        <v>5646</v>
      </c>
      <c r="C1861" s="16" t="s">
        <v>5647</v>
      </c>
      <c r="D1861" s="17">
        <v>46117.0</v>
      </c>
      <c r="E1861" s="18">
        <v>826.88</v>
      </c>
      <c r="F1861" s="27">
        <v>0.9181</v>
      </c>
      <c r="G1861" s="20">
        <v>7886041.0</v>
      </c>
      <c r="H1861" s="16" t="s">
        <v>102</v>
      </c>
      <c r="I1861" s="19">
        <v>8.1384</v>
      </c>
      <c r="J1861" s="20">
        <v>5.9039232E10</v>
      </c>
      <c r="K1861" s="21">
        <v>252.8376</v>
      </c>
      <c r="L1861" s="21">
        <v>3.2704</v>
      </c>
      <c r="M1861" s="16" t="s">
        <v>5648</v>
      </c>
      <c r="N1861" s="16" t="s">
        <v>5536</v>
      </c>
      <c r="O1861" s="21">
        <v>29.2745</v>
      </c>
      <c r="P1861" s="21">
        <v>0.589</v>
      </c>
      <c r="Q1861" s="21">
        <v>48.8931</v>
      </c>
      <c r="R1861" s="21">
        <v>3.9248</v>
      </c>
      <c r="S1861" s="21">
        <v>0.606</v>
      </c>
      <c r="T1861" s="22">
        <f>IFERROR(__xludf.DUMMYFUNCTION("IFERROR(GOOGLEFINANCE(B1861,""price""),"""")"),897.3)</f>
        <v>897.3</v>
      </c>
    </row>
    <row r="1862">
      <c r="A1862" s="7">
        <v>46118.67042175134</v>
      </c>
      <c r="B1862" s="8" t="s">
        <v>6243</v>
      </c>
      <c r="C1862" s="8" t="s">
        <v>6244</v>
      </c>
      <c r="D1862" s="9">
        <v>46124.0</v>
      </c>
      <c r="E1862" s="10">
        <v>13.0</v>
      </c>
      <c r="F1862" s="26">
        <v>3.9658</v>
      </c>
      <c r="G1862" s="12">
        <v>2.1829154E7</v>
      </c>
      <c r="H1862" s="8" t="s">
        <v>88</v>
      </c>
      <c r="I1862" s="11">
        <v>53.6643</v>
      </c>
      <c r="J1862" s="12">
        <v>2.8912871E7</v>
      </c>
      <c r="K1862" s="13"/>
      <c r="L1862" s="13">
        <v>-89144.9122</v>
      </c>
      <c r="M1862" s="8" t="s">
        <v>6245</v>
      </c>
      <c r="N1862" s="8" t="s">
        <v>5429</v>
      </c>
      <c r="O1862" s="13">
        <v>-2293.7835</v>
      </c>
      <c r="P1862" s="13"/>
      <c r="Q1862" s="13"/>
      <c r="R1862" s="13">
        <v>1.0668</v>
      </c>
      <c r="S1862" s="13">
        <v>0.5884</v>
      </c>
      <c r="T1862" s="14">
        <f>IFERROR(__xludf.DUMMYFUNCTION("IFERROR(GOOGLEFINANCE(B1862,""price""),"""")"),6.37)</f>
        <v>6.37</v>
      </c>
    </row>
    <row r="1863">
      <c r="A1863" s="15">
        <v>46118.67042175134</v>
      </c>
      <c r="B1863" s="16" t="s">
        <v>1080</v>
      </c>
      <c r="C1863" s="16" t="s">
        <v>1081</v>
      </c>
      <c r="D1863" s="17">
        <v>46124.0</v>
      </c>
      <c r="E1863" s="18">
        <v>52.16</v>
      </c>
      <c r="F1863" s="27">
        <v>1.7026</v>
      </c>
      <c r="G1863" s="20">
        <v>7879002.0</v>
      </c>
      <c r="H1863" s="16" t="s">
        <v>308</v>
      </c>
      <c r="I1863" s="19">
        <v>17.6895</v>
      </c>
      <c r="J1863" s="20">
        <v>1.597519968E9</v>
      </c>
      <c r="K1863" s="21"/>
      <c r="L1863" s="21">
        <v>-0.2955</v>
      </c>
      <c r="M1863" s="16" t="s">
        <v>1082</v>
      </c>
      <c r="N1863" s="16" t="s">
        <v>5433</v>
      </c>
      <c r="O1863" s="21">
        <v>-6.9744</v>
      </c>
      <c r="P1863" s="21">
        <v>-22.8493</v>
      </c>
      <c r="Q1863" s="21">
        <v>4.9552</v>
      </c>
      <c r="R1863" s="21">
        <v>0.0777</v>
      </c>
      <c r="S1863" s="21">
        <v>10.6188</v>
      </c>
      <c r="T1863" s="22">
        <f>IFERROR(__xludf.DUMMYFUNCTION("IFERROR(GOOGLEFINANCE(B1863,""price""),"""")"),70.43)</f>
        <v>70.43</v>
      </c>
    </row>
    <row r="1864">
      <c r="A1864" s="7">
        <v>46118.67042175134</v>
      </c>
      <c r="B1864" s="8" t="s">
        <v>5640</v>
      </c>
      <c r="C1864" s="8" t="s">
        <v>5641</v>
      </c>
      <c r="D1864" s="9">
        <v>46124.0</v>
      </c>
      <c r="E1864" s="10">
        <v>41.99</v>
      </c>
      <c r="F1864" s="26">
        <v>1.7026</v>
      </c>
      <c r="G1864" s="12">
        <v>2.1089253E7</v>
      </c>
      <c r="H1864" s="8" t="s">
        <v>308</v>
      </c>
      <c r="I1864" s="11">
        <v>-20.5337</v>
      </c>
      <c r="J1864" s="12">
        <v>2.333535464E9</v>
      </c>
      <c r="K1864" s="13"/>
      <c r="L1864" s="13">
        <v>-0.4892</v>
      </c>
      <c r="M1864" s="8" t="s">
        <v>5642</v>
      </c>
      <c r="N1864" s="8" t="s">
        <v>5433</v>
      </c>
      <c r="O1864" s="13">
        <v>-9.1233</v>
      </c>
      <c r="P1864" s="13">
        <v>-24.8806</v>
      </c>
      <c r="Q1864" s="13">
        <v>-11.106</v>
      </c>
      <c r="R1864" s="13">
        <v>0.2562</v>
      </c>
      <c r="S1864" s="13">
        <v>2.7231</v>
      </c>
      <c r="T1864" s="14">
        <f>IFERROR(__xludf.DUMMYFUNCTION("IFERROR(GOOGLEFINANCE(B1864,""price""),"""")"),64.18)</f>
        <v>64.18</v>
      </c>
    </row>
    <row r="1865">
      <c r="A1865" s="15">
        <v>46118.67042175134</v>
      </c>
      <c r="B1865" s="16" t="s">
        <v>6218</v>
      </c>
      <c r="C1865" s="16" t="s">
        <v>6219</v>
      </c>
      <c r="D1865" s="17">
        <v>46124.0</v>
      </c>
      <c r="E1865" s="18">
        <v>3.07</v>
      </c>
      <c r="F1865" s="27">
        <v>1.6172</v>
      </c>
      <c r="G1865" s="20">
        <v>3.4372664E7</v>
      </c>
      <c r="H1865" s="16" t="s">
        <v>308</v>
      </c>
      <c r="I1865" s="19">
        <v>24.7967</v>
      </c>
      <c r="J1865" s="20">
        <v>2.24507258E8</v>
      </c>
      <c r="K1865" s="21"/>
      <c r="L1865" s="21">
        <v>-7.4709</v>
      </c>
      <c r="M1865" s="16" t="s">
        <v>6220</v>
      </c>
      <c r="N1865" s="16" t="s">
        <v>5520</v>
      </c>
      <c r="O1865" s="21">
        <v>-98.8689</v>
      </c>
      <c r="P1865" s="21">
        <v>-18308.7899</v>
      </c>
      <c r="Q1865" s="21">
        <v>-82.3598</v>
      </c>
      <c r="R1865" s="21">
        <v>2.1007</v>
      </c>
      <c r="S1865" s="21">
        <v>2.8684</v>
      </c>
      <c r="T1865" s="22">
        <f>IFERROR(__xludf.DUMMYFUNCTION("IFERROR(GOOGLEFINANCE(B1865,""price""),"""")"),3.02)</f>
        <v>3.02</v>
      </c>
    </row>
    <row r="1866">
      <c r="A1866" s="7">
        <v>46118.67042175134</v>
      </c>
      <c r="B1866" s="8" t="s">
        <v>6240</v>
      </c>
      <c r="C1866" s="8" t="s">
        <v>6241</v>
      </c>
      <c r="D1866" s="9">
        <v>46124.0</v>
      </c>
      <c r="E1866" s="10">
        <v>2.48</v>
      </c>
      <c r="F1866" s="26">
        <v>1.6055</v>
      </c>
      <c r="G1866" s="12">
        <v>9622869.0</v>
      </c>
      <c r="H1866" s="8" t="s">
        <v>186</v>
      </c>
      <c r="I1866" s="11">
        <v>-1.9763</v>
      </c>
      <c r="J1866" s="12">
        <v>1.58893352E9</v>
      </c>
      <c r="K1866" s="13"/>
      <c r="L1866" s="13">
        <v>-0.294</v>
      </c>
      <c r="M1866" s="8" t="s">
        <v>6242</v>
      </c>
      <c r="N1866" s="8" t="s">
        <v>5573</v>
      </c>
      <c r="O1866" s="13">
        <v>-4.0293</v>
      </c>
      <c r="P1866" s="13">
        <v>6.6756</v>
      </c>
      <c r="Q1866" s="13">
        <v>-3.97</v>
      </c>
      <c r="R1866" s="13">
        <v>0.9249</v>
      </c>
      <c r="S1866" s="13">
        <v>0.835</v>
      </c>
      <c r="T1866" s="14">
        <f>IFERROR(__xludf.DUMMYFUNCTION("IFERROR(GOOGLEFINANCE(B1866,""price""),"""")"),2.17)</f>
        <v>2.17</v>
      </c>
    </row>
    <row r="1867">
      <c r="A1867" s="15">
        <v>46118.67042175134</v>
      </c>
      <c r="B1867" s="16" t="s">
        <v>2704</v>
      </c>
      <c r="C1867" s="16" t="s">
        <v>2705</v>
      </c>
      <c r="D1867" s="17">
        <v>46124.0</v>
      </c>
      <c r="E1867" s="18">
        <v>25.19</v>
      </c>
      <c r="F1867" s="27">
        <v>1.585</v>
      </c>
      <c r="G1867" s="20">
        <v>1.7747823E7</v>
      </c>
      <c r="H1867" s="16" t="s">
        <v>88</v>
      </c>
      <c r="I1867" s="19">
        <v>2.5651</v>
      </c>
      <c r="J1867" s="20">
        <v>7.042766806E9</v>
      </c>
      <c r="K1867" s="21"/>
      <c r="L1867" s="21">
        <v>-0.5438</v>
      </c>
      <c r="M1867" s="16" t="s">
        <v>2707</v>
      </c>
      <c r="N1867" s="16" t="s">
        <v>5471</v>
      </c>
      <c r="O1867" s="21">
        <v>-11.4029</v>
      </c>
      <c r="P1867" s="21">
        <v>-26.4624</v>
      </c>
      <c r="Q1867" s="21">
        <v>33.135</v>
      </c>
      <c r="R1867" s="21">
        <v>1.6778</v>
      </c>
      <c r="S1867" s="21">
        <v>4.8227</v>
      </c>
      <c r="T1867" s="22">
        <f>IFERROR(__xludf.DUMMYFUNCTION("IFERROR(GOOGLEFINANCE(B1867,""price""),"""")"),26.24)</f>
        <v>26.24</v>
      </c>
    </row>
    <row r="1868">
      <c r="A1868" s="7">
        <v>46118.67042175134</v>
      </c>
      <c r="B1868" s="8" t="s">
        <v>6246</v>
      </c>
      <c r="C1868" s="8" t="s">
        <v>6247</v>
      </c>
      <c r="D1868" s="9">
        <v>46124.0</v>
      </c>
      <c r="E1868" s="10">
        <v>2.55</v>
      </c>
      <c r="F1868" s="26">
        <v>1.5781</v>
      </c>
      <c r="G1868" s="12">
        <v>9807943.0</v>
      </c>
      <c r="H1868" s="8" t="s">
        <v>117</v>
      </c>
      <c r="I1868" s="11">
        <v>-2.2989</v>
      </c>
      <c r="J1868" s="12">
        <v>6.548655E8</v>
      </c>
      <c r="K1868" s="13"/>
      <c r="L1868" s="13">
        <v>-0.2095</v>
      </c>
      <c r="M1868" s="8" t="s">
        <v>6248</v>
      </c>
      <c r="N1868" s="8" t="s">
        <v>5491</v>
      </c>
      <c r="O1868" s="13"/>
      <c r="P1868" s="13">
        <v>14.9511</v>
      </c>
      <c r="Q1868" s="13">
        <v>21.3115</v>
      </c>
      <c r="R1868" s="13"/>
      <c r="S1868" s="13">
        <v>1.5377</v>
      </c>
      <c r="T1868" s="14">
        <f>IFERROR(__xludf.DUMMYFUNCTION("IFERROR(GOOGLEFINANCE(B1868,""price""),"""")"),2.17)</f>
        <v>2.17</v>
      </c>
    </row>
    <row r="1869">
      <c r="A1869" s="15">
        <v>46118.67042175134</v>
      </c>
      <c r="B1869" s="16" t="s">
        <v>5604</v>
      </c>
      <c r="C1869" s="16" t="s">
        <v>5605</v>
      </c>
      <c r="D1869" s="17">
        <v>46124.0</v>
      </c>
      <c r="E1869" s="18">
        <v>107.45</v>
      </c>
      <c r="F1869" s="27">
        <v>1.4053</v>
      </c>
      <c r="G1869" s="20">
        <v>1.6946135E7</v>
      </c>
      <c r="H1869" s="16" t="s">
        <v>308</v>
      </c>
      <c r="I1869" s="19">
        <v>3.4068</v>
      </c>
      <c r="J1869" s="20">
        <v>8.08011106E9</v>
      </c>
      <c r="K1869" s="21"/>
      <c r="L1869" s="21">
        <v>-0.6555</v>
      </c>
      <c r="M1869" s="16" t="s">
        <v>5606</v>
      </c>
      <c r="N1869" s="16" t="s">
        <v>5414</v>
      </c>
      <c r="O1869" s="21">
        <v>-7.9391</v>
      </c>
      <c r="P1869" s="21">
        <v>-11.9814</v>
      </c>
      <c r="Q1869" s="21">
        <v>82.7502</v>
      </c>
      <c r="R1869" s="21">
        <v>0.338</v>
      </c>
      <c r="S1869" s="21">
        <v>2.6264</v>
      </c>
      <c r="T1869" s="22">
        <f>IFERROR(__xludf.DUMMYFUNCTION("IFERROR(GOOGLEFINANCE(B1869,""price""),"""")"),150.6)</f>
        <v>150.6</v>
      </c>
    </row>
    <row r="1870">
      <c r="A1870" s="7">
        <v>46118.67042175134</v>
      </c>
      <c r="B1870" s="8" t="s">
        <v>5836</v>
      </c>
      <c r="C1870" s="8" t="s">
        <v>5837</v>
      </c>
      <c r="D1870" s="9">
        <v>46124.0</v>
      </c>
      <c r="E1870" s="10">
        <v>5.13</v>
      </c>
      <c r="F1870" s="26">
        <v>1.3047</v>
      </c>
      <c r="G1870" s="12">
        <v>1.2042022E7</v>
      </c>
      <c r="H1870" s="8" t="s">
        <v>93</v>
      </c>
      <c r="I1870" s="11">
        <v>-4.2017</v>
      </c>
      <c r="J1870" s="12">
        <v>3.149950302E9</v>
      </c>
      <c r="K1870" s="13"/>
      <c r="L1870" s="13"/>
      <c r="M1870" s="8" t="s">
        <v>5838</v>
      </c>
      <c r="N1870" s="8" t="s">
        <v>5839</v>
      </c>
      <c r="O1870" s="13"/>
      <c r="P1870" s="13"/>
      <c r="Q1870" s="13"/>
      <c r="R1870" s="13">
        <v>0.4147</v>
      </c>
      <c r="S1870" s="13">
        <v>2.8104</v>
      </c>
      <c r="T1870" s="14">
        <f>IFERROR(__xludf.DUMMYFUNCTION("IFERROR(GOOGLEFINANCE(B1870,""price""),"""")"),4.87)</f>
        <v>4.87</v>
      </c>
    </row>
    <row r="1871">
      <c r="A1871" s="15">
        <v>46118.67042175134</v>
      </c>
      <c r="B1871" s="16" t="s">
        <v>1077</v>
      </c>
      <c r="C1871" s="16" t="s">
        <v>1078</v>
      </c>
      <c r="D1871" s="17">
        <v>46124.0</v>
      </c>
      <c r="E1871" s="18">
        <v>8.28</v>
      </c>
      <c r="F1871" s="27">
        <v>1.2881</v>
      </c>
      <c r="G1871" s="20">
        <v>7386318.0</v>
      </c>
      <c r="H1871" s="16" t="s">
        <v>335</v>
      </c>
      <c r="I1871" s="19">
        <v>-4.7181</v>
      </c>
      <c r="J1871" s="20">
        <v>1.18712016E9</v>
      </c>
      <c r="K1871" s="21"/>
      <c r="L1871" s="21">
        <v>-0.0349</v>
      </c>
      <c r="M1871" s="16" t="s">
        <v>1102</v>
      </c>
      <c r="N1871" s="16" t="s">
        <v>5506</v>
      </c>
      <c r="O1871" s="21">
        <v>-5.1187</v>
      </c>
      <c r="P1871" s="21">
        <v>-22.613</v>
      </c>
      <c r="Q1871" s="21">
        <v>162.805</v>
      </c>
      <c r="R1871" s="21">
        <v>0.0017</v>
      </c>
      <c r="S1871" s="21">
        <v>5.3788</v>
      </c>
      <c r="T1871" s="22">
        <f>IFERROR(__xludf.DUMMYFUNCTION("IFERROR(GOOGLEFINANCE(B1871,""price""),"""")"),8.36)</f>
        <v>8.36</v>
      </c>
    </row>
    <row r="1872">
      <c r="A1872" s="7">
        <v>46118.67042175134</v>
      </c>
      <c r="B1872" s="8" t="s">
        <v>5764</v>
      </c>
      <c r="C1872" s="8" t="s">
        <v>5765</v>
      </c>
      <c r="D1872" s="9">
        <v>46124.0</v>
      </c>
      <c r="E1872" s="10">
        <v>12.07</v>
      </c>
      <c r="F1872" s="26">
        <v>1.2725</v>
      </c>
      <c r="G1872" s="12">
        <v>7179112.0</v>
      </c>
      <c r="H1872" s="8" t="s">
        <v>88</v>
      </c>
      <c r="I1872" s="11">
        <v>23.5415</v>
      </c>
      <c r="J1872" s="12">
        <v>1.058925896E9</v>
      </c>
      <c r="K1872" s="13">
        <v>2.805</v>
      </c>
      <c r="L1872" s="13">
        <v>4.3031</v>
      </c>
      <c r="M1872" s="8" t="s">
        <v>5766</v>
      </c>
      <c r="N1872" s="8" t="s">
        <v>5495</v>
      </c>
      <c r="O1872" s="13"/>
      <c r="P1872" s="13">
        <v>-5.3292</v>
      </c>
      <c r="Q1872" s="13">
        <v>1.7001</v>
      </c>
      <c r="R1872" s="13">
        <v>1.5011</v>
      </c>
      <c r="S1872" s="13">
        <v>0.8446</v>
      </c>
      <c r="T1872" s="14">
        <f>IFERROR(__xludf.DUMMYFUNCTION("IFERROR(GOOGLEFINANCE(B1872,""price""),"""")"),11.7)</f>
        <v>11.7</v>
      </c>
    </row>
    <row r="1873">
      <c r="A1873" s="15">
        <v>46118.67042175134</v>
      </c>
      <c r="B1873" s="16" t="s">
        <v>6145</v>
      </c>
      <c r="C1873" s="16" t="s">
        <v>6146</v>
      </c>
      <c r="D1873" s="17">
        <v>46124.0</v>
      </c>
      <c r="E1873" s="18">
        <v>7.87</v>
      </c>
      <c r="F1873" s="27">
        <v>1.2188</v>
      </c>
      <c r="G1873" s="20">
        <v>7558401.0</v>
      </c>
      <c r="H1873" s="16" t="s">
        <v>107</v>
      </c>
      <c r="I1873" s="19">
        <v>2.7415</v>
      </c>
      <c r="J1873" s="20">
        <v>1.17129997E9</v>
      </c>
      <c r="K1873" s="21"/>
      <c r="L1873" s="21">
        <v>-0.1523</v>
      </c>
      <c r="M1873" s="16" t="s">
        <v>6147</v>
      </c>
      <c r="N1873" s="16" t="s">
        <v>5613</v>
      </c>
      <c r="O1873" s="21">
        <v>-36.2882</v>
      </c>
      <c r="P1873" s="21">
        <v>-8467.5962</v>
      </c>
      <c r="Q1873" s="21">
        <v>147.7433</v>
      </c>
      <c r="R1873" s="21">
        <v>0.0348</v>
      </c>
      <c r="S1873" s="21">
        <v>32.6897</v>
      </c>
      <c r="T1873" s="22">
        <f>IFERROR(__xludf.DUMMYFUNCTION("IFERROR(GOOGLEFINANCE(B1873,""price""),"""")"),10.6)</f>
        <v>10.6</v>
      </c>
    </row>
    <row r="1874">
      <c r="A1874" s="7">
        <v>46118.67042175134</v>
      </c>
      <c r="B1874" s="8" t="s">
        <v>5580</v>
      </c>
      <c r="C1874" s="8" t="s">
        <v>5581</v>
      </c>
      <c r="D1874" s="9">
        <v>46124.0</v>
      </c>
      <c r="E1874" s="10">
        <v>2.96</v>
      </c>
      <c r="F1874" s="26">
        <v>1.1641</v>
      </c>
      <c r="G1874" s="12">
        <v>1.9570984E7</v>
      </c>
      <c r="H1874" s="8" t="s">
        <v>88</v>
      </c>
      <c r="I1874" s="11">
        <v>-4.8232</v>
      </c>
      <c r="J1874" s="12">
        <v>1.180529637E9</v>
      </c>
      <c r="K1874" s="13"/>
      <c r="L1874" s="13"/>
      <c r="M1874" s="8" t="s">
        <v>5582</v>
      </c>
      <c r="N1874" s="8" t="s">
        <v>5429</v>
      </c>
      <c r="O1874" s="13"/>
      <c r="P1874" s="13"/>
      <c r="Q1874" s="13"/>
      <c r="R1874" s="13"/>
      <c r="S1874" s="13"/>
      <c r="T1874" s="14">
        <f>IFERROR(__xludf.DUMMYFUNCTION("IFERROR(GOOGLEFINANCE(B1874,""price""),"""")"),2.38)</f>
        <v>2.38</v>
      </c>
    </row>
    <row r="1875">
      <c r="A1875" s="15">
        <v>46118.67042175134</v>
      </c>
      <c r="B1875" s="16" t="s">
        <v>5517</v>
      </c>
      <c r="C1875" s="16" t="s">
        <v>5518</v>
      </c>
      <c r="D1875" s="17">
        <v>46124.0</v>
      </c>
      <c r="E1875" s="18">
        <v>9.91</v>
      </c>
      <c r="F1875" s="27">
        <v>1.1416</v>
      </c>
      <c r="G1875" s="20">
        <v>1.7159366E7</v>
      </c>
      <c r="H1875" s="16" t="s">
        <v>308</v>
      </c>
      <c r="I1875" s="19">
        <v>1.8499</v>
      </c>
      <c r="J1875" s="20">
        <v>1.90248216E9</v>
      </c>
      <c r="K1875" s="21"/>
      <c r="L1875" s="21">
        <v>-2.3761</v>
      </c>
      <c r="M1875" s="16" t="s">
        <v>5519</v>
      </c>
      <c r="N1875" s="16" t="s">
        <v>5520</v>
      </c>
      <c r="O1875" s="21">
        <v>-52.0031</v>
      </c>
      <c r="P1875" s="21">
        <v>-49.6608</v>
      </c>
      <c r="Q1875" s="21">
        <v>10.2861</v>
      </c>
      <c r="R1875" s="21">
        <v>0.1895</v>
      </c>
      <c r="S1875" s="21">
        <v>1.6246</v>
      </c>
      <c r="T1875" s="22">
        <f>IFERROR(__xludf.DUMMYFUNCTION("IFERROR(GOOGLEFINANCE(B1875,""price""),"""")"),9.29)</f>
        <v>9.29</v>
      </c>
    </row>
    <row r="1876">
      <c r="A1876" s="7">
        <v>46118.67042175134</v>
      </c>
      <c r="B1876" s="8" t="s">
        <v>5527</v>
      </c>
      <c r="C1876" s="8" t="s">
        <v>5528</v>
      </c>
      <c r="D1876" s="9">
        <v>46124.0</v>
      </c>
      <c r="E1876" s="10">
        <v>13.06</v>
      </c>
      <c r="F1876" s="26">
        <v>1.1198</v>
      </c>
      <c r="G1876" s="12">
        <v>1.2156302E7</v>
      </c>
      <c r="H1876" s="8" t="s">
        <v>88</v>
      </c>
      <c r="I1876" s="11">
        <v>0.9274</v>
      </c>
      <c r="J1876" s="12">
        <v>1.58207534E9</v>
      </c>
      <c r="K1876" s="13"/>
      <c r="L1876" s="13">
        <v>-0.7413</v>
      </c>
      <c r="M1876" s="8" t="s">
        <v>5529</v>
      </c>
      <c r="N1876" s="8" t="s">
        <v>5429</v>
      </c>
      <c r="O1876" s="13">
        <v>-48.7073</v>
      </c>
      <c r="P1876" s="13">
        <v>-163.5071</v>
      </c>
      <c r="Q1876" s="13">
        <v>402.7429</v>
      </c>
      <c r="R1876" s="13">
        <v>0.075</v>
      </c>
      <c r="S1876" s="13">
        <v>15.2861</v>
      </c>
      <c r="T1876" s="14">
        <f>IFERROR(__xludf.DUMMYFUNCTION("IFERROR(GOOGLEFINANCE(B1876,""price""),"""")"),12.37)</f>
        <v>12.37</v>
      </c>
    </row>
    <row r="1877">
      <c r="A1877" s="15">
        <v>46118.67042175134</v>
      </c>
      <c r="B1877" s="16" t="s">
        <v>6187</v>
      </c>
      <c r="C1877" s="16" t="s">
        <v>6188</v>
      </c>
      <c r="D1877" s="17">
        <v>46124.0</v>
      </c>
      <c r="E1877" s="18">
        <v>34.85</v>
      </c>
      <c r="F1877" s="27">
        <v>1.1109</v>
      </c>
      <c r="G1877" s="20">
        <v>9994730.0</v>
      </c>
      <c r="H1877" s="16" t="s">
        <v>308</v>
      </c>
      <c r="I1877" s="19">
        <v>5.8305</v>
      </c>
      <c r="J1877" s="20">
        <v>5.57434114E9</v>
      </c>
      <c r="K1877" s="21"/>
      <c r="L1877" s="21">
        <v>-2.2672</v>
      </c>
      <c r="M1877" s="16" t="s">
        <v>6189</v>
      </c>
      <c r="N1877" s="16" t="s">
        <v>5520</v>
      </c>
      <c r="O1877" s="21">
        <v>-50.4849</v>
      </c>
      <c r="P1877" s="21">
        <v>-160.2215</v>
      </c>
      <c r="Q1877" s="21">
        <v>162.954</v>
      </c>
      <c r="R1877" s="21">
        <v>0.2593</v>
      </c>
      <c r="S1877" s="21">
        <v>4.5096</v>
      </c>
      <c r="T1877" s="22">
        <f>IFERROR(__xludf.DUMMYFUNCTION("IFERROR(GOOGLEFINANCE(B1877,""price""),"""")"),37.54)</f>
        <v>37.54</v>
      </c>
    </row>
    <row r="1878">
      <c r="A1878" s="7">
        <v>46118.67042175134</v>
      </c>
      <c r="B1878" s="8" t="s">
        <v>6099</v>
      </c>
      <c r="C1878" s="8" t="s">
        <v>6100</v>
      </c>
      <c r="D1878" s="9">
        <v>46124.0</v>
      </c>
      <c r="E1878" s="10">
        <v>3.42</v>
      </c>
      <c r="F1878" s="26">
        <v>1.0938</v>
      </c>
      <c r="G1878" s="12">
        <v>1.2680838E7</v>
      </c>
      <c r="H1878" s="8" t="s">
        <v>245</v>
      </c>
      <c r="I1878" s="11">
        <v>8.5714</v>
      </c>
      <c r="J1878" s="12">
        <v>5.0882076E8</v>
      </c>
      <c r="K1878" s="13"/>
      <c r="L1878" s="13">
        <v>-1.0118</v>
      </c>
      <c r="M1878" s="8" t="s">
        <v>6101</v>
      </c>
      <c r="N1878" s="8" t="s">
        <v>5410</v>
      </c>
      <c r="O1878" s="13"/>
      <c r="P1878" s="13">
        <v>-10.5298</v>
      </c>
      <c r="Q1878" s="13">
        <v>-4.5309</v>
      </c>
      <c r="R1878" s="13"/>
      <c r="S1878" s="13">
        <v>1.0213</v>
      </c>
      <c r="T1878" s="14">
        <f>IFERROR(__xludf.DUMMYFUNCTION("IFERROR(GOOGLEFINANCE(B1878,""price""),"""")"),2.76)</f>
        <v>2.76</v>
      </c>
    </row>
    <row r="1879">
      <c r="A1879" s="15">
        <v>46118.67042175134</v>
      </c>
      <c r="B1879" s="16" t="s">
        <v>5607</v>
      </c>
      <c r="C1879" s="16" t="s">
        <v>5608</v>
      </c>
      <c r="D1879" s="17">
        <v>46124.0</v>
      </c>
      <c r="E1879" s="18">
        <v>22.92</v>
      </c>
      <c r="F1879" s="27">
        <v>1.0908</v>
      </c>
      <c r="G1879" s="20">
        <v>1.8359647E7</v>
      </c>
      <c r="H1879" s="16" t="s">
        <v>308</v>
      </c>
      <c r="I1879" s="19">
        <v>-4.4602</v>
      </c>
      <c r="J1879" s="20">
        <v>3.652819304E9</v>
      </c>
      <c r="K1879" s="21"/>
      <c r="L1879" s="21">
        <v>-0.7255</v>
      </c>
      <c r="M1879" s="16" t="s">
        <v>5609</v>
      </c>
      <c r="N1879" s="16" t="s">
        <v>5520</v>
      </c>
      <c r="O1879" s="21"/>
      <c r="P1879" s="21">
        <v>-36.3941</v>
      </c>
      <c r="Q1879" s="21">
        <v>-7.7134</v>
      </c>
      <c r="R1879" s="21"/>
      <c r="S1879" s="21">
        <v>4.9571</v>
      </c>
      <c r="T1879" s="22">
        <f>IFERROR(__xludf.DUMMYFUNCTION("IFERROR(GOOGLEFINANCE(B1879,""price""),"""")"),23.57)</f>
        <v>23.57</v>
      </c>
    </row>
    <row r="1880">
      <c r="A1880" s="7">
        <v>46118.67042175134</v>
      </c>
      <c r="B1880" s="8" t="s">
        <v>5533</v>
      </c>
      <c r="C1880" s="8" t="s">
        <v>5534</v>
      </c>
      <c r="D1880" s="9">
        <v>46124.0</v>
      </c>
      <c r="E1880" s="10">
        <v>4.05</v>
      </c>
      <c r="F1880" s="26">
        <v>1.0625</v>
      </c>
      <c r="G1880" s="12">
        <v>1.3467846E7</v>
      </c>
      <c r="H1880" s="8" t="s">
        <v>102</v>
      </c>
      <c r="I1880" s="11">
        <v>-3.3413</v>
      </c>
      <c r="J1880" s="12">
        <v>1.09582065E9</v>
      </c>
      <c r="K1880" s="13"/>
      <c r="L1880" s="13">
        <v>-3.7839</v>
      </c>
      <c r="M1880" s="8" t="s">
        <v>5535</v>
      </c>
      <c r="N1880" s="8" t="s">
        <v>5536</v>
      </c>
      <c r="O1880" s="13">
        <v>-55.984</v>
      </c>
      <c r="P1880" s="13">
        <v>-31.1477</v>
      </c>
      <c r="Q1880" s="13"/>
      <c r="R1880" s="13">
        <v>4.5088</v>
      </c>
      <c r="S1880" s="13">
        <v>1.1293</v>
      </c>
      <c r="T1880" s="14">
        <f>IFERROR(__xludf.DUMMYFUNCTION("IFERROR(GOOGLEFINANCE(B1880,""price""),"""")"),4.69)</f>
        <v>4.69</v>
      </c>
    </row>
    <row r="1881">
      <c r="A1881" s="15">
        <v>46118.67042175134</v>
      </c>
      <c r="B1881" s="16" t="s">
        <v>5858</v>
      </c>
      <c r="C1881" s="16" t="s">
        <v>5859</v>
      </c>
      <c r="D1881" s="17">
        <v>46124.0</v>
      </c>
      <c r="E1881" s="18">
        <v>31.54</v>
      </c>
      <c r="F1881" s="27">
        <v>1.0365</v>
      </c>
      <c r="G1881" s="20">
        <v>1.0269966E7</v>
      </c>
      <c r="H1881" s="16" t="s">
        <v>88</v>
      </c>
      <c r="I1881" s="19">
        <v>-5.8507</v>
      </c>
      <c r="J1881" s="20">
        <v>4.787772E9</v>
      </c>
      <c r="K1881" s="21"/>
      <c r="L1881" s="21">
        <v>-0.8329</v>
      </c>
      <c r="M1881" s="16" t="s">
        <v>5860</v>
      </c>
      <c r="N1881" s="16" t="s">
        <v>5664</v>
      </c>
      <c r="O1881" s="21">
        <v>-12.8431</v>
      </c>
      <c r="P1881" s="21">
        <v>-19.0035</v>
      </c>
      <c r="Q1881" s="21">
        <v>14.7776</v>
      </c>
      <c r="R1881" s="21">
        <v>0.4628</v>
      </c>
      <c r="S1881" s="21">
        <v>2.6119</v>
      </c>
      <c r="T1881" s="22">
        <f>IFERROR(__xludf.DUMMYFUNCTION("IFERROR(GOOGLEFINANCE(B1881,""price""),"""")"),23.07)</f>
        <v>23.07</v>
      </c>
    </row>
    <row r="1882">
      <c r="A1882" s="7">
        <v>46118.67042175134</v>
      </c>
      <c r="B1882" s="8" t="s">
        <v>5554</v>
      </c>
      <c r="C1882" s="8" t="s">
        <v>5555</v>
      </c>
      <c r="D1882" s="9">
        <v>46124.0</v>
      </c>
      <c r="E1882" s="10">
        <v>94.81</v>
      </c>
      <c r="F1882" s="26">
        <v>1.0358</v>
      </c>
      <c r="G1882" s="12">
        <v>1.3102595E7</v>
      </c>
      <c r="H1882" s="8" t="s">
        <v>873</v>
      </c>
      <c r="I1882" s="11">
        <v>2.3645</v>
      </c>
      <c r="J1882" s="12">
        <v>2.774491397E10</v>
      </c>
      <c r="K1882" s="13"/>
      <c r="L1882" s="13">
        <v>-1.3255</v>
      </c>
      <c r="M1882" s="8" t="s">
        <v>5556</v>
      </c>
      <c r="N1882" s="8" t="s">
        <v>5557</v>
      </c>
      <c r="O1882" s="13">
        <v>-29.4701</v>
      </c>
      <c r="P1882" s="13">
        <v>-405.6981</v>
      </c>
      <c r="Q1882" s="13">
        <v>1505.206</v>
      </c>
      <c r="R1882" s="13">
        <v>1.2162</v>
      </c>
      <c r="S1882" s="13">
        <v>16.3526</v>
      </c>
      <c r="T1882" s="14">
        <f>IFERROR(__xludf.DUMMYFUNCTION("IFERROR(GOOGLEFINANCE(B1882,""price""),"""")"),94.9)</f>
        <v>94.9</v>
      </c>
    </row>
    <row r="1883">
      <c r="A1883" s="15">
        <v>46118.67042175134</v>
      </c>
      <c r="B1883" s="16" t="s">
        <v>5514</v>
      </c>
      <c r="C1883" s="16" t="s">
        <v>5515</v>
      </c>
      <c r="D1883" s="17">
        <v>46124.0</v>
      </c>
      <c r="E1883" s="18">
        <v>7.08</v>
      </c>
      <c r="F1883" s="27">
        <v>1.0215</v>
      </c>
      <c r="G1883" s="20">
        <v>1.3218919E7</v>
      </c>
      <c r="H1883" s="16" t="s">
        <v>117</v>
      </c>
      <c r="I1883" s="19">
        <v>-3.0137</v>
      </c>
      <c r="J1883" s="20">
        <v>7.2790188E9</v>
      </c>
      <c r="K1883" s="21"/>
      <c r="L1883" s="21">
        <v>-0.3898</v>
      </c>
      <c r="M1883" s="16" t="s">
        <v>5516</v>
      </c>
      <c r="N1883" s="16" t="s">
        <v>5491</v>
      </c>
      <c r="O1883" s="21"/>
      <c r="P1883" s="21">
        <v>-225.9966</v>
      </c>
      <c r="Q1883" s="21">
        <v>668.3147</v>
      </c>
      <c r="R1883" s="21"/>
      <c r="S1883" s="21">
        <v>5.0989</v>
      </c>
      <c r="T1883" s="22">
        <f>IFERROR(__xludf.DUMMYFUNCTION("IFERROR(GOOGLEFINANCE(B1883,""price""),"""")"),7.28)</f>
        <v>7.28</v>
      </c>
    </row>
    <row r="1884">
      <c r="A1884" s="7">
        <v>46118.67042175134</v>
      </c>
      <c r="B1884" s="8" t="s">
        <v>6087</v>
      </c>
      <c r="C1884" s="8" t="s">
        <v>6088</v>
      </c>
      <c r="D1884" s="9">
        <v>46124.0</v>
      </c>
      <c r="E1884" s="10">
        <v>6.08</v>
      </c>
      <c r="F1884" s="26">
        <v>1.0137</v>
      </c>
      <c r="G1884" s="12">
        <v>7609459.0</v>
      </c>
      <c r="H1884" s="8" t="s">
        <v>102</v>
      </c>
      <c r="I1884" s="11">
        <v>-0.491</v>
      </c>
      <c r="J1884" s="12">
        <v>5.51579424E8</v>
      </c>
      <c r="K1884" s="13"/>
      <c r="L1884" s="13">
        <v>-0.6318</v>
      </c>
      <c r="M1884" s="8" t="s">
        <v>6089</v>
      </c>
      <c r="N1884" s="8" t="s">
        <v>5536</v>
      </c>
      <c r="O1884" s="13">
        <v>-104.168</v>
      </c>
      <c r="P1884" s="13">
        <v>-5151.455</v>
      </c>
      <c r="Q1884" s="13">
        <v>535.8653</v>
      </c>
      <c r="R1884" s="13">
        <v>0.1096</v>
      </c>
      <c r="S1884" s="13">
        <v>2.2985</v>
      </c>
      <c r="T1884" s="14">
        <f>IFERROR(__xludf.DUMMYFUNCTION("IFERROR(GOOGLEFINANCE(B1884,""price""),"""")"),7.04)</f>
        <v>7.04</v>
      </c>
    </row>
    <row r="1885">
      <c r="A1885" s="15">
        <v>46118.67042175134</v>
      </c>
      <c r="B1885" s="16" t="s">
        <v>5773</v>
      </c>
      <c r="C1885" s="16" t="s">
        <v>5774</v>
      </c>
      <c r="D1885" s="17">
        <v>46124.0</v>
      </c>
      <c r="E1885" s="18">
        <v>3.1</v>
      </c>
      <c r="F1885" s="27">
        <v>1.0078</v>
      </c>
      <c r="G1885" s="20">
        <v>3.8564194E7</v>
      </c>
      <c r="H1885" s="16" t="s">
        <v>245</v>
      </c>
      <c r="I1885" s="19">
        <v>6.1644</v>
      </c>
      <c r="J1885" s="20">
        <v>1.838765E9</v>
      </c>
      <c r="K1885" s="21"/>
      <c r="L1885" s="21">
        <v>-1.4644</v>
      </c>
      <c r="M1885" s="16" t="s">
        <v>5775</v>
      </c>
      <c r="N1885" s="16" t="s">
        <v>5776</v>
      </c>
      <c r="O1885" s="21">
        <v>-80.9463</v>
      </c>
      <c r="P1885" s="21">
        <v>-20.4446</v>
      </c>
      <c r="Q1885" s="21">
        <v>-22.6468</v>
      </c>
      <c r="R1885" s="21">
        <v>5.7984</v>
      </c>
      <c r="S1885" s="21">
        <v>0.7476</v>
      </c>
      <c r="T1885" s="22">
        <f>IFERROR(__xludf.DUMMYFUNCTION("IFERROR(GOOGLEFINANCE(B1885,""price""),"""")"),2.57)</f>
        <v>2.57</v>
      </c>
    </row>
    <row r="1886">
      <c r="A1886" s="7">
        <v>46118.67042175134</v>
      </c>
      <c r="B1886" s="8" t="s">
        <v>5544</v>
      </c>
      <c r="C1886" s="8" t="s">
        <v>6105</v>
      </c>
      <c r="D1886" s="9">
        <v>46124.0</v>
      </c>
      <c r="E1886" s="10">
        <v>13.35</v>
      </c>
      <c r="F1886" s="26">
        <v>0.998</v>
      </c>
      <c r="G1886" s="12">
        <v>1.8070291E7</v>
      </c>
      <c r="H1886" s="8" t="s">
        <v>88</v>
      </c>
      <c r="I1886" s="11">
        <v>4.1342</v>
      </c>
      <c r="J1886" s="12">
        <v>5.40833865E9</v>
      </c>
      <c r="K1886" s="13"/>
      <c r="L1886" s="13">
        <v>-2.0516</v>
      </c>
      <c r="M1886" s="8" t="s">
        <v>5546</v>
      </c>
      <c r="N1886" s="8" t="s">
        <v>5471</v>
      </c>
      <c r="O1886" s="13">
        <v>-110.5547</v>
      </c>
      <c r="P1886" s="13">
        <v>-76.6975</v>
      </c>
      <c r="Q1886" s="13">
        <v>48.0413</v>
      </c>
      <c r="R1886" s="13">
        <v>3.435</v>
      </c>
      <c r="S1886" s="13">
        <v>3.7948</v>
      </c>
      <c r="T1886" s="14">
        <f>IFERROR(__xludf.DUMMYFUNCTION("IFERROR(GOOGLEFINANCE(B1886,""price""),"""")"),16.53)</f>
        <v>16.53</v>
      </c>
    </row>
    <row r="1887">
      <c r="A1887" s="15">
        <v>46118.67042175134</v>
      </c>
      <c r="B1887" s="16" t="s">
        <v>5649</v>
      </c>
      <c r="C1887" s="16" t="s">
        <v>5650</v>
      </c>
      <c r="D1887" s="17">
        <v>46124.0</v>
      </c>
      <c r="E1887" s="18">
        <v>35.02</v>
      </c>
      <c r="F1887" s="27">
        <v>0.9824</v>
      </c>
      <c r="G1887" s="20">
        <v>1.2507228E7</v>
      </c>
      <c r="H1887" s="16" t="s">
        <v>88</v>
      </c>
      <c r="I1887" s="19">
        <v>-2.3969</v>
      </c>
      <c r="J1887" s="20">
        <v>1.12993781E10</v>
      </c>
      <c r="K1887" s="21"/>
      <c r="L1887" s="21">
        <v>-0.7881</v>
      </c>
      <c r="M1887" s="16" t="s">
        <v>5651</v>
      </c>
      <c r="N1887" s="16" t="s">
        <v>5429</v>
      </c>
      <c r="O1887" s="21">
        <v>-78.4035</v>
      </c>
      <c r="P1887" s="21">
        <v>-30.5248</v>
      </c>
      <c r="Q1887" s="21">
        <v>25.9359</v>
      </c>
      <c r="R1887" s="21">
        <v>2.4544</v>
      </c>
      <c r="S1887" s="21">
        <v>1.6475</v>
      </c>
      <c r="T1887" s="22">
        <f>IFERROR(__xludf.DUMMYFUNCTION("IFERROR(GOOGLEFINANCE(B1887,""price""),"""")"),34.67)</f>
        <v>34.67</v>
      </c>
    </row>
    <row r="1888">
      <c r="A1888" s="7">
        <v>46118.67042175134</v>
      </c>
      <c r="B1888" s="8" t="s">
        <v>5594</v>
      </c>
      <c r="C1888" s="8" t="s">
        <v>5595</v>
      </c>
      <c r="D1888" s="9">
        <v>46124.0</v>
      </c>
      <c r="E1888" s="10">
        <v>15.55</v>
      </c>
      <c r="F1888" s="26">
        <v>0.9824</v>
      </c>
      <c r="G1888" s="12">
        <v>1.6594591E7</v>
      </c>
      <c r="H1888" s="8" t="s">
        <v>88</v>
      </c>
      <c r="I1888" s="11">
        <v>4.5027</v>
      </c>
      <c r="J1888" s="12">
        <v>6.5942574E9</v>
      </c>
      <c r="K1888" s="13"/>
      <c r="L1888" s="13">
        <v>-1.661</v>
      </c>
      <c r="M1888" s="8" t="s">
        <v>5596</v>
      </c>
      <c r="N1888" s="8" t="s">
        <v>5471</v>
      </c>
      <c r="O1888" s="13">
        <v>-343.6909</v>
      </c>
      <c r="P1888" s="13">
        <v>-100.2101</v>
      </c>
      <c r="Q1888" s="13">
        <v>20.2812</v>
      </c>
      <c r="R1888" s="13">
        <v>36.9947</v>
      </c>
      <c r="S1888" s="13">
        <v>2.0038</v>
      </c>
      <c r="T1888" s="14">
        <f>IFERROR(__xludf.DUMMYFUNCTION("IFERROR(GOOGLEFINANCE(B1888,""price""),"""")"),18.88)</f>
        <v>18.88</v>
      </c>
    </row>
    <row r="1889">
      <c r="A1889" s="15">
        <v>46118.67042175134</v>
      </c>
      <c r="B1889" s="16" t="s">
        <v>5558</v>
      </c>
      <c r="C1889" s="16" t="s">
        <v>5559</v>
      </c>
      <c r="D1889" s="17">
        <v>46124.0</v>
      </c>
      <c r="E1889" s="18">
        <v>4.84</v>
      </c>
      <c r="F1889" s="27">
        <v>0.9727</v>
      </c>
      <c r="G1889" s="20">
        <v>1.0436055E7</v>
      </c>
      <c r="H1889" s="16" t="s">
        <v>102</v>
      </c>
      <c r="I1889" s="19">
        <v>-2.6157</v>
      </c>
      <c r="J1889" s="20">
        <v>1.64286056E9</v>
      </c>
      <c r="K1889" s="21"/>
      <c r="L1889" s="21">
        <v>-6.9942</v>
      </c>
      <c r="M1889" s="16" t="s">
        <v>5560</v>
      </c>
      <c r="N1889" s="16" t="s">
        <v>5536</v>
      </c>
      <c r="O1889" s="21"/>
      <c r="P1889" s="21">
        <v>-225.4661</v>
      </c>
      <c r="Q1889" s="21">
        <v>631.7891</v>
      </c>
      <c r="R1889" s="21"/>
      <c r="S1889" s="21">
        <v>4.9358</v>
      </c>
      <c r="T1889" s="22">
        <f>IFERROR(__xludf.DUMMYFUNCTION("IFERROR(GOOGLEFINANCE(B1889,""price""),"""")"),5.62)</f>
        <v>5.62</v>
      </c>
    </row>
    <row r="1890">
      <c r="A1890" s="7">
        <v>46118.67042175134</v>
      </c>
      <c r="B1890" s="8" t="s">
        <v>5652</v>
      </c>
      <c r="C1890" s="8" t="s">
        <v>5653</v>
      </c>
      <c r="D1890" s="9">
        <v>46124.0</v>
      </c>
      <c r="E1890" s="10">
        <v>3.15</v>
      </c>
      <c r="F1890" s="26">
        <v>0.9688</v>
      </c>
      <c r="G1890" s="12">
        <v>8376064.0</v>
      </c>
      <c r="H1890" s="8" t="s">
        <v>117</v>
      </c>
      <c r="I1890" s="11">
        <v>1.2862</v>
      </c>
      <c r="J1890" s="12">
        <v>1.64414565E9</v>
      </c>
      <c r="K1890" s="13"/>
      <c r="L1890" s="13">
        <v>-1.4829</v>
      </c>
      <c r="M1890" s="8" t="s">
        <v>5654</v>
      </c>
      <c r="N1890" s="8" t="s">
        <v>5502</v>
      </c>
      <c r="O1890" s="13">
        <v>-59.5442</v>
      </c>
      <c r="P1890" s="13">
        <v>-867.866</v>
      </c>
      <c r="Q1890" s="13">
        <v>26.9243</v>
      </c>
      <c r="R1890" s="13">
        <v>0.0689</v>
      </c>
      <c r="S1890" s="13">
        <v>5.5031</v>
      </c>
      <c r="T1890" s="14">
        <f>IFERROR(__xludf.DUMMYFUNCTION("IFERROR(GOOGLEFINANCE(B1890,""price""),"""")"),3.28)</f>
        <v>3.28</v>
      </c>
    </row>
    <row r="1891">
      <c r="A1891" s="15">
        <v>46118.67042175134</v>
      </c>
      <c r="B1891" s="16" t="s">
        <v>5422</v>
      </c>
      <c r="C1891" s="16" t="s">
        <v>5423</v>
      </c>
      <c r="D1891" s="17">
        <v>46124.0</v>
      </c>
      <c r="E1891" s="18">
        <v>15.28</v>
      </c>
      <c r="F1891" s="27">
        <v>0.9508</v>
      </c>
      <c r="G1891" s="20">
        <v>8314786.0</v>
      </c>
      <c r="H1891" s="16" t="s">
        <v>102</v>
      </c>
      <c r="I1891" s="19">
        <v>-4.0201</v>
      </c>
      <c r="J1891" s="20">
        <v>3.330132979E9</v>
      </c>
      <c r="K1891" s="21"/>
      <c r="L1891" s="21">
        <v>-2.5128</v>
      </c>
      <c r="M1891" s="16" t="s">
        <v>5424</v>
      </c>
      <c r="N1891" s="16" t="s">
        <v>5425</v>
      </c>
      <c r="O1891" s="21">
        <v>-255.9098</v>
      </c>
      <c r="P1891" s="21"/>
      <c r="Q1891" s="21"/>
      <c r="R1891" s="21"/>
      <c r="S1891" s="21">
        <v>16.5111</v>
      </c>
      <c r="T1891" s="22">
        <f>IFERROR(__xludf.DUMMYFUNCTION("IFERROR(GOOGLEFINANCE(B1891,""price""),"""")"),16.15)</f>
        <v>16.15</v>
      </c>
    </row>
    <row r="1892">
      <c r="A1892" s="7">
        <v>46119.66793757585</v>
      </c>
      <c r="B1892" s="8" t="s">
        <v>790</v>
      </c>
      <c r="C1892" s="8" t="s">
        <v>791</v>
      </c>
      <c r="D1892" s="9">
        <v>46124.0</v>
      </c>
      <c r="E1892" s="10">
        <v>2.5</v>
      </c>
      <c r="F1892" s="26">
        <v>2.2539</v>
      </c>
      <c r="G1892" s="12">
        <v>7917204.0</v>
      </c>
      <c r="H1892" s="8" t="s">
        <v>245</v>
      </c>
      <c r="I1892" s="11">
        <v>14.1553</v>
      </c>
      <c r="J1892" s="12">
        <v>1.91435571E8</v>
      </c>
      <c r="K1892" s="13"/>
      <c r="L1892" s="13">
        <v>-3.6478</v>
      </c>
      <c r="M1892" s="8" t="s">
        <v>792</v>
      </c>
      <c r="N1892" s="8" t="s">
        <v>5776</v>
      </c>
      <c r="O1892" s="13">
        <v>32.1759</v>
      </c>
      <c r="P1892" s="13">
        <v>28.4575</v>
      </c>
      <c r="Q1892" s="13">
        <v>2953.5458</v>
      </c>
      <c r="R1892" s="13">
        <v>3.8952</v>
      </c>
      <c r="S1892" s="13">
        <v>0.6338</v>
      </c>
      <c r="T1892" s="14">
        <f>IFERROR(__xludf.DUMMYFUNCTION("IFERROR(GOOGLEFINANCE(B1892,""price""),"""")"),1.44)</f>
        <v>1.44</v>
      </c>
    </row>
    <row r="1893">
      <c r="A1893" s="15">
        <v>46119.66793757585</v>
      </c>
      <c r="B1893" s="16" t="s">
        <v>2704</v>
      </c>
      <c r="C1893" s="16" t="s">
        <v>2705</v>
      </c>
      <c r="D1893" s="17">
        <v>46124.0</v>
      </c>
      <c r="E1893" s="18">
        <v>25.18</v>
      </c>
      <c r="F1893" s="27">
        <v>1.7531</v>
      </c>
      <c r="G1893" s="20">
        <v>1.8696267E7</v>
      </c>
      <c r="H1893" s="16" t="s">
        <v>88</v>
      </c>
      <c r="I1893" s="19">
        <v>-0.0397</v>
      </c>
      <c r="J1893" s="20">
        <v>7.039970982E9</v>
      </c>
      <c r="K1893" s="21"/>
      <c r="L1893" s="21">
        <v>-0.5438</v>
      </c>
      <c r="M1893" s="16" t="s">
        <v>2707</v>
      </c>
      <c r="N1893" s="16" t="s">
        <v>5471</v>
      </c>
      <c r="O1893" s="21">
        <v>-11.4029</v>
      </c>
      <c r="P1893" s="21">
        <v>-26.4624</v>
      </c>
      <c r="Q1893" s="21">
        <v>33.135</v>
      </c>
      <c r="R1893" s="21">
        <v>1.6778</v>
      </c>
      <c r="S1893" s="21">
        <v>4.8227</v>
      </c>
      <c r="T1893" s="22">
        <f>IFERROR(__xludf.DUMMYFUNCTION("IFERROR(GOOGLEFINANCE(B1893,""price""),"""")"),26.24)</f>
        <v>26.24</v>
      </c>
    </row>
    <row r="1894">
      <c r="A1894" s="7">
        <v>46119.66793757585</v>
      </c>
      <c r="B1894" s="8" t="s">
        <v>5640</v>
      </c>
      <c r="C1894" s="8" t="s">
        <v>5641</v>
      </c>
      <c r="D1894" s="9">
        <v>46124.0</v>
      </c>
      <c r="E1894" s="10">
        <v>45.46</v>
      </c>
      <c r="F1894" s="26">
        <v>1.5908</v>
      </c>
      <c r="G1894" s="12">
        <v>1.4241952E7</v>
      </c>
      <c r="H1894" s="8" t="s">
        <v>308</v>
      </c>
      <c r="I1894" s="11">
        <v>8.2639</v>
      </c>
      <c r="J1894" s="12">
        <v>2.526375818E9</v>
      </c>
      <c r="K1894" s="13"/>
      <c r="L1894" s="13">
        <v>-0.4892</v>
      </c>
      <c r="M1894" s="8" t="s">
        <v>5642</v>
      </c>
      <c r="N1894" s="8" t="s">
        <v>5433</v>
      </c>
      <c r="O1894" s="13">
        <v>-9.1233</v>
      </c>
      <c r="P1894" s="13">
        <v>-24.8806</v>
      </c>
      <c r="Q1894" s="13">
        <v>-11.106</v>
      </c>
      <c r="R1894" s="13">
        <v>0.2562</v>
      </c>
      <c r="S1894" s="13">
        <v>2.7231</v>
      </c>
      <c r="T1894" s="14">
        <f>IFERROR(__xludf.DUMMYFUNCTION("IFERROR(GOOGLEFINANCE(B1894,""price""),"""")"),64.18)</f>
        <v>64.18</v>
      </c>
    </row>
    <row r="1895">
      <c r="A1895" s="15">
        <v>46119.66793757585</v>
      </c>
      <c r="B1895" s="16" t="s">
        <v>5604</v>
      </c>
      <c r="C1895" s="16" t="s">
        <v>5605</v>
      </c>
      <c r="D1895" s="17">
        <v>46124.0</v>
      </c>
      <c r="E1895" s="18">
        <v>117.64</v>
      </c>
      <c r="F1895" s="27">
        <v>1.4888</v>
      </c>
      <c r="G1895" s="20">
        <v>1.1664129E7</v>
      </c>
      <c r="H1895" s="16" t="s">
        <v>308</v>
      </c>
      <c r="I1895" s="19">
        <v>9.4835</v>
      </c>
      <c r="J1895" s="20">
        <v>8.846389172E9</v>
      </c>
      <c r="K1895" s="21"/>
      <c r="L1895" s="21">
        <v>-0.6555</v>
      </c>
      <c r="M1895" s="16" t="s">
        <v>5606</v>
      </c>
      <c r="N1895" s="16" t="s">
        <v>5414</v>
      </c>
      <c r="O1895" s="21">
        <v>-7.9391</v>
      </c>
      <c r="P1895" s="21">
        <v>-11.9814</v>
      </c>
      <c r="Q1895" s="21">
        <v>82.7502</v>
      </c>
      <c r="R1895" s="21">
        <v>0.338</v>
      </c>
      <c r="S1895" s="21">
        <v>2.6264</v>
      </c>
      <c r="T1895" s="22">
        <f>IFERROR(__xludf.DUMMYFUNCTION("IFERROR(GOOGLEFINANCE(B1895,""price""),"""")"),150.6)</f>
        <v>150.6</v>
      </c>
    </row>
    <row r="1896">
      <c r="A1896" s="7">
        <v>46119.66793757585</v>
      </c>
      <c r="B1896" s="8" t="s">
        <v>6043</v>
      </c>
      <c r="C1896" s="8" t="s">
        <v>6044</v>
      </c>
      <c r="D1896" s="9">
        <v>46124.0</v>
      </c>
      <c r="E1896" s="10">
        <v>5.88</v>
      </c>
      <c r="F1896" s="26">
        <v>1.3672</v>
      </c>
      <c r="G1896" s="12">
        <v>2.3721611E7</v>
      </c>
      <c r="H1896" s="8" t="s">
        <v>93</v>
      </c>
      <c r="I1896" s="11">
        <v>10.7345</v>
      </c>
      <c r="J1896" s="12">
        <v>1.836680821E9</v>
      </c>
      <c r="K1896" s="13"/>
      <c r="L1896" s="13">
        <v>-2.5108</v>
      </c>
      <c r="M1896" s="8" t="s">
        <v>6045</v>
      </c>
      <c r="N1896" s="8" t="s">
        <v>5590</v>
      </c>
      <c r="O1896" s="13"/>
      <c r="P1896" s="13">
        <v>1.0583</v>
      </c>
      <c r="Q1896" s="13">
        <v>-6.0228</v>
      </c>
      <c r="R1896" s="13"/>
      <c r="S1896" s="13">
        <v>0.5531</v>
      </c>
      <c r="T1896" s="14">
        <f>IFERROR(__xludf.DUMMYFUNCTION("IFERROR(GOOGLEFINANCE(B1896,""price""),"""")"),6.32)</f>
        <v>6.32</v>
      </c>
    </row>
    <row r="1897">
      <c r="A1897" s="15">
        <v>46119.66793757585</v>
      </c>
      <c r="B1897" s="16" t="s">
        <v>6218</v>
      </c>
      <c r="C1897" s="16" t="s">
        <v>6219</v>
      </c>
      <c r="D1897" s="17">
        <v>46124.0</v>
      </c>
      <c r="E1897" s="18">
        <v>2.99</v>
      </c>
      <c r="F1897" s="27">
        <v>1.2578</v>
      </c>
      <c r="G1897" s="20">
        <v>1.856579E7</v>
      </c>
      <c r="H1897" s="16" t="s">
        <v>308</v>
      </c>
      <c r="I1897" s="19">
        <v>-2.6059</v>
      </c>
      <c r="J1897" s="20">
        <v>2.43412073E8</v>
      </c>
      <c r="K1897" s="21"/>
      <c r="L1897" s="21">
        <v>-5.9217</v>
      </c>
      <c r="M1897" s="16" t="s">
        <v>6220</v>
      </c>
      <c r="N1897" s="16" t="s">
        <v>5520</v>
      </c>
      <c r="O1897" s="21">
        <v>-93.5547</v>
      </c>
      <c r="P1897" s="21">
        <v>-18335.0389</v>
      </c>
      <c r="Q1897" s="21">
        <v>-78.0557</v>
      </c>
      <c r="R1897" s="21">
        <v>1.3686</v>
      </c>
      <c r="S1897" s="21">
        <v>1.7814</v>
      </c>
      <c r="T1897" s="22">
        <f>IFERROR(__xludf.DUMMYFUNCTION("IFERROR(GOOGLEFINANCE(B1897,""price""),"""")"),3.02)</f>
        <v>3.02</v>
      </c>
    </row>
    <row r="1898">
      <c r="A1898" s="7">
        <v>46119.66793757585</v>
      </c>
      <c r="B1898" s="8" t="s">
        <v>5527</v>
      </c>
      <c r="C1898" s="8" t="s">
        <v>5528</v>
      </c>
      <c r="D1898" s="9">
        <v>46124.0</v>
      </c>
      <c r="E1898" s="10">
        <v>12.08</v>
      </c>
      <c r="F1898" s="26">
        <v>1.2305</v>
      </c>
      <c r="G1898" s="12">
        <v>1.2522469E7</v>
      </c>
      <c r="H1898" s="8" t="s">
        <v>88</v>
      </c>
      <c r="I1898" s="11">
        <v>-7.5038</v>
      </c>
      <c r="J1898" s="12">
        <v>1.463356309E9</v>
      </c>
      <c r="K1898" s="13"/>
      <c r="L1898" s="13">
        <v>-0.7413</v>
      </c>
      <c r="M1898" s="8" t="s">
        <v>5529</v>
      </c>
      <c r="N1898" s="8" t="s">
        <v>5429</v>
      </c>
      <c r="O1898" s="13">
        <v>-48.7073</v>
      </c>
      <c r="P1898" s="13">
        <v>-163.5071</v>
      </c>
      <c r="Q1898" s="13">
        <v>402.7429</v>
      </c>
      <c r="R1898" s="13">
        <v>0.075</v>
      </c>
      <c r="S1898" s="13">
        <v>15.2861</v>
      </c>
      <c r="T1898" s="14">
        <f>IFERROR(__xludf.DUMMYFUNCTION("IFERROR(GOOGLEFINANCE(B1898,""price""),"""")"),12.37)</f>
        <v>12.37</v>
      </c>
    </row>
    <row r="1899">
      <c r="A1899" s="15">
        <v>46119.66793757585</v>
      </c>
      <c r="B1899" s="16" t="s">
        <v>5836</v>
      </c>
      <c r="C1899" s="16" t="s">
        <v>5837</v>
      </c>
      <c r="D1899" s="17">
        <v>46124.0</v>
      </c>
      <c r="E1899" s="18">
        <v>4.94</v>
      </c>
      <c r="F1899" s="27">
        <v>1.1992</v>
      </c>
      <c r="G1899" s="20">
        <v>1.3581534E7</v>
      </c>
      <c r="H1899" s="16" t="s">
        <v>93</v>
      </c>
      <c r="I1899" s="19">
        <v>-3.7037</v>
      </c>
      <c r="J1899" s="20">
        <v>3.111408596E9</v>
      </c>
      <c r="K1899" s="21"/>
      <c r="L1899" s="21"/>
      <c r="M1899" s="16" t="s">
        <v>5838</v>
      </c>
      <c r="N1899" s="16" t="s">
        <v>5839</v>
      </c>
      <c r="O1899" s="21"/>
      <c r="P1899" s="21"/>
      <c r="Q1899" s="21"/>
      <c r="R1899" s="21">
        <v>0.1196</v>
      </c>
      <c r="S1899" s="21">
        <v>2.3137</v>
      </c>
      <c r="T1899" s="22">
        <f>IFERROR(__xludf.DUMMYFUNCTION("IFERROR(GOOGLEFINANCE(B1899,""price""),"""")"),4.87)</f>
        <v>4.87</v>
      </c>
    </row>
    <row r="1900">
      <c r="A1900" s="7">
        <v>46119.66793757585</v>
      </c>
      <c r="B1900" s="8" t="s">
        <v>6099</v>
      </c>
      <c r="C1900" s="8" t="s">
        <v>6100</v>
      </c>
      <c r="D1900" s="9">
        <v>46124.0</v>
      </c>
      <c r="E1900" s="10">
        <v>3.38</v>
      </c>
      <c r="F1900" s="26">
        <v>1.1914</v>
      </c>
      <c r="G1900" s="12">
        <v>9120602.0</v>
      </c>
      <c r="H1900" s="8" t="s">
        <v>245</v>
      </c>
      <c r="I1900" s="11">
        <v>-1.1696</v>
      </c>
      <c r="J1900" s="12">
        <v>5.0286867E8</v>
      </c>
      <c r="K1900" s="13"/>
      <c r="L1900" s="13">
        <v>-1.0118</v>
      </c>
      <c r="M1900" s="8" t="s">
        <v>6101</v>
      </c>
      <c r="N1900" s="8" t="s">
        <v>5410</v>
      </c>
      <c r="O1900" s="13"/>
      <c r="P1900" s="13">
        <v>-10.5298</v>
      </c>
      <c r="Q1900" s="13">
        <v>-4.5309</v>
      </c>
      <c r="R1900" s="13"/>
      <c r="S1900" s="13">
        <v>1.0213</v>
      </c>
      <c r="T1900" s="14">
        <f>IFERROR(__xludf.DUMMYFUNCTION("IFERROR(GOOGLEFINANCE(B1900,""price""),"""")"),2.76)</f>
        <v>2.76</v>
      </c>
    </row>
    <row r="1901">
      <c r="A1901" s="15">
        <v>46119.66793757585</v>
      </c>
      <c r="B1901" s="16" t="s">
        <v>5580</v>
      </c>
      <c r="C1901" s="16" t="s">
        <v>5581</v>
      </c>
      <c r="D1901" s="17">
        <v>46124.0</v>
      </c>
      <c r="E1901" s="18">
        <v>2.88</v>
      </c>
      <c r="F1901" s="27">
        <v>1.1563</v>
      </c>
      <c r="G1901" s="20">
        <v>2.3041136E7</v>
      </c>
      <c r="H1901" s="16" t="s">
        <v>88</v>
      </c>
      <c r="I1901" s="19">
        <v>-2.7027</v>
      </c>
      <c r="J1901" s="20">
        <v>1.148623521E9</v>
      </c>
      <c r="K1901" s="21"/>
      <c r="L1901" s="21">
        <v>-0.3784</v>
      </c>
      <c r="M1901" s="16" t="s">
        <v>5582</v>
      </c>
      <c r="N1901" s="16" t="s">
        <v>5429</v>
      </c>
      <c r="O1901" s="21">
        <v>-97.1268</v>
      </c>
      <c r="P1901" s="21">
        <v>-167.7686</v>
      </c>
      <c r="Q1901" s="21"/>
      <c r="R1901" s="21">
        <v>0.6372</v>
      </c>
      <c r="S1901" s="21">
        <v>0.6614</v>
      </c>
      <c r="T1901" s="22">
        <f>IFERROR(__xludf.DUMMYFUNCTION("IFERROR(GOOGLEFINANCE(B1901,""price""),"""")"),2.38)</f>
        <v>2.38</v>
      </c>
    </row>
    <row r="1902">
      <c r="A1902" s="7">
        <v>46119.66793757585</v>
      </c>
      <c r="B1902" s="8" t="s">
        <v>5517</v>
      </c>
      <c r="C1902" s="8" t="s">
        <v>5518</v>
      </c>
      <c r="D1902" s="9">
        <v>46124.0</v>
      </c>
      <c r="E1902" s="10">
        <v>9.65</v>
      </c>
      <c r="F1902" s="26">
        <v>1.1445</v>
      </c>
      <c r="G1902" s="12">
        <v>1.6485568E7</v>
      </c>
      <c r="H1902" s="8" t="s">
        <v>308</v>
      </c>
      <c r="I1902" s="11">
        <v>-2.6236</v>
      </c>
      <c r="J1902" s="12">
        <v>1.852566437E9</v>
      </c>
      <c r="K1902" s="13"/>
      <c r="L1902" s="13">
        <v>-2.3761</v>
      </c>
      <c r="M1902" s="8" t="s">
        <v>5519</v>
      </c>
      <c r="N1902" s="8" t="s">
        <v>5520</v>
      </c>
      <c r="O1902" s="13">
        <v>-52.0031</v>
      </c>
      <c r="P1902" s="13">
        <v>-49.6608</v>
      </c>
      <c r="Q1902" s="13">
        <v>10.2861</v>
      </c>
      <c r="R1902" s="13">
        <v>0.1895</v>
      </c>
      <c r="S1902" s="13">
        <v>1.6246</v>
      </c>
      <c r="T1902" s="14">
        <f>IFERROR(__xludf.DUMMYFUNCTION("IFERROR(GOOGLEFINANCE(B1902,""price""),"""")"),9.29)</f>
        <v>9.29</v>
      </c>
    </row>
    <row r="1903">
      <c r="A1903" s="15">
        <v>46119.66793757585</v>
      </c>
      <c r="B1903" s="16" t="s">
        <v>6187</v>
      </c>
      <c r="C1903" s="16" t="s">
        <v>6188</v>
      </c>
      <c r="D1903" s="17">
        <v>46124.0</v>
      </c>
      <c r="E1903" s="18">
        <v>35.57</v>
      </c>
      <c r="F1903" s="27">
        <v>1.1361</v>
      </c>
      <c r="G1903" s="20">
        <v>8564355.0</v>
      </c>
      <c r="H1903" s="16" t="s">
        <v>308</v>
      </c>
      <c r="I1903" s="19">
        <v>2.066</v>
      </c>
      <c r="J1903" s="20">
        <v>5.689506355E9</v>
      </c>
      <c r="K1903" s="21"/>
      <c r="L1903" s="21">
        <v>-2.2672</v>
      </c>
      <c r="M1903" s="16" t="s">
        <v>6189</v>
      </c>
      <c r="N1903" s="16" t="s">
        <v>5520</v>
      </c>
      <c r="O1903" s="21">
        <v>-50.4849</v>
      </c>
      <c r="P1903" s="21">
        <v>-160.2215</v>
      </c>
      <c r="Q1903" s="21">
        <v>162.954</v>
      </c>
      <c r="R1903" s="21">
        <v>0.2593</v>
      </c>
      <c r="S1903" s="21">
        <v>4.5096</v>
      </c>
      <c r="T1903" s="22">
        <f>IFERROR(__xludf.DUMMYFUNCTION("IFERROR(GOOGLEFINANCE(B1903,""price""),"""")"),37.54)</f>
        <v>37.54</v>
      </c>
    </row>
    <row r="1904">
      <c r="A1904" s="7">
        <v>46119.66793757585</v>
      </c>
      <c r="B1904" s="8" t="s">
        <v>5607</v>
      </c>
      <c r="C1904" s="8" t="s">
        <v>5608</v>
      </c>
      <c r="D1904" s="9">
        <v>46124.0</v>
      </c>
      <c r="E1904" s="10">
        <v>22.73</v>
      </c>
      <c r="F1904" s="26">
        <v>1.1216</v>
      </c>
      <c r="G1904" s="12">
        <v>1.2199611E7</v>
      </c>
      <c r="H1904" s="8" t="s">
        <v>308</v>
      </c>
      <c r="I1904" s="11">
        <v>-0.829</v>
      </c>
      <c r="J1904" s="12">
        <v>4.927880919E9</v>
      </c>
      <c r="K1904" s="13"/>
      <c r="L1904" s="13">
        <v>-0.7255</v>
      </c>
      <c r="M1904" s="8" t="s">
        <v>5609</v>
      </c>
      <c r="N1904" s="8" t="s">
        <v>5520</v>
      </c>
      <c r="O1904" s="13"/>
      <c r="P1904" s="13">
        <v>-36.3941</v>
      </c>
      <c r="Q1904" s="13">
        <v>-7.7134</v>
      </c>
      <c r="R1904" s="13"/>
      <c r="S1904" s="13">
        <v>4.9571</v>
      </c>
      <c r="T1904" s="14">
        <f>IFERROR(__xludf.DUMMYFUNCTION("IFERROR(GOOGLEFINANCE(B1904,""price""),"""")"),23.57)</f>
        <v>23.57</v>
      </c>
    </row>
    <row r="1905">
      <c r="A1905" s="15">
        <v>46119.66793757585</v>
      </c>
      <c r="B1905" s="16" t="s">
        <v>5430</v>
      </c>
      <c r="C1905" s="16" t="s">
        <v>5431</v>
      </c>
      <c r="D1905" s="17">
        <v>46124.0</v>
      </c>
      <c r="E1905" s="18">
        <v>2.52</v>
      </c>
      <c r="F1905" s="27">
        <v>1.1172</v>
      </c>
      <c r="G1905" s="20">
        <v>7.7489917E7</v>
      </c>
      <c r="H1905" s="16" t="s">
        <v>308</v>
      </c>
      <c r="I1905" s="19">
        <v>-6.3197</v>
      </c>
      <c r="J1905" s="20">
        <v>3.512766872E9</v>
      </c>
      <c r="K1905" s="21"/>
      <c r="L1905" s="21">
        <v>-1.329</v>
      </c>
      <c r="M1905" s="16" t="s">
        <v>5432</v>
      </c>
      <c r="N1905" s="16" t="s">
        <v>5433</v>
      </c>
      <c r="O1905" s="21">
        <v>-120.3149</v>
      </c>
      <c r="P1905" s="21">
        <v>-95.725</v>
      </c>
      <c r="Q1905" s="21">
        <v>12.8981</v>
      </c>
      <c r="R1905" s="21">
        <v>1.0195</v>
      </c>
      <c r="S1905" s="21">
        <v>2.3097</v>
      </c>
      <c r="T1905" s="22">
        <f>IFERROR(__xludf.DUMMYFUNCTION("IFERROR(GOOGLEFINANCE(B1905,""price""),"""")"),2.74)</f>
        <v>2.74</v>
      </c>
    </row>
    <row r="1906">
      <c r="A1906" s="7">
        <v>46119.66793757585</v>
      </c>
      <c r="B1906" s="8" t="s">
        <v>5544</v>
      </c>
      <c r="C1906" s="8" t="s">
        <v>6105</v>
      </c>
      <c r="D1906" s="9">
        <v>46124.0</v>
      </c>
      <c r="E1906" s="10">
        <v>14.01</v>
      </c>
      <c r="F1906" s="26">
        <v>1.0973</v>
      </c>
      <c r="G1906" s="12">
        <v>2.4084995E7</v>
      </c>
      <c r="H1906" s="8" t="s">
        <v>88</v>
      </c>
      <c r="I1906" s="11">
        <v>4.9438</v>
      </c>
      <c r="J1906" s="12">
        <v>5.675723171E9</v>
      </c>
      <c r="K1906" s="13"/>
      <c r="L1906" s="13">
        <v>-2.0516</v>
      </c>
      <c r="M1906" s="8" t="s">
        <v>5546</v>
      </c>
      <c r="N1906" s="8" t="s">
        <v>5471</v>
      </c>
      <c r="O1906" s="13">
        <v>-110.5547</v>
      </c>
      <c r="P1906" s="13">
        <v>-76.6975</v>
      </c>
      <c r="Q1906" s="13">
        <v>48.0413</v>
      </c>
      <c r="R1906" s="13">
        <v>3.435</v>
      </c>
      <c r="S1906" s="13">
        <v>3.7948</v>
      </c>
      <c r="T1906" s="14">
        <f>IFERROR(__xludf.DUMMYFUNCTION("IFERROR(GOOGLEFINANCE(B1906,""price""),"""")"),16.53)</f>
        <v>16.53</v>
      </c>
    </row>
    <row r="1907">
      <c r="A1907" s="15">
        <v>46119.66793757585</v>
      </c>
      <c r="B1907" s="16" t="s">
        <v>5554</v>
      </c>
      <c r="C1907" s="16" t="s">
        <v>5555</v>
      </c>
      <c r="D1907" s="17">
        <v>46124.0</v>
      </c>
      <c r="E1907" s="18">
        <v>92.57</v>
      </c>
      <c r="F1907" s="27">
        <v>1.0921</v>
      </c>
      <c r="G1907" s="20">
        <v>9501922.0</v>
      </c>
      <c r="H1907" s="16" t="s">
        <v>873</v>
      </c>
      <c r="I1907" s="19">
        <v>-2.3626</v>
      </c>
      <c r="J1907" s="20">
        <v>3.5364274945E10</v>
      </c>
      <c r="K1907" s="21"/>
      <c r="L1907" s="21">
        <v>-1.3255</v>
      </c>
      <c r="M1907" s="16" t="s">
        <v>5556</v>
      </c>
      <c r="N1907" s="16" t="s">
        <v>5557</v>
      </c>
      <c r="O1907" s="21">
        <v>-29.4701</v>
      </c>
      <c r="P1907" s="21">
        <v>-405.6981</v>
      </c>
      <c r="Q1907" s="21">
        <v>1505.206</v>
      </c>
      <c r="R1907" s="21">
        <v>1.2162</v>
      </c>
      <c r="S1907" s="21">
        <v>16.3526</v>
      </c>
      <c r="T1907" s="22">
        <f>IFERROR(__xludf.DUMMYFUNCTION("IFERROR(GOOGLEFINANCE(B1907,""price""),"""")"),94.9)</f>
        <v>94.9</v>
      </c>
    </row>
    <row r="1908">
      <c r="A1908" s="7">
        <v>46119.66793757585</v>
      </c>
      <c r="B1908" s="8" t="s">
        <v>5594</v>
      </c>
      <c r="C1908" s="8" t="s">
        <v>5595</v>
      </c>
      <c r="D1908" s="9">
        <v>46124.0</v>
      </c>
      <c r="E1908" s="10">
        <v>16.57</v>
      </c>
      <c r="F1908" s="26">
        <v>1.0918</v>
      </c>
      <c r="G1908" s="12">
        <v>3.0606611E7</v>
      </c>
      <c r="H1908" s="8" t="s">
        <v>88</v>
      </c>
      <c r="I1908" s="11">
        <v>6.5595</v>
      </c>
      <c r="J1908" s="12">
        <v>7.026808756E9</v>
      </c>
      <c r="K1908" s="13"/>
      <c r="L1908" s="13">
        <v>-1.661</v>
      </c>
      <c r="M1908" s="8" t="s">
        <v>5596</v>
      </c>
      <c r="N1908" s="8" t="s">
        <v>5471</v>
      </c>
      <c r="O1908" s="13">
        <v>-343.6909</v>
      </c>
      <c r="P1908" s="13">
        <v>-100.2101</v>
      </c>
      <c r="Q1908" s="13">
        <v>20.2812</v>
      </c>
      <c r="R1908" s="13">
        <v>36.9947</v>
      </c>
      <c r="S1908" s="13">
        <v>2.0038</v>
      </c>
      <c r="T1908" s="14">
        <f>IFERROR(__xludf.DUMMYFUNCTION("IFERROR(GOOGLEFINANCE(B1908,""price""),"""")"),18.88)</f>
        <v>18.88</v>
      </c>
    </row>
    <row r="1909">
      <c r="A1909" s="15">
        <v>46119.66793757585</v>
      </c>
      <c r="B1909" s="16" t="s">
        <v>5514</v>
      </c>
      <c r="C1909" s="16" t="s">
        <v>5515</v>
      </c>
      <c r="D1909" s="17">
        <v>46124.0</v>
      </c>
      <c r="E1909" s="18">
        <v>6.86</v>
      </c>
      <c r="F1909" s="27">
        <v>1.0625</v>
      </c>
      <c r="G1909" s="20">
        <v>1.2195536E7</v>
      </c>
      <c r="H1909" s="16" t="s">
        <v>117</v>
      </c>
      <c r="I1909" s="19">
        <v>-3.1073</v>
      </c>
      <c r="J1909" s="20">
        <v>7.052844472E9</v>
      </c>
      <c r="K1909" s="21"/>
      <c r="L1909" s="21">
        <v>-0.3898</v>
      </c>
      <c r="M1909" s="16" t="s">
        <v>5516</v>
      </c>
      <c r="N1909" s="16" t="s">
        <v>5491</v>
      </c>
      <c r="O1909" s="21"/>
      <c r="P1909" s="21">
        <v>-225.9966</v>
      </c>
      <c r="Q1909" s="21">
        <v>668.3147</v>
      </c>
      <c r="R1909" s="21"/>
      <c r="S1909" s="21">
        <v>5.0989</v>
      </c>
      <c r="T1909" s="22">
        <f>IFERROR(__xludf.DUMMYFUNCTION("IFERROR(GOOGLEFINANCE(B1909,""price""),"""")"),7.28)</f>
        <v>7.28</v>
      </c>
    </row>
    <row r="1910">
      <c r="A1910" s="7">
        <v>46119.66793757585</v>
      </c>
      <c r="B1910" s="8" t="s">
        <v>5858</v>
      </c>
      <c r="C1910" s="8" t="s">
        <v>5859</v>
      </c>
      <c r="D1910" s="9">
        <v>46124.0</v>
      </c>
      <c r="E1910" s="10">
        <v>31.6</v>
      </c>
      <c r="F1910" s="26">
        <v>1.0504</v>
      </c>
      <c r="G1910" s="12">
        <v>7816390.0</v>
      </c>
      <c r="H1910" s="8" t="s">
        <v>88</v>
      </c>
      <c r="I1910" s="11">
        <v>0.1902</v>
      </c>
      <c r="J1910" s="12">
        <v>4.796880235E9</v>
      </c>
      <c r="K1910" s="13"/>
      <c r="L1910" s="13">
        <v>-0.8329</v>
      </c>
      <c r="M1910" s="8" t="s">
        <v>5860</v>
      </c>
      <c r="N1910" s="8" t="s">
        <v>5664</v>
      </c>
      <c r="O1910" s="13">
        <v>-12.8431</v>
      </c>
      <c r="P1910" s="13">
        <v>-19.0035</v>
      </c>
      <c r="Q1910" s="13">
        <v>14.7776</v>
      </c>
      <c r="R1910" s="13">
        <v>0.4628</v>
      </c>
      <c r="S1910" s="13">
        <v>2.6119</v>
      </c>
      <c r="T1910" s="14">
        <f>IFERROR(__xludf.DUMMYFUNCTION("IFERROR(GOOGLEFINANCE(B1910,""price""),"""")"),23.07)</f>
        <v>23.07</v>
      </c>
    </row>
    <row r="1911">
      <c r="A1911" s="15">
        <v>46119.66793757585</v>
      </c>
      <c r="B1911" s="16" t="s">
        <v>5533</v>
      </c>
      <c r="C1911" s="16" t="s">
        <v>5534</v>
      </c>
      <c r="D1911" s="17">
        <v>46124.0</v>
      </c>
      <c r="E1911" s="18">
        <v>3.93</v>
      </c>
      <c r="F1911" s="27">
        <v>1.0469</v>
      </c>
      <c r="G1911" s="20">
        <v>1.6605651E7</v>
      </c>
      <c r="H1911" s="16" t="s">
        <v>102</v>
      </c>
      <c r="I1911" s="19">
        <v>-2.963</v>
      </c>
      <c r="J1911" s="20">
        <v>1.096614452E9</v>
      </c>
      <c r="K1911" s="21"/>
      <c r="L1911" s="21">
        <v>-2.0651</v>
      </c>
      <c r="M1911" s="16" t="s">
        <v>5535</v>
      </c>
      <c r="N1911" s="16" t="s">
        <v>5536</v>
      </c>
      <c r="O1911" s="21">
        <v>-113.2714</v>
      </c>
      <c r="P1911" s="21">
        <v>-23.4017</v>
      </c>
      <c r="Q1911" s="21">
        <v>25572.8416</v>
      </c>
      <c r="R1911" s="21">
        <v>1.7044</v>
      </c>
      <c r="S1911" s="21">
        <v>1.4312</v>
      </c>
      <c r="T1911" s="22">
        <f>IFERROR(__xludf.DUMMYFUNCTION("IFERROR(GOOGLEFINANCE(B1911,""price""),"""")"),4.69)</f>
        <v>4.69</v>
      </c>
    </row>
    <row r="1912">
      <c r="A1912" s="7">
        <v>46119.66793757585</v>
      </c>
      <c r="B1912" s="8" t="s">
        <v>5481</v>
      </c>
      <c r="C1912" s="8" t="s">
        <v>5482</v>
      </c>
      <c r="D1912" s="9">
        <v>46124.0</v>
      </c>
      <c r="E1912" s="10">
        <v>9.06</v>
      </c>
      <c r="F1912" s="26">
        <v>1.042</v>
      </c>
      <c r="G1912" s="12">
        <v>1.5698971E7</v>
      </c>
      <c r="H1912" s="8" t="s">
        <v>88</v>
      </c>
      <c r="I1912" s="11">
        <v>-0.4396</v>
      </c>
      <c r="J1912" s="12">
        <v>2.317121364E9</v>
      </c>
      <c r="K1912" s="13"/>
      <c r="L1912" s="13">
        <v>-1.071</v>
      </c>
      <c r="M1912" s="8" t="s">
        <v>5483</v>
      </c>
      <c r="N1912" s="8" t="s">
        <v>5471</v>
      </c>
      <c r="O1912" s="13">
        <v>-15.3378</v>
      </c>
      <c r="P1912" s="13">
        <v>-20.8099</v>
      </c>
      <c r="Q1912" s="13">
        <v>67.959</v>
      </c>
      <c r="R1912" s="13">
        <v>1.2945</v>
      </c>
      <c r="S1912" s="13">
        <v>10.5425</v>
      </c>
      <c r="T1912" s="14">
        <f>IFERROR(__xludf.DUMMYFUNCTION("IFERROR(GOOGLEFINANCE(B1912,""price""),"""")"),10.02)</f>
        <v>10.02</v>
      </c>
    </row>
    <row r="1913">
      <c r="A1913" s="15">
        <v>46119.66793757585</v>
      </c>
      <c r="B1913" s="16" t="s">
        <v>5558</v>
      </c>
      <c r="C1913" s="16" t="s">
        <v>5559</v>
      </c>
      <c r="D1913" s="17">
        <v>46124.0</v>
      </c>
      <c r="E1913" s="18">
        <v>4.48</v>
      </c>
      <c r="F1913" s="27">
        <v>1.0391</v>
      </c>
      <c r="G1913" s="20">
        <v>1.552873E7</v>
      </c>
      <c r="H1913" s="16" t="s">
        <v>102</v>
      </c>
      <c r="I1913" s="19">
        <v>-7.438</v>
      </c>
      <c r="J1913" s="20">
        <v>1.520665556E9</v>
      </c>
      <c r="K1913" s="21"/>
      <c r="L1913" s="21">
        <v>-6.9942</v>
      </c>
      <c r="M1913" s="16" t="s">
        <v>5560</v>
      </c>
      <c r="N1913" s="16" t="s">
        <v>5536</v>
      </c>
      <c r="O1913" s="21"/>
      <c r="P1913" s="21">
        <v>-225.4661</v>
      </c>
      <c r="Q1913" s="21">
        <v>631.7891</v>
      </c>
      <c r="R1913" s="21"/>
      <c r="S1913" s="21">
        <v>4.9358</v>
      </c>
      <c r="T1913" s="22">
        <f>IFERROR(__xludf.DUMMYFUNCTION("IFERROR(GOOGLEFINANCE(B1913,""price""),"""")"),5.62)</f>
        <v>5.62</v>
      </c>
    </row>
    <row r="1914">
      <c r="A1914" s="7">
        <v>46119.66793757585</v>
      </c>
      <c r="B1914" s="8" t="s">
        <v>5649</v>
      </c>
      <c r="C1914" s="8" t="s">
        <v>5650</v>
      </c>
      <c r="D1914" s="9">
        <v>46124.0</v>
      </c>
      <c r="E1914" s="10">
        <v>35.17</v>
      </c>
      <c r="F1914" s="26">
        <v>1.0342</v>
      </c>
      <c r="G1914" s="12">
        <v>1.3086469E7</v>
      </c>
      <c r="H1914" s="8" t="s">
        <v>88</v>
      </c>
      <c r="I1914" s="11">
        <v>0.4283</v>
      </c>
      <c r="J1914" s="12">
        <v>1.2174060785E10</v>
      </c>
      <c r="K1914" s="13"/>
      <c r="L1914" s="13">
        <v>-0.7881</v>
      </c>
      <c r="M1914" s="8" t="s">
        <v>5651</v>
      </c>
      <c r="N1914" s="8" t="s">
        <v>5429</v>
      </c>
      <c r="O1914" s="13">
        <v>-78.4035</v>
      </c>
      <c r="P1914" s="13">
        <v>-30.5248</v>
      </c>
      <c r="Q1914" s="13">
        <v>25.9359</v>
      </c>
      <c r="R1914" s="13">
        <v>2.4544</v>
      </c>
      <c r="S1914" s="13">
        <v>1.6475</v>
      </c>
      <c r="T1914" s="14">
        <f>IFERROR(__xludf.DUMMYFUNCTION("IFERROR(GOOGLEFINANCE(B1914,""price""),"""")"),34.67)</f>
        <v>34.67</v>
      </c>
    </row>
    <row r="1915">
      <c r="A1915" s="15">
        <v>46119.66793757585</v>
      </c>
      <c r="B1915" s="16" t="s">
        <v>5591</v>
      </c>
      <c r="C1915" s="16" t="s">
        <v>5592</v>
      </c>
      <c r="D1915" s="17">
        <v>46124.0</v>
      </c>
      <c r="E1915" s="18">
        <v>8.57</v>
      </c>
      <c r="F1915" s="27">
        <v>1.0293</v>
      </c>
      <c r="G1915" s="20">
        <v>9168868.0</v>
      </c>
      <c r="H1915" s="16" t="s">
        <v>308</v>
      </c>
      <c r="I1915" s="19">
        <v>-2.9994</v>
      </c>
      <c r="J1915" s="20">
        <v>1.977894051E9</v>
      </c>
      <c r="K1915" s="21"/>
      <c r="L1915" s="21">
        <v>-0.5698</v>
      </c>
      <c r="M1915" s="16" t="s">
        <v>5593</v>
      </c>
      <c r="N1915" s="16" t="s">
        <v>5414</v>
      </c>
      <c r="O1915" s="21">
        <v>-29.5457</v>
      </c>
      <c r="P1915" s="21">
        <v>-195.3894</v>
      </c>
      <c r="Q1915" s="21">
        <v>-44.8801</v>
      </c>
      <c r="R1915" s="21">
        <v>0.0146</v>
      </c>
      <c r="S1915" s="21">
        <v>4.9867</v>
      </c>
      <c r="T1915" s="22">
        <f>IFERROR(__xludf.DUMMYFUNCTION("IFERROR(GOOGLEFINANCE(B1915,""price""),"""")"),9.54)</f>
        <v>9.54</v>
      </c>
    </row>
    <row r="1916">
      <c r="A1916" s="7">
        <v>46119.66793757585</v>
      </c>
      <c r="B1916" s="8" t="s">
        <v>5484</v>
      </c>
      <c r="C1916" s="8" t="s">
        <v>5485</v>
      </c>
      <c r="D1916" s="9">
        <v>46124.0</v>
      </c>
      <c r="E1916" s="10">
        <v>35.74</v>
      </c>
      <c r="F1916" s="26">
        <v>1.0232</v>
      </c>
      <c r="G1916" s="12">
        <v>2.2280145E7</v>
      </c>
      <c r="H1916" s="8" t="s">
        <v>88</v>
      </c>
      <c r="I1916" s="11">
        <v>1.7364</v>
      </c>
      <c r="J1916" s="12">
        <v>1.1857073732E10</v>
      </c>
      <c r="K1916" s="13">
        <v>40.9487</v>
      </c>
      <c r="L1916" s="13">
        <v>0.8728</v>
      </c>
      <c r="M1916" s="8" t="s">
        <v>5486</v>
      </c>
      <c r="N1916" s="8" t="s">
        <v>5471</v>
      </c>
      <c r="O1916" s="13">
        <v>22.5116</v>
      </c>
      <c r="P1916" s="13">
        <v>-13.85</v>
      </c>
      <c r="Q1916" s="13">
        <v>123.3192</v>
      </c>
      <c r="R1916" s="13">
        <v>1.5302</v>
      </c>
      <c r="S1916" s="13">
        <v>4.9601</v>
      </c>
      <c r="T1916" s="14">
        <f>IFERROR(__xludf.DUMMYFUNCTION("IFERROR(GOOGLEFINANCE(B1916,""price""),"""")"),39.32)</f>
        <v>39.32</v>
      </c>
    </row>
    <row r="1917">
      <c r="A1917" s="15">
        <v>46119.66793757585</v>
      </c>
      <c r="B1917" s="16" t="s">
        <v>5798</v>
      </c>
      <c r="C1917" s="16" t="s">
        <v>5799</v>
      </c>
      <c r="D1917" s="17">
        <v>46124.0</v>
      </c>
      <c r="E1917" s="18">
        <v>6.24</v>
      </c>
      <c r="F1917" s="27">
        <v>1.0137</v>
      </c>
      <c r="G1917" s="20">
        <v>8434523.0</v>
      </c>
      <c r="H1917" s="16" t="s">
        <v>186</v>
      </c>
      <c r="I1917" s="19">
        <v>-2.1944</v>
      </c>
      <c r="J1917" s="20">
        <v>1.230271019E9</v>
      </c>
      <c r="K1917" s="21"/>
      <c r="L1917" s="21">
        <v>-9.2186</v>
      </c>
      <c r="M1917" s="16" t="s">
        <v>5800</v>
      </c>
      <c r="N1917" s="16" t="s">
        <v>5801</v>
      </c>
      <c r="O1917" s="21">
        <v>-60.6762</v>
      </c>
      <c r="P1917" s="21">
        <v>-116.7314</v>
      </c>
      <c r="Q1917" s="21">
        <v>666.0384</v>
      </c>
      <c r="R1917" s="21">
        <v>0.0</v>
      </c>
      <c r="S1917" s="21">
        <v>2.4436</v>
      </c>
      <c r="T1917" s="22">
        <f>IFERROR(__xludf.DUMMYFUNCTION("IFERROR(GOOGLEFINANCE(B1917,""price""),"""")"),6.52)</f>
        <v>6.52</v>
      </c>
    </row>
    <row r="1918">
      <c r="A1918" s="7">
        <v>46119.66793757585</v>
      </c>
      <c r="B1918" s="8" t="s">
        <v>5537</v>
      </c>
      <c r="C1918" s="8" t="s">
        <v>5538</v>
      </c>
      <c r="D1918" s="9">
        <v>46124.0</v>
      </c>
      <c r="E1918" s="10">
        <v>1.92</v>
      </c>
      <c r="F1918" s="26">
        <v>1.0</v>
      </c>
      <c r="G1918" s="12">
        <v>9056133.0</v>
      </c>
      <c r="H1918" s="8" t="s">
        <v>112</v>
      </c>
      <c r="I1918" s="11">
        <v>-4.9505</v>
      </c>
      <c r="J1918" s="12">
        <v>4.29304246E8</v>
      </c>
      <c r="K1918" s="13"/>
      <c r="L1918" s="13">
        <v>-0.135</v>
      </c>
      <c r="M1918" s="8" t="s">
        <v>5539</v>
      </c>
      <c r="N1918" s="8" t="s">
        <v>5540</v>
      </c>
      <c r="O1918" s="13">
        <v>-10.5751</v>
      </c>
      <c r="P1918" s="13">
        <v>-523.9108</v>
      </c>
      <c r="Q1918" s="13">
        <v>12.4146</v>
      </c>
      <c r="R1918" s="13">
        <v>0.0018</v>
      </c>
      <c r="S1918" s="13">
        <v>35.7348</v>
      </c>
      <c r="T1918" s="14">
        <f>IFERROR(__xludf.DUMMYFUNCTION("IFERROR(GOOGLEFINANCE(B1918,""price""),"""")"),2.01)</f>
        <v>2.01</v>
      </c>
    </row>
    <row r="1919">
      <c r="A1919" s="15">
        <v>46119.66793757585</v>
      </c>
      <c r="B1919" s="16" t="s">
        <v>5561</v>
      </c>
      <c r="C1919" s="16" t="s">
        <v>5562</v>
      </c>
      <c r="D1919" s="17">
        <v>46124.0</v>
      </c>
      <c r="E1919" s="18">
        <v>9.16</v>
      </c>
      <c r="F1919" s="27">
        <v>0.9941</v>
      </c>
      <c r="G1919" s="20">
        <v>3.4696596E7</v>
      </c>
      <c r="H1919" s="16" t="s">
        <v>102</v>
      </c>
      <c r="I1919" s="19">
        <v>-9.9312</v>
      </c>
      <c r="J1919" s="20">
        <v>3.096229647E9</v>
      </c>
      <c r="K1919" s="21"/>
      <c r="L1919" s="21">
        <v>-2.2522</v>
      </c>
      <c r="M1919" s="16" t="s">
        <v>5563</v>
      </c>
      <c r="N1919" s="16" t="s">
        <v>5536</v>
      </c>
      <c r="O1919" s="21">
        <v>-39.8083</v>
      </c>
      <c r="P1919" s="21">
        <v>-2190.5747</v>
      </c>
      <c r="Q1919" s="21">
        <v>-15.025</v>
      </c>
      <c r="R1919" s="21">
        <v>0.0</v>
      </c>
      <c r="S1919" s="21">
        <v>4.2984</v>
      </c>
      <c r="T1919" s="22">
        <f>IFERROR(__xludf.DUMMYFUNCTION("IFERROR(GOOGLEFINANCE(B1919,""price""),"""")"),9.21)</f>
        <v>9.21</v>
      </c>
    </row>
    <row r="1920">
      <c r="A1920" s="7">
        <v>46119.66793757585</v>
      </c>
      <c r="B1920" s="8" t="s">
        <v>5434</v>
      </c>
      <c r="C1920" s="8" t="s">
        <v>5435</v>
      </c>
      <c r="D1920" s="9">
        <v>46124.0</v>
      </c>
      <c r="E1920" s="10">
        <v>9.53</v>
      </c>
      <c r="F1920" s="26">
        <v>0.9795</v>
      </c>
      <c r="G1920" s="12">
        <v>4.3691359E7</v>
      </c>
      <c r="H1920" s="8" t="s">
        <v>308</v>
      </c>
      <c r="I1920" s="11">
        <v>0.105</v>
      </c>
      <c r="J1920" s="12">
        <v>4.451779989E9</v>
      </c>
      <c r="K1920" s="13"/>
      <c r="L1920" s="13">
        <v>-0.525</v>
      </c>
      <c r="M1920" s="8" t="s">
        <v>5436</v>
      </c>
      <c r="N1920" s="8" t="s">
        <v>5437</v>
      </c>
      <c r="O1920" s="13">
        <v>-58.1081</v>
      </c>
      <c r="P1920" s="13">
        <v>-107.9833</v>
      </c>
      <c r="Q1920" s="13">
        <v>605.3129</v>
      </c>
      <c r="R1920" s="13">
        <v>0.0576</v>
      </c>
      <c r="S1920" s="13">
        <v>4.8364</v>
      </c>
      <c r="T1920" s="14">
        <f>IFERROR(__xludf.DUMMYFUNCTION("IFERROR(GOOGLEFINANCE(B1920,""price""),"""")"),9.13)</f>
        <v>9.13</v>
      </c>
    </row>
    <row r="1921">
      <c r="A1921" s="15">
        <v>46119.66793757585</v>
      </c>
      <c r="B1921" s="16" t="s">
        <v>6078</v>
      </c>
      <c r="C1921" s="16" t="s">
        <v>6079</v>
      </c>
      <c r="D1921" s="17">
        <v>46124.0</v>
      </c>
      <c r="E1921" s="18">
        <v>15.99</v>
      </c>
      <c r="F1921" s="27">
        <v>0.9756</v>
      </c>
      <c r="G1921" s="20">
        <v>2.2274256E7</v>
      </c>
      <c r="H1921" s="16" t="s">
        <v>270</v>
      </c>
      <c r="I1921" s="19">
        <v>0.3137</v>
      </c>
      <c r="J1921" s="20">
        <v>3.9286954106E10</v>
      </c>
      <c r="K1921" s="21">
        <v>17.2865</v>
      </c>
      <c r="L1921" s="21">
        <v>0.925</v>
      </c>
      <c r="M1921" s="16" t="s">
        <v>6080</v>
      </c>
      <c r="N1921" s="16" t="s">
        <v>5777</v>
      </c>
      <c r="O1921" s="21">
        <v>41.9277</v>
      </c>
      <c r="P1921" s="21">
        <v>37.1124</v>
      </c>
      <c r="Q1921" s="21">
        <v>176.9308</v>
      </c>
      <c r="R1921" s="21">
        <v>4.1736</v>
      </c>
      <c r="S1921" s="21">
        <v>0.93</v>
      </c>
      <c r="T1921" s="22">
        <f>IFERROR(__xludf.DUMMYFUNCTION("IFERROR(GOOGLEFINANCE(B1921,""price""),"""")"),12.97)</f>
        <v>12.97</v>
      </c>
    </row>
    <row r="1922">
      <c r="A1922" s="7">
        <v>46120.66781463912</v>
      </c>
      <c r="B1922" s="8" t="s">
        <v>5499</v>
      </c>
      <c r="C1922" s="8" t="s">
        <v>5500</v>
      </c>
      <c r="D1922" s="9">
        <v>46124.0</v>
      </c>
      <c r="E1922" s="10">
        <v>3.47</v>
      </c>
      <c r="F1922" s="26">
        <v>2.2891</v>
      </c>
      <c r="G1922" s="12">
        <v>1.5410587E7</v>
      </c>
      <c r="H1922" s="8" t="s">
        <v>117</v>
      </c>
      <c r="I1922" s="11">
        <v>4.5181</v>
      </c>
      <c r="J1922" s="12">
        <v>1.429506754E9</v>
      </c>
      <c r="K1922" s="13"/>
      <c r="L1922" s="13">
        <v>-1.1209</v>
      </c>
      <c r="M1922" s="8" t="s">
        <v>5501</v>
      </c>
      <c r="N1922" s="8" t="s">
        <v>5502</v>
      </c>
      <c r="O1922" s="13">
        <v>-55.4977</v>
      </c>
      <c r="P1922" s="13">
        <v>-151.1805</v>
      </c>
      <c r="Q1922" s="13">
        <v>60.5668</v>
      </c>
      <c r="R1922" s="13">
        <v>0.0708</v>
      </c>
      <c r="S1922" s="13">
        <v>3.1996</v>
      </c>
      <c r="T1922" s="14">
        <f>IFERROR(__xludf.DUMMYFUNCTION("IFERROR(GOOGLEFINANCE(B1922,""price""),"""")"),3.7)</f>
        <v>3.7</v>
      </c>
    </row>
    <row r="1923">
      <c r="A1923" s="15">
        <v>46120.66781463912</v>
      </c>
      <c r="B1923" s="16" t="s">
        <v>2704</v>
      </c>
      <c r="C1923" s="16" t="s">
        <v>2705</v>
      </c>
      <c r="D1923" s="17">
        <v>46124.0</v>
      </c>
      <c r="E1923" s="18">
        <v>27.79</v>
      </c>
      <c r="F1923" s="27">
        <v>1.8164</v>
      </c>
      <c r="G1923" s="20">
        <v>3.676359E7</v>
      </c>
      <c r="H1923" s="16" t="s">
        <v>88</v>
      </c>
      <c r="I1923" s="19">
        <v>10.3654</v>
      </c>
      <c r="J1923" s="20">
        <v>7.769689905E9</v>
      </c>
      <c r="K1923" s="21"/>
      <c r="L1923" s="21">
        <v>-0.5438</v>
      </c>
      <c r="M1923" s="16" t="s">
        <v>2707</v>
      </c>
      <c r="N1923" s="16" t="s">
        <v>5471</v>
      </c>
      <c r="O1923" s="21">
        <v>-11.4029</v>
      </c>
      <c r="P1923" s="21">
        <v>-26.4624</v>
      </c>
      <c r="Q1923" s="21">
        <v>33.135</v>
      </c>
      <c r="R1923" s="21">
        <v>1.6778</v>
      </c>
      <c r="S1923" s="21">
        <v>4.8227</v>
      </c>
      <c r="T1923" s="22">
        <f>IFERROR(__xludf.DUMMYFUNCTION("IFERROR(GOOGLEFINANCE(B1923,""price""),"""")"),26.24)</f>
        <v>26.24</v>
      </c>
    </row>
    <row r="1924">
      <c r="A1924" s="7">
        <v>46120.66781463912</v>
      </c>
      <c r="B1924" s="8" t="s">
        <v>5640</v>
      </c>
      <c r="C1924" s="8" t="s">
        <v>5641</v>
      </c>
      <c r="D1924" s="9">
        <v>46124.0</v>
      </c>
      <c r="E1924" s="10">
        <v>53.18</v>
      </c>
      <c r="F1924" s="26">
        <v>1.5347</v>
      </c>
      <c r="G1924" s="12">
        <v>1.836434E7</v>
      </c>
      <c r="H1924" s="8" t="s">
        <v>308</v>
      </c>
      <c r="I1924" s="11">
        <v>16.982</v>
      </c>
      <c r="J1924" s="12">
        <v>2.955403827E9</v>
      </c>
      <c r="K1924" s="13"/>
      <c r="L1924" s="13">
        <v>-0.4892</v>
      </c>
      <c r="M1924" s="8" t="s">
        <v>5642</v>
      </c>
      <c r="N1924" s="8" t="s">
        <v>5433</v>
      </c>
      <c r="O1924" s="13">
        <v>-9.1233</v>
      </c>
      <c r="P1924" s="13">
        <v>-24.8806</v>
      </c>
      <c r="Q1924" s="13">
        <v>-11.106</v>
      </c>
      <c r="R1924" s="13">
        <v>0.2562</v>
      </c>
      <c r="S1924" s="13">
        <v>2.7231</v>
      </c>
      <c r="T1924" s="14">
        <f>IFERROR(__xludf.DUMMYFUNCTION("IFERROR(GOOGLEFINANCE(B1924,""price""),"""")"),64.18)</f>
        <v>64.18</v>
      </c>
    </row>
    <row r="1925">
      <c r="A1925" s="15">
        <v>46120.66781463912</v>
      </c>
      <c r="B1925" s="16" t="s">
        <v>5175</v>
      </c>
      <c r="C1925" s="16" t="s">
        <v>5176</v>
      </c>
      <c r="D1925" s="17">
        <v>46124.0</v>
      </c>
      <c r="E1925" s="18">
        <v>3.91</v>
      </c>
      <c r="F1925" s="27">
        <v>1.3672</v>
      </c>
      <c r="G1925" s="20">
        <v>1.656669E7</v>
      </c>
      <c r="H1925" s="16" t="s">
        <v>93</v>
      </c>
      <c r="I1925" s="19">
        <v>8.011</v>
      </c>
      <c r="J1925" s="20">
        <v>6.255791618E9</v>
      </c>
      <c r="K1925" s="21">
        <v>64.0984</v>
      </c>
      <c r="L1925" s="21">
        <v>0.061</v>
      </c>
      <c r="M1925" s="16" t="s">
        <v>5177</v>
      </c>
      <c r="N1925" s="16" t="s">
        <v>5590</v>
      </c>
      <c r="O1925" s="21">
        <v>15.1674</v>
      </c>
      <c r="P1925" s="21">
        <v>45.0562</v>
      </c>
      <c r="Q1925" s="21">
        <v>32.5086</v>
      </c>
      <c r="R1925" s="21">
        <v>72.3717</v>
      </c>
      <c r="S1925" s="21">
        <v>0.2525</v>
      </c>
      <c r="T1925" s="22">
        <f>IFERROR(__xludf.DUMMYFUNCTION("IFERROR(GOOGLEFINANCE(B1925,""price""),"""")"),3.69)</f>
        <v>3.69</v>
      </c>
    </row>
    <row r="1926">
      <c r="A1926" s="7">
        <v>46120.66781463912</v>
      </c>
      <c r="B1926" s="8" t="s">
        <v>5604</v>
      </c>
      <c r="C1926" s="8" t="s">
        <v>5605</v>
      </c>
      <c r="D1926" s="9">
        <v>46124.0</v>
      </c>
      <c r="E1926" s="10">
        <v>132.7</v>
      </c>
      <c r="F1926" s="26">
        <v>1.3447</v>
      </c>
      <c r="G1926" s="12">
        <v>1.4623423E7</v>
      </c>
      <c r="H1926" s="8" t="s">
        <v>308</v>
      </c>
      <c r="I1926" s="11">
        <v>12.8018</v>
      </c>
      <c r="J1926" s="12">
        <v>9.978883631E9</v>
      </c>
      <c r="K1926" s="13"/>
      <c r="L1926" s="13">
        <v>-0.6555</v>
      </c>
      <c r="M1926" s="8" t="s">
        <v>5606</v>
      </c>
      <c r="N1926" s="8" t="s">
        <v>5414</v>
      </c>
      <c r="O1926" s="13">
        <v>-7.9391</v>
      </c>
      <c r="P1926" s="13">
        <v>-11.9814</v>
      </c>
      <c r="Q1926" s="13">
        <v>82.7502</v>
      </c>
      <c r="R1926" s="13">
        <v>0.338</v>
      </c>
      <c r="S1926" s="13">
        <v>2.6264</v>
      </c>
      <c r="T1926" s="14">
        <f>IFERROR(__xludf.DUMMYFUNCTION("IFERROR(GOOGLEFINANCE(B1926,""price""),"""")"),150.6)</f>
        <v>150.6</v>
      </c>
    </row>
    <row r="1927">
      <c r="A1927" s="15">
        <v>46120.66781463912</v>
      </c>
      <c r="B1927" s="16" t="s">
        <v>1080</v>
      </c>
      <c r="C1927" s="16" t="s">
        <v>1081</v>
      </c>
      <c r="D1927" s="17">
        <v>46124.0</v>
      </c>
      <c r="E1927" s="18">
        <v>63.16</v>
      </c>
      <c r="F1927" s="27">
        <v>1.2546</v>
      </c>
      <c r="G1927" s="20">
        <v>1.0701686E7</v>
      </c>
      <c r="H1927" s="16" t="s">
        <v>308</v>
      </c>
      <c r="I1927" s="19">
        <v>25.6915</v>
      </c>
      <c r="J1927" s="20">
        <v>1.934422935E9</v>
      </c>
      <c r="K1927" s="21"/>
      <c r="L1927" s="21">
        <v>-0.3783</v>
      </c>
      <c r="M1927" s="16" t="s">
        <v>1082</v>
      </c>
      <c r="N1927" s="16" t="s">
        <v>5433</v>
      </c>
      <c r="O1927" s="21">
        <v>-8.6813</v>
      </c>
      <c r="P1927" s="21">
        <v>-33.7576</v>
      </c>
      <c r="Q1927" s="21">
        <v>-26.3895</v>
      </c>
      <c r="R1927" s="21">
        <v>0.0722</v>
      </c>
      <c r="S1927" s="21">
        <v>10.97</v>
      </c>
      <c r="T1927" s="22">
        <f>IFERROR(__xludf.DUMMYFUNCTION("IFERROR(GOOGLEFINANCE(B1927,""price""),"""")"),70.43)</f>
        <v>70.43</v>
      </c>
    </row>
    <row r="1928">
      <c r="A1928" s="7">
        <v>46120.66781463912</v>
      </c>
      <c r="B1928" s="8" t="s">
        <v>5836</v>
      </c>
      <c r="C1928" s="8" t="s">
        <v>5837</v>
      </c>
      <c r="D1928" s="9">
        <v>46124.0</v>
      </c>
      <c r="E1928" s="10">
        <v>4.8</v>
      </c>
      <c r="F1928" s="26">
        <v>1.1875</v>
      </c>
      <c r="G1928" s="12">
        <v>1.701588E7</v>
      </c>
      <c r="H1928" s="8" t="s">
        <v>93</v>
      </c>
      <c r="I1928" s="11">
        <v>-2.834</v>
      </c>
      <c r="J1928" s="12">
        <v>3.023230992E9</v>
      </c>
      <c r="K1928" s="13"/>
      <c r="L1928" s="13"/>
      <c r="M1928" s="8" t="s">
        <v>5838</v>
      </c>
      <c r="N1928" s="8" t="s">
        <v>5839</v>
      </c>
      <c r="O1928" s="13"/>
      <c r="P1928" s="13"/>
      <c r="Q1928" s="13"/>
      <c r="R1928" s="13">
        <v>0.1196</v>
      </c>
      <c r="S1928" s="13">
        <v>2.3137</v>
      </c>
      <c r="T1928" s="14">
        <f>IFERROR(__xludf.DUMMYFUNCTION("IFERROR(GOOGLEFINANCE(B1928,""price""),"""")"),4.87)</f>
        <v>4.87</v>
      </c>
    </row>
    <row r="1929">
      <c r="A1929" s="15">
        <v>46120.66781463912</v>
      </c>
      <c r="B1929" s="16" t="s">
        <v>6043</v>
      </c>
      <c r="C1929" s="16" t="s">
        <v>6044</v>
      </c>
      <c r="D1929" s="17">
        <v>46124.0</v>
      </c>
      <c r="E1929" s="18">
        <v>5.97</v>
      </c>
      <c r="F1929" s="27">
        <v>1.1563</v>
      </c>
      <c r="G1929" s="20">
        <v>1.5997552E7</v>
      </c>
      <c r="H1929" s="16" t="s">
        <v>93</v>
      </c>
      <c r="I1929" s="19">
        <v>1.5306</v>
      </c>
      <c r="J1929" s="20">
        <v>1.864793339E9</v>
      </c>
      <c r="K1929" s="21"/>
      <c r="L1929" s="21">
        <v>-2.5108</v>
      </c>
      <c r="M1929" s="16" t="s">
        <v>6045</v>
      </c>
      <c r="N1929" s="16" t="s">
        <v>5590</v>
      </c>
      <c r="O1929" s="21"/>
      <c r="P1929" s="21">
        <v>1.0583</v>
      </c>
      <c r="Q1929" s="21">
        <v>-6.0228</v>
      </c>
      <c r="R1929" s="21"/>
      <c r="S1929" s="21">
        <v>0.5531</v>
      </c>
      <c r="T1929" s="22">
        <f>IFERROR(__xludf.DUMMYFUNCTION("IFERROR(GOOGLEFINANCE(B1929,""price""),"""")"),6.32)</f>
        <v>6.32</v>
      </c>
    </row>
    <row r="1930">
      <c r="A1930" s="7">
        <v>46120.66781463912</v>
      </c>
      <c r="B1930" s="8" t="s">
        <v>5607</v>
      </c>
      <c r="C1930" s="8" t="s">
        <v>5608</v>
      </c>
      <c r="D1930" s="9">
        <v>46124.0</v>
      </c>
      <c r="E1930" s="10">
        <v>23.39</v>
      </c>
      <c r="F1930" s="26">
        <v>1.024</v>
      </c>
      <c r="G1930" s="12">
        <v>1.7957305E7</v>
      </c>
      <c r="H1930" s="8" t="s">
        <v>308</v>
      </c>
      <c r="I1930" s="11">
        <v>2.9037</v>
      </c>
      <c r="J1930" s="12">
        <v>5.070969291E9</v>
      </c>
      <c r="K1930" s="13"/>
      <c r="L1930" s="13">
        <v>-0.7255</v>
      </c>
      <c r="M1930" s="8" t="s">
        <v>5609</v>
      </c>
      <c r="N1930" s="8" t="s">
        <v>5520</v>
      </c>
      <c r="O1930" s="13"/>
      <c r="P1930" s="13">
        <v>-36.3941</v>
      </c>
      <c r="Q1930" s="13">
        <v>-7.7134</v>
      </c>
      <c r="R1930" s="13"/>
      <c r="S1930" s="13">
        <v>4.9571</v>
      </c>
      <c r="T1930" s="14">
        <f>IFERROR(__xludf.DUMMYFUNCTION("IFERROR(GOOGLEFINANCE(B1930,""price""),"""")"),23.57)</f>
        <v>23.57</v>
      </c>
    </row>
    <row r="1931">
      <c r="A1931" s="15">
        <v>46120.66781463912</v>
      </c>
      <c r="B1931" s="16" t="s">
        <v>6099</v>
      </c>
      <c r="C1931" s="16" t="s">
        <v>6100</v>
      </c>
      <c r="D1931" s="17">
        <v>46124.0</v>
      </c>
      <c r="E1931" s="18">
        <v>2.92</v>
      </c>
      <c r="F1931" s="27">
        <v>1.0156</v>
      </c>
      <c r="G1931" s="20">
        <v>1.3116151E7</v>
      </c>
      <c r="H1931" s="16" t="s">
        <v>245</v>
      </c>
      <c r="I1931" s="19">
        <v>-13.6095</v>
      </c>
      <c r="J1931" s="20">
        <v>4.34430928E8</v>
      </c>
      <c r="K1931" s="21"/>
      <c r="L1931" s="21">
        <v>-1.0118</v>
      </c>
      <c r="M1931" s="16" t="s">
        <v>6101</v>
      </c>
      <c r="N1931" s="16" t="s">
        <v>5410</v>
      </c>
      <c r="O1931" s="21"/>
      <c r="P1931" s="21">
        <v>-10.5298</v>
      </c>
      <c r="Q1931" s="21">
        <v>-4.5309</v>
      </c>
      <c r="R1931" s="21"/>
      <c r="S1931" s="21">
        <v>1.0213</v>
      </c>
      <c r="T1931" s="22">
        <f>IFERROR(__xludf.DUMMYFUNCTION("IFERROR(GOOGLEFINANCE(B1931,""price""),"""")"),2.76)</f>
        <v>2.76</v>
      </c>
    </row>
    <row r="1932">
      <c r="A1932" s="7">
        <v>46120.66781463912</v>
      </c>
      <c r="B1932" s="8" t="s">
        <v>5527</v>
      </c>
      <c r="C1932" s="8" t="s">
        <v>5528</v>
      </c>
      <c r="D1932" s="9">
        <v>46124.0</v>
      </c>
      <c r="E1932" s="10">
        <v>13.04</v>
      </c>
      <c r="F1932" s="26">
        <v>1.0072</v>
      </c>
      <c r="G1932" s="12">
        <v>1.3889026E7</v>
      </c>
      <c r="H1932" s="8" t="s">
        <v>88</v>
      </c>
      <c r="I1932" s="11">
        <v>7.947</v>
      </c>
      <c r="J1932" s="12">
        <v>1.579649465E9</v>
      </c>
      <c r="K1932" s="13"/>
      <c r="L1932" s="13">
        <v>-0.7413</v>
      </c>
      <c r="M1932" s="8" t="s">
        <v>5529</v>
      </c>
      <c r="N1932" s="8" t="s">
        <v>5429</v>
      </c>
      <c r="O1932" s="13">
        <v>-48.7073</v>
      </c>
      <c r="P1932" s="13">
        <v>-163.5071</v>
      </c>
      <c r="Q1932" s="13">
        <v>402.7429</v>
      </c>
      <c r="R1932" s="13">
        <v>0.075</v>
      </c>
      <c r="S1932" s="13">
        <v>15.2861</v>
      </c>
      <c r="T1932" s="14">
        <f>IFERROR(__xludf.DUMMYFUNCTION("IFERROR(GOOGLEFINANCE(B1932,""price""),"""")"),12.37)</f>
        <v>12.37</v>
      </c>
    </row>
    <row r="1933">
      <c r="A1933" s="15">
        <v>46120.66781463912</v>
      </c>
      <c r="B1933" s="16" t="s">
        <v>5533</v>
      </c>
      <c r="C1933" s="16" t="s">
        <v>5534</v>
      </c>
      <c r="D1933" s="17">
        <v>46124.0</v>
      </c>
      <c r="E1933" s="18">
        <v>4.17</v>
      </c>
      <c r="F1933" s="27">
        <v>1.0</v>
      </c>
      <c r="G1933" s="20">
        <v>1.8909031E7</v>
      </c>
      <c r="H1933" s="16" t="s">
        <v>102</v>
      </c>
      <c r="I1933" s="19">
        <v>6.1069</v>
      </c>
      <c r="J1933" s="20">
        <v>1.163583238E9</v>
      </c>
      <c r="K1933" s="21"/>
      <c r="L1933" s="21">
        <v>-2.0651</v>
      </c>
      <c r="M1933" s="16" t="s">
        <v>5535</v>
      </c>
      <c r="N1933" s="16" t="s">
        <v>5536</v>
      </c>
      <c r="O1933" s="21">
        <v>-113.2714</v>
      </c>
      <c r="P1933" s="21">
        <v>-23.4017</v>
      </c>
      <c r="Q1933" s="21">
        <v>25572.8416</v>
      </c>
      <c r="R1933" s="21">
        <v>1.7044</v>
      </c>
      <c r="S1933" s="21">
        <v>1.4312</v>
      </c>
      <c r="T1933" s="22">
        <f>IFERROR(__xludf.DUMMYFUNCTION("IFERROR(GOOGLEFINANCE(B1933,""price""),"""")"),4.69)</f>
        <v>4.69</v>
      </c>
    </row>
    <row r="1934">
      <c r="A1934" s="7">
        <v>46120.66781463912</v>
      </c>
      <c r="B1934" s="8" t="s">
        <v>5969</v>
      </c>
      <c r="C1934" s="8" t="s">
        <v>5970</v>
      </c>
      <c r="D1934" s="9">
        <v>46124.0</v>
      </c>
      <c r="E1934" s="10">
        <v>21.34</v>
      </c>
      <c r="F1934" s="26">
        <v>0.9897</v>
      </c>
      <c r="G1934" s="12">
        <v>1.2778085E7</v>
      </c>
      <c r="H1934" s="8" t="s">
        <v>88</v>
      </c>
      <c r="I1934" s="11">
        <v>-7.8186</v>
      </c>
      <c r="J1934" s="12">
        <v>3.63061669E9</v>
      </c>
      <c r="K1934" s="13"/>
      <c r="L1934" s="13">
        <v>-0.3384</v>
      </c>
      <c r="M1934" s="8" t="s">
        <v>5971</v>
      </c>
      <c r="N1934" s="8" t="s">
        <v>5429</v>
      </c>
      <c r="O1934" s="13">
        <v>-6.335</v>
      </c>
      <c r="P1934" s="13">
        <v>-6.7229</v>
      </c>
      <c r="Q1934" s="13">
        <v>25.8117</v>
      </c>
      <c r="R1934" s="13">
        <v>0.0</v>
      </c>
      <c r="S1934" s="13">
        <v>2.4735</v>
      </c>
      <c r="T1934" s="14">
        <f>IFERROR(__xludf.DUMMYFUNCTION("IFERROR(GOOGLEFINANCE(B1934,""price""),"""")"),19.42)</f>
        <v>19.42</v>
      </c>
    </row>
    <row r="1935">
      <c r="A1935" s="15">
        <v>46120.66781463912</v>
      </c>
      <c r="B1935" s="16" t="s">
        <v>5517</v>
      </c>
      <c r="C1935" s="16" t="s">
        <v>5518</v>
      </c>
      <c r="D1935" s="17">
        <v>46124.0</v>
      </c>
      <c r="E1935" s="18">
        <v>9.61</v>
      </c>
      <c r="F1935" s="27">
        <v>0.9834</v>
      </c>
      <c r="G1935" s="20">
        <v>2.2026148E7</v>
      </c>
      <c r="H1935" s="16" t="s">
        <v>308</v>
      </c>
      <c r="I1935" s="19">
        <v>-0.4145</v>
      </c>
      <c r="J1935" s="20">
        <v>1.844887361E9</v>
      </c>
      <c r="K1935" s="21"/>
      <c r="L1935" s="21">
        <v>-2.3761</v>
      </c>
      <c r="M1935" s="16" t="s">
        <v>5519</v>
      </c>
      <c r="N1935" s="16" t="s">
        <v>5520</v>
      </c>
      <c r="O1935" s="21">
        <v>-52.0031</v>
      </c>
      <c r="P1935" s="21">
        <v>-49.6608</v>
      </c>
      <c r="Q1935" s="21">
        <v>10.2861</v>
      </c>
      <c r="R1935" s="21">
        <v>0.1895</v>
      </c>
      <c r="S1935" s="21">
        <v>1.6246</v>
      </c>
      <c r="T1935" s="22">
        <f>IFERROR(__xludf.DUMMYFUNCTION("IFERROR(GOOGLEFINANCE(B1935,""price""),"""")"),9.29)</f>
        <v>9.29</v>
      </c>
    </row>
    <row r="1936">
      <c r="A1936" s="7">
        <v>46120.66781463912</v>
      </c>
      <c r="B1936" s="8" t="s">
        <v>5858</v>
      </c>
      <c r="C1936" s="8" t="s">
        <v>5859</v>
      </c>
      <c r="D1936" s="9">
        <v>46124.0</v>
      </c>
      <c r="E1936" s="10">
        <v>32.75</v>
      </c>
      <c r="F1936" s="26">
        <v>0.9813</v>
      </c>
      <c r="G1936" s="12">
        <v>1.2935725E7</v>
      </c>
      <c r="H1936" s="8" t="s">
        <v>88</v>
      </c>
      <c r="I1936" s="11">
        <v>3.6392</v>
      </c>
      <c r="J1936" s="12">
        <v>4.97145016E9</v>
      </c>
      <c r="K1936" s="13"/>
      <c r="L1936" s="13">
        <v>-0.8329</v>
      </c>
      <c r="M1936" s="8" t="s">
        <v>5860</v>
      </c>
      <c r="N1936" s="8" t="s">
        <v>5664</v>
      </c>
      <c r="O1936" s="13">
        <v>-12.8431</v>
      </c>
      <c r="P1936" s="13">
        <v>-19.0035</v>
      </c>
      <c r="Q1936" s="13">
        <v>14.7776</v>
      </c>
      <c r="R1936" s="13">
        <v>0.4628</v>
      </c>
      <c r="S1936" s="13">
        <v>2.6119</v>
      </c>
      <c r="T1936" s="14">
        <f>IFERROR(__xludf.DUMMYFUNCTION("IFERROR(GOOGLEFINANCE(B1936,""price""),"""")"),23.07)</f>
        <v>23.07</v>
      </c>
    </row>
    <row r="1937">
      <c r="A1937" s="15">
        <v>46120.66781463912</v>
      </c>
      <c r="B1937" s="16" t="s">
        <v>6078</v>
      </c>
      <c r="C1937" s="16" t="s">
        <v>6079</v>
      </c>
      <c r="D1937" s="17">
        <v>46124.0</v>
      </c>
      <c r="E1937" s="18">
        <v>14.44</v>
      </c>
      <c r="F1937" s="27">
        <v>0.9792</v>
      </c>
      <c r="G1937" s="20">
        <v>4.4635354E7</v>
      </c>
      <c r="H1937" s="16" t="s">
        <v>270</v>
      </c>
      <c r="I1937" s="19">
        <v>-9.6936</v>
      </c>
      <c r="J1937" s="20">
        <v>3.5478650663E10</v>
      </c>
      <c r="K1937" s="21">
        <v>15.6108</v>
      </c>
      <c r="L1937" s="21">
        <v>0.925</v>
      </c>
      <c r="M1937" s="16" t="s">
        <v>6080</v>
      </c>
      <c r="N1937" s="16" t="s">
        <v>5777</v>
      </c>
      <c r="O1937" s="21">
        <v>41.9277</v>
      </c>
      <c r="P1937" s="21">
        <v>37.1124</v>
      </c>
      <c r="Q1937" s="21">
        <v>176.9308</v>
      </c>
      <c r="R1937" s="21">
        <v>4.1736</v>
      </c>
      <c r="S1937" s="21">
        <v>0.93</v>
      </c>
      <c r="T1937" s="22">
        <f>IFERROR(__xludf.DUMMYFUNCTION("IFERROR(GOOGLEFINANCE(B1937,""price""),"""")"),12.97)</f>
        <v>12.97</v>
      </c>
    </row>
    <row r="1938">
      <c r="A1938" s="7">
        <v>46120.66781463912</v>
      </c>
      <c r="B1938" s="8" t="s">
        <v>5594</v>
      </c>
      <c r="C1938" s="8" t="s">
        <v>5595</v>
      </c>
      <c r="D1938" s="9">
        <v>46124.0</v>
      </c>
      <c r="E1938" s="10">
        <v>18.05</v>
      </c>
      <c r="F1938" s="26">
        <v>0.9792</v>
      </c>
      <c r="G1938" s="12">
        <v>5.4339358E7</v>
      </c>
      <c r="H1938" s="8" t="s">
        <v>88</v>
      </c>
      <c r="I1938" s="11">
        <v>8.9318</v>
      </c>
      <c r="J1938" s="12">
        <v>7.654429339E9</v>
      </c>
      <c r="K1938" s="13"/>
      <c r="L1938" s="13">
        <v>-1.661</v>
      </c>
      <c r="M1938" s="8" t="s">
        <v>5596</v>
      </c>
      <c r="N1938" s="8" t="s">
        <v>5471</v>
      </c>
      <c r="O1938" s="13">
        <v>-343.6909</v>
      </c>
      <c r="P1938" s="13">
        <v>-100.2101</v>
      </c>
      <c r="Q1938" s="13">
        <v>20.2812</v>
      </c>
      <c r="R1938" s="13">
        <v>36.9947</v>
      </c>
      <c r="S1938" s="13">
        <v>2.0038</v>
      </c>
      <c r="T1938" s="14">
        <f>IFERROR(__xludf.DUMMYFUNCTION("IFERROR(GOOGLEFINANCE(B1938,""price""),"""")"),18.88)</f>
        <v>18.88</v>
      </c>
    </row>
    <row r="1939">
      <c r="A1939" s="15">
        <v>46120.66781463912</v>
      </c>
      <c r="B1939" s="16" t="s">
        <v>5544</v>
      </c>
      <c r="C1939" s="16" t="s">
        <v>6105</v>
      </c>
      <c r="D1939" s="17">
        <v>46124.0</v>
      </c>
      <c r="E1939" s="18">
        <v>15.42</v>
      </c>
      <c r="F1939" s="27">
        <v>0.974</v>
      </c>
      <c r="G1939" s="20">
        <v>3.5886437E7</v>
      </c>
      <c r="H1939" s="16" t="s">
        <v>88</v>
      </c>
      <c r="I1939" s="19">
        <v>10.0642</v>
      </c>
      <c r="J1939" s="20">
        <v>6.246941486E9</v>
      </c>
      <c r="K1939" s="21"/>
      <c r="L1939" s="21">
        <v>-2.0516</v>
      </c>
      <c r="M1939" s="16" t="s">
        <v>5546</v>
      </c>
      <c r="N1939" s="16" t="s">
        <v>5471</v>
      </c>
      <c r="O1939" s="21">
        <v>-110.5547</v>
      </c>
      <c r="P1939" s="21">
        <v>-76.6975</v>
      </c>
      <c r="Q1939" s="21">
        <v>48.0413</v>
      </c>
      <c r="R1939" s="21">
        <v>3.435</v>
      </c>
      <c r="S1939" s="21">
        <v>3.7948</v>
      </c>
      <c r="T1939" s="22">
        <f>IFERROR(__xludf.DUMMYFUNCTION("IFERROR(GOOGLEFINANCE(B1939,""price""),"""")"),16.53)</f>
        <v>16.53</v>
      </c>
    </row>
    <row r="1940">
      <c r="A1940" s="7">
        <v>46120.66781463912</v>
      </c>
      <c r="B1940" s="8" t="s">
        <v>5558</v>
      </c>
      <c r="C1940" s="8" t="s">
        <v>5559</v>
      </c>
      <c r="D1940" s="9">
        <v>46124.0</v>
      </c>
      <c r="E1940" s="10">
        <v>4.59</v>
      </c>
      <c r="F1940" s="26">
        <v>0.9688</v>
      </c>
      <c r="G1940" s="12">
        <v>2.0393673E7</v>
      </c>
      <c r="H1940" s="8" t="s">
        <v>102</v>
      </c>
      <c r="I1940" s="11">
        <v>2.4554</v>
      </c>
      <c r="J1940" s="12">
        <v>1.558003283E9</v>
      </c>
      <c r="K1940" s="13"/>
      <c r="L1940" s="13">
        <v>-6.9942</v>
      </c>
      <c r="M1940" s="8" t="s">
        <v>5560</v>
      </c>
      <c r="N1940" s="8" t="s">
        <v>5536</v>
      </c>
      <c r="O1940" s="13"/>
      <c r="P1940" s="13">
        <v>-225.4661</v>
      </c>
      <c r="Q1940" s="13">
        <v>631.7891</v>
      </c>
      <c r="R1940" s="13"/>
      <c r="S1940" s="13">
        <v>4.9358</v>
      </c>
      <c r="T1940" s="14">
        <f>IFERROR(__xludf.DUMMYFUNCTION("IFERROR(GOOGLEFINANCE(B1940,""price""),"""")"),5.62)</f>
        <v>5.62</v>
      </c>
    </row>
    <row r="1941">
      <c r="A1941" s="15">
        <v>46120.66781463912</v>
      </c>
      <c r="B1941" s="16" t="s">
        <v>5554</v>
      </c>
      <c r="C1941" s="16" t="s">
        <v>5555</v>
      </c>
      <c r="D1941" s="17">
        <v>46124.0</v>
      </c>
      <c r="E1941" s="18">
        <v>96.46</v>
      </c>
      <c r="F1941" s="27">
        <v>0.9603</v>
      </c>
      <c r="G1941" s="20">
        <v>1.1350702E7</v>
      </c>
      <c r="H1941" s="16" t="s">
        <v>873</v>
      </c>
      <c r="I1941" s="19">
        <v>4.2022</v>
      </c>
      <c r="J1941" s="20">
        <v>3.6850362296E10</v>
      </c>
      <c r="K1941" s="21"/>
      <c r="L1941" s="21">
        <v>-1.3255</v>
      </c>
      <c r="M1941" s="16" t="s">
        <v>5556</v>
      </c>
      <c r="N1941" s="16" t="s">
        <v>5557</v>
      </c>
      <c r="O1941" s="21">
        <v>-29.4701</v>
      </c>
      <c r="P1941" s="21">
        <v>-405.6981</v>
      </c>
      <c r="Q1941" s="21">
        <v>1505.206</v>
      </c>
      <c r="R1941" s="21">
        <v>1.2162</v>
      </c>
      <c r="S1941" s="21">
        <v>16.3526</v>
      </c>
      <c r="T1941" s="22">
        <f>IFERROR(__xludf.DUMMYFUNCTION("IFERROR(GOOGLEFINANCE(B1941,""price""),"""")"),94.9)</f>
        <v>94.9</v>
      </c>
    </row>
    <row r="1942">
      <c r="A1942" s="7">
        <v>46120.66781463912</v>
      </c>
      <c r="B1942" s="8" t="s">
        <v>5591</v>
      </c>
      <c r="C1942" s="8" t="s">
        <v>5592</v>
      </c>
      <c r="D1942" s="9">
        <v>46124.0</v>
      </c>
      <c r="E1942" s="10">
        <v>9.55</v>
      </c>
      <c r="F1942" s="26">
        <v>0.9453</v>
      </c>
      <c r="G1942" s="12">
        <v>3.149984E7</v>
      </c>
      <c r="H1942" s="8" t="s">
        <v>308</v>
      </c>
      <c r="I1942" s="11">
        <v>11.4352</v>
      </c>
      <c r="J1942" s="12">
        <v>2.204070879E9</v>
      </c>
      <c r="K1942" s="13"/>
      <c r="L1942" s="13">
        <v>-0.5698</v>
      </c>
      <c r="M1942" s="8" t="s">
        <v>5593</v>
      </c>
      <c r="N1942" s="8" t="s">
        <v>5414</v>
      </c>
      <c r="O1942" s="13">
        <v>-29.5457</v>
      </c>
      <c r="P1942" s="13">
        <v>-195.3894</v>
      </c>
      <c r="Q1942" s="13">
        <v>-44.8801</v>
      </c>
      <c r="R1942" s="13">
        <v>0.0146</v>
      </c>
      <c r="S1942" s="13">
        <v>4.9867</v>
      </c>
      <c r="T1942" s="14">
        <f>IFERROR(__xludf.DUMMYFUNCTION("IFERROR(GOOGLEFINANCE(B1942,""price""),"""")"),9.54)</f>
        <v>9.54</v>
      </c>
    </row>
    <row r="1943">
      <c r="A1943" s="15">
        <v>46120.66781463912</v>
      </c>
      <c r="B1943" s="16" t="s">
        <v>6218</v>
      </c>
      <c r="C1943" s="16" t="s">
        <v>6219</v>
      </c>
      <c r="D1943" s="17">
        <v>46124.0</v>
      </c>
      <c r="E1943" s="18">
        <v>2.97</v>
      </c>
      <c r="F1943" s="27">
        <v>0.9453</v>
      </c>
      <c r="G1943" s="20">
        <v>1.2492737E7</v>
      </c>
      <c r="H1943" s="16" t="s">
        <v>308</v>
      </c>
      <c r="I1943" s="19">
        <v>-0.6689</v>
      </c>
      <c r="J1943" s="20">
        <v>2.41783905E8</v>
      </c>
      <c r="K1943" s="21"/>
      <c r="L1943" s="21">
        <v>-5.9217</v>
      </c>
      <c r="M1943" s="16" t="s">
        <v>6220</v>
      </c>
      <c r="N1943" s="16" t="s">
        <v>5520</v>
      </c>
      <c r="O1943" s="21">
        <v>-93.5547</v>
      </c>
      <c r="P1943" s="21">
        <v>-18335.0389</v>
      </c>
      <c r="Q1943" s="21">
        <v>-78.0557</v>
      </c>
      <c r="R1943" s="21">
        <v>1.3686</v>
      </c>
      <c r="S1943" s="21">
        <v>1.7814</v>
      </c>
      <c r="T1943" s="22">
        <f>IFERROR(__xludf.DUMMYFUNCTION("IFERROR(GOOGLEFINANCE(B1943,""price""),"""")"),3.02)</f>
        <v>3.02</v>
      </c>
    </row>
    <row r="1944">
      <c r="A1944" s="7">
        <v>46120.66781463912</v>
      </c>
      <c r="B1944" s="8" t="s">
        <v>5737</v>
      </c>
      <c r="C1944" s="8" t="s">
        <v>5738</v>
      </c>
      <c r="D1944" s="9">
        <v>46124.0</v>
      </c>
      <c r="E1944" s="10">
        <v>61.43</v>
      </c>
      <c r="F1944" s="26">
        <v>0.9442</v>
      </c>
      <c r="G1944" s="12">
        <v>1.1094572E7</v>
      </c>
      <c r="H1944" s="8" t="s">
        <v>88</v>
      </c>
      <c r="I1944" s="11">
        <v>16.654</v>
      </c>
      <c r="J1944" s="12">
        <v>6.811805843E9</v>
      </c>
      <c r="K1944" s="13"/>
      <c r="L1944" s="13">
        <v>-2.3174</v>
      </c>
      <c r="M1944" s="8" t="s">
        <v>5739</v>
      </c>
      <c r="N1944" s="8" t="s">
        <v>5471</v>
      </c>
      <c r="O1944" s="13">
        <v>-19.199</v>
      </c>
      <c r="P1944" s="13">
        <v>-37.4931</v>
      </c>
      <c r="Q1944" s="13">
        <v>54.3515</v>
      </c>
      <c r="R1944" s="13">
        <v>0.3019</v>
      </c>
      <c r="S1944" s="13">
        <v>1.0868</v>
      </c>
      <c r="T1944" s="14">
        <f>IFERROR(__xludf.DUMMYFUNCTION("IFERROR(GOOGLEFINANCE(B1944,""price""),"""")"),66.08)</f>
        <v>66.08</v>
      </c>
    </row>
    <row r="1945">
      <c r="A1945" s="15">
        <v>46120.66781463912</v>
      </c>
      <c r="B1945" s="16" t="s">
        <v>5649</v>
      </c>
      <c r="C1945" s="16" t="s">
        <v>5650</v>
      </c>
      <c r="D1945" s="17">
        <v>46124.0</v>
      </c>
      <c r="E1945" s="18">
        <v>36.55</v>
      </c>
      <c r="F1945" s="27">
        <v>0.9332</v>
      </c>
      <c r="G1945" s="20">
        <v>1.6079575E7</v>
      </c>
      <c r="H1945" s="16" t="s">
        <v>88</v>
      </c>
      <c r="I1945" s="19">
        <v>3.9238</v>
      </c>
      <c r="J1945" s="20">
        <v>1.2651745599E10</v>
      </c>
      <c r="K1945" s="21"/>
      <c r="L1945" s="21">
        <v>-0.7881</v>
      </c>
      <c r="M1945" s="16" t="s">
        <v>5651</v>
      </c>
      <c r="N1945" s="16" t="s">
        <v>5429</v>
      </c>
      <c r="O1945" s="21">
        <v>-78.4035</v>
      </c>
      <c r="P1945" s="21">
        <v>-30.5248</v>
      </c>
      <c r="Q1945" s="21">
        <v>25.9359</v>
      </c>
      <c r="R1945" s="21">
        <v>2.4544</v>
      </c>
      <c r="S1945" s="21">
        <v>1.6475</v>
      </c>
      <c r="T1945" s="22">
        <f>IFERROR(__xludf.DUMMYFUNCTION("IFERROR(GOOGLEFINANCE(B1945,""price""),"""")"),34.67)</f>
        <v>34.67</v>
      </c>
    </row>
    <row r="1946">
      <c r="A1946" s="7">
        <v>46120.66781463912</v>
      </c>
      <c r="B1946" s="8" t="s">
        <v>5695</v>
      </c>
      <c r="C1946" s="8" t="s">
        <v>5696</v>
      </c>
      <c r="D1946" s="9">
        <v>46124.0</v>
      </c>
      <c r="E1946" s="10">
        <v>4.64</v>
      </c>
      <c r="F1946" s="26">
        <v>0.9258</v>
      </c>
      <c r="G1946" s="12">
        <v>1.0652526E7</v>
      </c>
      <c r="H1946" s="8" t="s">
        <v>149</v>
      </c>
      <c r="I1946" s="11">
        <v>-3.5343</v>
      </c>
      <c r="J1946" s="12">
        <v>1.974269392E9</v>
      </c>
      <c r="K1946" s="13"/>
      <c r="L1946" s="13">
        <v>-0.1277</v>
      </c>
      <c r="M1946" s="8" t="s">
        <v>5697</v>
      </c>
      <c r="N1946" s="8" t="s">
        <v>5698</v>
      </c>
      <c r="O1946" s="13"/>
      <c r="P1946" s="13">
        <v>5.4343</v>
      </c>
      <c r="Q1946" s="13">
        <v>-6.9815</v>
      </c>
      <c r="R1946" s="13"/>
      <c r="S1946" s="13">
        <v>1.9828</v>
      </c>
      <c r="T1946" s="14">
        <f>IFERROR(__xludf.DUMMYFUNCTION("IFERROR(GOOGLEFINANCE(B1946,""price""),"""")"),4.62)</f>
        <v>4.62</v>
      </c>
    </row>
    <row r="1947">
      <c r="A1947" s="15">
        <v>46120.66781463912</v>
      </c>
      <c r="B1947" s="16" t="s">
        <v>5567</v>
      </c>
      <c r="C1947" s="16" t="s">
        <v>5568</v>
      </c>
      <c r="D1947" s="17">
        <v>46124.0</v>
      </c>
      <c r="E1947" s="18">
        <v>146.78</v>
      </c>
      <c r="F1947" s="27">
        <v>0.924</v>
      </c>
      <c r="G1947" s="20">
        <v>1.0685542E7</v>
      </c>
      <c r="H1947" s="16" t="s">
        <v>308</v>
      </c>
      <c r="I1947" s="19">
        <v>7.9979</v>
      </c>
      <c r="J1947" s="20">
        <v>4.1178868514E10</v>
      </c>
      <c r="K1947" s="21"/>
      <c r="L1947" s="21">
        <v>-0.3809</v>
      </c>
      <c r="M1947" s="16" t="s">
        <v>5569</v>
      </c>
      <c r="N1947" s="16" t="s">
        <v>5433</v>
      </c>
      <c r="O1947" s="21">
        <v>-13.2874</v>
      </c>
      <c r="P1947" s="21">
        <v>5.4633</v>
      </c>
      <c r="Q1947" s="21">
        <v>37.3263</v>
      </c>
      <c r="R1947" s="21">
        <v>3.8975</v>
      </c>
      <c r="S1947" s="21">
        <v>5.9285</v>
      </c>
      <c r="T1947" s="22">
        <f>IFERROR(__xludf.DUMMYFUNCTION("IFERROR(GOOGLEFINANCE(B1947,""price""),"""")"),166.7)</f>
        <v>166.7</v>
      </c>
    </row>
    <row r="1948">
      <c r="A1948" s="7">
        <v>46120.66781463912</v>
      </c>
      <c r="B1948" s="8" t="s">
        <v>5484</v>
      </c>
      <c r="C1948" s="8" t="s">
        <v>5485</v>
      </c>
      <c r="D1948" s="9">
        <v>46124.0</v>
      </c>
      <c r="E1948" s="10">
        <v>36.83</v>
      </c>
      <c r="F1948" s="26">
        <v>0.8931</v>
      </c>
      <c r="G1948" s="12">
        <v>3.5301062E7</v>
      </c>
      <c r="H1948" s="8" t="s">
        <v>88</v>
      </c>
      <c r="I1948" s="11">
        <v>3.0498</v>
      </c>
      <c r="J1948" s="12">
        <v>1.221869146E10</v>
      </c>
      <c r="K1948" s="13">
        <v>42.1975</v>
      </c>
      <c r="L1948" s="13">
        <v>0.8728</v>
      </c>
      <c r="M1948" s="8" t="s">
        <v>5486</v>
      </c>
      <c r="N1948" s="8" t="s">
        <v>5471</v>
      </c>
      <c r="O1948" s="13">
        <v>22.5116</v>
      </c>
      <c r="P1948" s="13">
        <v>-13.85</v>
      </c>
      <c r="Q1948" s="13">
        <v>123.3192</v>
      </c>
      <c r="R1948" s="13">
        <v>1.5302</v>
      </c>
      <c r="S1948" s="13">
        <v>4.9601</v>
      </c>
      <c r="T1948" s="14">
        <f>IFERROR(__xludf.DUMMYFUNCTION("IFERROR(GOOGLEFINANCE(B1948,""price""),"""")"),39.32)</f>
        <v>39.32</v>
      </c>
    </row>
    <row r="1949">
      <c r="A1949" s="15">
        <v>46120.66781463912</v>
      </c>
      <c r="B1949" s="16" t="s">
        <v>5514</v>
      </c>
      <c r="C1949" s="16" t="s">
        <v>5515</v>
      </c>
      <c r="D1949" s="17">
        <v>46124.0</v>
      </c>
      <c r="E1949" s="18">
        <v>6.98</v>
      </c>
      <c r="F1949" s="27">
        <v>0.8867</v>
      </c>
      <c r="G1949" s="20">
        <v>1.6467585E7</v>
      </c>
      <c r="H1949" s="16" t="s">
        <v>117</v>
      </c>
      <c r="I1949" s="19">
        <v>1.7493</v>
      </c>
      <c r="J1949" s="20">
        <v>7.176218062E9</v>
      </c>
      <c r="K1949" s="21"/>
      <c r="L1949" s="21">
        <v>-0.3898</v>
      </c>
      <c r="M1949" s="16" t="s">
        <v>5516</v>
      </c>
      <c r="N1949" s="16" t="s">
        <v>5491</v>
      </c>
      <c r="O1949" s="21"/>
      <c r="P1949" s="21">
        <v>-225.9966</v>
      </c>
      <c r="Q1949" s="21">
        <v>668.3147</v>
      </c>
      <c r="R1949" s="21"/>
      <c r="S1949" s="21">
        <v>5.0989</v>
      </c>
      <c r="T1949" s="22">
        <f>IFERROR(__xludf.DUMMYFUNCTION("IFERROR(GOOGLEFINANCE(B1949,""price""),"""")"),7.28)</f>
        <v>7.28</v>
      </c>
    </row>
    <row r="1950">
      <c r="A1950" s="7">
        <v>46120.66781463912</v>
      </c>
      <c r="B1950" s="8" t="s">
        <v>6249</v>
      </c>
      <c r="C1950" s="8" t="s">
        <v>6250</v>
      </c>
      <c r="D1950" s="9">
        <v>46124.0</v>
      </c>
      <c r="E1950" s="10">
        <v>89.38</v>
      </c>
      <c r="F1950" s="26">
        <v>0.8851</v>
      </c>
      <c r="G1950" s="12">
        <v>1.6597453E7</v>
      </c>
      <c r="H1950" s="8" t="s">
        <v>88</v>
      </c>
      <c r="I1950" s="11">
        <v>3.2221</v>
      </c>
      <c r="J1950" s="12">
        <v>8.222610512E9</v>
      </c>
      <c r="K1950" s="13">
        <v>35.5727</v>
      </c>
      <c r="L1950" s="13">
        <v>2.5126</v>
      </c>
      <c r="M1950" s="8" t="s">
        <v>6251</v>
      </c>
      <c r="N1950" s="8" t="s">
        <v>5429</v>
      </c>
      <c r="O1950" s="13"/>
      <c r="P1950" s="13">
        <v>17.4156</v>
      </c>
      <c r="Q1950" s="13">
        <v>15.4765</v>
      </c>
      <c r="R1950" s="13"/>
      <c r="S1950" s="13">
        <v>0.6893</v>
      </c>
      <c r="T1950" s="14">
        <f>IFERROR(__xludf.DUMMYFUNCTION("IFERROR(GOOGLEFINANCE(B1950,""price""),"""")"),75.59)</f>
        <v>75.59</v>
      </c>
    </row>
    <row r="1951">
      <c r="A1951" s="15">
        <v>46120.66781463912</v>
      </c>
      <c r="B1951" s="16" t="s">
        <v>5561</v>
      </c>
      <c r="C1951" s="16" t="s">
        <v>5562</v>
      </c>
      <c r="D1951" s="17">
        <v>46124.0</v>
      </c>
      <c r="E1951" s="18">
        <v>9.86</v>
      </c>
      <c r="F1951" s="27">
        <v>0.8838</v>
      </c>
      <c r="G1951" s="20">
        <v>2.9287687E7</v>
      </c>
      <c r="H1951" s="16" t="s">
        <v>102</v>
      </c>
      <c r="I1951" s="19">
        <v>7.6419</v>
      </c>
      <c r="J1951" s="20">
        <v>3.332841002E9</v>
      </c>
      <c r="K1951" s="21"/>
      <c r="L1951" s="21">
        <v>-2.2522</v>
      </c>
      <c r="M1951" s="16" t="s">
        <v>5563</v>
      </c>
      <c r="N1951" s="16" t="s">
        <v>5536</v>
      </c>
      <c r="O1951" s="21">
        <v>-39.8083</v>
      </c>
      <c r="P1951" s="21">
        <v>-2190.5747</v>
      </c>
      <c r="Q1951" s="21">
        <v>-15.025</v>
      </c>
      <c r="R1951" s="21">
        <v>0.0</v>
      </c>
      <c r="S1951" s="21">
        <v>4.2984</v>
      </c>
      <c r="T1951" s="22">
        <f>IFERROR(__xludf.DUMMYFUNCTION("IFERROR(GOOGLEFINANCE(B1951,""price""),"""")"),9.21)</f>
        <v>9.21</v>
      </c>
    </row>
    <row r="1952">
      <c r="A1952" s="7">
        <v>46121.67009164714</v>
      </c>
      <c r="B1952" s="8" t="s">
        <v>5499</v>
      </c>
      <c r="C1952" s="8" t="s">
        <v>5500</v>
      </c>
      <c r="D1952" s="9">
        <v>46124.0</v>
      </c>
      <c r="E1952" s="10">
        <v>4.01</v>
      </c>
      <c r="F1952" s="26">
        <v>2.4375</v>
      </c>
      <c r="G1952" s="12">
        <v>2.655874E7</v>
      </c>
      <c r="H1952" s="8" t="s">
        <v>117</v>
      </c>
      <c r="I1952" s="11">
        <v>15.562</v>
      </c>
      <c r="J1952" s="12">
        <v>1.651966066E9</v>
      </c>
      <c r="K1952" s="13"/>
      <c r="L1952" s="13">
        <v>-1.1209</v>
      </c>
      <c r="M1952" s="8" t="s">
        <v>5501</v>
      </c>
      <c r="N1952" s="8" t="s">
        <v>5502</v>
      </c>
      <c r="O1952" s="13">
        <v>-55.4977</v>
      </c>
      <c r="P1952" s="13">
        <v>-151.1805</v>
      </c>
      <c r="Q1952" s="13">
        <v>60.5668</v>
      </c>
      <c r="R1952" s="13">
        <v>0.0708</v>
      </c>
      <c r="S1952" s="13">
        <v>3.1996</v>
      </c>
      <c r="T1952" s="14">
        <f>IFERROR(__xludf.DUMMYFUNCTION("IFERROR(GOOGLEFINANCE(B1952,""price""),"""")"),3.7)</f>
        <v>3.7</v>
      </c>
    </row>
    <row r="1953">
      <c r="A1953" s="15">
        <v>46121.67009164714</v>
      </c>
      <c r="B1953" s="16" t="s">
        <v>231</v>
      </c>
      <c r="C1953" s="16" t="s">
        <v>232</v>
      </c>
      <c r="D1953" s="17">
        <v>46124.0</v>
      </c>
      <c r="E1953" s="18">
        <v>2.01</v>
      </c>
      <c r="F1953" s="27">
        <v>1.75</v>
      </c>
      <c r="G1953" s="20">
        <v>1.1359095E7</v>
      </c>
      <c r="H1953" s="16" t="s">
        <v>117</v>
      </c>
      <c r="I1953" s="19">
        <v>12.9213</v>
      </c>
      <c r="J1953" s="20">
        <v>2.36511218E8</v>
      </c>
      <c r="K1953" s="21"/>
      <c r="L1953" s="21">
        <v>-0.796</v>
      </c>
      <c r="M1953" s="16" t="s">
        <v>233</v>
      </c>
      <c r="N1953" s="16" t="s">
        <v>5491</v>
      </c>
      <c r="O1953" s="21">
        <v>-229.6526</v>
      </c>
      <c r="P1953" s="21">
        <v>-4041.7206</v>
      </c>
      <c r="Q1953" s="21"/>
      <c r="R1953" s="21">
        <v>1.3976</v>
      </c>
      <c r="S1953" s="21">
        <v>8.0064</v>
      </c>
      <c r="T1953" s="22">
        <f>IFERROR(__xludf.DUMMYFUNCTION("IFERROR(GOOGLEFINANCE(B1953,""price""),"""")"),2.02)</f>
        <v>2.02</v>
      </c>
    </row>
    <row r="1954">
      <c r="A1954" s="7">
        <v>46121.67009164714</v>
      </c>
      <c r="B1954" s="8" t="s">
        <v>5620</v>
      </c>
      <c r="C1954" s="8" t="s">
        <v>5621</v>
      </c>
      <c r="D1954" s="9">
        <v>46124.0</v>
      </c>
      <c r="E1954" s="10">
        <v>7.2</v>
      </c>
      <c r="F1954" s="26">
        <v>1.5</v>
      </c>
      <c r="G1954" s="12">
        <v>1.8364501E7</v>
      </c>
      <c r="H1954" s="8" t="s">
        <v>308</v>
      </c>
      <c r="I1954" s="11">
        <v>4.4993</v>
      </c>
      <c r="J1954" s="12">
        <v>1.030022188E9</v>
      </c>
      <c r="K1954" s="13"/>
      <c r="L1954" s="13">
        <v>-0.3456</v>
      </c>
      <c r="M1954" s="8" t="s">
        <v>5622</v>
      </c>
      <c r="N1954" s="8" t="s">
        <v>5520</v>
      </c>
      <c r="O1954" s="13">
        <v>-127.6488</v>
      </c>
      <c r="P1954" s="13">
        <v>-175.1793</v>
      </c>
      <c r="Q1954" s="13"/>
      <c r="R1954" s="13">
        <v>1.0472</v>
      </c>
      <c r="S1954" s="13">
        <v>5.1177</v>
      </c>
      <c r="T1954" s="14">
        <f>IFERROR(__xludf.DUMMYFUNCTION("IFERROR(GOOGLEFINANCE(B1954,""price""),"""")"),7.33)</f>
        <v>7.33</v>
      </c>
    </row>
    <row r="1955">
      <c r="A1955" s="15">
        <v>46121.67009164714</v>
      </c>
      <c r="B1955" s="16" t="s">
        <v>5640</v>
      </c>
      <c r="C1955" s="16" t="s">
        <v>5641</v>
      </c>
      <c r="D1955" s="17">
        <v>46124.0</v>
      </c>
      <c r="E1955" s="18">
        <v>63.12</v>
      </c>
      <c r="F1955" s="27">
        <v>1.4618</v>
      </c>
      <c r="G1955" s="20">
        <v>1.582394E7</v>
      </c>
      <c r="H1955" s="16" t="s">
        <v>308</v>
      </c>
      <c r="I1955" s="19">
        <v>18.6912</v>
      </c>
      <c r="J1955" s="20">
        <v>3.50780546E9</v>
      </c>
      <c r="K1955" s="21"/>
      <c r="L1955" s="21">
        <v>-0.4892</v>
      </c>
      <c r="M1955" s="16" t="s">
        <v>5642</v>
      </c>
      <c r="N1955" s="16" t="s">
        <v>5433</v>
      </c>
      <c r="O1955" s="21">
        <v>-9.1233</v>
      </c>
      <c r="P1955" s="21">
        <v>-24.8806</v>
      </c>
      <c r="Q1955" s="21">
        <v>-11.106</v>
      </c>
      <c r="R1955" s="21">
        <v>0.2562</v>
      </c>
      <c r="S1955" s="21">
        <v>2.7231</v>
      </c>
      <c r="T1955" s="22">
        <f>IFERROR(__xludf.DUMMYFUNCTION("IFERROR(GOOGLEFINANCE(B1955,""price""),"""")"),64.18)</f>
        <v>64.18</v>
      </c>
    </row>
    <row r="1956">
      <c r="A1956" s="7">
        <v>46121.67009164714</v>
      </c>
      <c r="B1956" s="8" t="s">
        <v>5175</v>
      </c>
      <c r="C1956" s="8" t="s">
        <v>5176</v>
      </c>
      <c r="D1956" s="9">
        <v>46124.0</v>
      </c>
      <c r="E1956" s="10">
        <v>3.92</v>
      </c>
      <c r="F1956" s="26">
        <v>1.4609</v>
      </c>
      <c r="G1956" s="12">
        <v>1.7378569E7</v>
      </c>
      <c r="H1956" s="8" t="s">
        <v>93</v>
      </c>
      <c r="I1956" s="11">
        <v>0.2558</v>
      </c>
      <c r="J1956" s="12">
        <v>6.27179142E9</v>
      </c>
      <c r="K1956" s="13">
        <v>64.2623</v>
      </c>
      <c r="L1956" s="13">
        <v>0.061</v>
      </c>
      <c r="M1956" s="8" t="s">
        <v>5177</v>
      </c>
      <c r="N1956" s="8" t="s">
        <v>5590</v>
      </c>
      <c r="O1956" s="13">
        <v>15.1674</v>
      </c>
      <c r="P1956" s="13">
        <v>45.0562</v>
      </c>
      <c r="Q1956" s="13">
        <v>32.5086</v>
      </c>
      <c r="R1956" s="13">
        <v>72.3717</v>
      </c>
      <c r="S1956" s="13">
        <v>0.2525</v>
      </c>
      <c r="T1956" s="14">
        <f>IFERROR(__xludf.DUMMYFUNCTION("IFERROR(GOOGLEFINANCE(B1956,""price""),"""")"),3.69)</f>
        <v>3.69</v>
      </c>
    </row>
    <row r="1957">
      <c r="A1957" s="15">
        <v>46121.67009164714</v>
      </c>
      <c r="B1957" s="16" t="s">
        <v>5524</v>
      </c>
      <c r="C1957" s="16" t="s">
        <v>5525</v>
      </c>
      <c r="D1957" s="17">
        <v>46124.0</v>
      </c>
      <c r="E1957" s="18">
        <v>2.09</v>
      </c>
      <c r="F1957" s="27">
        <v>1.2969</v>
      </c>
      <c r="G1957" s="20">
        <v>1.0700793E7</v>
      </c>
      <c r="H1957" s="16" t="s">
        <v>308</v>
      </c>
      <c r="I1957" s="19">
        <v>-2.3364</v>
      </c>
      <c r="J1957" s="20">
        <v>4.81270598E8</v>
      </c>
      <c r="K1957" s="21"/>
      <c r="L1957" s="21">
        <v>-0.2883</v>
      </c>
      <c r="M1957" s="16" t="s">
        <v>5526</v>
      </c>
      <c r="N1957" s="16" t="s">
        <v>5414</v>
      </c>
      <c r="O1957" s="21">
        <v>-12.2507</v>
      </c>
      <c r="P1957" s="21">
        <v>-224.9705</v>
      </c>
      <c r="Q1957" s="21">
        <v>79.3113</v>
      </c>
      <c r="R1957" s="21">
        <v>0.0173</v>
      </c>
      <c r="S1957" s="21">
        <v>15.9175</v>
      </c>
      <c r="T1957" s="22">
        <f>IFERROR(__xludf.DUMMYFUNCTION("IFERROR(GOOGLEFINANCE(B1957,""price""),"""")"),2.1)</f>
        <v>2.1</v>
      </c>
    </row>
    <row r="1958">
      <c r="A1958" s="7">
        <v>46121.67009164714</v>
      </c>
      <c r="B1958" s="8" t="s">
        <v>5597</v>
      </c>
      <c r="C1958" s="8" t="s">
        <v>5598</v>
      </c>
      <c r="D1958" s="9">
        <v>46124.0</v>
      </c>
      <c r="E1958" s="10">
        <v>4.39</v>
      </c>
      <c r="F1958" s="26">
        <v>1.2891</v>
      </c>
      <c r="G1958" s="12">
        <v>2.2583372E7</v>
      </c>
      <c r="H1958" s="8" t="s">
        <v>93</v>
      </c>
      <c r="I1958" s="11">
        <v>6.0386</v>
      </c>
      <c r="J1958" s="12">
        <v>2.4924307E8</v>
      </c>
      <c r="K1958" s="13"/>
      <c r="L1958" s="13">
        <v>-0.9646</v>
      </c>
      <c r="M1958" s="8" t="s">
        <v>5599</v>
      </c>
      <c r="N1958" s="8" t="s">
        <v>5600</v>
      </c>
      <c r="O1958" s="13"/>
      <c r="P1958" s="13">
        <v>-1405.0853</v>
      </c>
      <c r="Q1958" s="13">
        <v>383.318</v>
      </c>
      <c r="R1958" s="13"/>
      <c r="S1958" s="13">
        <v>1.5749</v>
      </c>
      <c r="T1958" s="14">
        <f>IFERROR(__xludf.DUMMYFUNCTION("IFERROR(GOOGLEFINANCE(B1958,""price""),"""")"),4.29)</f>
        <v>4.29</v>
      </c>
    </row>
    <row r="1959">
      <c r="A1959" s="15">
        <v>46121.67009164714</v>
      </c>
      <c r="B1959" s="16" t="s">
        <v>5558</v>
      </c>
      <c r="C1959" s="16" t="s">
        <v>5559</v>
      </c>
      <c r="D1959" s="17">
        <v>46124.0</v>
      </c>
      <c r="E1959" s="18">
        <v>5.95</v>
      </c>
      <c r="F1959" s="27">
        <v>1.1992</v>
      </c>
      <c r="G1959" s="20">
        <v>6.2110501E7</v>
      </c>
      <c r="H1959" s="16" t="s">
        <v>102</v>
      </c>
      <c r="I1959" s="19">
        <v>29.6296</v>
      </c>
      <c r="J1959" s="20">
        <v>2.019633945E9</v>
      </c>
      <c r="K1959" s="21"/>
      <c r="L1959" s="21">
        <v>-6.9942</v>
      </c>
      <c r="M1959" s="16" t="s">
        <v>5560</v>
      </c>
      <c r="N1959" s="16" t="s">
        <v>5536</v>
      </c>
      <c r="O1959" s="21"/>
      <c r="P1959" s="21">
        <v>-225.4661</v>
      </c>
      <c r="Q1959" s="21">
        <v>631.7891</v>
      </c>
      <c r="R1959" s="21"/>
      <c r="S1959" s="21">
        <v>4.9358</v>
      </c>
      <c r="T1959" s="22">
        <f>IFERROR(__xludf.DUMMYFUNCTION("IFERROR(GOOGLEFINANCE(B1959,""price""),"""")"),5.62)</f>
        <v>5.62</v>
      </c>
    </row>
    <row r="1960">
      <c r="A1960" s="7">
        <v>46121.67009164714</v>
      </c>
      <c r="B1960" s="8" t="s">
        <v>6252</v>
      </c>
      <c r="C1960" s="8" t="s">
        <v>6253</v>
      </c>
      <c r="D1960" s="9">
        <v>46124.0</v>
      </c>
      <c r="E1960" s="10">
        <v>17.92</v>
      </c>
      <c r="F1960" s="26">
        <v>1.168</v>
      </c>
      <c r="G1960" s="12">
        <v>8876429.0</v>
      </c>
      <c r="H1960" s="8" t="s">
        <v>88</v>
      </c>
      <c r="I1960" s="11">
        <v>-12.5854</v>
      </c>
      <c r="J1960" s="12">
        <v>6.2740403E8</v>
      </c>
      <c r="K1960" s="13">
        <v>11.3583</v>
      </c>
      <c r="L1960" s="13">
        <v>1.5777</v>
      </c>
      <c r="M1960" s="8" t="s">
        <v>6254</v>
      </c>
      <c r="N1960" s="8" t="s">
        <v>5429</v>
      </c>
      <c r="O1960" s="13">
        <v>106.3739</v>
      </c>
      <c r="P1960" s="13">
        <v>-103.2172</v>
      </c>
      <c r="Q1960" s="13">
        <v>-35.2174</v>
      </c>
      <c r="R1960" s="13">
        <v>0.1186</v>
      </c>
      <c r="S1960" s="13">
        <v>1.2955</v>
      </c>
      <c r="T1960" s="14">
        <f>IFERROR(__xludf.DUMMYFUNCTION("IFERROR(GOOGLEFINANCE(B1960,""price""),"""")"),21.56)</f>
        <v>21.56</v>
      </c>
    </row>
    <row r="1961">
      <c r="A1961" s="15">
        <v>46121.67009164714</v>
      </c>
      <c r="B1961" s="16" t="s">
        <v>6043</v>
      </c>
      <c r="C1961" s="16" t="s">
        <v>6044</v>
      </c>
      <c r="D1961" s="17">
        <v>46124.0</v>
      </c>
      <c r="E1961" s="18">
        <v>6.57</v>
      </c>
      <c r="F1961" s="27">
        <v>1.1602</v>
      </c>
      <c r="G1961" s="20">
        <v>1.689232E7</v>
      </c>
      <c r="H1961" s="16" t="s">
        <v>93</v>
      </c>
      <c r="I1961" s="19">
        <v>10.0503</v>
      </c>
      <c r="J1961" s="20">
        <v>2.052209643E9</v>
      </c>
      <c r="K1961" s="21"/>
      <c r="L1961" s="21">
        <v>-2.5108</v>
      </c>
      <c r="M1961" s="16" t="s">
        <v>6045</v>
      </c>
      <c r="N1961" s="16" t="s">
        <v>5590</v>
      </c>
      <c r="O1961" s="21"/>
      <c r="P1961" s="21">
        <v>1.0583</v>
      </c>
      <c r="Q1961" s="21">
        <v>-6.0228</v>
      </c>
      <c r="R1961" s="21"/>
      <c r="S1961" s="21">
        <v>0.5531</v>
      </c>
      <c r="T1961" s="22">
        <f>IFERROR(__xludf.DUMMYFUNCTION("IFERROR(GOOGLEFINANCE(B1961,""price""),"""")"),6.32)</f>
        <v>6.32</v>
      </c>
    </row>
    <row r="1962">
      <c r="A1962" s="7">
        <v>46121.67009164714</v>
      </c>
      <c r="B1962" s="8" t="s">
        <v>5514</v>
      </c>
      <c r="C1962" s="8" t="s">
        <v>5515</v>
      </c>
      <c r="D1962" s="9">
        <v>46124.0</v>
      </c>
      <c r="E1962" s="10">
        <v>7.48</v>
      </c>
      <c r="F1962" s="26">
        <v>1.1289</v>
      </c>
      <c r="G1962" s="12">
        <v>2.1493779E7</v>
      </c>
      <c r="H1962" s="8" t="s">
        <v>117</v>
      </c>
      <c r="I1962" s="11">
        <v>7.1633</v>
      </c>
      <c r="J1962" s="12">
        <v>7.690273669E9</v>
      </c>
      <c r="K1962" s="13"/>
      <c r="L1962" s="13">
        <v>-0.3898</v>
      </c>
      <c r="M1962" s="8" t="s">
        <v>5516</v>
      </c>
      <c r="N1962" s="8" t="s">
        <v>5491</v>
      </c>
      <c r="O1962" s="13"/>
      <c r="P1962" s="13">
        <v>-225.9966</v>
      </c>
      <c r="Q1962" s="13">
        <v>668.3147</v>
      </c>
      <c r="R1962" s="13"/>
      <c r="S1962" s="13">
        <v>5.0989</v>
      </c>
      <c r="T1962" s="14">
        <f>IFERROR(__xludf.DUMMYFUNCTION("IFERROR(GOOGLEFINANCE(B1962,""price""),"""")"),7.28)</f>
        <v>7.28</v>
      </c>
    </row>
    <row r="1963">
      <c r="A1963" s="15">
        <v>46121.67009164714</v>
      </c>
      <c r="B1963" s="16" t="s">
        <v>5604</v>
      </c>
      <c r="C1963" s="16" t="s">
        <v>5605</v>
      </c>
      <c r="D1963" s="17">
        <v>46124.0</v>
      </c>
      <c r="E1963" s="18">
        <v>133.3</v>
      </c>
      <c r="F1963" s="27">
        <v>1.0955</v>
      </c>
      <c r="G1963" s="20">
        <v>1.6781445E7</v>
      </c>
      <c r="H1963" s="16" t="s">
        <v>308</v>
      </c>
      <c r="I1963" s="19">
        <v>0.4521</v>
      </c>
      <c r="J1963" s="20">
        <v>1.0024002745E10</v>
      </c>
      <c r="K1963" s="21"/>
      <c r="L1963" s="21">
        <v>-0.6555</v>
      </c>
      <c r="M1963" s="16" t="s">
        <v>5606</v>
      </c>
      <c r="N1963" s="16" t="s">
        <v>5414</v>
      </c>
      <c r="O1963" s="21">
        <v>-7.9391</v>
      </c>
      <c r="P1963" s="21">
        <v>-11.9814</v>
      </c>
      <c r="Q1963" s="21">
        <v>82.7502</v>
      </c>
      <c r="R1963" s="21">
        <v>0.338</v>
      </c>
      <c r="S1963" s="21">
        <v>2.6264</v>
      </c>
      <c r="T1963" s="22">
        <f>IFERROR(__xludf.DUMMYFUNCTION("IFERROR(GOOGLEFINANCE(B1963,""price""),"""")"),150.6)</f>
        <v>150.6</v>
      </c>
    </row>
    <row r="1964">
      <c r="A1964" s="7">
        <v>46121.67009164714</v>
      </c>
      <c r="B1964" s="8" t="s">
        <v>5836</v>
      </c>
      <c r="C1964" s="8" t="s">
        <v>5837</v>
      </c>
      <c r="D1964" s="9">
        <v>46124.0</v>
      </c>
      <c r="E1964" s="10">
        <v>4.82</v>
      </c>
      <c r="F1964" s="26">
        <v>1.0938</v>
      </c>
      <c r="G1964" s="12">
        <v>1.6262865E7</v>
      </c>
      <c r="H1964" s="8" t="s">
        <v>93</v>
      </c>
      <c r="I1964" s="11">
        <v>0.4167</v>
      </c>
      <c r="J1964" s="12">
        <v>3.035827873E9</v>
      </c>
      <c r="K1964" s="13"/>
      <c r="L1964" s="13"/>
      <c r="M1964" s="8" t="s">
        <v>5838</v>
      </c>
      <c r="N1964" s="8" t="s">
        <v>5839</v>
      </c>
      <c r="O1964" s="13"/>
      <c r="P1964" s="13"/>
      <c r="Q1964" s="13"/>
      <c r="R1964" s="13">
        <v>0.1196</v>
      </c>
      <c r="S1964" s="13">
        <v>2.3137</v>
      </c>
      <c r="T1964" s="14">
        <f>IFERROR(__xludf.DUMMYFUNCTION("IFERROR(GOOGLEFINANCE(B1964,""price""),"""")"),4.87)</f>
        <v>4.87</v>
      </c>
    </row>
    <row r="1965">
      <c r="A1965" s="15">
        <v>46121.67009164714</v>
      </c>
      <c r="B1965" s="16" t="s">
        <v>6255</v>
      </c>
      <c r="C1965" s="16" t="s">
        <v>6256</v>
      </c>
      <c r="D1965" s="17">
        <v>46124.0</v>
      </c>
      <c r="E1965" s="18">
        <v>5.73</v>
      </c>
      <c r="F1965" s="27">
        <v>1.0781</v>
      </c>
      <c r="G1965" s="20">
        <v>1.2369739E7</v>
      </c>
      <c r="H1965" s="16" t="s">
        <v>88</v>
      </c>
      <c r="I1965" s="19">
        <v>-5.2893</v>
      </c>
      <c r="J1965" s="20">
        <v>1.364244652E9</v>
      </c>
      <c r="K1965" s="21"/>
      <c r="L1965" s="21">
        <v>-0.7981</v>
      </c>
      <c r="M1965" s="16" t="s">
        <v>6257</v>
      </c>
      <c r="N1965" s="16" t="s">
        <v>5429</v>
      </c>
      <c r="O1965" s="21">
        <v>-99.0588</v>
      </c>
      <c r="P1965" s="21">
        <v>-20.618</v>
      </c>
      <c r="Q1965" s="21">
        <v>9.2461</v>
      </c>
      <c r="R1965" s="21">
        <v>1.6184</v>
      </c>
      <c r="S1965" s="21">
        <v>1.1365</v>
      </c>
      <c r="T1965" s="22">
        <f>IFERROR(__xludf.DUMMYFUNCTION("IFERROR(GOOGLEFINANCE(B1965,""price""),"""")"),5.46)</f>
        <v>5.46</v>
      </c>
    </row>
    <row r="1966">
      <c r="A1966" s="7">
        <v>46121.67009164714</v>
      </c>
      <c r="B1966" s="8" t="s">
        <v>5544</v>
      </c>
      <c r="C1966" s="8" t="s">
        <v>6105</v>
      </c>
      <c r="D1966" s="9">
        <v>46124.0</v>
      </c>
      <c r="E1966" s="10">
        <v>16.36</v>
      </c>
      <c r="F1966" s="26">
        <v>1.0404</v>
      </c>
      <c r="G1966" s="12">
        <v>3.0761029E7</v>
      </c>
      <c r="H1966" s="8" t="s">
        <v>88</v>
      </c>
      <c r="I1966" s="11">
        <v>6.096</v>
      </c>
      <c r="J1966" s="12">
        <v>6.627753667E9</v>
      </c>
      <c r="K1966" s="13"/>
      <c r="L1966" s="13">
        <v>-2.0516</v>
      </c>
      <c r="M1966" s="8" t="s">
        <v>5546</v>
      </c>
      <c r="N1966" s="8" t="s">
        <v>5471</v>
      </c>
      <c r="O1966" s="13">
        <v>-110.5547</v>
      </c>
      <c r="P1966" s="13">
        <v>-76.6975</v>
      </c>
      <c r="Q1966" s="13">
        <v>48.0413</v>
      </c>
      <c r="R1966" s="13">
        <v>3.435</v>
      </c>
      <c r="S1966" s="13">
        <v>3.7948</v>
      </c>
      <c r="T1966" s="14">
        <f>IFERROR(__xludf.DUMMYFUNCTION("IFERROR(GOOGLEFINANCE(B1966,""price""),"""")"),16.53)</f>
        <v>16.53</v>
      </c>
    </row>
    <row r="1967">
      <c r="A1967" s="15">
        <v>46121.67009164714</v>
      </c>
      <c r="B1967" s="16" t="s">
        <v>5858</v>
      </c>
      <c r="C1967" s="16" t="s">
        <v>5859</v>
      </c>
      <c r="D1967" s="17">
        <v>46124.0</v>
      </c>
      <c r="E1967" s="18">
        <v>29.46</v>
      </c>
      <c r="F1967" s="27">
        <v>1.0278</v>
      </c>
      <c r="G1967" s="20">
        <v>2.3770702E7</v>
      </c>
      <c r="H1967" s="16" t="s">
        <v>88</v>
      </c>
      <c r="I1967" s="19">
        <v>-10.0458</v>
      </c>
      <c r="J1967" s="20">
        <v>4.47202809E9</v>
      </c>
      <c r="K1967" s="21"/>
      <c r="L1967" s="21">
        <v>-0.8329</v>
      </c>
      <c r="M1967" s="16" t="s">
        <v>5860</v>
      </c>
      <c r="N1967" s="16" t="s">
        <v>5664</v>
      </c>
      <c r="O1967" s="21">
        <v>-12.8431</v>
      </c>
      <c r="P1967" s="21">
        <v>-19.0035</v>
      </c>
      <c r="Q1967" s="21">
        <v>14.7776</v>
      </c>
      <c r="R1967" s="21">
        <v>0.4628</v>
      </c>
      <c r="S1967" s="21">
        <v>2.6119</v>
      </c>
      <c r="T1967" s="22">
        <f>IFERROR(__xludf.DUMMYFUNCTION("IFERROR(GOOGLEFINANCE(B1967,""price""),"""")"),23.07)</f>
        <v>23.07</v>
      </c>
    </row>
    <row r="1968">
      <c r="A1968" s="7">
        <v>46121.67009164714</v>
      </c>
      <c r="B1968" s="8" t="s">
        <v>5580</v>
      </c>
      <c r="C1968" s="8" t="s">
        <v>5581</v>
      </c>
      <c r="D1968" s="9">
        <v>46124.0</v>
      </c>
      <c r="E1968" s="10">
        <v>2.54</v>
      </c>
      <c r="F1968" s="26">
        <v>0.9844</v>
      </c>
      <c r="G1968" s="12">
        <v>1.7649733E7</v>
      </c>
      <c r="H1968" s="8" t="s">
        <v>88</v>
      </c>
      <c r="I1968" s="11">
        <v>-9.9291</v>
      </c>
      <c r="J1968" s="12">
        <v>1.013022096E9</v>
      </c>
      <c r="K1968" s="13"/>
      <c r="L1968" s="13">
        <v>-0.3784</v>
      </c>
      <c r="M1968" s="8" t="s">
        <v>5582</v>
      </c>
      <c r="N1968" s="8" t="s">
        <v>5429</v>
      </c>
      <c r="O1968" s="13">
        <v>-97.1268</v>
      </c>
      <c r="P1968" s="13">
        <v>-167.7686</v>
      </c>
      <c r="Q1968" s="13"/>
      <c r="R1968" s="13">
        <v>0.6372</v>
      </c>
      <c r="S1968" s="13">
        <v>0.6614</v>
      </c>
      <c r="T1968" s="14">
        <f>IFERROR(__xludf.DUMMYFUNCTION("IFERROR(GOOGLEFINANCE(B1968,""price""),"""")"),2.38)</f>
        <v>2.38</v>
      </c>
    </row>
    <row r="1969">
      <c r="A1969" s="15">
        <v>46121.67009164714</v>
      </c>
      <c r="B1969" s="16" t="s">
        <v>5533</v>
      </c>
      <c r="C1969" s="16" t="s">
        <v>5534</v>
      </c>
      <c r="D1969" s="17">
        <v>46124.0</v>
      </c>
      <c r="E1969" s="18">
        <v>4.18</v>
      </c>
      <c r="F1969" s="27">
        <v>0.9531</v>
      </c>
      <c r="G1969" s="20">
        <v>1.4254254E7</v>
      </c>
      <c r="H1969" s="16" t="s">
        <v>102</v>
      </c>
      <c r="I1969" s="19">
        <v>0.2398</v>
      </c>
      <c r="J1969" s="20">
        <v>1.166373607E9</v>
      </c>
      <c r="K1969" s="21"/>
      <c r="L1969" s="21">
        <v>-2.0651</v>
      </c>
      <c r="M1969" s="16" t="s">
        <v>5535</v>
      </c>
      <c r="N1969" s="16" t="s">
        <v>5536</v>
      </c>
      <c r="O1969" s="21">
        <v>-113.2714</v>
      </c>
      <c r="P1969" s="21">
        <v>-23.4017</v>
      </c>
      <c r="Q1969" s="21">
        <v>25572.8416</v>
      </c>
      <c r="R1969" s="21">
        <v>1.7044</v>
      </c>
      <c r="S1969" s="21">
        <v>1.4312</v>
      </c>
      <c r="T1969" s="22">
        <f>IFERROR(__xludf.DUMMYFUNCTION("IFERROR(GOOGLEFINANCE(B1969,""price""),"""")"),4.69)</f>
        <v>4.69</v>
      </c>
    </row>
    <row r="1970">
      <c r="A1970" s="7">
        <v>46121.67009164714</v>
      </c>
      <c r="B1970" s="8" t="s">
        <v>6187</v>
      </c>
      <c r="C1970" s="8" t="s">
        <v>6188</v>
      </c>
      <c r="D1970" s="9">
        <v>46124.0</v>
      </c>
      <c r="E1970" s="10">
        <v>37.57</v>
      </c>
      <c r="F1970" s="26">
        <v>0.9448</v>
      </c>
      <c r="G1970" s="12">
        <v>1.3139764E7</v>
      </c>
      <c r="H1970" s="8" t="s">
        <v>308</v>
      </c>
      <c r="I1970" s="11">
        <v>-1.4428</v>
      </c>
      <c r="J1970" s="12">
        <v>6.009411221E9</v>
      </c>
      <c r="K1970" s="13"/>
      <c r="L1970" s="13">
        <v>-2.2672</v>
      </c>
      <c r="M1970" s="8" t="s">
        <v>6189</v>
      </c>
      <c r="N1970" s="8" t="s">
        <v>5520</v>
      </c>
      <c r="O1970" s="13">
        <v>-50.4849</v>
      </c>
      <c r="P1970" s="13">
        <v>-160.2215</v>
      </c>
      <c r="Q1970" s="13">
        <v>162.954</v>
      </c>
      <c r="R1970" s="13">
        <v>0.2593</v>
      </c>
      <c r="S1970" s="13">
        <v>4.5096</v>
      </c>
      <c r="T1970" s="14">
        <f>IFERROR(__xludf.DUMMYFUNCTION("IFERROR(GOOGLEFINANCE(B1970,""price""),"""")"),37.54)</f>
        <v>37.54</v>
      </c>
    </row>
    <row r="1971">
      <c r="A1971" s="15">
        <v>46121.67009164714</v>
      </c>
      <c r="B1971" s="16" t="s">
        <v>5623</v>
      </c>
      <c r="C1971" s="16" t="s">
        <v>5624</v>
      </c>
      <c r="D1971" s="17">
        <v>46124.0</v>
      </c>
      <c r="E1971" s="18">
        <v>4.03</v>
      </c>
      <c r="F1971" s="27">
        <v>0.9375</v>
      </c>
      <c r="G1971" s="20">
        <v>1.2332234E7</v>
      </c>
      <c r="H1971" s="16" t="s">
        <v>88</v>
      </c>
      <c r="I1971" s="19">
        <v>-4.7281</v>
      </c>
      <c r="J1971" s="20">
        <v>7.853717159E9</v>
      </c>
      <c r="K1971" s="21"/>
      <c r="L1971" s="21">
        <v>-0.4446</v>
      </c>
      <c r="M1971" s="16" t="s">
        <v>5625</v>
      </c>
      <c r="N1971" s="16" t="s">
        <v>5429</v>
      </c>
      <c r="O1971" s="21">
        <v>-40.6476</v>
      </c>
      <c r="P1971" s="21">
        <v>-30033.3333</v>
      </c>
      <c r="Q1971" s="21"/>
      <c r="R1971" s="21">
        <v>0.0393</v>
      </c>
      <c r="S1971" s="21">
        <v>11.8649</v>
      </c>
      <c r="T1971" s="22">
        <f>IFERROR(__xludf.DUMMYFUNCTION("IFERROR(GOOGLEFINANCE(B1971,""price""),"""")"),4.15)</f>
        <v>4.15</v>
      </c>
    </row>
    <row r="1972">
      <c r="A1972" s="7">
        <v>46121.67009164714</v>
      </c>
      <c r="B1972" s="8" t="s">
        <v>5607</v>
      </c>
      <c r="C1972" s="8" t="s">
        <v>5608</v>
      </c>
      <c r="D1972" s="9">
        <v>46124.0</v>
      </c>
      <c r="E1972" s="10">
        <v>21.97</v>
      </c>
      <c r="F1972" s="26">
        <v>0.9055</v>
      </c>
      <c r="G1972" s="12">
        <v>1.6102917E7</v>
      </c>
      <c r="H1972" s="8" t="s">
        <v>308</v>
      </c>
      <c r="I1972" s="11">
        <v>-6.071</v>
      </c>
      <c r="J1972" s="12">
        <v>4.763112212E9</v>
      </c>
      <c r="K1972" s="13"/>
      <c r="L1972" s="13">
        <v>-0.7255</v>
      </c>
      <c r="M1972" s="8" t="s">
        <v>5609</v>
      </c>
      <c r="N1972" s="8" t="s">
        <v>5520</v>
      </c>
      <c r="O1972" s="13"/>
      <c r="P1972" s="13">
        <v>-36.3941</v>
      </c>
      <c r="Q1972" s="13">
        <v>-7.7134</v>
      </c>
      <c r="R1972" s="13"/>
      <c r="S1972" s="13">
        <v>4.9571</v>
      </c>
      <c r="T1972" s="14">
        <f>IFERROR(__xludf.DUMMYFUNCTION("IFERROR(GOOGLEFINANCE(B1972,""price""),"""")"),23.57)</f>
        <v>23.57</v>
      </c>
    </row>
    <row r="1973">
      <c r="A1973" s="15">
        <v>46121.67009164714</v>
      </c>
      <c r="B1973" s="16" t="s">
        <v>5821</v>
      </c>
      <c r="C1973" s="16" t="s">
        <v>5822</v>
      </c>
      <c r="D1973" s="17">
        <v>46124.0</v>
      </c>
      <c r="E1973" s="18">
        <v>5.4</v>
      </c>
      <c r="F1973" s="27">
        <v>0.8984</v>
      </c>
      <c r="G1973" s="20">
        <v>1.3857245E7</v>
      </c>
      <c r="H1973" s="16" t="s">
        <v>88</v>
      </c>
      <c r="I1973" s="19">
        <v>-4.0853</v>
      </c>
      <c r="J1973" s="20">
        <v>1.648591129E9</v>
      </c>
      <c r="K1973" s="21">
        <v>13.9535</v>
      </c>
      <c r="L1973" s="21">
        <v>0.387</v>
      </c>
      <c r="M1973" s="16" t="s">
        <v>5823</v>
      </c>
      <c r="N1973" s="16" t="s">
        <v>5429</v>
      </c>
      <c r="O1973" s="21">
        <v>7.7572</v>
      </c>
      <c r="P1973" s="21">
        <v>21.2885</v>
      </c>
      <c r="Q1973" s="21">
        <v>2.8988</v>
      </c>
      <c r="R1973" s="21">
        <v>1.0401</v>
      </c>
      <c r="S1973" s="21">
        <v>0.7173</v>
      </c>
      <c r="T1973" s="22">
        <f>IFERROR(__xludf.DUMMYFUNCTION("IFERROR(GOOGLEFINANCE(B1973,""price""),"""")"),5.23)</f>
        <v>5.23</v>
      </c>
    </row>
    <row r="1974">
      <c r="A1974" s="7">
        <v>46121.67009164714</v>
      </c>
      <c r="B1974" s="8" t="s">
        <v>5773</v>
      </c>
      <c r="C1974" s="8" t="s">
        <v>5774</v>
      </c>
      <c r="D1974" s="9">
        <v>46124.0</v>
      </c>
      <c r="E1974" s="10">
        <v>2.55</v>
      </c>
      <c r="F1974" s="26">
        <v>0.8594</v>
      </c>
      <c r="G1974" s="12">
        <v>2.7642044E7</v>
      </c>
      <c r="H1974" s="8" t="s">
        <v>245</v>
      </c>
      <c r="I1974" s="11">
        <v>-7.9422</v>
      </c>
      <c r="J1974" s="12">
        <v>1.51253224E9</v>
      </c>
      <c r="K1974" s="13"/>
      <c r="L1974" s="13">
        <v>-1.4644</v>
      </c>
      <c r="M1974" s="8" t="s">
        <v>5775</v>
      </c>
      <c r="N1974" s="8" t="s">
        <v>5776</v>
      </c>
      <c r="O1974" s="13">
        <v>-80.9463</v>
      </c>
      <c r="P1974" s="13">
        <v>-20.4446</v>
      </c>
      <c r="Q1974" s="13">
        <v>-22.6468</v>
      </c>
      <c r="R1974" s="13">
        <v>5.7984</v>
      </c>
      <c r="S1974" s="13">
        <v>0.7476</v>
      </c>
      <c r="T1974" s="14">
        <f>IFERROR(__xludf.DUMMYFUNCTION("IFERROR(GOOGLEFINANCE(B1974,""price""),"""")"),2.57)</f>
        <v>2.57</v>
      </c>
    </row>
    <row r="1975">
      <c r="A1975" s="15">
        <v>46121.67009164714</v>
      </c>
      <c r="B1975" s="16" t="s">
        <v>2704</v>
      </c>
      <c r="C1975" s="16" t="s">
        <v>2705</v>
      </c>
      <c r="D1975" s="17">
        <v>46124.0</v>
      </c>
      <c r="E1975" s="18">
        <v>25.57</v>
      </c>
      <c r="F1975" s="27">
        <v>0.8549</v>
      </c>
      <c r="G1975" s="20">
        <v>3.5587573E7</v>
      </c>
      <c r="H1975" s="16" t="s">
        <v>88</v>
      </c>
      <c r="I1975" s="19">
        <v>-7.9885</v>
      </c>
      <c r="J1975" s="20">
        <v>7.149009536E9</v>
      </c>
      <c r="K1975" s="21"/>
      <c r="L1975" s="21">
        <v>-0.7392</v>
      </c>
      <c r="M1975" s="16" t="s">
        <v>2707</v>
      </c>
      <c r="N1975" s="16" t="s">
        <v>5471</v>
      </c>
      <c r="O1975" s="21">
        <v>-16.8378</v>
      </c>
      <c r="P1975" s="21">
        <v>-20.9872</v>
      </c>
      <c r="Q1975" s="21">
        <v>60.6998</v>
      </c>
      <c r="R1975" s="21">
        <v>1.7195</v>
      </c>
      <c r="S1975" s="21">
        <v>2.3796</v>
      </c>
      <c r="T1975" s="22">
        <f>IFERROR(__xludf.DUMMYFUNCTION("IFERROR(GOOGLEFINANCE(B1975,""price""),"""")"),26.24)</f>
        <v>26.24</v>
      </c>
    </row>
    <row r="1976">
      <c r="A1976" s="7">
        <v>46121.67009164714</v>
      </c>
      <c r="B1976" s="8" t="s">
        <v>5594</v>
      </c>
      <c r="C1976" s="8" t="s">
        <v>5595</v>
      </c>
      <c r="D1976" s="9">
        <v>46124.0</v>
      </c>
      <c r="E1976" s="10">
        <v>19.03</v>
      </c>
      <c r="F1976" s="26">
        <v>0.8406</v>
      </c>
      <c r="G1976" s="12">
        <v>4.5971597E7</v>
      </c>
      <c r="H1976" s="8" t="s">
        <v>88</v>
      </c>
      <c r="I1976" s="11">
        <v>5.4294</v>
      </c>
      <c r="J1976" s="12">
        <v>8.070015891E9</v>
      </c>
      <c r="K1976" s="13"/>
      <c r="L1976" s="13">
        <v>-1.661</v>
      </c>
      <c r="M1976" s="8" t="s">
        <v>5596</v>
      </c>
      <c r="N1976" s="8" t="s">
        <v>5471</v>
      </c>
      <c r="O1976" s="13">
        <v>-343.6909</v>
      </c>
      <c r="P1976" s="13">
        <v>-100.2101</v>
      </c>
      <c r="Q1976" s="13">
        <v>20.2812</v>
      </c>
      <c r="R1976" s="13">
        <v>36.9947</v>
      </c>
      <c r="S1976" s="13">
        <v>2.0038</v>
      </c>
      <c r="T1976" s="14">
        <f>IFERROR(__xludf.DUMMYFUNCTION("IFERROR(GOOGLEFINANCE(B1976,""price""),"""")"),18.88)</f>
        <v>18.88</v>
      </c>
    </row>
    <row r="1977">
      <c r="A1977" s="15">
        <v>46121.67009164714</v>
      </c>
      <c r="B1977" s="16" t="s">
        <v>5691</v>
      </c>
      <c r="C1977" s="16" t="s">
        <v>5692</v>
      </c>
      <c r="D1977" s="17">
        <v>46124.0</v>
      </c>
      <c r="E1977" s="18">
        <v>7.48</v>
      </c>
      <c r="F1977" s="27">
        <v>0.8242</v>
      </c>
      <c r="G1977" s="20">
        <v>2.1178638E7</v>
      </c>
      <c r="H1977" s="16" t="s">
        <v>873</v>
      </c>
      <c r="I1977" s="19">
        <v>5.5007</v>
      </c>
      <c r="J1977" s="20">
        <v>7.662284989E9</v>
      </c>
      <c r="K1977" s="21"/>
      <c r="L1977" s="21">
        <v>-1.7483</v>
      </c>
      <c r="M1977" s="16" t="s">
        <v>5693</v>
      </c>
      <c r="N1977" s="16" t="s">
        <v>5694</v>
      </c>
      <c r="O1977" s="21"/>
      <c r="P1977" s="21">
        <v>-1.4836</v>
      </c>
      <c r="Q1977" s="21">
        <v>-5.386</v>
      </c>
      <c r="R1977" s="21"/>
      <c r="S1977" s="21">
        <v>1.7483</v>
      </c>
      <c r="T1977" s="22">
        <f>IFERROR(__xludf.DUMMYFUNCTION("IFERROR(GOOGLEFINANCE(B1977,""price""),"""")"),7.44)</f>
        <v>7.44</v>
      </c>
    </row>
    <row r="1978">
      <c r="A1978" s="7">
        <v>46121.67009164714</v>
      </c>
      <c r="B1978" s="8" t="s">
        <v>5969</v>
      </c>
      <c r="C1978" s="8" t="s">
        <v>5970</v>
      </c>
      <c r="D1978" s="9">
        <v>46124.0</v>
      </c>
      <c r="E1978" s="10">
        <v>19.67</v>
      </c>
      <c r="F1978" s="26">
        <v>0.8237</v>
      </c>
      <c r="G1978" s="12">
        <v>1.1667653E7</v>
      </c>
      <c r="H1978" s="8" t="s">
        <v>88</v>
      </c>
      <c r="I1978" s="11">
        <v>-7.8257</v>
      </c>
      <c r="J1978" s="12">
        <v>3.346496344E9</v>
      </c>
      <c r="K1978" s="13"/>
      <c r="L1978" s="13">
        <v>-0.3384</v>
      </c>
      <c r="M1978" s="8" t="s">
        <v>5971</v>
      </c>
      <c r="N1978" s="8" t="s">
        <v>5429</v>
      </c>
      <c r="O1978" s="13">
        <v>-6.335</v>
      </c>
      <c r="P1978" s="13">
        <v>-6.7229</v>
      </c>
      <c r="Q1978" s="13">
        <v>25.8117</v>
      </c>
      <c r="R1978" s="13">
        <v>0.0</v>
      </c>
      <c r="S1978" s="13">
        <v>2.4735</v>
      </c>
      <c r="T1978" s="14">
        <f>IFERROR(__xludf.DUMMYFUNCTION("IFERROR(GOOGLEFINANCE(B1978,""price""),"""")"),19.42)</f>
        <v>19.42</v>
      </c>
    </row>
    <row r="1979">
      <c r="A1979" s="15">
        <v>46121.67009164714</v>
      </c>
      <c r="B1979" s="16" t="s">
        <v>5517</v>
      </c>
      <c r="C1979" s="16" t="s">
        <v>5518</v>
      </c>
      <c r="D1979" s="17">
        <v>46124.0</v>
      </c>
      <c r="E1979" s="18">
        <v>9.22</v>
      </c>
      <c r="F1979" s="27">
        <v>0.8105</v>
      </c>
      <c r="G1979" s="20">
        <v>1.2748179E7</v>
      </c>
      <c r="H1979" s="16" t="s">
        <v>308</v>
      </c>
      <c r="I1979" s="19">
        <v>-4.0583</v>
      </c>
      <c r="J1979" s="20">
        <v>1.770016809E9</v>
      </c>
      <c r="K1979" s="21"/>
      <c r="L1979" s="21">
        <v>-2.3761</v>
      </c>
      <c r="M1979" s="16" t="s">
        <v>5519</v>
      </c>
      <c r="N1979" s="16" t="s">
        <v>5520</v>
      </c>
      <c r="O1979" s="21">
        <v>-52.0031</v>
      </c>
      <c r="P1979" s="21">
        <v>-49.6608</v>
      </c>
      <c r="Q1979" s="21">
        <v>10.2861</v>
      </c>
      <c r="R1979" s="21">
        <v>0.1895</v>
      </c>
      <c r="S1979" s="21">
        <v>1.6246</v>
      </c>
      <c r="T1979" s="22">
        <f>IFERROR(__xludf.DUMMYFUNCTION("IFERROR(GOOGLEFINANCE(B1979,""price""),"""")"),9.29)</f>
        <v>9.29</v>
      </c>
    </row>
    <row r="1980">
      <c r="A1980" s="7">
        <v>46121.67009164714</v>
      </c>
      <c r="B1980" s="8" t="s">
        <v>5484</v>
      </c>
      <c r="C1980" s="8" t="s">
        <v>5485</v>
      </c>
      <c r="D1980" s="9">
        <v>46124.0</v>
      </c>
      <c r="E1980" s="10">
        <v>37.06</v>
      </c>
      <c r="F1980" s="26">
        <v>0.8075</v>
      </c>
      <c r="G1980" s="12">
        <v>2.741814E7</v>
      </c>
      <c r="H1980" s="8" t="s">
        <v>88</v>
      </c>
      <c r="I1980" s="11">
        <v>0.6245</v>
      </c>
      <c r="J1980" s="12">
        <v>1.2294996111E10</v>
      </c>
      <c r="K1980" s="13">
        <v>42.461</v>
      </c>
      <c r="L1980" s="13">
        <v>0.8728</v>
      </c>
      <c r="M1980" s="8" t="s">
        <v>5486</v>
      </c>
      <c r="N1980" s="8" t="s">
        <v>5471</v>
      </c>
      <c r="O1980" s="13">
        <v>22.5116</v>
      </c>
      <c r="P1980" s="13">
        <v>-13.85</v>
      </c>
      <c r="Q1980" s="13">
        <v>123.3192</v>
      </c>
      <c r="R1980" s="13">
        <v>1.5302</v>
      </c>
      <c r="S1980" s="13">
        <v>4.9601</v>
      </c>
      <c r="T1980" s="14">
        <f>IFERROR(__xludf.DUMMYFUNCTION("IFERROR(GOOGLEFINANCE(B1980,""price""),"""")"),39.32)</f>
        <v>39.32</v>
      </c>
    </row>
    <row r="1981">
      <c r="A1981" s="15">
        <v>46121.67009164714</v>
      </c>
      <c r="B1981" s="16" t="s">
        <v>6258</v>
      </c>
      <c r="C1981" s="16" t="s">
        <v>6259</v>
      </c>
      <c r="D1981" s="17">
        <v>46124.0</v>
      </c>
      <c r="E1981" s="18">
        <v>23.27</v>
      </c>
      <c r="F1981" s="27">
        <v>0.8066</v>
      </c>
      <c r="G1981" s="20">
        <v>1.1392274E7</v>
      </c>
      <c r="H1981" s="16" t="s">
        <v>286</v>
      </c>
      <c r="I1981" s="19">
        <v>1.3943</v>
      </c>
      <c r="J1981" s="20">
        <v>2.7545741271E10</v>
      </c>
      <c r="K1981" s="21"/>
      <c r="L1981" s="21">
        <v>-4.9384</v>
      </c>
      <c r="M1981" s="16" t="s">
        <v>6260</v>
      </c>
      <c r="N1981" s="16" t="s">
        <v>6208</v>
      </c>
      <c r="O1981" s="21">
        <v>-12.8697</v>
      </c>
      <c r="P1981" s="21">
        <v>18.7315</v>
      </c>
      <c r="Q1981" s="21">
        <v>-3.4976</v>
      </c>
      <c r="R1981" s="21">
        <v>0.5226</v>
      </c>
      <c r="S1981" s="21">
        <v>1.1537</v>
      </c>
      <c r="T1981" s="22">
        <f>IFERROR(__xludf.DUMMYFUNCTION("IFERROR(GOOGLEFINANCE(B1981,""price""),"""")"),23.06)</f>
        <v>23.06</v>
      </c>
    </row>
    <row r="1982">
      <c r="A1982" s="7">
        <v>46122.66735872368</v>
      </c>
      <c r="B1982" s="8" t="s">
        <v>5524</v>
      </c>
      <c r="C1982" s="8" t="s">
        <v>5525</v>
      </c>
      <c r="D1982" s="9">
        <v>46124.0</v>
      </c>
      <c r="E1982" s="10">
        <v>2.1</v>
      </c>
      <c r="F1982" s="26">
        <v>1.9063</v>
      </c>
      <c r="G1982" s="12">
        <v>9283416.0</v>
      </c>
      <c r="H1982" s="8" t="s">
        <v>308</v>
      </c>
      <c r="I1982" s="11">
        <v>0.4785</v>
      </c>
      <c r="J1982" s="12">
        <v>4.83573285E8</v>
      </c>
      <c r="K1982" s="13"/>
      <c r="L1982" s="13">
        <v>-0.2883</v>
      </c>
      <c r="M1982" s="8" t="s">
        <v>5526</v>
      </c>
      <c r="N1982" s="8" t="s">
        <v>5414</v>
      </c>
      <c r="O1982" s="13">
        <v>-12.2507</v>
      </c>
      <c r="P1982" s="13">
        <v>-224.9705</v>
      </c>
      <c r="Q1982" s="13">
        <v>79.3113</v>
      </c>
      <c r="R1982" s="13">
        <v>0.0173</v>
      </c>
      <c r="S1982" s="13">
        <v>15.9175</v>
      </c>
      <c r="T1982" s="14">
        <f>IFERROR(__xludf.DUMMYFUNCTION("IFERROR(GOOGLEFINANCE(B1982,""price""),"""")"),2.1)</f>
        <v>2.1</v>
      </c>
    </row>
    <row r="1983">
      <c r="A1983" s="15">
        <v>46122.66735872368</v>
      </c>
      <c r="B1983" s="16" t="s">
        <v>5533</v>
      </c>
      <c r="C1983" s="16" t="s">
        <v>5534</v>
      </c>
      <c r="D1983" s="17">
        <v>46124.0</v>
      </c>
      <c r="E1983" s="18">
        <v>4.69</v>
      </c>
      <c r="F1983" s="27">
        <v>1.6172</v>
      </c>
      <c r="G1983" s="20">
        <v>1.60205E7</v>
      </c>
      <c r="H1983" s="16" t="s">
        <v>102</v>
      </c>
      <c r="I1983" s="19">
        <v>12.201</v>
      </c>
      <c r="J1983" s="20">
        <v>1.308682272E9</v>
      </c>
      <c r="K1983" s="21"/>
      <c r="L1983" s="21">
        <v>-2.0651</v>
      </c>
      <c r="M1983" s="16" t="s">
        <v>5535</v>
      </c>
      <c r="N1983" s="16" t="s">
        <v>5536</v>
      </c>
      <c r="O1983" s="21">
        <v>-113.2714</v>
      </c>
      <c r="P1983" s="21">
        <v>-23.4017</v>
      </c>
      <c r="Q1983" s="21">
        <v>25572.8416</v>
      </c>
      <c r="R1983" s="21">
        <v>1.7044</v>
      </c>
      <c r="S1983" s="21">
        <v>1.4312</v>
      </c>
      <c r="T1983" s="22">
        <f>IFERROR(__xludf.DUMMYFUNCTION("IFERROR(GOOGLEFINANCE(B1983,""price""),"""")"),4.69)</f>
        <v>4.69</v>
      </c>
    </row>
    <row r="1984">
      <c r="A1984" s="7">
        <v>46122.66735872368</v>
      </c>
      <c r="B1984" s="8" t="s">
        <v>6010</v>
      </c>
      <c r="C1984" s="8" t="s">
        <v>6011</v>
      </c>
      <c r="D1984" s="9">
        <v>46124.0</v>
      </c>
      <c r="E1984" s="10">
        <v>14.61</v>
      </c>
      <c r="F1984" s="26">
        <v>1.4505</v>
      </c>
      <c r="G1984" s="12">
        <v>9718014.0</v>
      </c>
      <c r="H1984" s="8" t="s">
        <v>88</v>
      </c>
      <c r="I1984" s="11">
        <v>-4.6345</v>
      </c>
      <c r="J1984" s="12">
        <v>3.566645644E9</v>
      </c>
      <c r="K1984" s="13"/>
      <c r="L1984" s="13">
        <v>-0.1507</v>
      </c>
      <c r="M1984" s="8" t="s">
        <v>6012</v>
      </c>
      <c r="N1984" s="8" t="s">
        <v>5429</v>
      </c>
      <c r="O1984" s="13">
        <v>-4.254</v>
      </c>
      <c r="P1984" s="13">
        <v>2.2078</v>
      </c>
      <c r="Q1984" s="13">
        <v>29.7204</v>
      </c>
      <c r="R1984" s="13">
        <v>0.2706</v>
      </c>
      <c r="S1984" s="13">
        <v>1.5968</v>
      </c>
      <c r="T1984" s="14">
        <f>IFERROR(__xludf.DUMMYFUNCTION("IFERROR(GOOGLEFINANCE(B1984,""price""),"""")"),14.61)</f>
        <v>14.61</v>
      </c>
    </row>
    <row r="1985">
      <c r="A1985" s="15">
        <v>46122.66735872368</v>
      </c>
      <c r="B1985" s="16" t="s">
        <v>6145</v>
      </c>
      <c r="C1985" s="16" t="s">
        <v>6146</v>
      </c>
      <c r="D1985" s="17">
        <v>46124.0</v>
      </c>
      <c r="E1985" s="18">
        <v>10.6</v>
      </c>
      <c r="F1985" s="27">
        <v>1.3906</v>
      </c>
      <c r="G1985" s="20">
        <v>1.3506446E7</v>
      </c>
      <c r="H1985" s="16" t="s">
        <v>107</v>
      </c>
      <c r="I1985" s="19">
        <v>25.5924</v>
      </c>
      <c r="J1985" s="20">
        <v>1.57760991E9</v>
      </c>
      <c r="K1985" s="21"/>
      <c r="L1985" s="21">
        <v>-0.1523</v>
      </c>
      <c r="M1985" s="16" t="s">
        <v>6147</v>
      </c>
      <c r="N1985" s="16" t="s">
        <v>5613</v>
      </c>
      <c r="O1985" s="21">
        <v>-36.2882</v>
      </c>
      <c r="P1985" s="21">
        <v>-8467.5962</v>
      </c>
      <c r="Q1985" s="21">
        <v>147.7433</v>
      </c>
      <c r="R1985" s="21">
        <v>0.0348</v>
      </c>
      <c r="S1985" s="21">
        <v>32.6897</v>
      </c>
      <c r="T1985" s="22">
        <f>IFERROR(__xludf.DUMMYFUNCTION("IFERROR(GOOGLEFINANCE(B1985,""price""),"""")"),10.6)</f>
        <v>10.6</v>
      </c>
    </row>
    <row r="1986">
      <c r="A1986" s="7">
        <v>46122.66735872368</v>
      </c>
      <c r="B1986" s="8" t="s">
        <v>5620</v>
      </c>
      <c r="C1986" s="8" t="s">
        <v>5621</v>
      </c>
      <c r="D1986" s="9">
        <v>46124.0</v>
      </c>
      <c r="E1986" s="10">
        <v>7.33</v>
      </c>
      <c r="F1986" s="26">
        <v>1.3633</v>
      </c>
      <c r="G1986" s="12">
        <v>1.4102227E7</v>
      </c>
      <c r="H1986" s="8" t="s">
        <v>308</v>
      </c>
      <c r="I1986" s="11">
        <v>1.8056</v>
      </c>
      <c r="J1986" s="12">
        <v>1.048619803E9</v>
      </c>
      <c r="K1986" s="13"/>
      <c r="L1986" s="13">
        <v>-0.3456</v>
      </c>
      <c r="M1986" s="8" t="s">
        <v>5622</v>
      </c>
      <c r="N1986" s="8" t="s">
        <v>5520</v>
      </c>
      <c r="O1986" s="13">
        <v>-127.6488</v>
      </c>
      <c r="P1986" s="13">
        <v>-175.1793</v>
      </c>
      <c r="Q1986" s="13"/>
      <c r="R1986" s="13">
        <v>1.0472</v>
      </c>
      <c r="S1986" s="13">
        <v>5.1177</v>
      </c>
      <c r="T1986" s="14">
        <f>IFERROR(__xludf.DUMMYFUNCTION("IFERROR(GOOGLEFINANCE(B1986,""price""),"""")"),7.33)</f>
        <v>7.33</v>
      </c>
    </row>
    <row r="1987">
      <c r="A1987" s="15">
        <v>46122.66735872368</v>
      </c>
      <c r="B1987" s="16" t="s">
        <v>6130</v>
      </c>
      <c r="C1987" s="16" t="s">
        <v>6131</v>
      </c>
      <c r="D1987" s="17">
        <v>46124.0</v>
      </c>
      <c r="E1987" s="18">
        <v>24.89</v>
      </c>
      <c r="F1987" s="27">
        <v>1.1066</v>
      </c>
      <c r="G1987" s="20">
        <v>1.2570859E7</v>
      </c>
      <c r="H1987" s="16" t="s">
        <v>308</v>
      </c>
      <c r="I1987" s="19">
        <v>0.2416</v>
      </c>
      <c r="J1987" s="20">
        <v>3.3025399094E10</v>
      </c>
      <c r="K1987" s="21"/>
      <c r="L1987" s="21">
        <v>-0.1887</v>
      </c>
      <c r="M1987" s="16" t="s">
        <v>6132</v>
      </c>
      <c r="N1987" s="16" t="s">
        <v>5674</v>
      </c>
      <c r="O1987" s="21">
        <v>-0.472</v>
      </c>
      <c r="P1987" s="21">
        <v>5.0349</v>
      </c>
      <c r="Q1987" s="21">
        <v>15.0352</v>
      </c>
      <c r="R1987" s="21">
        <v>0.8723</v>
      </c>
      <c r="S1987" s="21">
        <v>1.031</v>
      </c>
      <c r="T1987" s="22">
        <f>IFERROR(__xludf.DUMMYFUNCTION("IFERROR(GOOGLEFINANCE(B1987,""price""),"""")"),24.89)</f>
        <v>24.89</v>
      </c>
    </row>
    <row r="1988">
      <c r="A1988" s="7">
        <v>46122.66735872368</v>
      </c>
      <c r="B1988" s="8" t="s">
        <v>5623</v>
      </c>
      <c r="C1988" s="8" t="s">
        <v>5624</v>
      </c>
      <c r="D1988" s="9">
        <v>46124.0</v>
      </c>
      <c r="E1988" s="10">
        <v>4.15</v>
      </c>
      <c r="F1988" s="26">
        <v>1.0938</v>
      </c>
      <c r="G1988" s="12">
        <v>1.4198051E7</v>
      </c>
      <c r="H1988" s="8" t="s">
        <v>88</v>
      </c>
      <c r="I1988" s="11">
        <v>2.9777</v>
      </c>
      <c r="J1988" s="12">
        <v>8.087575126E9</v>
      </c>
      <c r="K1988" s="13"/>
      <c r="L1988" s="13">
        <v>-0.4446</v>
      </c>
      <c r="M1988" s="8" t="s">
        <v>5625</v>
      </c>
      <c r="N1988" s="8" t="s">
        <v>5429</v>
      </c>
      <c r="O1988" s="13">
        <v>-40.6476</v>
      </c>
      <c r="P1988" s="13">
        <v>-30033.3333</v>
      </c>
      <c r="Q1988" s="13"/>
      <c r="R1988" s="13">
        <v>0.0393</v>
      </c>
      <c r="S1988" s="13">
        <v>11.8649</v>
      </c>
      <c r="T1988" s="14">
        <f>IFERROR(__xludf.DUMMYFUNCTION("IFERROR(GOOGLEFINANCE(B1988,""price""),"""")"),4.15)</f>
        <v>4.15</v>
      </c>
    </row>
    <row r="1989">
      <c r="A1989" s="15">
        <v>46122.66735872368</v>
      </c>
      <c r="B1989" s="16" t="s">
        <v>4972</v>
      </c>
      <c r="C1989" s="16" t="s">
        <v>4973</v>
      </c>
      <c r="D1989" s="17">
        <v>46124.0</v>
      </c>
      <c r="E1989" s="18">
        <v>71.56</v>
      </c>
      <c r="F1989" s="27">
        <v>1.0706</v>
      </c>
      <c r="G1989" s="20">
        <v>8056210.0</v>
      </c>
      <c r="H1989" s="16" t="s">
        <v>308</v>
      </c>
      <c r="I1989" s="19">
        <v>0.4774</v>
      </c>
      <c r="J1989" s="20">
        <v>3.8723652537E10</v>
      </c>
      <c r="K1989" s="21"/>
      <c r="L1989" s="21">
        <v>-0.2879</v>
      </c>
      <c r="M1989" s="16" t="s">
        <v>4974</v>
      </c>
      <c r="N1989" s="16" t="s">
        <v>5414</v>
      </c>
      <c r="O1989" s="21">
        <v>-1.0928</v>
      </c>
      <c r="P1989" s="21">
        <v>6.3421</v>
      </c>
      <c r="Q1989" s="21">
        <v>-8.083</v>
      </c>
      <c r="R1989" s="21">
        <v>0.8238</v>
      </c>
      <c r="S1989" s="21">
        <v>2.1624</v>
      </c>
      <c r="T1989" s="22">
        <f>IFERROR(__xludf.DUMMYFUNCTION("IFERROR(GOOGLEFINANCE(B1989,""price""),"""")"),71.56)</f>
        <v>71.56</v>
      </c>
    </row>
    <row r="1990">
      <c r="A1990" s="7">
        <v>46122.66735872368</v>
      </c>
      <c r="B1990" s="8" t="s">
        <v>5626</v>
      </c>
      <c r="C1990" s="8" t="s">
        <v>5627</v>
      </c>
      <c r="D1990" s="9">
        <v>46124.0</v>
      </c>
      <c r="E1990" s="10">
        <v>25.85</v>
      </c>
      <c r="F1990" s="26">
        <v>0.9961</v>
      </c>
      <c r="G1990" s="12">
        <v>8262674.0</v>
      </c>
      <c r="H1990" s="8" t="s">
        <v>88</v>
      </c>
      <c r="I1990" s="11">
        <v>-3.7244</v>
      </c>
      <c r="J1990" s="12">
        <v>1.501151656E10</v>
      </c>
      <c r="K1990" s="13"/>
      <c r="L1990" s="13">
        <v>-0.0176</v>
      </c>
      <c r="M1990" s="8" t="s">
        <v>5628</v>
      </c>
      <c r="N1990" s="8" t="s">
        <v>5429</v>
      </c>
      <c r="O1990" s="13">
        <v>-0.7324</v>
      </c>
      <c r="P1990" s="13">
        <v>-3.2482</v>
      </c>
      <c r="Q1990" s="13">
        <v>29.5738</v>
      </c>
      <c r="R1990" s="13">
        <v>0.0512</v>
      </c>
      <c r="S1990" s="13">
        <v>1.3944</v>
      </c>
      <c r="T1990" s="14">
        <f>IFERROR(__xludf.DUMMYFUNCTION("IFERROR(GOOGLEFINANCE(B1990,""price""),"""")"),25.85)</f>
        <v>25.85</v>
      </c>
    </row>
    <row r="1991">
      <c r="A1991" s="15">
        <v>46122.66735872368</v>
      </c>
      <c r="B1991" s="16" t="s">
        <v>790</v>
      </c>
      <c r="C1991" s="16" t="s">
        <v>791</v>
      </c>
      <c r="D1991" s="17">
        <v>46124.0</v>
      </c>
      <c r="E1991" s="18">
        <v>1.44</v>
      </c>
      <c r="F1991" s="27">
        <v>0.9688</v>
      </c>
      <c r="G1991" s="20">
        <v>1.2871329E7</v>
      </c>
      <c r="H1991" s="16" t="s">
        <v>245</v>
      </c>
      <c r="I1991" s="19">
        <v>4.3478</v>
      </c>
      <c r="J1991" s="20">
        <v>1.10266886E8</v>
      </c>
      <c r="K1991" s="21"/>
      <c r="L1991" s="21">
        <v>-3.6478</v>
      </c>
      <c r="M1991" s="16" t="s">
        <v>792</v>
      </c>
      <c r="N1991" s="16" t="s">
        <v>5776</v>
      </c>
      <c r="O1991" s="21">
        <v>32.1759</v>
      </c>
      <c r="P1991" s="21">
        <v>28.4575</v>
      </c>
      <c r="Q1991" s="21">
        <v>2953.5458</v>
      </c>
      <c r="R1991" s="21">
        <v>3.8952</v>
      </c>
      <c r="S1991" s="21">
        <v>0.6338</v>
      </c>
      <c r="T1991" s="22">
        <f>IFERROR(__xludf.DUMMYFUNCTION("IFERROR(GOOGLEFINANCE(B1991,""price""),"""")"),1.44)</f>
        <v>1.44</v>
      </c>
    </row>
    <row r="1992">
      <c r="A1992" s="7">
        <v>46122.66735872368</v>
      </c>
      <c r="B1992" s="8" t="s">
        <v>2594</v>
      </c>
      <c r="C1992" s="8" t="s">
        <v>2595</v>
      </c>
      <c r="D1992" s="9">
        <v>46124.0</v>
      </c>
      <c r="E1992" s="10">
        <v>8.83</v>
      </c>
      <c r="F1992" s="26">
        <v>0.9414</v>
      </c>
      <c r="G1992" s="12">
        <v>3.928189E7</v>
      </c>
      <c r="H1992" s="8" t="s">
        <v>117</v>
      </c>
      <c r="I1992" s="11">
        <v>27.7858</v>
      </c>
      <c r="J1992" s="12">
        <v>2.29858708E9</v>
      </c>
      <c r="K1992" s="13">
        <v>12.3221</v>
      </c>
      <c r="L1992" s="13">
        <v>0.7166</v>
      </c>
      <c r="M1992" s="8" t="s">
        <v>2596</v>
      </c>
      <c r="N1992" s="8" t="s">
        <v>5491</v>
      </c>
      <c r="O1992" s="13">
        <v>30.5556</v>
      </c>
      <c r="P1992" s="13">
        <v>20.0129</v>
      </c>
      <c r="Q1992" s="13">
        <v>-2.9205</v>
      </c>
      <c r="R1992" s="13">
        <v>11.7021</v>
      </c>
      <c r="S1992" s="13">
        <v>1.8209</v>
      </c>
      <c r="T1992" s="14">
        <f>IFERROR(__xludf.DUMMYFUNCTION("IFERROR(GOOGLEFINANCE(B1992,""price""),"""")"),8.83)</f>
        <v>8.83</v>
      </c>
    </row>
    <row r="1993">
      <c r="A1993" s="15">
        <v>46122.66735872368</v>
      </c>
      <c r="B1993" s="16" t="s">
        <v>5655</v>
      </c>
      <c r="C1993" s="16" t="s">
        <v>5656</v>
      </c>
      <c r="D1993" s="17">
        <v>46124.0</v>
      </c>
      <c r="E1993" s="18">
        <v>4.99</v>
      </c>
      <c r="F1993" s="27">
        <v>0.9316</v>
      </c>
      <c r="G1993" s="20">
        <v>8302747.0</v>
      </c>
      <c r="H1993" s="16" t="s">
        <v>88</v>
      </c>
      <c r="I1993" s="19">
        <v>-6.379</v>
      </c>
      <c r="J1993" s="20">
        <v>3.029558884E9</v>
      </c>
      <c r="K1993" s="21"/>
      <c r="L1993" s="21">
        <v>-2.0E-4</v>
      </c>
      <c r="M1993" s="16" t="s">
        <v>5657</v>
      </c>
      <c r="N1993" s="16" t="s">
        <v>5429</v>
      </c>
      <c r="O1993" s="21">
        <v>0.0218</v>
      </c>
      <c r="P1993" s="21">
        <v>9.1382</v>
      </c>
      <c r="Q1993" s="21">
        <v>11.8756</v>
      </c>
      <c r="R1993" s="21">
        <v>0.7759</v>
      </c>
      <c r="S1993" s="21">
        <v>1.3248</v>
      </c>
      <c r="T1993" s="22">
        <f>IFERROR(__xludf.DUMMYFUNCTION("IFERROR(GOOGLEFINANCE(B1993,""price""),"""")"),4.99)</f>
        <v>4.99</v>
      </c>
    </row>
    <row r="1994">
      <c r="A1994" s="7">
        <v>46122.66735872368</v>
      </c>
      <c r="B1994" s="8" t="s">
        <v>5514</v>
      </c>
      <c r="C1994" s="8" t="s">
        <v>5515</v>
      </c>
      <c r="D1994" s="9">
        <v>46124.0</v>
      </c>
      <c r="E1994" s="10">
        <v>7.28</v>
      </c>
      <c r="F1994" s="26">
        <v>0.918</v>
      </c>
      <c r="G1994" s="12">
        <v>1.4266885E7</v>
      </c>
      <c r="H1994" s="8" t="s">
        <v>117</v>
      </c>
      <c r="I1994" s="11">
        <v>-2.6738</v>
      </c>
      <c r="J1994" s="12">
        <v>7.484651376E9</v>
      </c>
      <c r="K1994" s="13"/>
      <c r="L1994" s="13">
        <v>-0.3898</v>
      </c>
      <c r="M1994" s="8" t="s">
        <v>5516</v>
      </c>
      <c r="N1994" s="8" t="s">
        <v>5491</v>
      </c>
      <c r="O1994" s="13"/>
      <c r="P1994" s="13">
        <v>-225.9966</v>
      </c>
      <c r="Q1994" s="13">
        <v>668.3147</v>
      </c>
      <c r="R1994" s="13"/>
      <c r="S1994" s="13">
        <v>5.0989</v>
      </c>
      <c r="T1994" s="14">
        <f>IFERROR(__xludf.DUMMYFUNCTION("IFERROR(GOOGLEFINANCE(B1994,""price""),"""")"),7.28)</f>
        <v>7.28</v>
      </c>
    </row>
    <row r="1995">
      <c r="A1995" s="15">
        <v>46122.66735872368</v>
      </c>
      <c r="B1995" s="16" t="s">
        <v>6249</v>
      </c>
      <c r="C1995" s="16" t="s">
        <v>6250</v>
      </c>
      <c r="D1995" s="17">
        <v>46124.0</v>
      </c>
      <c r="E1995" s="18">
        <v>75.59</v>
      </c>
      <c r="F1995" s="27">
        <v>0.9124</v>
      </c>
      <c r="G1995" s="20">
        <v>1.0476006E7</v>
      </c>
      <c r="H1995" s="16" t="s">
        <v>88</v>
      </c>
      <c r="I1995" s="19">
        <v>-13.2844</v>
      </c>
      <c r="J1995" s="20">
        <v>6.953984581E9</v>
      </c>
      <c r="K1995" s="21">
        <v>30.0844</v>
      </c>
      <c r="L1995" s="21">
        <v>2.5126</v>
      </c>
      <c r="M1995" s="16" t="s">
        <v>6251</v>
      </c>
      <c r="N1995" s="16" t="s">
        <v>5429</v>
      </c>
      <c r="O1995" s="21"/>
      <c r="P1995" s="21">
        <v>17.4156</v>
      </c>
      <c r="Q1995" s="21">
        <v>15.4765</v>
      </c>
      <c r="R1995" s="21"/>
      <c r="S1995" s="21">
        <v>0.6893</v>
      </c>
      <c r="T1995" s="22">
        <f>IFERROR(__xludf.DUMMYFUNCTION("IFERROR(GOOGLEFINANCE(B1995,""price""),"""")"),75.59)</f>
        <v>75.59</v>
      </c>
    </row>
    <row r="1996">
      <c r="A1996" s="7">
        <v>46122.66735872368</v>
      </c>
      <c r="B1996" s="8" t="s">
        <v>6261</v>
      </c>
      <c r="C1996" s="8" t="s">
        <v>6262</v>
      </c>
      <c r="D1996" s="9">
        <v>46124.0</v>
      </c>
      <c r="E1996" s="10">
        <v>18.26</v>
      </c>
      <c r="F1996" s="26">
        <v>0.9111</v>
      </c>
      <c r="G1996" s="12">
        <v>1.355111E7</v>
      </c>
      <c r="H1996" s="8" t="s">
        <v>88</v>
      </c>
      <c r="I1996" s="11">
        <v>-0.6529</v>
      </c>
      <c r="J1996" s="12">
        <v>1.6699685359E10</v>
      </c>
      <c r="K1996" s="13">
        <v>6.8963</v>
      </c>
      <c r="L1996" s="13">
        <v>2.6478</v>
      </c>
      <c r="M1996" s="8" t="s">
        <v>6263</v>
      </c>
      <c r="N1996" s="8" t="s">
        <v>5664</v>
      </c>
      <c r="O1996" s="13"/>
      <c r="P1996" s="13">
        <v>6.8383</v>
      </c>
      <c r="Q1996" s="13">
        <v>5.0894</v>
      </c>
      <c r="R1996" s="13"/>
      <c r="S1996" s="13">
        <v>0.7588</v>
      </c>
      <c r="T1996" s="14">
        <f>IFERROR(__xludf.DUMMYFUNCTION("IFERROR(GOOGLEFINANCE(B1996,""price""),"""")"),18.26)</f>
        <v>18.26</v>
      </c>
    </row>
    <row r="1997">
      <c r="A1997" s="15">
        <v>46122.66735872368</v>
      </c>
      <c r="B1997" s="16" t="s">
        <v>6078</v>
      </c>
      <c r="C1997" s="16" t="s">
        <v>6079</v>
      </c>
      <c r="D1997" s="17">
        <v>46124.0</v>
      </c>
      <c r="E1997" s="18">
        <v>12.97</v>
      </c>
      <c r="F1997" s="27">
        <v>0.9095</v>
      </c>
      <c r="G1997" s="20">
        <v>2.4736037E7</v>
      </c>
      <c r="H1997" s="16" t="s">
        <v>270</v>
      </c>
      <c r="I1997" s="19">
        <v>-0.154</v>
      </c>
      <c r="J1997" s="20">
        <v>3.1866904265E10</v>
      </c>
      <c r="K1997" s="21">
        <v>14.0216</v>
      </c>
      <c r="L1997" s="21">
        <v>0.925</v>
      </c>
      <c r="M1997" s="16" t="s">
        <v>6080</v>
      </c>
      <c r="N1997" s="16" t="s">
        <v>5777</v>
      </c>
      <c r="O1997" s="21">
        <v>41.9277</v>
      </c>
      <c r="P1997" s="21">
        <v>37.1124</v>
      </c>
      <c r="Q1997" s="21">
        <v>176.9308</v>
      </c>
      <c r="R1997" s="21">
        <v>4.1736</v>
      </c>
      <c r="S1997" s="21">
        <v>0.93</v>
      </c>
      <c r="T1997" s="22">
        <f>IFERROR(__xludf.DUMMYFUNCTION("IFERROR(GOOGLEFINANCE(B1997,""price""),"""")"),12.97)</f>
        <v>12.97</v>
      </c>
    </row>
    <row r="1998">
      <c r="A1998" s="7">
        <v>46122.66735872368</v>
      </c>
      <c r="B1998" s="8" t="s">
        <v>5640</v>
      </c>
      <c r="C1998" s="8" t="s">
        <v>5641</v>
      </c>
      <c r="D1998" s="9">
        <v>46124.0</v>
      </c>
      <c r="E1998" s="10">
        <v>64.18</v>
      </c>
      <c r="F1998" s="26">
        <v>0.9082</v>
      </c>
      <c r="G1998" s="12">
        <v>1.2760442E7</v>
      </c>
      <c r="H1998" s="8" t="s">
        <v>308</v>
      </c>
      <c r="I1998" s="11">
        <v>1.6793</v>
      </c>
      <c r="J1998" s="12">
        <v>3.566713392E9</v>
      </c>
      <c r="K1998" s="13"/>
      <c r="L1998" s="13">
        <v>-0.4892</v>
      </c>
      <c r="M1998" s="8" t="s">
        <v>5642</v>
      </c>
      <c r="N1998" s="8" t="s">
        <v>5433</v>
      </c>
      <c r="O1998" s="13">
        <v>-9.1233</v>
      </c>
      <c r="P1998" s="13">
        <v>-24.8806</v>
      </c>
      <c r="Q1998" s="13">
        <v>-11.106</v>
      </c>
      <c r="R1998" s="13">
        <v>0.2562</v>
      </c>
      <c r="S1998" s="13">
        <v>2.7231</v>
      </c>
      <c r="T1998" s="14">
        <f>IFERROR(__xludf.DUMMYFUNCTION("IFERROR(GOOGLEFINANCE(B1998,""price""),"""")"),64.18)</f>
        <v>64.18</v>
      </c>
    </row>
    <row r="1999">
      <c r="A1999" s="15">
        <v>46122.66735872368</v>
      </c>
      <c r="B1999" s="16" t="s">
        <v>5503</v>
      </c>
      <c r="C1999" s="16" t="s">
        <v>5504</v>
      </c>
      <c r="D1999" s="17">
        <v>46124.0</v>
      </c>
      <c r="E1999" s="18">
        <v>8.87</v>
      </c>
      <c r="F1999" s="27">
        <v>0.8945</v>
      </c>
      <c r="G1999" s="20">
        <v>1.0303592E7</v>
      </c>
      <c r="H1999" s="16" t="s">
        <v>335</v>
      </c>
      <c r="I1999" s="19">
        <v>1.1403</v>
      </c>
      <c r="J1999" s="20">
        <v>1.082803587E9</v>
      </c>
      <c r="K1999" s="21"/>
      <c r="L1999" s="21">
        <v>-1.4123</v>
      </c>
      <c r="M1999" s="16" t="s">
        <v>5505</v>
      </c>
      <c r="N1999" s="16" t="s">
        <v>5445</v>
      </c>
      <c r="O1999" s="21">
        <v>-138.754</v>
      </c>
      <c r="P1999" s="21"/>
      <c r="Q1999" s="21"/>
      <c r="R1999" s="21">
        <v>0.0165</v>
      </c>
      <c r="S1999" s="21">
        <v>0.7469</v>
      </c>
      <c r="T1999" s="22">
        <f>IFERROR(__xludf.DUMMYFUNCTION("IFERROR(GOOGLEFINANCE(B1999,""price""),"""")"),8.87)</f>
        <v>8.87</v>
      </c>
    </row>
    <row r="2000">
      <c r="A2000" s="7">
        <v>46122.66735872368</v>
      </c>
      <c r="B2000" s="8" t="s">
        <v>1941</v>
      </c>
      <c r="C2000" s="8" t="s">
        <v>1942</v>
      </c>
      <c r="D2000" s="9">
        <v>46124.0</v>
      </c>
      <c r="E2000" s="10">
        <v>27.44</v>
      </c>
      <c r="F2000" s="26">
        <v>0.8792</v>
      </c>
      <c r="G2000" s="12">
        <v>1.5932491E7</v>
      </c>
      <c r="H2000" s="8" t="s">
        <v>149</v>
      </c>
      <c r="I2000" s="11">
        <v>-0.3269</v>
      </c>
      <c r="J2000" s="12">
        <v>6.8049265624E10</v>
      </c>
      <c r="K2000" s="13">
        <v>95.4767</v>
      </c>
      <c r="L2000" s="13">
        <v>0.2874</v>
      </c>
      <c r="M2000" s="8" t="s">
        <v>1943</v>
      </c>
      <c r="N2000" s="8" t="s">
        <v>5480</v>
      </c>
      <c r="O2000" s="13">
        <v>2.0784</v>
      </c>
      <c r="P2000" s="13">
        <v>4.1422</v>
      </c>
      <c r="Q2000" s="13">
        <v>-5.0233</v>
      </c>
      <c r="R2000" s="13">
        <v>1.0234</v>
      </c>
      <c r="S2000" s="13">
        <v>1.0565</v>
      </c>
      <c r="T2000" s="14">
        <f>IFERROR(__xludf.DUMMYFUNCTION("IFERROR(GOOGLEFINANCE(B2000,""price""),"""")"),27.44)</f>
        <v>27.44</v>
      </c>
    </row>
    <row r="2001">
      <c r="A2001" s="15">
        <v>46122.66735872368</v>
      </c>
      <c r="B2001" s="16" t="s">
        <v>3523</v>
      </c>
      <c r="C2001" s="16" t="s">
        <v>3524</v>
      </c>
      <c r="D2001" s="17">
        <v>46124.0</v>
      </c>
      <c r="E2001" s="18">
        <v>42.24</v>
      </c>
      <c r="F2001" s="27">
        <v>0.8754</v>
      </c>
      <c r="G2001" s="20">
        <v>8936761.0</v>
      </c>
      <c r="H2001" s="16" t="s">
        <v>162</v>
      </c>
      <c r="I2001" s="19">
        <v>-0.5884</v>
      </c>
      <c r="J2001" s="20">
        <v>7.8547680759E10</v>
      </c>
      <c r="K2001" s="21">
        <v>27.3752</v>
      </c>
      <c r="L2001" s="21">
        <v>1.543</v>
      </c>
      <c r="M2001" s="16" t="s">
        <v>3526</v>
      </c>
      <c r="N2001" s="16" t="s">
        <v>5781</v>
      </c>
      <c r="O2001" s="21">
        <v>22.5202</v>
      </c>
      <c r="P2001" s="21">
        <v>33.2458</v>
      </c>
      <c r="Q2001" s="21">
        <v>-3.0812</v>
      </c>
      <c r="R2001" s="21">
        <v>1.4762</v>
      </c>
      <c r="S2001" s="21">
        <v>0.8139</v>
      </c>
      <c r="T2001" s="22">
        <f>IFERROR(__xludf.DUMMYFUNCTION("IFERROR(GOOGLEFINANCE(B2001,""price""),"""")"),42.24)</f>
        <v>42.24</v>
      </c>
    </row>
    <row r="2002">
      <c r="A2002" s="7">
        <v>46122.66735872368</v>
      </c>
      <c r="B2002" s="8" t="s">
        <v>5675</v>
      </c>
      <c r="C2002" s="8" t="s">
        <v>5676</v>
      </c>
      <c r="D2002" s="9">
        <v>46124.0</v>
      </c>
      <c r="E2002" s="10">
        <v>8.23</v>
      </c>
      <c r="F2002" s="26">
        <v>0.8477</v>
      </c>
      <c r="G2002" s="12">
        <v>1.8331703E7</v>
      </c>
      <c r="H2002" s="8" t="s">
        <v>93</v>
      </c>
      <c r="I2002" s="11">
        <v>-0.6039</v>
      </c>
      <c r="J2002" s="12">
        <v>1.2794107002E10</v>
      </c>
      <c r="K2002" s="13">
        <v>133.3874</v>
      </c>
      <c r="L2002" s="13">
        <v>0.0617</v>
      </c>
      <c r="M2002" s="8" t="s">
        <v>5677</v>
      </c>
      <c r="N2002" s="8" t="s">
        <v>5678</v>
      </c>
      <c r="O2002" s="13">
        <v>3.6386</v>
      </c>
      <c r="P2002" s="13">
        <v>17.7694</v>
      </c>
      <c r="Q2002" s="13">
        <v>25.039</v>
      </c>
      <c r="R2002" s="13">
        <v>1.7514</v>
      </c>
      <c r="S2002" s="13">
        <v>1.2905</v>
      </c>
      <c r="T2002" s="14">
        <f>IFERROR(__xludf.DUMMYFUNCTION("IFERROR(GOOGLEFINANCE(B2002,""price""),"""")"),8.23)</f>
        <v>8.23</v>
      </c>
    </row>
    <row r="2003">
      <c r="A2003" s="15">
        <v>46122.66735872368</v>
      </c>
      <c r="B2003" s="16" t="s">
        <v>5607</v>
      </c>
      <c r="C2003" s="16" t="s">
        <v>5608</v>
      </c>
      <c r="D2003" s="17">
        <v>46124.0</v>
      </c>
      <c r="E2003" s="18">
        <v>23.57</v>
      </c>
      <c r="F2003" s="27">
        <v>0.8391</v>
      </c>
      <c r="G2003" s="20">
        <v>1.5153881E7</v>
      </c>
      <c r="H2003" s="16" t="s">
        <v>308</v>
      </c>
      <c r="I2003" s="19">
        <v>7.2827</v>
      </c>
      <c r="J2003" s="20">
        <v>5.109993367E9</v>
      </c>
      <c r="K2003" s="21"/>
      <c r="L2003" s="21">
        <v>-0.7255</v>
      </c>
      <c r="M2003" s="16" t="s">
        <v>5609</v>
      </c>
      <c r="N2003" s="16" t="s">
        <v>5520</v>
      </c>
      <c r="O2003" s="21"/>
      <c r="P2003" s="21">
        <v>-36.3941</v>
      </c>
      <c r="Q2003" s="21">
        <v>-7.7134</v>
      </c>
      <c r="R2003" s="21"/>
      <c r="S2003" s="21">
        <v>4.9571</v>
      </c>
      <c r="T2003" s="22">
        <f>IFERROR(__xludf.DUMMYFUNCTION("IFERROR(GOOGLEFINANCE(B2003,""price""),"""")"),23.57)</f>
        <v>23.57</v>
      </c>
    </row>
    <row r="2004">
      <c r="A2004" s="7">
        <v>46122.66735872368</v>
      </c>
      <c r="B2004" s="8" t="s">
        <v>6264</v>
      </c>
      <c r="C2004" s="8" t="s">
        <v>6265</v>
      </c>
      <c r="D2004" s="9">
        <v>46124.0</v>
      </c>
      <c r="E2004" s="10">
        <v>21.93</v>
      </c>
      <c r="F2004" s="26">
        <v>0.834</v>
      </c>
      <c r="G2004" s="12">
        <v>8857042.0</v>
      </c>
      <c r="H2004" s="8" t="s">
        <v>129</v>
      </c>
      <c r="I2004" s="11">
        <v>3.5411</v>
      </c>
      <c r="J2004" s="12">
        <v>1.5538528226E10</v>
      </c>
      <c r="K2004" s="13"/>
      <c r="L2004" s="13">
        <v>-0.5851</v>
      </c>
      <c r="M2004" s="8" t="s">
        <v>6266</v>
      </c>
      <c r="N2004" s="8" t="s">
        <v>6267</v>
      </c>
      <c r="O2004" s="13">
        <v>-3.7852</v>
      </c>
      <c r="P2004" s="13">
        <v>-2.6232</v>
      </c>
      <c r="Q2004" s="13">
        <v>11930.7373</v>
      </c>
      <c r="R2004" s="13">
        <v>0.4033</v>
      </c>
      <c r="S2004" s="13">
        <v>3.5783</v>
      </c>
      <c r="T2004" s="14">
        <f>IFERROR(__xludf.DUMMYFUNCTION("IFERROR(GOOGLEFINANCE(B2004,""price""),"""")"),21.93)</f>
        <v>21.93</v>
      </c>
    </row>
    <row r="2005">
      <c r="A2005" s="15">
        <v>46122.66735872368</v>
      </c>
      <c r="B2005" s="16" t="s">
        <v>6209</v>
      </c>
      <c r="C2005" s="16" t="s">
        <v>6210</v>
      </c>
      <c r="D2005" s="17">
        <v>46124.0</v>
      </c>
      <c r="E2005" s="18">
        <v>76.7</v>
      </c>
      <c r="F2005" s="27">
        <v>0.833</v>
      </c>
      <c r="G2005" s="20">
        <v>1.239732E7</v>
      </c>
      <c r="H2005" s="16" t="s">
        <v>88</v>
      </c>
      <c r="I2005" s="19">
        <v>-4.9095</v>
      </c>
      <c r="J2005" s="20">
        <v>5.6752141468E10</v>
      </c>
      <c r="K2005" s="21">
        <v>31.6093</v>
      </c>
      <c r="L2005" s="21">
        <v>2.4265</v>
      </c>
      <c r="M2005" s="16" t="s">
        <v>6211</v>
      </c>
      <c r="N2005" s="16" t="s">
        <v>5664</v>
      </c>
      <c r="O2005" s="21">
        <v>135.7156</v>
      </c>
      <c r="P2005" s="21">
        <v>30.5062</v>
      </c>
      <c r="Q2005" s="21">
        <v>14.1677</v>
      </c>
      <c r="R2005" s="21">
        <v>0.858</v>
      </c>
      <c r="S2005" s="21">
        <v>1.1721</v>
      </c>
      <c r="T2005" s="22">
        <f>IFERROR(__xludf.DUMMYFUNCTION("IFERROR(GOOGLEFINANCE(B2005,""price""),"""")"),76.66)</f>
        <v>76.66</v>
      </c>
    </row>
    <row r="2006">
      <c r="A2006" s="7">
        <v>46122.66735872368</v>
      </c>
      <c r="B2006" s="8" t="s">
        <v>6166</v>
      </c>
      <c r="C2006" s="8" t="s">
        <v>6167</v>
      </c>
      <c r="D2006" s="9">
        <v>46124.0</v>
      </c>
      <c r="E2006" s="10">
        <v>10.62</v>
      </c>
      <c r="F2006" s="26">
        <v>0.832</v>
      </c>
      <c r="G2006" s="12">
        <v>9472493.0</v>
      </c>
      <c r="H2006" s="8" t="s">
        <v>149</v>
      </c>
      <c r="I2006" s="11">
        <v>-2.1198</v>
      </c>
      <c r="J2006" s="12">
        <v>1.1806690407E10</v>
      </c>
      <c r="K2006" s="13"/>
      <c r="L2006" s="13">
        <v>-0.4432</v>
      </c>
      <c r="M2006" s="8" t="s">
        <v>6168</v>
      </c>
      <c r="N2006" s="8" t="s">
        <v>5480</v>
      </c>
      <c r="O2006" s="13">
        <v>-4.4337</v>
      </c>
      <c r="P2006" s="13">
        <v>7.7567</v>
      </c>
      <c r="Q2006" s="13">
        <v>-1.1022</v>
      </c>
      <c r="R2006" s="13">
        <v>1.2907</v>
      </c>
      <c r="S2006" s="13">
        <v>1.2567</v>
      </c>
      <c r="T2006" s="14">
        <f>IFERROR(__xludf.DUMMYFUNCTION("IFERROR(GOOGLEFINANCE(B2006,""price""),"""")"),10.62)</f>
        <v>10.62</v>
      </c>
    </row>
    <row r="2007">
      <c r="A2007" s="15">
        <v>46122.66735872368</v>
      </c>
      <c r="B2007" s="16" t="s">
        <v>5858</v>
      </c>
      <c r="C2007" s="16" t="s">
        <v>5859</v>
      </c>
      <c r="D2007" s="17">
        <v>46124.0</v>
      </c>
      <c r="E2007" s="18">
        <v>23.07</v>
      </c>
      <c r="F2007" s="27">
        <v>0.8223</v>
      </c>
      <c r="G2007" s="20">
        <v>3.857804E7</v>
      </c>
      <c r="H2007" s="16" t="s">
        <v>88</v>
      </c>
      <c r="I2007" s="19">
        <v>-21.6904</v>
      </c>
      <c r="J2007" s="20">
        <v>3.502025962E9</v>
      </c>
      <c r="K2007" s="21"/>
      <c r="L2007" s="21">
        <v>-0.8329</v>
      </c>
      <c r="M2007" s="16" t="s">
        <v>5860</v>
      </c>
      <c r="N2007" s="16" t="s">
        <v>5664</v>
      </c>
      <c r="O2007" s="21">
        <v>-12.8431</v>
      </c>
      <c r="P2007" s="21">
        <v>-19.0035</v>
      </c>
      <c r="Q2007" s="21">
        <v>14.7776</v>
      </c>
      <c r="R2007" s="21">
        <v>0.4628</v>
      </c>
      <c r="S2007" s="21">
        <v>2.6119</v>
      </c>
      <c r="T2007" s="22">
        <f>IFERROR(__xludf.DUMMYFUNCTION("IFERROR(GOOGLEFINANCE(B2007,""price""),"""")"),23.07)</f>
        <v>23.07</v>
      </c>
    </row>
    <row r="2008">
      <c r="A2008" s="7">
        <v>46122.66735872368</v>
      </c>
      <c r="B2008" s="8" t="s">
        <v>5773</v>
      </c>
      <c r="C2008" s="8" t="s">
        <v>5774</v>
      </c>
      <c r="D2008" s="9">
        <v>46124.0</v>
      </c>
      <c r="E2008" s="10">
        <v>2.57</v>
      </c>
      <c r="F2008" s="26">
        <v>0.8164</v>
      </c>
      <c r="G2008" s="12">
        <v>1.8703517E7</v>
      </c>
      <c r="H2008" s="8" t="s">
        <v>245</v>
      </c>
      <c r="I2008" s="11">
        <v>0.7843</v>
      </c>
      <c r="J2008" s="12">
        <v>1.524395221E9</v>
      </c>
      <c r="K2008" s="13"/>
      <c r="L2008" s="13">
        <v>-1.4644</v>
      </c>
      <c r="M2008" s="8" t="s">
        <v>5775</v>
      </c>
      <c r="N2008" s="8" t="s">
        <v>5776</v>
      </c>
      <c r="O2008" s="13">
        <v>-80.9463</v>
      </c>
      <c r="P2008" s="13">
        <v>-20.4446</v>
      </c>
      <c r="Q2008" s="13">
        <v>-22.6468</v>
      </c>
      <c r="R2008" s="13">
        <v>5.7984</v>
      </c>
      <c r="S2008" s="13">
        <v>0.7476</v>
      </c>
      <c r="T2008" s="14">
        <f>IFERROR(__xludf.DUMMYFUNCTION("IFERROR(GOOGLEFINANCE(B2008,""price""),"""")"),2.57)</f>
        <v>2.57</v>
      </c>
    </row>
    <row r="2009">
      <c r="A2009" s="15">
        <v>46122.66735872368</v>
      </c>
      <c r="B2009" s="16" t="s">
        <v>5649</v>
      </c>
      <c r="C2009" s="16" t="s">
        <v>5650</v>
      </c>
      <c r="D2009" s="17">
        <v>46124.0</v>
      </c>
      <c r="E2009" s="18">
        <v>34.67</v>
      </c>
      <c r="F2009" s="27">
        <v>0.8093</v>
      </c>
      <c r="G2009" s="20">
        <v>9388901.0</v>
      </c>
      <c r="H2009" s="16" t="s">
        <v>88</v>
      </c>
      <c r="I2009" s="19">
        <v>1.2854</v>
      </c>
      <c r="J2009" s="20">
        <v>1.2000985961E10</v>
      </c>
      <c r="K2009" s="21"/>
      <c r="L2009" s="21">
        <v>-0.7881</v>
      </c>
      <c r="M2009" s="16" t="s">
        <v>5651</v>
      </c>
      <c r="N2009" s="16" t="s">
        <v>5429</v>
      </c>
      <c r="O2009" s="21">
        <v>-78.4035</v>
      </c>
      <c r="P2009" s="21">
        <v>-30.5248</v>
      </c>
      <c r="Q2009" s="21">
        <v>25.9359</v>
      </c>
      <c r="R2009" s="21">
        <v>2.4544</v>
      </c>
      <c r="S2009" s="21">
        <v>1.6475</v>
      </c>
      <c r="T2009" s="22">
        <f>IFERROR(__xludf.DUMMYFUNCTION("IFERROR(GOOGLEFINANCE(B2009,""price""),"""")"),34.67)</f>
        <v>34.67</v>
      </c>
    </row>
    <row r="2010">
      <c r="A2010" s="7">
        <v>46122.66735872368</v>
      </c>
      <c r="B2010" s="8" t="s">
        <v>6268</v>
      </c>
      <c r="C2010" s="8" t="s">
        <v>6269</v>
      </c>
      <c r="D2010" s="9">
        <v>46124.0</v>
      </c>
      <c r="E2010" s="10">
        <v>43.37</v>
      </c>
      <c r="F2010" s="26">
        <v>0.7936</v>
      </c>
      <c r="G2010" s="12">
        <v>9180626.0</v>
      </c>
      <c r="H2010" s="8" t="s">
        <v>88</v>
      </c>
      <c r="I2010" s="11">
        <v>-4.2393</v>
      </c>
      <c r="J2010" s="12">
        <v>2.2309688336E10</v>
      </c>
      <c r="K2010" s="13">
        <v>58.6795</v>
      </c>
      <c r="L2010" s="13">
        <v>0.7391</v>
      </c>
      <c r="M2010" s="8" t="s">
        <v>6270</v>
      </c>
      <c r="N2010" s="8" t="s">
        <v>5429</v>
      </c>
      <c r="O2010" s="13">
        <v>2.5813</v>
      </c>
      <c r="P2010" s="13">
        <v>22.9184</v>
      </c>
      <c r="Q2010" s="13">
        <v>5.4519</v>
      </c>
      <c r="R2010" s="13">
        <v>0.9591</v>
      </c>
      <c r="S2010" s="13">
        <v>0.5893</v>
      </c>
      <c r="T2010" s="14">
        <f>IFERROR(__xludf.DUMMYFUNCTION("IFERROR(GOOGLEFINANCE(B2010,""price""),"""")"),43.37)</f>
        <v>43.37</v>
      </c>
    </row>
    <row r="2011">
      <c r="A2011" s="15">
        <v>46122.66735872368</v>
      </c>
      <c r="B2011" s="16" t="s">
        <v>6121</v>
      </c>
      <c r="C2011" s="16" t="s">
        <v>6122</v>
      </c>
      <c r="D2011" s="17">
        <v>46124.0</v>
      </c>
      <c r="E2011" s="18">
        <v>47.79</v>
      </c>
      <c r="F2011" s="27">
        <v>0.7687</v>
      </c>
      <c r="G2011" s="20">
        <v>1.0310693E7</v>
      </c>
      <c r="H2011" s="16" t="s">
        <v>245</v>
      </c>
      <c r="I2011" s="19">
        <v>-0.188</v>
      </c>
      <c r="J2011" s="20">
        <v>2.9698632963E10</v>
      </c>
      <c r="K2011" s="21">
        <v>11.4462</v>
      </c>
      <c r="L2011" s="21">
        <v>4.1752</v>
      </c>
      <c r="M2011" s="16" t="s">
        <v>6123</v>
      </c>
      <c r="N2011" s="16" t="s">
        <v>5776</v>
      </c>
      <c r="O2011" s="21">
        <v>17.5993</v>
      </c>
      <c r="P2011" s="21">
        <v>20.4089</v>
      </c>
      <c r="Q2011" s="21">
        <v>7.4581</v>
      </c>
      <c r="R2011" s="21">
        <v>0.5595</v>
      </c>
      <c r="S2011" s="21">
        <v>0.9804</v>
      </c>
      <c r="T2011" s="22">
        <f>IFERROR(__xludf.DUMMYFUNCTION("IFERROR(GOOGLEFINANCE(B2011,""price""),"""")"),47.79)</f>
        <v>47.79</v>
      </c>
    </row>
  </sheetData>
  <drawing r:id="rId1"/>
</worksheet>
</file>